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P:\8790\03-DEVELOPPEMENT\02-DOSSIERS_THEMATIQUES\LBC\Dossiers LBC en cours\Armagnac\Projet LBC-FD de Castera-Lectourois (32)\Document 11 - Rabais et réductions d'émissions\"/>
    </mc:Choice>
  </mc:AlternateContent>
  <xr:revisionPtr revIDLastSave="0" documentId="13_ncr:1_{01D909E2-D4B7-4BD9-894F-62B6240BFF0B}" xr6:coauthVersionLast="47" xr6:coauthVersionMax="47" xr10:uidLastSave="{00000000-0000-0000-0000-000000000000}"/>
  <bookViews>
    <workbookView xWindow="-120" yWindow="-120" windowWidth="25440" windowHeight="15390" tabRatio="764" activeTab="1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Test" sheetId="16" r:id="rId6"/>
    <sheet name="Liste test" sheetId="17" r:id="rId7"/>
    <sheet name="Autre source1" sheetId="14" r:id="rId8"/>
    <sheet name="Autres sources2" sheetId="18" r:id="rId9"/>
    <sheet name="Autres sources3" sheetId="19" r:id="rId10"/>
    <sheet name="Autres sources4" sheetId="20" r:id="rId11"/>
    <sheet name="Autres sources5" sheetId="21" r:id="rId12"/>
    <sheet name="Autres sources6" sheetId="22" r:id="rId13"/>
    <sheet name="Autres sources7" sheetId="23" r:id="rId14"/>
    <sheet name="Autres sources8" sheetId="24" r:id="rId15"/>
    <sheet name="Autres sources9" sheetId="25" r:id="rId16"/>
    <sheet name="Autres sources10" sheetId="28" r:id="rId17"/>
    <sheet name="Autres sources11" sheetId="27" r:id="rId18"/>
    <sheet name="Autres sources12" sheetId="26" r:id="rId19"/>
    <sheet name="Sc de ref" sheetId="11" r:id="rId20"/>
    <sheet name="Coef Feuillus divers" sheetId="15" r:id="rId21"/>
    <sheet name="dico_mod" sheetId="5" r:id="rId22"/>
    <sheet name="dico_var" sheetId="3" r:id="rId23"/>
    <sheet name="infradensité" sheetId="10" r:id="rId24"/>
  </sheets>
  <definedNames>
    <definedName name="_xlnm._FilterDatabase" localSheetId="3" hidden="1">'BDD-Guides'!$A$2:$AG$665</definedName>
    <definedName name="_xlnm._FilterDatabase" localSheetId="2" hidden="1">'BDD-Modèles'!$A$2:$CO$1677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'Liste test'!$D$3</definedName>
    <definedName name="Cedre_AtlasGSM_Alpes_du_Sud">'Liste test'!$H$3:$H$5</definedName>
    <definedName name="Cedre_AtlasGSM_Alpes_du_SudF1">'Liste test'!$M$3</definedName>
    <definedName name="Cedre_AtlasGSM_Alpes_du_SudF2">'Liste test'!$M$4</definedName>
    <definedName name="Cedre_AtlasGSM_Alpes_du_SudF3">'Liste test'!$M$5</definedName>
    <definedName name="CèdreAtlas">Liste!#REF!</definedName>
    <definedName name="Chene_pedoncule">'Liste test'!$D$4</definedName>
    <definedName name="Chene_pedonculeguide_chenaie_continentale">'Liste test'!$H$6:$H$7</definedName>
    <definedName name="Chene_pedonculeguide_chenaie_continentaleF1">'Liste test'!$M$6</definedName>
    <definedName name="Chene_pedonculeguide_chenaie_continentaleF2">'Liste test'!$M$7</definedName>
    <definedName name="Chene_sessile">'Liste test'!$D$5:$D$6</definedName>
    <definedName name="Chene_sessileguide_chenaie_atlantique">'Liste test'!$H$10:$H$12</definedName>
    <definedName name="Chene_sessileguide_chenaie_atlantiqueF1">'Liste test'!$M$11</definedName>
    <definedName name="Chene_sessileguide_chenaie_atlantiqueF2">'Liste test'!$M$12</definedName>
    <definedName name="Chene_sessileguide_chenaie_atlantiqueF3">'Liste test'!$M$13</definedName>
    <definedName name="Chene_sessileguide_chenaie_continentale">'Liste test'!$H$8:$H$9</definedName>
    <definedName name="Chene_sessileguide_chenaie_continentaleF1">'Liste test'!$M$8:$M$9</definedName>
    <definedName name="Chene_sessileguide_chenaie_continentaleF2">'Liste test'!$M$10</definedName>
    <definedName name="ChènePédonculé">Liste!#REF!</definedName>
    <definedName name="Douglas">'Liste test'!$D$7</definedName>
    <definedName name="Douglasguide_national">'Liste test'!$H$13:$H$15</definedName>
    <definedName name="Douglasguide_nationalF1">'Liste test'!$M$14</definedName>
    <definedName name="Douglasguide_nationalF2">'Liste test'!$M$15</definedName>
    <definedName name="Douglasguide_nationalF3">'Liste test'!$M$16</definedName>
    <definedName name="espece">Liste!$C$72:$C$73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7" i="11" l="1"/>
  <c r="K25" i="11"/>
  <c r="K33" i="11"/>
  <c r="K41" i="11"/>
  <c r="K49" i="11"/>
  <c r="K57" i="11"/>
  <c r="K65" i="11"/>
  <c r="K73" i="11"/>
  <c r="K81" i="11"/>
  <c r="K89" i="11"/>
  <c r="E19" i="11"/>
  <c r="H19" i="11" s="1"/>
  <c r="E27" i="11"/>
  <c r="H27" i="11" s="1"/>
  <c r="E35" i="11"/>
  <c r="H35" i="11" s="1"/>
  <c r="E43" i="11"/>
  <c r="E51" i="11"/>
  <c r="E59" i="11"/>
  <c r="E67" i="11"/>
  <c r="E75" i="11"/>
  <c r="E83" i="11"/>
  <c r="E11" i="11"/>
  <c r="H11" i="11" s="1"/>
  <c r="D19" i="11"/>
  <c r="D27" i="11"/>
  <c r="D35" i="11"/>
  <c r="D43" i="11"/>
  <c r="D51" i="11"/>
  <c r="D59" i="11"/>
  <c r="D67" i="11"/>
  <c r="D75" i="11"/>
  <c r="D83" i="11"/>
  <c r="D11" i="11"/>
  <c r="H10" i="11"/>
  <c r="C11" i="11"/>
  <c r="I11" i="11" s="1"/>
  <c r="C12" i="11"/>
  <c r="C13" i="11"/>
  <c r="C14" i="11"/>
  <c r="E14" i="11" s="1"/>
  <c r="C15" i="11"/>
  <c r="C16" i="11"/>
  <c r="C17" i="11"/>
  <c r="C18" i="11"/>
  <c r="E18" i="11" s="1"/>
  <c r="C19" i="11"/>
  <c r="I19" i="11" s="1"/>
  <c r="C20" i="11"/>
  <c r="C21" i="11"/>
  <c r="C22" i="11"/>
  <c r="E22" i="11" s="1"/>
  <c r="C23" i="11"/>
  <c r="C24" i="11"/>
  <c r="C25" i="11"/>
  <c r="C26" i="11"/>
  <c r="E26" i="11" s="1"/>
  <c r="C27" i="11"/>
  <c r="I27" i="11" s="1"/>
  <c r="C28" i="11"/>
  <c r="C29" i="11"/>
  <c r="C30" i="11"/>
  <c r="E30" i="11" s="1"/>
  <c r="C31" i="11"/>
  <c r="C32" i="11"/>
  <c r="C33" i="11"/>
  <c r="C34" i="11"/>
  <c r="E34" i="11" s="1"/>
  <c r="C35" i="11"/>
  <c r="I35" i="11" s="1"/>
  <c r="C36" i="11"/>
  <c r="C37" i="11"/>
  <c r="C38" i="11"/>
  <c r="E38" i="11" s="1"/>
  <c r="C39" i="11"/>
  <c r="C40" i="11"/>
  <c r="E40" i="11" s="1"/>
  <c r="H40" i="11" s="1"/>
  <c r="C41" i="11"/>
  <c r="C42" i="11"/>
  <c r="C43" i="11"/>
  <c r="H43" i="11" s="1"/>
  <c r="C44" i="11"/>
  <c r="C45" i="11"/>
  <c r="C46" i="11"/>
  <c r="E46" i="11" s="1"/>
  <c r="C47" i="11"/>
  <c r="E47" i="11" s="1"/>
  <c r="C48" i="11"/>
  <c r="C49" i="11"/>
  <c r="C50" i="11"/>
  <c r="C51" i="11"/>
  <c r="H51" i="11" s="1"/>
  <c r="C52" i="11"/>
  <c r="C53" i="11"/>
  <c r="C54" i="11"/>
  <c r="E54" i="11" s="1"/>
  <c r="C55" i="11"/>
  <c r="E55" i="11" s="1"/>
  <c r="C56" i="11"/>
  <c r="C57" i="11"/>
  <c r="C58" i="11"/>
  <c r="C59" i="11"/>
  <c r="H59" i="11" s="1"/>
  <c r="C60" i="11"/>
  <c r="C61" i="11"/>
  <c r="C62" i="11"/>
  <c r="E62" i="11" s="1"/>
  <c r="C63" i="11"/>
  <c r="E63" i="11" s="1"/>
  <c r="C64" i="11"/>
  <c r="C65" i="11"/>
  <c r="C66" i="11"/>
  <c r="C67" i="11"/>
  <c r="H67" i="11" s="1"/>
  <c r="C68" i="11"/>
  <c r="C69" i="11"/>
  <c r="C70" i="11"/>
  <c r="E70" i="11" s="1"/>
  <c r="C71" i="11"/>
  <c r="E71" i="11" s="1"/>
  <c r="C72" i="11"/>
  <c r="C73" i="11"/>
  <c r="C74" i="11"/>
  <c r="C75" i="11"/>
  <c r="H75" i="11" s="1"/>
  <c r="C76" i="11"/>
  <c r="C77" i="11"/>
  <c r="C78" i="11"/>
  <c r="E78" i="11" s="1"/>
  <c r="C79" i="11"/>
  <c r="E79" i="11" s="1"/>
  <c r="C80" i="11"/>
  <c r="C81" i="11"/>
  <c r="C82" i="11"/>
  <c r="C83" i="11"/>
  <c r="H83" i="11" s="1"/>
  <c r="C84" i="11"/>
  <c r="C85" i="11"/>
  <c r="C86" i="11"/>
  <c r="E86" i="11" s="1"/>
  <c r="C87" i="11"/>
  <c r="E87" i="11" s="1"/>
  <c r="C88" i="11"/>
  <c r="C89" i="11"/>
  <c r="C90" i="11"/>
  <c r="C10" i="11"/>
  <c r="F11" i="11"/>
  <c r="K11" i="11" s="1"/>
  <c r="F12" i="11"/>
  <c r="K12" i="11" s="1"/>
  <c r="F13" i="11"/>
  <c r="K13" i="11" s="1"/>
  <c r="F14" i="11"/>
  <c r="K14" i="11" s="1"/>
  <c r="F15" i="11"/>
  <c r="K15" i="11" s="1"/>
  <c r="F16" i="11"/>
  <c r="K16" i="11" s="1"/>
  <c r="F17" i="11"/>
  <c r="F18" i="11"/>
  <c r="K18" i="11" s="1"/>
  <c r="F19" i="11"/>
  <c r="K19" i="11" s="1"/>
  <c r="F20" i="11"/>
  <c r="K20" i="11" s="1"/>
  <c r="F21" i="11"/>
  <c r="K21" i="11" s="1"/>
  <c r="F22" i="11"/>
  <c r="K22" i="11" s="1"/>
  <c r="F23" i="11"/>
  <c r="K23" i="11" s="1"/>
  <c r="F24" i="11"/>
  <c r="K24" i="11" s="1"/>
  <c r="F25" i="11"/>
  <c r="F26" i="11"/>
  <c r="K26" i="11" s="1"/>
  <c r="F27" i="11"/>
  <c r="K27" i="11" s="1"/>
  <c r="F28" i="11"/>
  <c r="K28" i="11" s="1"/>
  <c r="F29" i="11"/>
  <c r="K29" i="11" s="1"/>
  <c r="F30" i="11"/>
  <c r="K30" i="11" s="1"/>
  <c r="F31" i="11"/>
  <c r="K31" i="11" s="1"/>
  <c r="F32" i="11"/>
  <c r="K32" i="11" s="1"/>
  <c r="F33" i="11"/>
  <c r="F34" i="11"/>
  <c r="K34" i="11" s="1"/>
  <c r="F35" i="11"/>
  <c r="K35" i="11" s="1"/>
  <c r="F36" i="11"/>
  <c r="K36" i="11" s="1"/>
  <c r="F37" i="11"/>
  <c r="K37" i="11" s="1"/>
  <c r="F38" i="11"/>
  <c r="K38" i="11" s="1"/>
  <c r="F39" i="11"/>
  <c r="K39" i="11" s="1"/>
  <c r="F40" i="11"/>
  <c r="K40" i="11" s="1"/>
  <c r="F41" i="11"/>
  <c r="F42" i="11"/>
  <c r="K42" i="11" s="1"/>
  <c r="F43" i="11"/>
  <c r="K43" i="11" s="1"/>
  <c r="F44" i="11"/>
  <c r="K44" i="11" s="1"/>
  <c r="F45" i="11"/>
  <c r="K45" i="11" s="1"/>
  <c r="F46" i="11"/>
  <c r="K46" i="11" s="1"/>
  <c r="F47" i="11"/>
  <c r="K47" i="11" s="1"/>
  <c r="F48" i="11"/>
  <c r="K48" i="11" s="1"/>
  <c r="F49" i="11"/>
  <c r="F50" i="11"/>
  <c r="K50" i="11" s="1"/>
  <c r="F51" i="11"/>
  <c r="K51" i="11" s="1"/>
  <c r="F52" i="11"/>
  <c r="K52" i="11" s="1"/>
  <c r="F53" i="11"/>
  <c r="K53" i="11" s="1"/>
  <c r="F54" i="11"/>
  <c r="K54" i="11" s="1"/>
  <c r="F55" i="11"/>
  <c r="K55" i="11" s="1"/>
  <c r="F56" i="11"/>
  <c r="K56" i="11" s="1"/>
  <c r="F57" i="11"/>
  <c r="F58" i="11"/>
  <c r="K58" i="11" s="1"/>
  <c r="F59" i="11"/>
  <c r="K59" i="11" s="1"/>
  <c r="F60" i="11"/>
  <c r="K60" i="11" s="1"/>
  <c r="F61" i="11"/>
  <c r="K61" i="11" s="1"/>
  <c r="F62" i="11"/>
  <c r="K62" i="11" s="1"/>
  <c r="F63" i="11"/>
  <c r="K63" i="11" s="1"/>
  <c r="F64" i="11"/>
  <c r="K64" i="11" s="1"/>
  <c r="F65" i="11"/>
  <c r="F66" i="11"/>
  <c r="K66" i="11" s="1"/>
  <c r="F67" i="11"/>
  <c r="K67" i="11" s="1"/>
  <c r="F68" i="11"/>
  <c r="K68" i="11" s="1"/>
  <c r="F69" i="11"/>
  <c r="K69" i="11" s="1"/>
  <c r="F70" i="11"/>
  <c r="K70" i="11" s="1"/>
  <c r="F71" i="11"/>
  <c r="K71" i="11" s="1"/>
  <c r="F72" i="11"/>
  <c r="K72" i="11" s="1"/>
  <c r="F73" i="11"/>
  <c r="F74" i="11"/>
  <c r="K74" i="11" s="1"/>
  <c r="F75" i="11"/>
  <c r="K75" i="11" s="1"/>
  <c r="F76" i="11"/>
  <c r="K76" i="11" s="1"/>
  <c r="F77" i="11"/>
  <c r="K77" i="11" s="1"/>
  <c r="F78" i="11"/>
  <c r="K78" i="11" s="1"/>
  <c r="F79" i="11"/>
  <c r="K79" i="11" s="1"/>
  <c r="F80" i="11"/>
  <c r="K80" i="11" s="1"/>
  <c r="F81" i="11"/>
  <c r="F82" i="11"/>
  <c r="K82" i="11" s="1"/>
  <c r="F83" i="11"/>
  <c r="K83" i="11" s="1"/>
  <c r="F84" i="11"/>
  <c r="K84" i="11" s="1"/>
  <c r="F85" i="11"/>
  <c r="K85" i="11" s="1"/>
  <c r="F86" i="11"/>
  <c r="K86" i="11" s="1"/>
  <c r="F87" i="11"/>
  <c r="K87" i="11" s="1"/>
  <c r="F88" i="11"/>
  <c r="K88" i="11" s="1"/>
  <c r="F89" i="11"/>
  <c r="F90" i="11"/>
  <c r="K90" i="11" s="1"/>
  <c r="G12" i="11"/>
  <c r="J12" i="11" s="1"/>
  <c r="G13" i="11"/>
  <c r="J13" i="11" s="1"/>
  <c r="G14" i="11"/>
  <c r="J14" i="11" s="1"/>
  <c r="G15" i="11"/>
  <c r="J15" i="11" s="1"/>
  <c r="G16" i="11"/>
  <c r="J16" i="11" s="1"/>
  <c r="G17" i="11"/>
  <c r="J17" i="11" s="1"/>
  <c r="G18" i="11"/>
  <c r="J18" i="11" s="1"/>
  <c r="G19" i="11"/>
  <c r="J19" i="11" s="1"/>
  <c r="G20" i="11"/>
  <c r="J20" i="11" s="1"/>
  <c r="G21" i="11"/>
  <c r="J21" i="11" s="1"/>
  <c r="G22" i="11"/>
  <c r="J22" i="11" s="1"/>
  <c r="G23" i="11"/>
  <c r="J23" i="11" s="1"/>
  <c r="G24" i="11"/>
  <c r="J24" i="11" s="1"/>
  <c r="G25" i="11"/>
  <c r="J25" i="11" s="1"/>
  <c r="G26" i="11"/>
  <c r="J26" i="11" s="1"/>
  <c r="G27" i="11"/>
  <c r="J27" i="11" s="1"/>
  <c r="G28" i="11"/>
  <c r="J28" i="11" s="1"/>
  <c r="G29" i="11"/>
  <c r="J29" i="11" s="1"/>
  <c r="G30" i="11"/>
  <c r="J30" i="11" s="1"/>
  <c r="G31" i="11"/>
  <c r="J31" i="11" s="1"/>
  <c r="G32" i="11"/>
  <c r="J32" i="11" s="1"/>
  <c r="G33" i="11"/>
  <c r="J33" i="11" s="1"/>
  <c r="G34" i="11"/>
  <c r="J34" i="11" s="1"/>
  <c r="G35" i="11"/>
  <c r="J35" i="11" s="1"/>
  <c r="G36" i="11"/>
  <c r="J36" i="11" s="1"/>
  <c r="G37" i="11"/>
  <c r="J37" i="11" s="1"/>
  <c r="G38" i="11"/>
  <c r="J38" i="11" s="1"/>
  <c r="G39" i="11"/>
  <c r="J39" i="11" s="1"/>
  <c r="G40" i="11"/>
  <c r="J40" i="11" s="1"/>
  <c r="G41" i="11"/>
  <c r="J41" i="11" s="1"/>
  <c r="G42" i="11"/>
  <c r="J42" i="11" s="1"/>
  <c r="G43" i="11"/>
  <c r="J43" i="11" s="1"/>
  <c r="G44" i="11"/>
  <c r="J44" i="11" s="1"/>
  <c r="G45" i="11"/>
  <c r="J45" i="11" s="1"/>
  <c r="G46" i="11"/>
  <c r="J46" i="11" s="1"/>
  <c r="G47" i="11"/>
  <c r="J47" i="11" s="1"/>
  <c r="G48" i="11"/>
  <c r="J48" i="11" s="1"/>
  <c r="G49" i="11"/>
  <c r="J49" i="11" s="1"/>
  <c r="G50" i="11"/>
  <c r="J50" i="11" s="1"/>
  <c r="G51" i="11"/>
  <c r="J51" i="11" s="1"/>
  <c r="G52" i="11"/>
  <c r="J52" i="11" s="1"/>
  <c r="G53" i="11"/>
  <c r="J53" i="11" s="1"/>
  <c r="G54" i="11"/>
  <c r="J54" i="11" s="1"/>
  <c r="G55" i="11"/>
  <c r="J55" i="11" s="1"/>
  <c r="G56" i="11"/>
  <c r="J56" i="11" s="1"/>
  <c r="G57" i="11"/>
  <c r="J57" i="11" s="1"/>
  <c r="G58" i="11"/>
  <c r="J58" i="11" s="1"/>
  <c r="G59" i="11"/>
  <c r="J59" i="11" s="1"/>
  <c r="G60" i="11"/>
  <c r="J60" i="11" s="1"/>
  <c r="G61" i="11"/>
  <c r="J61" i="11" s="1"/>
  <c r="G62" i="11"/>
  <c r="J62" i="11" s="1"/>
  <c r="G63" i="11"/>
  <c r="J63" i="11" s="1"/>
  <c r="G64" i="11"/>
  <c r="J64" i="11" s="1"/>
  <c r="G65" i="11"/>
  <c r="J65" i="11" s="1"/>
  <c r="G66" i="11"/>
  <c r="J66" i="11" s="1"/>
  <c r="G67" i="11"/>
  <c r="J67" i="11" s="1"/>
  <c r="G68" i="11"/>
  <c r="J68" i="11" s="1"/>
  <c r="G69" i="11"/>
  <c r="J69" i="11" s="1"/>
  <c r="G70" i="11"/>
  <c r="J70" i="11" s="1"/>
  <c r="G71" i="11"/>
  <c r="J71" i="11" s="1"/>
  <c r="G72" i="11"/>
  <c r="J72" i="11" s="1"/>
  <c r="G73" i="11"/>
  <c r="J73" i="11" s="1"/>
  <c r="G74" i="11"/>
  <c r="J74" i="11" s="1"/>
  <c r="G75" i="11"/>
  <c r="J75" i="11" s="1"/>
  <c r="G76" i="11"/>
  <c r="J76" i="11" s="1"/>
  <c r="G77" i="11"/>
  <c r="J77" i="11" s="1"/>
  <c r="G78" i="11"/>
  <c r="J78" i="11" s="1"/>
  <c r="G79" i="11"/>
  <c r="J79" i="11" s="1"/>
  <c r="G80" i="11"/>
  <c r="J80" i="11" s="1"/>
  <c r="G81" i="11"/>
  <c r="J81" i="11" s="1"/>
  <c r="G82" i="11"/>
  <c r="J82" i="11" s="1"/>
  <c r="G83" i="11"/>
  <c r="J83" i="11" s="1"/>
  <c r="G84" i="11"/>
  <c r="J84" i="11" s="1"/>
  <c r="G85" i="11"/>
  <c r="J85" i="11" s="1"/>
  <c r="G86" i="11"/>
  <c r="J86" i="11" s="1"/>
  <c r="G87" i="11"/>
  <c r="J87" i="11" s="1"/>
  <c r="G88" i="11"/>
  <c r="J88" i="11" s="1"/>
  <c r="G89" i="11"/>
  <c r="J89" i="11" s="1"/>
  <c r="G90" i="11"/>
  <c r="J90" i="11" s="1"/>
  <c r="G11" i="11"/>
  <c r="J11" i="11" s="1"/>
  <c r="I84" i="11" l="1"/>
  <c r="I52" i="11"/>
  <c r="I66" i="11"/>
  <c r="I58" i="11"/>
  <c r="I42" i="11"/>
  <c r="H81" i="11"/>
  <c r="H73" i="11"/>
  <c r="H57" i="11"/>
  <c r="I17" i="11"/>
  <c r="I60" i="11"/>
  <c r="H12" i="11"/>
  <c r="H56" i="11"/>
  <c r="H48" i="11"/>
  <c r="H15" i="11"/>
  <c r="H85" i="11"/>
  <c r="H69" i="11"/>
  <c r="H29" i="11"/>
  <c r="H21" i="11"/>
  <c r="D85" i="11"/>
  <c r="I85" i="11" s="1"/>
  <c r="D77" i="11"/>
  <c r="I77" i="11" s="1"/>
  <c r="D69" i="11"/>
  <c r="I69" i="11" s="1"/>
  <c r="D61" i="11"/>
  <c r="I61" i="11" s="1"/>
  <c r="D53" i="11"/>
  <c r="I53" i="11" s="1"/>
  <c r="D45" i="11"/>
  <c r="I45" i="11" s="1"/>
  <c r="D37" i="11"/>
  <c r="I37" i="11" s="1"/>
  <c r="D29" i="11"/>
  <c r="D21" i="11"/>
  <c r="D13" i="11"/>
  <c r="E85" i="11"/>
  <c r="E77" i="11"/>
  <c r="H77" i="11" s="1"/>
  <c r="E69" i="11"/>
  <c r="E61" i="11"/>
  <c r="H61" i="11" s="1"/>
  <c r="E53" i="11"/>
  <c r="H53" i="11" s="1"/>
  <c r="E45" i="11"/>
  <c r="H45" i="11" s="1"/>
  <c r="E37" i="11"/>
  <c r="H37" i="11" s="1"/>
  <c r="E29" i="11"/>
  <c r="E21" i="11"/>
  <c r="E13" i="11"/>
  <c r="H13" i="11" s="1"/>
  <c r="H25" i="11"/>
  <c r="H33" i="11"/>
  <c r="H50" i="11"/>
  <c r="I18" i="11"/>
  <c r="I34" i="11"/>
  <c r="I43" i="11"/>
  <c r="I51" i="11"/>
  <c r="I59" i="11"/>
  <c r="I67" i="11"/>
  <c r="I75" i="11"/>
  <c r="I83" i="11"/>
  <c r="D84" i="11"/>
  <c r="D76" i="11"/>
  <c r="I76" i="11" s="1"/>
  <c r="D68" i="11"/>
  <c r="I68" i="11" s="1"/>
  <c r="D60" i="11"/>
  <c r="D52" i="11"/>
  <c r="D44" i="11"/>
  <c r="I44" i="11" s="1"/>
  <c r="D36" i="11"/>
  <c r="I36" i="11" s="1"/>
  <c r="D28" i="11"/>
  <c r="I28" i="11" s="1"/>
  <c r="D20" i="11"/>
  <c r="I20" i="11" s="1"/>
  <c r="D12" i="11"/>
  <c r="I12" i="11" s="1"/>
  <c r="E84" i="11"/>
  <c r="H84" i="11" s="1"/>
  <c r="E76" i="11"/>
  <c r="H76" i="11" s="1"/>
  <c r="E68" i="11"/>
  <c r="H68" i="11" s="1"/>
  <c r="E60" i="11"/>
  <c r="H60" i="11" s="1"/>
  <c r="E52" i="11"/>
  <c r="H52" i="11" s="1"/>
  <c r="E44" i="11"/>
  <c r="H44" i="11" s="1"/>
  <c r="E36" i="11"/>
  <c r="H36" i="11" s="1"/>
  <c r="E28" i="11"/>
  <c r="H28" i="11" s="1"/>
  <c r="E20" i="11"/>
  <c r="H20" i="11" s="1"/>
  <c r="E12" i="11"/>
  <c r="H18" i="11"/>
  <c r="H26" i="11"/>
  <c r="H34" i="11"/>
  <c r="D90" i="11"/>
  <c r="I90" i="11" s="1"/>
  <c r="D82" i="11"/>
  <c r="I82" i="11" s="1"/>
  <c r="D74" i="11"/>
  <c r="I74" i="11" s="1"/>
  <c r="D66" i="11"/>
  <c r="D58" i="11"/>
  <c r="D50" i="11"/>
  <c r="I50" i="11" s="1"/>
  <c r="D42" i="11"/>
  <c r="D34" i="11"/>
  <c r="D26" i="11"/>
  <c r="I26" i="11" s="1"/>
  <c r="D18" i="11"/>
  <c r="E90" i="11"/>
  <c r="H90" i="11" s="1"/>
  <c r="E82" i="11"/>
  <c r="H82" i="11" s="1"/>
  <c r="E74" i="11"/>
  <c r="H74" i="11" s="1"/>
  <c r="E66" i="11"/>
  <c r="H66" i="11" s="1"/>
  <c r="E58" i="11"/>
  <c r="H58" i="11" s="1"/>
  <c r="E50" i="11"/>
  <c r="E42" i="11"/>
  <c r="H42" i="11" s="1"/>
  <c r="I13" i="11"/>
  <c r="I21" i="11"/>
  <c r="I29" i="11"/>
  <c r="I62" i="11"/>
  <c r="I86" i="11"/>
  <c r="D89" i="11"/>
  <c r="D81" i="11"/>
  <c r="D73" i="11"/>
  <c r="D65" i="11"/>
  <c r="D57" i="11"/>
  <c r="I57" i="11" s="1"/>
  <c r="D49" i="11"/>
  <c r="D41" i="11"/>
  <c r="D33" i="11"/>
  <c r="I33" i="11" s="1"/>
  <c r="D25" i="11"/>
  <c r="I25" i="11" s="1"/>
  <c r="D17" i="11"/>
  <c r="E89" i="11"/>
  <c r="H89" i="11" s="1"/>
  <c r="E81" i="11"/>
  <c r="E73" i="11"/>
  <c r="E65" i="11"/>
  <c r="H65" i="11" s="1"/>
  <c r="E57" i="11"/>
  <c r="E49" i="11"/>
  <c r="H49" i="11" s="1"/>
  <c r="E41" i="11"/>
  <c r="H41" i="11" s="1"/>
  <c r="E33" i="11"/>
  <c r="E25" i="11"/>
  <c r="E17" i="11"/>
  <c r="H17" i="11" s="1"/>
  <c r="H46" i="11"/>
  <c r="H54" i="11"/>
  <c r="H62" i="11"/>
  <c r="H70" i="11"/>
  <c r="H78" i="11"/>
  <c r="H86" i="11"/>
  <c r="I30" i="11"/>
  <c r="I38" i="11"/>
  <c r="D88" i="11"/>
  <c r="I88" i="11" s="1"/>
  <c r="D80" i="11"/>
  <c r="I80" i="11" s="1"/>
  <c r="D72" i="11"/>
  <c r="D64" i="11"/>
  <c r="I64" i="11" s="1"/>
  <c r="D56" i="11"/>
  <c r="D48" i="11"/>
  <c r="D40" i="11"/>
  <c r="I40" i="11" s="1"/>
  <c r="D32" i="11"/>
  <c r="D24" i="11"/>
  <c r="I24" i="11" s="1"/>
  <c r="D16" i="11"/>
  <c r="I16" i="11" s="1"/>
  <c r="E88" i="11"/>
  <c r="H88" i="11" s="1"/>
  <c r="E80" i="11"/>
  <c r="H80" i="11" s="1"/>
  <c r="E72" i="11"/>
  <c r="H72" i="11" s="1"/>
  <c r="E64" i="11"/>
  <c r="H64" i="11" s="1"/>
  <c r="E56" i="11"/>
  <c r="E48" i="11"/>
  <c r="E32" i="11"/>
  <c r="H32" i="11" s="1"/>
  <c r="E24" i="11"/>
  <c r="H24" i="11" s="1"/>
  <c r="E16" i="11"/>
  <c r="H16" i="11" s="1"/>
  <c r="H14" i="11"/>
  <c r="H22" i="11"/>
  <c r="H30" i="11"/>
  <c r="H38" i="11"/>
  <c r="H47" i="11"/>
  <c r="H55" i="11"/>
  <c r="H63" i="11"/>
  <c r="H71" i="11"/>
  <c r="H79" i="11"/>
  <c r="H87" i="11"/>
  <c r="I39" i="11"/>
  <c r="I48" i="11"/>
  <c r="I56" i="11"/>
  <c r="I72" i="11"/>
  <c r="D87" i="11"/>
  <c r="I87" i="11" s="1"/>
  <c r="D79" i="11"/>
  <c r="I79" i="11" s="1"/>
  <c r="D71" i="11"/>
  <c r="I71" i="11" s="1"/>
  <c r="D63" i="11"/>
  <c r="I63" i="11" s="1"/>
  <c r="D55" i="11"/>
  <c r="I55" i="11" s="1"/>
  <c r="D47" i="11"/>
  <c r="I47" i="11" s="1"/>
  <c r="D39" i="11"/>
  <c r="D31" i="11"/>
  <c r="I31" i="11" s="1"/>
  <c r="D23" i="11"/>
  <c r="I23" i="11" s="1"/>
  <c r="D15" i="11"/>
  <c r="I15" i="11" s="1"/>
  <c r="E39" i="11"/>
  <c r="H39" i="11" s="1"/>
  <c r="E31" i="11"/>
  <c r="H31" i="11" s="1"/>
  <c r="E23" i="11"/>
  <c r="H23" i="11" s="1"/>
  <c r="E15" i="11"/>
  <c r="I32" i="11"/>
  <c r="I41" i="11"/>
  <c r="I49" i="11"/>
  <c r="I65" i="11"/>
  <c r="I73" i="11"/>
  <c r="I81" i="11"/>
  <c r="I89" i="11"/>
  <c r="D86" i="11"/>
  <c r="D78" i="11"/>
  <c r="I78" i="11" s="1"/>
  <c r="D70" i="11"/>
  <c r="I70" i="11" s="1"/>
  <c r="D62" i="11"/>
  <c r="D54" i="11"/>
  <c r="I54" i="11" s="1"/>
  <c r="D46" i="11"/>
  <c r="I46" i="11" s="1"/>
  <c r="D38" i="11"/>
  <c r="D30" i="11"/>
  <c r="D22" i="11"/>
  <c r="I22" i="11" s="1"/>
  <c r="D14" i="11"/>
  <c r="I14" i="11" s="1"/>
  <c r="AA329" i="9" l="1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46" i="9"/>
  <c r="G45" i="7" a="1"/>
  <c r="G45" i="7" s="1"/>
  <c r="G44" i="7" a="1"/>
  <c r="G44" i="7" s="1"/>
  <c r="AD328" i="9"/>
  <c r="AD337" i="9"/>
  <c r="W329" i="9"/>
  <c r="W338" i="9"/>
  <c r="Y338" i="9" s="1"/>
  <c r="Z338" i="9" s="1"/>
  <c r="AC338" i="9" s="1"/>
  <c r="AD338" i="9" s="1"/>
  <c r="M328" i="9"/>
  <c r="M330" i="9"/>
  <c r="J330" i="9" s="1"/>
  <c r="J329" i="9" s="1"/>
  <c r="M331" i="9"/>
  <c r="J331" i="9" s="1"/>
  <c r="M332" i="9"/>
  <c r="J332" i="9" s="1"/>
  <c r="M333" i="9"/>
  <c r="J333" i="9" s="1"/>
  <c r="M334" i="9"/>
  <c r="J334" i="9" s="1"/>
  <c r="M335" i="9"/>
  <c r="J335" i="9" s="1"/>
  <c r="M336" i="9"/>
  <c r="J336" i="9" s="1"/>
  <c r="M337" i="9"/>
  <c r="M340" i="9"/>
  <c r="J340" i="9" s="1"/>
  <c r="M341" i="9"/>
  <c r="J341" i="9" s="1"/>
  <c r="M342" i="9"/>
  <c r="J342" i="9" s="1"/>
  <c r="M343" i="9"/>
  <c r="J343" i="9" s="1"/>
  <c r="M344" i="9"/>
  <c r="J344" i="9" s="1"/>
  <c r="M345" i="9"/>
  <c r="J345" i="9" s="1"/>
  <c r="M346" i="9"/>
  <c r="J346" i="9" s="1"/>
  <c r="M339" i="9"/>
  <c r="J339" i="9" s="1"/>
  <c r="J338" i="9" s="1"/>
  <c r="G38" i="7" a="1"/>
  <c r="G38" i="7" s="1"/>
  <c r="G35" i="7" a="1"/>
  <c r="G35" i="7" s="1"/>
  <c r="Y329" i="9" l="1"/>
  <c r="Z329" i="9" s="1"/>
  <c r="AC329" i="9" s="1"/>
  <c r="AD329" i="9" s="1"/>
  <c r="D112" i="8" l="1"/>
  <c r="A13" i="26"/>
  <c r="S13" i="26" s="1"/>
  <c r="A9" i="26"/>
  <c r="S9" i="26" s="1"/>
  <c r="A10" i="26"/>
  <c r="A11" i="26"/>
  <c r="S11" i="26" s="1"/>
  <c r="A12" i="26"/>
  <c r="S12" i="26" s="1"/>
  <c r="A14" i="26"/>
  <c r="A15" i="26"/>
  <c r="O15" i="26" s="1"/>
  <c r="A16" i="26"/>
  <c r="S16" i="26" s="1"/>
  <c r="A17" i="26"/>
  <c r="S17" i="26" s="1"/>
  <c r="A18" i="26"/>
  <c r="O18" i="26" s="1"/>
  <c r="A19" i="26"/>
  <c r="A20" i="26"/>
  <c r="S20" i="26" s="1"/>
  <c r="A21" i="26"/>
  <c r="O21" i="26" s="1"/>
  <c r="A22" i="26"/>
  <c r="S22" i="26" s="1"/>
  <c r="A23" i="26"/>
  <c r="S23" i="26" s="1"/>
  <c r="A24" i="26"/>
  <c r="S24" i="26" s="1"/>
  <c r="A25" i="26"/>
  <c r="S25" i="26" s="1"/>
  <c r="A8" i="26"/>
  <c r="J24" i="26" s="1"/>
  <c r="A9" i="27"/>
  <c r="A10" i="27"/>
  <c r="A11" i="27"/>
  <c r="S11" i="27" s="1"/>
  <c r="A12" i="27"/>
  <c r="A13" i="27"/>
  <c r="O13" i="27" s="1"/>
  <c r="A14" i="27"/>
  <c r="S14" i="27" s="1"/>
  <c r="A15" i="27"/>
  <c r="S15" i="27" s="1"/>
  <c r="A16" i="27"/>
  <c r="O16" i="27" s="1"/>
  <c r="A17" i="27"/>
  <c r="O17" i="27" s="1"/>
  <c r="A18" i="27"/>
  <c r="O18" i="27" s="1"/>
  <c r="A19" i="27"/>
  <c r="O19" i="27" s="1"/>
  <c r="A20" i="27"/>
  <c r="S20" i="27" s="1"/>
  <c r="A21" i="27"/>
  <c r="O21" i="27" s="1"/>
  <c r="A22" i="27"/>
  <c r="S22" i="27" s="1"/>
  <c r="A23" i="27"/>
  <c r="S23" i="27" s="1"/>
  <c r="A24" i="27"/>
  <c r="O24" i="27" s="1"/>
  <c r="A25" i="27"/>
  <c r="S25" i="27" s="1"/>
  <c r="A8" i="27"/>
  <c r="L18" i="27" s="1"/>
  <c r="A9" i="28"/>
  <c r="S9" i="28" s="1"/>
  <c r="A10" i="28"/>
  <c r="O10" i="28" s="1"/>
  <c r="A11" i="28"/>
  <c r="O11" i="28" s="1"/>
  <c r="A12" i="28"/>
  <c r="S12" i="28" s="1"/>
  <c r="A13" i="28"/>
  <c r="S13" i="28" s="1"/>
  <c r="A14" i="28"/>
  <c r="O14" i="28" s="1"/>
  <c r="A15" i="28"/>
  <c r="S15" i="28" s="1"/>
  <c r="A16" i="28"/>
  <c r="O16" i="28" s="1"/>
  <c r="A17" i="28"/>
  <c r="S17" i="28" s="1"/>
  <c r="A18" i="28"/>
  <c r="O18" i="28" s="1"/>
  <c r="A19" i="28"/>
  <c r="O19" i="28" s="1"/>
  <c r="A20" i="28"/>
  <c r="S20" i="28" s="1"/>
  <c r="A21" i="28"/>
  <c r="O21" i="28" s="1"/>
  <c r="A22" i="28"/>
  <c r="S22" i="28" s="1"/>
  <c r="A23" i="28"/>
  <c r="O23" i="28" s="1"/>
  <c r="A24" i="28"/>
  <c r="O24" i="28" s="1"/>
  <c r="A25" i="28"/>
  <c r="S25" i="28" s="1"/>
  <c r="A8" i="28"/>
  <c r="J8" i="28" s="1"/>
  <c r="A9" i="25"/>
  <c r="S9" i="25" s="1"/>
  <c r="A10" i="25"/>
  <c r="O10" i="25" s="1"/>
  <c r="A11" i="25"/>
  <c r="S11" i="25" s="1"/>
  <c r="A12" i="25"/>
  <c r="S12" i="25" s="1"/>
  <c r="A13" i="25"/>
  <c r="O13" i="25" s="1"/>
  <c r="A14" i="25"/>
  <c r="S14" i="25" s="1"/>
  <c r="A15" i="25"/>
  <c r="S15" i="25" s="1"/>
  <c r="A16" i="25"/>
  <c r="O16" i="25" s="1"/>
  <c r="A17" i="25"/>
  <c r="S17" i="25" s="1"/>
  <c r="A18" i="25"/>
  <c r="O18" i="25" s="1"/>
  <c r="A19" i="25"/>
  <c r="S19" i="25" s="1"/>
  <c r="A20" i="25"/>
  <c r="S20" i="25" s="1"/>
  <c r="A21" i="25"/>
  <c r="O21" i="25" s="1"/>
  <c r="A22" i="25"/>
  <c r="O22" i="25" s="1"/>
  <c r="A23" i="25"/>
  <c r="S23" i="25" s="1"/>
  <c r="A24" i="25"/>
  <c r="O24" i="25" s="1"/>
  <c r="A25" i="25"/>
  <c r="S25" i="25" s="1"/>
  <c r="A8" i="25"/>
  <c r="L25" i="25" s="1"/>
  <c r="A9" i="24"/>
  <c r="O9" i="24" s="1"/>
  <c r="A10" i="24"/>
  <c r="O10" i="24" s="1"/>
  <c r="A11" i="24"/>
  <c r="O11" i="24" s="1"/>
  <c r="A12" i="24"/>
  <c r="A13" i="24"/>
  <c r="S13" i="24" s="1"/>
  <c r="A14" i="24"/>
  <c r="S14" i="24" s="1"/>
  <c r="A15" i="24"/>
  <c r="S15" i="24" s="1"/>
  <c r="A16" i="24"/>
  <c r="O16" i="24" s="1"/>
  <c r="A17" i="24"/>
  <c r="O17" i="24" s="1"/>
  <c r="A18" i="24"/>
  <c r="O18" i="24" s="1"/>
  <c r="A19" i="24"/>
  <c r="O19" i="24" s="1"/>
  <c r="A20" i="24"/>
  <c r="S20" i="24" s="1"/>
  <c r="A21" i="24"/>
  <c r="S21" i="24" s="1"/>
  <c r="A22" i="24"/>
  <c r="S22" i="24" s="1"/>
  <c r="A23" i="24"/>
  <c r="O23" i="24" s="1"/>
  <c r="A24" i="24"/>
  <c r="O24" i="24" s="1"/>
  <c r="A25" i="24"/>
  <c r="O25" i="24" s="1"/>
  <c r="A8" i="24"/>
  <c r="L25" i="24" s="1"/>
  <c r="A9" i="23"/>
  <c r="S9" i="23" s="1"/>
  <c r="A10" i="23"/>
  <c r="O10" i="23" s="1"/>
  <c r="A11" i="23"/>
  <c r="S11" i="23" s="1"/>
  <c r="A12" i="23"/>
  <c r="S12" i="23" s="1"/>
  <c r="A13" i="23"/>
  <c r="O13" i="23" s="1"/>
  <c r="A14" i="23"/>
  <c r="S14" i="23" s="1"/>
  <c r="A15" i="23"/>
  <c r="S15" i="23" s="1"/>
  <c r="A16" i="23"/>
  <c r="S16" i="23" s="1"/>
  <c r="A17" i="23"/>
  <c r="S17" i="23" s="1"/>
  <c r="A18" i="23"/>
  <c r="O18" i="23" s="1"/>
  <c r="A19" i="23"/>
  <c r="S19" i="23" s="1"/>
  <c r="A20" i="23"/>
  <c r="S20" i="23" s="1"/>
  <c r="A21" i="23"/>
  <c r="O21" i="23" s="1"/>
  <c r="A22" i="23"/>
  <c r="S22" i="23" s="1"/>
  <c r="A23" i="23"/>
  <c r="S23" i="23" s="1"/>
  <c r="A24" i="23"/>
  <c r="O24" i="23" s="1"/>
  <c r="A25" i="23"/>
  <c r="S25" i="23" s="1"/>
  <c r="A8" i="23"/>
  <c r="L25" i="23" s="1"/>
  <c r="A9" i="22"/>
  <c r="S9" i="22" s="1"/>
  <c r="A10" i="22"/>
  <c r="O10" i="22" s="1"/>
  <c r="A11" i="22"/>
  <c r="S11" i="22" s="1"/>
  <c r="A12" i="22"/>
  <c r="S12" i="22" s="1"/>
  <c r="A13" i="22"/>
  <c r="O13" i="22" s="1"/>
  <c r="A14" i="22"/>
  <c r="S14" i="22" s="1"/>
  <c r="A15" i="22"/>
  <c r="S15" i="22" s="1"/>
  <c r="A16" i="22"/>
  <c r="O16" i="22" s="1"/>
  <c r="A17" i="22"/>
  <c r="A18" i="22"/>
  <c r="O18" i="22" s="1"/>
  <c r="A19" i="22"/>
  <c r="S19" i="22" s="1"/>
  <c r="A20" i="22"/>
  <c r="S20" i="22" s="1"/>
  <c r="A21" i="22"/>
  <c r="O21" i="22" s="1"/>
  <c r="A22" i="22"/>
  <c r="S22" i="22" s="1"/>
  <c r="A23" i="22"/>
  <c r="S23" i="22" s="1"/>
  <c r="A24" i="22"/>
  <c r="O24" i="22" s="1"/>
  <c r="A25" i="22"/>
  <c r="S25" i="22" s="1"/>
  <c r="A8" i="22"/>
  <c r="L25" i="22" s="1"/>
  <c r="N24" i="28"/>
  <c r="N22" i="28"/>
  <c r="N20" i="28"/>
  <c r="N18" i="28"/>
  <c r="N16" i="28"/>
  <c r="N14" i="28"/>
  <c r="N12" i="28"/>
  <c r="N10" i="28"/>
  <c r="N8" i="28"/>
  <c r="N24" i="27"/>
  <c r="N22" i="27"/>
  <c r="N20" i="27"/>
  <c r="N18" i="27"/>
  <c r="S17" i="27"/>
  <c r="N16" i="27"/>
  <c r="N14" i="27"/>
  <c r="N12" i="27"/>
  <c r="S12" i="27"/>
  <c r="N10" i="27"/>
  <c r="L10" i="27"/>
  <c r="O10" i="27"/>
  <c r="O9" i="27"/>
  <c r="S9" i="27"/>
  <c r="N8" i="27"/>
  <c r="N24" i="26"/>
  <c r="N22" i="26"/>
  <c r="O20" i="26"/>
  <c r="N20" i="26"/>
  <c r="S19" i="26"/>
  <c r="O19" i="26"/>
  <c r="N18" i="26"/>
  <c r="N16" i="26"/>
  <c r="N14" i="26"/>
  <c r="S14" i="26"/>
  <c r="O12" i="26"/>
  <c r="N12" i="26"/>
  <c r="O11" i="26"/>
  <c r="N10" i="26"/>
  <c r="O10" i="26"/>
  <c r="N8" i="26"/>
  <c r="D179" i="8"/>
  <c r="D176" i="8"/>
  <c r="D173" i="8"/>
  <c r="N24" i="25"/>
  <c r="N22" i="25"/>
  <c r="N20" i="25"/>
  <c r="N18" i="25"/>
  <c r="N16" i="25"/>
  <c r="N14" i="25"/>
  <c r="N12" i="25"/>
  <c r="N10" i="25"/>
  <c r="N8" i="25"/>
  <c r="N24" i="24"/>
  <c r="N22" i="24"/>
  <c r="N20" i="24"/>
  <c r="N18" i="24"/>
  <c r="N16" i="24"/>
  <c r="N14" i="24"/>
  <c r="N12" i="24"/>
  <c r="S12" i="24"/>
  <c r="N10" i="24"/>
  <c r="N8" i="24"/>
  <c r="N24" i="23"/>
  <c r="N22" i="23"/>
  <c r="N20" i="23"/>
  <c r="N18" i="23"/>
  <c r="N16" i="23"/>
  <c r="N14" i="23"/>
  <c r="N12" i="23"/>
  <c r="N10" i="23"/>
  <c r="N8" i="23"/>
  <c r="N24" i="22"/>
  <c r="N22" i="22"/>
  <c r="N20" i="22"/>
  <c r="N18" i="22"/>
  <c r="S17" i="22"/>
  <c r="N16" i="22"/>
  <c r="N14" i="22"/>
  <c r="N12" i="22"/>
  <c r="N10" i="22"/>
  <c r="N8" i="22"/>
  <c r="D170" i="8"/>
  <c r="D167" i="8"/>
  <c r="D164" i="8"/>
  <c r="D161" i="8"/>
  <c r="D86" i="8"/>
  <c r="A9" i="21"/>
  <c r="S9" i="21" s="1"/>
  <c r="A10" i="21"/>
  <c r="O10" i="21" s="1"/>
  <c r="A11" i="21"/>
  <c r="S11" i="21" s="1"/>
  <c r="A12" i="21"/>
  <c r="O12" i="21" s="1"/>
  <c r="A13" i="21"/>
  <c r="O13" i="21" s="1"/>
  <c r="A14" i="21"/>
  <c r="S14" i="21" s="1"/>
  <c r="A15" i="21"/>
  <c r="S15" i="21" s="1"/>
  <c r="A16" i="21"/>
  <c r="O16" i="21" s="1"/>
  <c r="A17" i="21"/>
  <c r="S17" i="21" s="1"/>
  <c r="A18" i="21"/>
  <c r="O18" i="21" s="1"/>
  <c r="A19" i="21"/>
  <c r="O19" i="21" s="1"/>
  <c r="A20" i="21"/>
  <c r="O20" i="21" s="1"/>
  <c r="A21" i="21"/>
  <c r="O21" i="21" s="1"/>
  <c r="A22" i="21"/>
  <c r="S22" i="21" s="1"/>
  <c r="A23" i="21"/>
  <c r="O23" i="21" s="1"/>
  <c r="A24" i="21"/>
  <c r="S24" i="21" s="1"/>
  <c r="A25" i="21"/>
  <c r="S25" i="21" s="1"/>
  <c r="A8" i="21"/>
  <c r="L22" i="21" s="1"/>
  <c r="N24" i="21"/>
  <c r="N22" i="21"/>
  <c r="N20" i="21"/>
  <c r="N18" i="21"/>
  <c r="N16" i="21"/>
  <c r="N14" i="21"/>
  <c r="N12" i="21"/>
  <c r="N10" i="21"/>
  <c r="N8" i="21"/>
  <c r="D158" i="8"/>
  <c r="K13" i="27" l="1"/>
  <c r="S11" i="28"/>
  <c r="L25" i="28"/>
  <c r="O23" i="26"/>
  <c r="O11" i="27"/>
  <c r="O9" i="28"/>
  <c r="L25" i="27"/>
  <c r="S19" i="27"/>
  <c r="O15" i="21"/>
  <c r="S13" i="27"/>
  <c r="S21" i="27"/>
  <c r="S15" i="26"/>
  <c r="O17" i="26"/>
  <c r="S8" i="26"/>
  <c r="O23" i="27"/>
  <c r="O15" i="27"/>
  <c r="O13" i="28"/>
  <c r="O17" i="28"/>
  <c r="S21" i="28"/>
  <c r="O25" i="28"/>
  <c r="O9" i="26"/>
  <c r="J8" i="27"/>
  <c r="L16" i="27"/>
  <c r="K21" i="27"/>
  <c r="O25" i="27"/>
  <c r="J16" i="27"/>
  <c r="S19" i="28"/>
  <c r="L24" i="27"/>
  <c r="S14" i="28"/>
  <c r="O15" i="28"/>
  <c r="S23" i="28"/>
  <c r="O22" i="28"/>
  <c r="O16" i="26"/>
  <c r="J12" i="27"/>
  <c r="K15" i="27"/>
  <c r="K19" i="27"/>
  <c r="L22" i="27"/>
  <c r="J10" i="27"/>
  <c r="J24" i="27"/>
  <c r="L14" i="27"/>
  <c r="O20" i="28"/>
  <c r="O12" i="28"/>
  <c r="O13" i="26"/>
  <c r="O24" i="26"/>
  <c r="L11" i="26"/>
  <c r="L19" i="26"/>
  <c r="L22" i="26"/>
  <c r="J21" i="26"/>
  <c r="L14" i="26"/>
  <c r="L10" i="26"/>
  <c r="K19" i="26"/>
  <c r="L25" i="26"/>
  <c r="J8" i="26"/>
  <c r="K16" i="26"/>
  <c r="K8" i="26"/>
  <c r="K11" i="26"/>
  <c r="J13" i="26"/>
  <c r="J16" i="26"/>
  <c r="L8" i="27"/>
  <c r="J18" i="27"/>
  <c r="O8" i="27"/>
  <c r="K11" i="27"/>
  <c r="J24" i="28"/>
  <c r="K8" i="28"/>
  <c r="S8" i="28"/>
  <c r="L11" i="28"/>
  <c r="K16" i="28"/>
  <c r="S16" i="28"/>
  <c r="L19" i="28"/>
  <c r="J21" i="28"/>
  <c r="K24" i="28"/>
  <c r="S24" i="28"/>
  <c r="K11" i="28"/>
  <c r="J13" i="28"/>
  <c r="L8" i="28"/>
  <c r="J10" i="28"/>
  <c r="K13" i="28"/>
  <c r="L16" i="28"/>
  <c r="J18" i="28"/>
  <c r="K21" i="28"/>
  <c r="L24" i="28"/>
  <c r="K10" i="28"/>
  <c r="S10" i="28"/>
  <c r="L13" i="28"/>
  <c r="L21" i="28"/>
  <c r="J23" i="28"/>
  <c r="J15" i="28"/>
  <c r="K18" i="28"/>
  <c r="S18" i="28"/>
  <c r="L10" i="28"/>
  <c r="J12" i="28"/>
  <c r="K15" i="28"/>
  <c r="L18" i="28"/>
  <c r="J20" i="28"/>
  <c r="K23" i="28"/>
  <c r="L14" i="28"/>
  <c r="J16" i="28"/>
  <c r="K19" i="28"/>
  <c r="L22" i="28"/>
  <c r="O8" i="28"/>
  <c r="J9" i="28"/>
  <c r="K12" i="28"/>
  <c r="L15" i="28"/>
  <c r="J17" i="28"/>
  <c r="K20" i="28"/>
  <c r="L23" i="28"/>
  <c r="J25" i="28"/>
  <c r="K9" i="28"/>
  <c r="L12" i="28"/>
  <c r="J22" i="28"/>
  <c r="K25" i="28"/>
  <c r="J14" i="28"/>
  <c r="K17" i="28"/>
  <c r="L20" i="28"/>
  <c r="L9" i="28"/>
  <c r="J11" i="28"/>
  <c r="K14" i="28"/>
  <c r="L17" i="28"/>
  <c r="J19" i="28"/>
  <c r="K22" i="28"/>
  <c r="K8" i="27"/>
  <c r="S8" i="27"/>
  <c r="L11" i="27"/>
  <c r="O12" i="27"/>
  <c r="J13" i="27"/>
  <c r="K16" i="27"/>
  <c r="S16" i="27"/>
  <c r="L19" i="27"/>
  <c r="O20" i="27"/>
  <c r="J21" i="27"/>
  <c r="K24" i="27"/>
  <c r="S24" i="27"/>
  <c r="K10" i="27"/>
  <c r="I10" i="27" s="1"/>
  <c r="M10" i="27" s="1"/>
  <c r="P10" i="27" s="1"/>
  <c r="Q10" i="27" s="1"/>
  <c r="R10" i="27" s="1"/>
  <c r="T10" i="27" s="1"/>
  <c r="S10" i="27"/>
  <c r="L13" i="27"/>
  <c r="O14" i="27"/>
  <c r="J15" i="27"/>
  <c r="K18" i="27"/>
  <c r="S18" i="27"/>
  <c r="L21" i="27"/>
  <c r="O22" i="27"/>
  <c r="J23" i="27"/>
  <c r="J20" i="27"/>
  <c r="K23" i="27"/>
  <c r="J9" i="27"/>
  <c r="K12" i="27"/>
  <c r="L15" i="27"/>
  <c r="J17" i="27"/>
  <c r="K20" i="27"/>
  <c r="L23" i="27"/>
  <c r="J25" i="27"/>
  <c r="K9" i="27"/>
  <c r="L12" i="27"/>
  <c r="J14" i="27"/>
  <c r="K17" i="27"/>
  <c r="L20" i="27"/>
  <c r="J22" i="27"/>
  <c r="K25" i="27"/>
  <c r="L9" i="27"/>
  <c r="J11" i="27"/>
  <c r="K14" i="27"/>
  <c r="L17" i="27"/>
  <c r="J19" i="27"/>
  <c r="K22" i="27"/>
  <c r="K24" i="26"/>
  <c r="L8" i="26"/>
  <c r="J10" i="26"/>
  <c r="K13" i="26"/>
  <c r="L16" i="26"/>
  <c r="J18" i="26"/>
  <c r="K21" i="26"/>
  <c r="S21" i="26"/>
  <c r="L24" i="26"/>
  <c r="O25" i="26"/>
  <c r="K10" i="26"/>
  <c r="S10" i="26"/>
  <c r="L13" i="26"/>
  <c r="O14" i="26"/>
  <c r="J15" i="26"/>
  <c r="K18" i="26"/>
  <c r="S18" i="26"/>
  <c r="L21" i="26"/>
  <c r="O22" i="26"/>
  <c r="J23" i="26"/>
  <c r="J20" i="26"/>
  <c r="K23" i="26"/>
  <c r="J12" i="26"/>
  <c r="K15" i="26"/>
  <c r="L18" i="26"/>
  <c r="O8" i="26"/>
  <c r="J9" i="26"/>
  <c r="K12" i="26"/>
  <c r="L15" i="26"/>
  <c r="J17" i="26"/>
  <c r="K20" i="26"/>
  <c r="L23" i="26"/>
  <c r="J25" i="26"/>
  <c r="J14" i="26"/>
  <c r="K17" i="26"/>
  <c r="L20" i="26"/>
  <c r="J22" i="26"/>
  <c r="K25" i="26"/>
  <c r="K9" i="26"/>
  <c r="L12" i="26"/>
  <c r="L9" i="26"/>
  <c r="J11" i="26"/>
  <c r="K14" i="26"/>
  <c r="L17" i="26"/>
  <c r="J19" i="26"/>
  <c r="K22" i="26"/>
  <c r="O16" i="23"/>
  <c r="O11" i="22"/>
  <c r="S11" i="24"/>
  <c r="O15" i="22"/>
  <c r="S19" i="24"/>
  <c r="O11" i="25"/>
  <c r="S17" i="24"/>
  <c r="O19" i="22"/>
  <c r="O23" i="22"/>
  <c r="L8" i="22"/>
  <c r="S24" i="25"/>
  <c r="O9" i="22"/>
  <c r="S13" i="22"/>
  <c r="O23" i="23"/>
  <c r="S23" i="24"/>
  <c r="J8" i="23"/>
  <c r="J10" i="23"/>
  <c r="L14" i="24"/>
  <c r="J8" i="25"/>
  <c r="O15" i="25"/>
  <c r="L19" i="25"/>
  <c r="K12" i="23"/>
  <c r="L19" i="23"/>
  <c r="K16" i="22"/>
  <c r="K8" i="23"/>
  <c r="O12" i="23"/>
  <c r="K15" i="23"/>
  <c r="L8" i="23"/>
  <c r="L15" i="23"/>
  <c r="K11" i="23"/>
  <c r="J13" i="23"/>
  <c r="L18" i="23"/>
  <c r="S16" i="25"/>
  <c r="O20" i="25"/>
  <c r="L10" i="22"/>
  <c r="O17" i="22"/>
  <c r="S8" i="23"/>
  <c r="L11" i="23"/>
  <c r="K13" i="23"/>
  <c r="J16" i="23"/>
  <c r="L22" i="23"/>
  <c r="L10" i="25"/>
  <c r="L13" i="25"/>
  <c r="O20" i="22"/>
  <c r="S24" i="22"/>
  <c r="K16" i="23"/>
  <c r="S16" i="24"/>
  <c r="L18" i="22"/>
  <c r="L9" i="23"/>
  <c r="J12" i="23"/>
  <c r="L14" i="23"/>
  <c r="K19" i="23"/>
  <c r="S9" i="24"/>
  <c r="L22" i="25"/>
  <c r="L11" i="22"/>
  <c r="L22" i="22"/>
  <c r="K13" i="22"/>
  <c r="K15" i="25"/>
  <c r="J19" i="25"/>
  <c r="J24" i="25"/>
  <c r="J8" i="22"/>
  <c r="K8" i="22"/>
  <c r="J10" i="22"/>
  <c r="J16" i="22"/>
  <c r="J18" i="22"/>
  <c r="J9" i="23"/>
  <c r="J11" i="23"/>
  <c r="L16" i="23"/>
  <c r="O20" i="23"/>
  <c r="J24" i="23"/>
  <c r="K8" i="25"/>
  <c r="K10" i="25"/>
  <c r="J13" i="25"/>
  <c r="L15" i="25"/>
  <c r="K19" i="25"/>
  <c r="S24" i="23"/>
  <c r="O12" i="24"/>
  <c r="O15" i="24"/>
  <c r="O20" i="24"/>
  <c r="O8" i="25"/>
  <c r="J12" i="25"/>
  <c r="L17" i="25"/>
  <c r="O19" i="25"/>
  <c r="J12" i="22"/>
  <c r="L14" i="22"/>
  <c r="L16" i="22"/>
  <c r="S8" i="22"/>
  <c r="O11" i="23"/>
  <c r="S8" i="25"/>
  <c r="K12" i="25"/>
  <c r="K14" i="25"/>
  <c r="S22" i="25"/>
  <c r="J24" i="22"/>
  <c r="O15" i="23"/>
  <c r="O19" i="23"/>
  <c r="O13" i="24"/>
  <c r="J16" i="24"/>
  <c r="O21" i="24"/>
  <c r="J11" i="25"/>
  <c r="L14" i="25"/>
  <c r="J16" i="25"/>
  <c r="L18" i="25"/>
  <c r="O9" i="23"/>
  <c r="J11" i="22"/>
  <c r="O12" i="22"/>
  <c r="S16" i="22"/>
  <c r="K19" i="22"/>
  <c r="J21" i="22"/>
  <c r="K24" i="22"/>
  <c r="L9" i="22"/>
  <c r="K11" i="22"/>
  <c r="K15" i="22"/>
  <c r="L19" i="22"/>
  <c r="O8" i="23"/>
  <c r="L10" i="23"/>
  <c r="S13" i="23"/>
  <c r="O17" i="23"/>
  <c r="J8" i="24"/>
  <c r="K11" i="24"/>
  <c r="K19" i="24"/>
  <c r="S25" i="24"/>
  <c r="J9" i="25"/>
  <c r="K11" i="25"/>
  <c r="O12" i="25"/>
  <c r="K16" i="25"/>
  <c r="O23" i="25"/>
  <c r="J13" i="22"/>
  <c r="L9" i="25"/>
  <c r="L11" i="25"/>
  <c r="J21" i="25"/>
  <c r="K24" i="25"/>
  <c r="L8" i="25"/>
  <c r="O9" i="25"/>
  <c r="J10" i="25"/>
  <c r="K13" i="25"/>
  <c r="S13" i="25"/>
  <c r="L16" i="25"/>
  <c r="O17" i="25"/>
  <c r="J18" i="25"/>
  <c r="K21" i="25"/>
  <c r="S21" i="25"/>
  <c r="L24" i="25"/>
  <c r="O25" i="25"/>
  <c r="S10" i="25"/>
  <c r="O14" i="25"/>
  <c r="J15" i="25"/>
  <c r="K18" i="25"/>
  <c r="S18" i="25"/>
  <c r="L21" i="25"/>
  <c r="J23" i="25"/>
  <c r="J20" i="25"/>
  <c r="K23" i="25"/>
  <c r="J17" i="25"/>
  <c r="K20" i="25"/>
  <c r="L23" i="25"/>
  <c r="J25" i="25"/>
  <c r="K9" i="25"/>
  <c r="L12" i="25"/>
  <c r="J14" i="25"/>
  <c r="K17" i="25"/>
  <c r="L20" i="25"/>
  <c r="J22" i="25"/>
  <c r="K25" i="25"/>
  <c r="K22" i="25"/>
  <c r="L19" i="24"/>
  <c r="J21" i="24"/>
  <c r="K24" i="24"/>
  <c r="S24" i="24"/>
  <c r="J24" i="24"/>
  <c r="K8" i="24"/>
  <c r="S8" i="24"/>
  <c r="L11" i="24"/>
  <c r="J13" i="24"/>
  <c r="K16" i="24"/>
  <c r="L8" i="24"/>
  <c r="J18" i="24"/>
  <c r="K21" i="24"/>
  <c r="L24" i="24"/>
  <c r="L22" i="24"/>
  <c r="J10" i="24"/>
  <c r="K13" i="24"/>
  <c r="L16" i="24"/>
  <c r="K10" i="24"/>
  <c r="S10" i="24"/>
  <c r="L13" i="24"/>
  <c r="O14" i="24"/>
  <c r="J15" i="24"/>
  <c r="K18" i="24"/>
  <c r="S18" i="24"/>
  <c r="L21" i="24"/>
  <c r="O22" i="24"/>
  <c r="J23" i="24"/>
  <c r="J12" i="24"/>
  <c r="K15" i="24"/>
  <c r="L18" i="24"/>
  <c r="J20" i="24"/>
  <c r="L10" i="24"/>
  <c r="K23" i="24"/>
  <c r="O8" i="24"/>
  <c r="J9" i="24"/>
  <c r="K12" i="24"/>
  <c r="L15" i="24"/>
  <c r="J17" i="24"/>
  <c r="K20" i="24"/>
  <c r="L23" i="24"/>
  <c r="J25" i="24"/>
  <c r="K9" i="24"/>
  <c r="J14" i="24"/>
  <c r="K17" i="24"/>
  <c r="L20" i="24"/>
  <c r="J22" i="24"/>
  <c r="L12" i="24"/>
  <c r="K25" i="24"/>
  <c r="L9" i="24"/>
  <c r="J11" i="24"/>
  <c r="K14" i="24"/>
  <c r="L17" i="24"/>
  <c r="J19" i="24"/>
  <c r="K22" i="24"/>
  <c r="J21" i="23"/>
  <c r="K24" i="23"/>
  <c r="J18" i="23"/>
  <c r="K21" i="23"/>
  <c r="S21" i="23"/>
  <c r="L24" i="23"/>
  <c r="O25" i="23"/>
  <c r="K10" i="23"/>
  <c r="S10" i="23"/>
  <c r="L13" i="23"/>
  <c r="O14" i="23"/>
  <c r="J15" i="23"/>
  <c r="K18" i="23"/>
  <c r="S18" i="23"/>
  <c r="L21" i="23"/>
  <c r="O22" i="23"/>
  <c r="J23" i="23"/>
  <c r="J20" i="23"/>
  <c r="K23" i="23"/>
  <c r="J17" i="23"/>
  <c r="K20" i="23"/>
  <c r="L23" i="23"/>
  <c r="J25" i="23"/>
  <c r="K9" i="23"/>
  <c r="L12" i="23"/>
  <c r="J14" i="23"/>
  <c r="K17" i="23"/>
  <c r="L20" i="23"/>
  <c r="J22" i="23"/>
  <c r="K25" i="23"/>
  <c r="K14" i="23"/>
  <c r="L17" i="23"/>
  <c r="J19" i="23"/>
  <c r="K22" i="23"/>
  <c r="K21" i="22"/>
  <c r="S21" i="22"/>
  <c r="L24" i="22"/>
  <c r="O25" i="22"/>
  <c r="K10" i="22"/>
  <c r="S10" i="22"/>
  <c r="L13" i="22"/>
  <c r="O14" i="22"/>
  <c r="J15" i="22"/>
  <c r="K18" i="22"/>
  <c r="S18" i="22"/>
  <c r="L21" i="22"/>
  <c r="O22" i="22"/>
  <c r="J23" i="22"/>
  <c r="J20" i="22"/>
  <c r="K23" i="22"/>
  <c r="O8" i="22"/>
  <c r="J9" i="22"/>
  <c r="K12" i="22"/>
  <c r="L15" i="22"/>
  <c r="J17" i="22"/>
  <c r="K20" i="22"/>
  <c r="L23" i="22"/>
  <c r="J25" i="22"/>
  <c r="K9" i="22"/>
  <c r="L12" i="22"/>
  <c r="J14" i="22"/>
  <c r="K17" i="22"/>
  <c r="L20" i="22"/>
  <c r="J22" i="22"/>
  <c r="K25" i="22"/>
  <c r="K14" i="22"/>
  <c r="L17" i="22"/>
  <c r="J19" i="22"/>
  <c r="K22" i="22"/>
  <c r="S12" i="21"/>
  <c r="L11" i="21"/>
  <c r="J8" i="21"/>
  <c r="J13" i="21"/>
  <c r="S8" i="21"/>
  <c r="L10" i="21"/>
  <c r="L18" i="21"/>
  <c r="L25" i="21"/>
  <c r="S23" i="21"/>
  <c r="K10" i="21"/>
  <c r="L14" i="21"/>
  <c r="J12" i="21"/>
  <c r="J16" i="21"/>
  <c r="K8" i="21"/>
  <c r="K11" i="21"/>
  <c r="S20" i="21"/>
  <c r="O24" i="21"/>
  <c r="S19" i="21"/>
  <c r="O11" i="21"/>
  <c r="S16" i="21"/>
  <c r="K15" i="21"/>
  <c r="J24" i="21"/>
  <c r="K16" i="21"/>
  <c r="K19" i="21"/>
  <c r="L19" i="21"/>
  <c r="J21" i="21"/>
  <c r="K24" i="21"/>
  <c r="L8" i="21"/>
  <c r="O9" i="21"/>
  <c r="J10" i="21"/>
  <c r="K13" i="21"/>
  <c r="S13" i="21"/>
  <c r="L16" i="21"/>
  <c r="O17" i="21"/>
  <c r="J18" i="21"/>
  <c r="K21" i="21"/>
  <c r="S21" i="21"/>
  <c r="L24" i="21"/>
  <c r="O25" i="21"/>
  <c r="S10" i="21"/>
  <c r="L13" i="21"/>
  <c r="O14" i="21"/>
  <c r="J15" i="21"/>
  <c r="K18" i="21"/>
  <c r="S18" i="21"/>
  <c r="L21" i="21"/>
  <c r="O22" i="21"/>
  <c r="J23" i="21"/>
  <c r="J20" i="21"/>
  <c r="K23" i="21"/>
  <c r="O8" i="21"/>
  <c r="J9" i="21"/>
  <c r="K12" i="21"/>
  <c r="L15" i="21"/>
  <c r="J17" i="21"/>
  <c r="K20" i="21"/>
  <c r="L23" i="21"/>
  <c r="J25" i="21"/>
  <c r="K9" i="21"/>
  <c r="L12" i="21"/>
  <c r="J14" i="21"/>
  <c r="K17" i="21"/>
  <c r="L20" i="21"/>
  <c r="J22" i="21"/>
  <c r="K25" i="21"/>
  <c r="L9" i="21"/>
  <c r="J11" i="21"/>
  <c r="K14" i="21"/>
  <c r="L17" i="21"/>
  <c r="J19" i="21"/>
  <c r="K22" i="21"/>
  <c r="E179" i="8" l="1"/>
  <c r="I15" i="25"/>
  <c r="N15" i="25" s="1"/>
  <c r="I18" i="27"/>
  <c r="M18" i="27" s="1"/>
  <c r="P18" i="27" s="1"/>
  <c r="Q18" i="27" s="1"/>
  <c r="R18" i="27" s="1"/>
  <c r="T18" i="27" s="1"/>
  <c r="I11" i="26"/>
  <c r="M11" i="26" s="1"/>
  <c r="P11" i="26" s="1"/>
  <c r="Q11" i="26" s="1"/>
  <c r="R11" i="26" s="1"/>
  <c r="T11" i="26" s="1"/>
  <c r="I16" i="27"/>
  <c r="M16" i="27" s="1"/>
  <c r="P16" i="27" s="1"/>
  <c r="Q16" i="27" s="1"/>
  <c r="R16" i="27" s="1"/>
  <c r="T16" i="27" s="1"/>
  <c r="I10" i="23"/>
  <c r="M10" i="23" s="1"/>
  <c r="P10" i="23" s="1"/>
  <c r="Q10" i="23" s="1"/>
  <c r="R10" i="23" s="1"/>
  <c r="T10" i="23" s="1"/>
  <c r="I24" i="22"/>
  <c r="M24" i="22" s="1"/>
  <c r="P24" i="22" s="1"/>
  <c r="Q24" i="22" s="1"/>
  <c r="R24" i="22" s="1"/>
  <c r="T24" i="22" s="1"/>
  <c r="I14" i="27"/>
  <c r="M14" i="27" s="1"/>
  <c r="P14" i="27" s="1"/>
  <c r="Q14" i="27" s="1"/>
  <c r="R14" i="27" s="1"/>
  <c r="T14" i="27" s="1"/>
  <c r="I12" i="27"/>
  <c r="M12" i="27" s="1"/>
  <c r="P12" i="27" s="1"/>
  <c r="Q12" i="27" s="1"/>
  <c r="R12" i="27" s="1"/>
  <c r="T12" i="27" s="1"/>
  <c r="I24" i="27"/>
  <c r="M24" i="27" s="1"/>
  <c r="P24" i="27" s="1"/>
  <c r="Q24" i="27" s="1"/>
  <c r="R24" i="27" s="1"/>
  <c r="T24" i="27" s="1"/>
  <c r="I19" i="27"/>
  <c r="M19" i="27" s="1"/>
  <c r="P19" i="27" s="1"/>
  <c r="Q19" i="27" s="1"/>
  <c r="R19" i="27" s="1"/>
  <c r="T19" i="27" s="1"/>
  <c r="I18" i="22"/>
  <c r="M18" i="22" s="1"/>
  <c r="P18" i="22" s="1"/>
  <c r="Q18" i="22" s="1"/>
  <c r="R18" i="22" s="1"/>
  <c r="T18" i="22" s="1"/>
  <c r="I11" i="28"/>
  <c r="N11" i="28" s="1"/>
  <c r="I19" i="22"/>
  <c r="N19" i="22" s="1"/>
  <c r="I15" i="23"/>
  <c r="N15" i="23" s="1"/>
  <c r="I13" i="25"/>
  <c r="M13" i="25" s="1"/>
  <c r="P13" i="25" s="1"/>
  <c r="Q13" i="25" s="1"/>
  <c r="R13" i="25" s="1"/>
  <c r="T13" i="25" s="1"/>
  <c r="I19" i="26"/>
  <c r="M19" i="26" s="1"/>
  <c r="P19" i="26" s="1"/>
  <c r="Q19" i="26" s="1"/>
  <c r="R19" i="26" s="1"/>
  <c r="T19" i="26" s="1"/>
  <c r="I16" i="26"/>
  <c r="M16" i="26" s="1"/>
  <c r="P16" i="26" s="1"/>
  <c r="Q16" i="26" s="1"/>
  <c r="R16" i="26" s="1"/>
  <c r="T16" i="26" s="1"/>
  <c r="I11" i="27"/>
  <c r="M11" i="27" s="1"/>
  <c r="P11" i="27" s="1"/>
  <c r="Q11" i="27" s="1"/>
  <c r="R11" i="27" s="1"/>
  <c r="T11" i="27" s="1"/>
  <c r="I22" i="26"/>
  <c r="M22" i="26" s="1"/>
  <c r="P22" i="26" s="1"/>
  <c r="Q22" i="26" s="1"/>
  <c r="R22" i="26" s="1"/>
  <c r="T22" i="26" s="1"/>
  <c r="I21" i="27"/>
  <c r="N21" i="27" s="1"/>
  <c r="I9" i="28"/>
  <c r="M9" i="28" s="1"/>
  <c r="P9" i="28" s="1"/>
  <c r="Q9" i="28" s="1"/>
  <c r="R9" i="28" s="1"/>
  <c r="T9" i="28" s="1"/>
  <c r="I13" i="23"/>
  <c r="N13" i="23" s="1"/>
  <c r="I20" i="26"/>
  <c r="M20" i="26" s="1"/>
  <c r="P20" i="26" s="1"/>
  <c r="Q20" i="26" s="1"/>
  <c r="R20" i="26" s="1"/>
  <c r="T20" i="26" s="1"/>
  <c r="I9" i="26"/>
  <c r="N9" i="26" s="1"/>
  <c r="I8" i="26"/>
  <c r="M8" i="26" s="1"/>
  <c r="P8" i="26" s="1"/>
  <c r="Q8" i="26" s="1"/>
  <c r="R8" i="26" s="1"/>
  <c r="T8" i="26" s="1"/>
  <c r="I24" i="26"/>
  <c r="M24" i="26" s="1"/>
  <c r="P24" i="26" s="1"/>
  <c r="Q24" i="26" s="1"/>
  <c r="R24" i="26" s="1"/>
  <c r="T24" i="26" s="1"/>
  <c r="I9" i="27"/>
  <c r="N9" i="27" s="1"/>
  <c r="I15" i="27"/>
  <c r="M15" i="27" s="1"/>
  <c r="P15" i="27" s="1"/>
  <c r="Q15" i="27" s="1"/>
  <c r="R15" i="27" s="1"/>
  <c r="T15" i="27" s="1"/>
  <c r="I8" i="27"/>
  <c r="M8" i="27" s="1"/>
  <c r="P8" i="27" s="1"/>
  <c r="Q8" i="27" s="1"/>
  <c r="R8" i="27" s="1"/>
  <c r="T8" i="27" s="1"/>
  <c r="I8" i="28"/>
  <c r="M8" i="28" s="1"/>
  <c r="P8" i="28" s="1"/>
  <c r="Q8" i="28" s="1"/>
  <c r="R8" i="28" s="1"/>
  <c r="T8" i="28" s="1"/>
  <c r="I19" i="28"/>
  <c r="N19" i="28" s="1"/>
  <c r="I14" i="25"/>
  <c r="M14" i="25" s="1"/>
  <c r="P14" i="25" s="1"/>
  <c r="Q14" i="25" s="1"/>
  <c r="R14" i="25" s="1"/>
  <c r="T14" i="25" s="1"/>
  <c r="I10" i="28"/>
  <c r="M10" i="28" s="1"/>
  <c r="P10" i="28" s="1"/>
  <c r="Q10" i="28" s="1"/>
  <c r="R10" i="28" s="1"/>
  <c r="T10" i="28" s="1"/>
  <c r="I25" i="28"/>
  <c r="I12" i="28"/>
  <c r="M12" i="28" s="1"/>
  <c r="P12" i="28" s="1"/>
  <c r="Q12" i="28" s="1"/>
  <c r="R12" i="28" s="1"/>
  <c r="T12" i="28" s="1"/>
  <c r="I13" i="28"/>
  <c r="I16" i="28"/>
  <c r="M16" i="28" s="1"/>
  <c r="P16" i="28" s="1"/>
  <c r="Q16" i="28" s="1"/>
  <c r="R16" i="28" s="1"/>
  <c r="T16" i="28" s="1"/>
  <c r="I14" i="28"/>
  <c r="M14" i="28" s="1"/>
  <c r="P14" i="28" s="1"/>
  <c r="Q14" i="28" s="1"/>
  <c r="R14" i="28" s="1"/>
  <c r="T14" i="28" s="1"/>
  <c r="I17" i="28"/>
  <c r="I15" i="28"/>
  <c r="I18" i="28"/>
  <c r="M18" i="28" s="1"/>
  <c r="P18" i="28" s="1"/>
  <c r="Q18" i="28" s="1"/>
  <c r="R18" i="28" s="1"/>
  <c r="T18" i="28" s="1"/>
  <c r="I24" i="28"/>
  <c r="M24" i="28" s="1"/>
  <c r="P24" i="28" s="1"/>
  <c r="Q24" i="28" s="1"/>
  <c r="R24" i="28" s="1"/>
  <c r="T24" i="28" s="1"/>
  <c r="I22" i="28"/>
  <c r="M22" i="28" s="1"/>
  <c r="P22" i="28" s="1"/>
  <c r="Q22" i="28" s="1"/>
  <c r="R22" i="28" s="1"/>
  <c r="T22" i="28" s="1"/>
  <c r="I20" i="28"/>
  <c r="M20" i="28" s="1"/>
  <c r="P20" i="28" s="1"/>
  <c r="Q20" i="28" s="1"/>
  <c r="R20" i="28" s="1"/>
  <c r="T20" i="28" s="1"/>
  <c r="I23" i="28"/>
  <c r="I21" i="28"/>
  <c r="I25" i="27"/>
  <c r="I20" i="27"/>
  <c r="M20" i="27" s="1"/>
  <c r="P20" i="27" s="1"/>
  <c r="Q20" i="27" s="1"/>
  <c r="R20" i="27" s="1"/>
  <c r="T20" i="27" s="1"/>
  <c r="I23" i="27"/>
  <c r="I22" i="27"/>
  <c r="M22" i="27" s="1"/>
  <c r="P22" i="27" s="1"/>
  <c r="Q22" i="27" s="1"/>
  <c r="R22" i="27" s="1"/>
  <c r="T22" i="27" s="1"/>
  <c r="I13" i="27"/>
  <c r="I17" i="27"/>
  <c r="I23" i="26"/>
  <c r="I13" i="26"/>
  <c r="I10" i="26"/>
  <c r="M10" i="26" s="1"/>
  <c r="P10" i="26" s="1"/>
  <c r="Q10" i="26" s="1"/>
  <c r="R10" i="26" s="1"/>
  <c r="T10" i="26" s="1"/>
  <c r="I14" i="26"/>
  <c r="M14" i="26" s="1"/>
  <c r="P14" i="26" s="1"/>
  <c r="Q14" i="26" s="1"/>
  <c r="R14" i="26" s="1"/>
  <c r="T14" i="26" s="1"/>
  <c r="I25" i="26"/>
  <c r="I12" i="26"/>
  <c r="M12" i="26" s="1"/>
  <c r="P12" i="26" s="1"/>
  <c r="Q12" i="26" s="1"/>
  <c r="R12" i="26" s="1"/>
  <c r="T12" i="26" s="1"/>
  <c r="I15" i="26"/>
  <c r="I21" i="26"/>
  <c r="I17" i="26"/>
  <c r="I18" i="26"/>
  <c r="M18" i="26" s="1"/>
  <c r="P18" i="26" s="1"/>
  <c r="Q18" i="26" s="1"/>
  <c r="R18" i="26" s="1"/>
  <c r="T18" i="26" s="1"/>
  <c r="I10" i="25"/>
  <c r="M10" i="25" s="1"/>
  <c r="P10" i="25" s="1"/>
  <c r="Q10" i="25" s="1"/>
  <c r="R10" i="25" s="1"/>
  <c r="T10" i="25" s="1"/>
  <c r="I16" i="23"/>
  <c r="M16" i="23" s="1"/>
  <c r="P16" i="23" s="1"/>
  <c r="Q16" i="23" s="1"/>
  <c r="R16" i="23" s="1"/>
  <c r="T16" i="23" s="1"/>
  <c r="I9" i="25"/>
  <c r="N9" i="25" s="1"/>
  <c r="I12" i="23"/>
  <c r="M12" i="23" s="1"/>
  <c r="P12" i="23" s="1"/>
  <c r="Q12" i="23" s="1"/>
  <c r="R12" i="23" s="1"/>
  <c r="T12" i="23" s="1"/>
  <c r="I9" i="23"/>
  <c r="N9" i="23" s="1"/>
  <c r="I22" i="25"/>
  <c r="M22" i="25" s="1"/>
  <c r="P22" i="25" s="1"/>
  <c r="Q22" i="25" s="1"/>
  <c r="R22" i="25" s="1"/>
  <c r="T22" i="25" s="1"/>
  <c r="I11" i="23"/>
  <c r="I15" i="22"/>
  <c r="N15" i="22" s="1"/>
  <c r="I21" i="22"/>
  <c r="N21" i="22" s="1"/>
  <c r="I10" i="22"/>
  <c r="M10" i="22" s="1"/>
  <c r="P10" i="22" s="1"/>
  <c r="Q10" i="22" s="1"/>
  <c r="R10" i="22" s="1"/>
  <c r="T10" i="22" s="1"/>
  <c r="I19" i="23"/>
  <c r="N19" i="23" s="1"/>
  <c r="I8" i="25"/>
  <c r="M8" i="25" s="1"/>
  <c r="P8" i="25" s="1"/>
  <c r="Q8" i="25" s="1"/>
  <c r="R8" i="25" s="1"/>
  <c r="T8" i="25" s="1"/>
  <c r="I12" i="22"/>
  <c r="M12" i="22" s="1"/>
  <c r="P12" i="22" s="1"/>
  <c r="Q12" i="22" s="1"/>
  <c r="R12" i="22" s="1"/>
  <c r="T12" i="22" s="1"/>
  <c r="I24" i="25"/>
  <c r="M24" i="25" s="1"/>
  <c r="P24" i="25" s="1"/>
  <c r="Q24" i="25" s="1"/>
  <c r="R24" i="25" s="1"/>
  <c r="T24" i="25" s="1"/>
  <c r="I8" i="24"/>
  <c r="M8" i="24" s="1"/>
  <c r="P8" i="24" s="1"/>
  <c r="Q8" i="24" s="1"/>
  <c r="R8" i="24" s="1"/>
  <c r="T8" i="24" s="1"/>
  <c r="I13" i="22"/>
  <c r="N13" i="22" s="1"/>
  <c r="I11" i="24"/>
  <c r="N11" i="24" s="1"/>
  <c r="I11" i="22"/>
  <c r="I8" i="23"/>
  <c r="M8" i="23" s="1"/>
  <c r="P8" i="23" s="1"/>
  <c r="Q8" i="23" s="1"/>
  <c r="R8" i="23" s="1"/>
  <c r="T8" i="23" s="1"/>
  <c r="I19" i="25"/>
  <c r="I9" i="22"/>
  <c r="M9" i="22" s="1"/>
  <c r="P9" i="22" s="1"/>
  <c r="Q9" i="22" s="1"/>
  <c r="R9" i="22" s="1"/>
  <c r="T9" i="22" s="1"/>
  <c r="I10" i="24"/>
  <c r="M10" i="24" s="1"/>
  <c r="P10" i="24" s="1"/>
  <c r="Q10" i="24" s="1"/>
  <c r="R10" i="24" s="1"/>
  <c r="T10" i="24" s="1"/>
  <c r="I19" i="24"/>
  <c r="N19" i="24" s="1"/>
  <c r="I16" i="22"/>
  <c r="M16" i="22" s="1"/>
  <c r="P16" i="22" s="1"/>
  <c r="Q16" i="22" s="1"/>
  <c r="R16" i="22" s="1"/>
  <c r="T16" i="22" s="1"/>
  <c r="I17" i="23"/>
  <c r="M17" i="23" s="1"/>
  <c r="P17" i="23" s="1"/>
  <c r="Q17" i="23" s="1"/>
  <c r="R17" i="23" s="1"/>
  <c r="T17" i="23" s="1"/>
  <c r="E164" i="8" s="1"/>
  <c r="I17" i="25"/>
  <c r="M17" i="25" s="1"/>
  <c r="P17" i="25" s="1"/>
  <c r="Q17" i="25" s="1"/>
  <c r="R17" i="25" s="1"/>
  <c r="T17" i="25" s="1"/>
  <c r="E170" i="8" s="1"/>
  <c r="I16" i="25"/>
  <c r="M16" i="25" s="1"/>
  <c r="P16" i="25" s="1"/>
  <c r="Q16" i="25" s="1"/>
  <c r="R16" i="25" s="1"/>
  <c r="T16" i="25" s="1"/>
  <c r="I18" i="23"/>
  <c r="M18" i="23" s="1"/>
  <c r="P18" i="23" s="1"/>
  <c r="Q18" i="23" s="1"/>
  <c r="R18" i="23" s="1"/>
  <c r="T18" i="23" s="1"/>
  <c r="I14" i="23"/>
  <c r="M14" i="23" s="1"/>
  <c r="P14" i="23" s="1"/>
  <c r="Q14" i="23" s="1"/>
  <c r="R14" i="23" s="1"/>
  <c r="T14" i="23" s="1"/>
  <c r="I24" i="23"/>
  <c r="M24" i="23" s="1"/>
  <c r="P24" i="23" s="1"/>
  <c r="Q24" i="23" s="1"/>
  <c r="R24" i="23" s="1"/>
  <c r="T24" i="23" s="1"/>
  <c r="I8" i="22"/>
  <c r="M8" i="22" s="1"/>
  <c r="P8" i="22" s="1"/>
  <c r="Q8" i="22" s="1"/>
  <c r="R8" i="22" s="1"/>
  <c r="T8" i="22" s="1"/>
  <c r="I25" i="24"/>
  <c r="M25" i="24" s="1"/>
  <c r="P25" i="24" s="1"/>
  <c r="Q25" i="24" s="1"/>
  <c r="R25" i="24" s="1"/>
  <c r="T25" i="24" s="1"/>
  <c r="I16" i="24"/>
  <c r="M16" i="24" s="1"/>
  <c r="P16" i="24" s="1"/>
  <c r="Q16" i="24" s="1"/>
  <c r="R16" i="24" s="1"/>
  <c r="T16" i="24" s="1"/>
  <c r="I12" i="25"/>
  <c r="M12" i="25" s="1"/>
  <c r="P12" i="25" s="1"/>
  <c r="Q12" i="25" s="1"/>
  <c r="R12" i="25" s="1"/>
  <c r="T12" i="25" s="1"/>
  <c r="I23" i="25"/>
  <c r="M23" i="25" s="1"/>
  <c r="P23" i="25" s="1"/>
  <c r="Q23" i="25" s="1"/>
  <c r="R23" i="25" s="1"/>
  <c r="T23" i="25" s="1"/>
  <c r="I11" i="25"/>
  <c r="I20" i="25"/>
  <c r="M20" i="25" s="1"/>
  <c r="P20" i="25" s="1"/>
  <c r="Q20" i="25" s="1"/>
  <c r="R20" i="25" s="1"/>
  <c r="T20" i="25" s="1"/>
  <c r="I25" i="25"/>
  <c r="I18" i="25"/>
  <c r="M18" i="25" s="1"/>
  <c r="P18" i="25" s="1"/>
  <c r="Q18" i="25" s="1"/>
  <c r="R18" i="25" s="1"/>
  <c r="T18" i="25" s="1"/>
  <c r="I21" i="25"/>
  <c r="I12" i="24"/>
  <c r="M12" i="24" s="1"/>
  <c r="P12" i="24" s="1"/>
  <c r="Q12" i="24" s="1"/>
  <c r="R12" i="24" s="1"/>
  <c r="T12" i="24" s="1"/>
  <c r="I24" i="24"/>
  <c r="M24" i="24" s="1"/>
  <c r="P24" i="24" s="1"/>
  <c r="Q24" i="24" s="1"/>
  <c r="R24" i="24" s="1"/>
  <c r="T24" i="24" s="1"/>
  <c r="I14" i="24"/>
  <c r="M14" i="24" s="1"/>
  <c r="P14" i="24" s="1"/>
  <c r="Q14" i="24" s="1"/>
  <c r="R14" i="24" s="1"/>
  <c r="T14" i="24" s="1"/>
  <c r="I9" i="24"/>
  <c r="I23" i="24"/>
  <c r="I18" i="24"/>
  <c r="M18" i="24" s="1"/>
  <c r="P18" i="24" s="1"/>
  <c r="Q18" i="24" s="1"/>
  <c r="R18" i="24" s="1"/>
  <c r="T18" i="24" s="1"/>
  <c r="I21" i="24"/>
  <c r="I13" i="24"/>
  <c r="I20" i="24"/>
  <c r="M20" i="24" s="1"/>
  <c r="P20" i="24" s="1"/>
  <c r="Q20" i="24" s="1"/>
  <c r="R20" i="24" s="1"/>
  <c r="T20" i="24" s="1"/>
  <c r="I22" i="24"/>
  <c r="M22" i="24" s="1"/>
  <c r="P22" i="24" s="1"/>
  <c r="Q22" i="24" s="1"/>
  <c r="R22" i="24" s="1"/>
  <c r="T22" i="24" s="1"/>
  <c r="I17" i="24"/>
  <c r="I15" i="24"/>
  <c r="I20" i="23"/>
  <c r="M20" i="23" s="1"/>
  <c r="P20" i="23" s="1"/>
  <c r="Q20" i="23" s="1"/>
  <c r="R20" i="23" s="1"/>
  <c r="T20" i="23" s="1"/>
  <c r="I23" i="23"/>
  <c r="I21" i="23"/>
  <c r="I25" i="23"/>
  <c r="I22" i="23"/>
  <c r="M22" i="23" s="1"/>
  <c r="P22" i="23" s="1"/>
  <c r="Q22" i="23" s="1"/>
  <c r="R22" i="23" s="1"/>
  <c r="T22" i="23" s="1"/>
  <c r="I25" i="22"/>
  <c r="I20" i="22"/>
  <c r="M20" i="22" s="1"/>
  <c r="P20" i="22" s="1"/>
  <c r="Q20" i="22" s="1"/>
  <c r="R20" i="22" s="1"/>
  <c r="T20" i="22" s="1"/>
  <c r="I22" i="22"/>
  <c r="M22" i="22" s="1"/>
  <c r="P22" i="22" s="1"/>
  <c r="Q22" i="22" s="1"/>
  <c r="R22" i="22" s="1"/>
  <c r="T22" i="22" s="1"/>
  <c r="I23" i="22"/>
  <c r="I17" i="22"/>
  <c r="I14" i="22"/>
  <c r="M14" i="22" s="1"/>
  <c r="P14" i="22" s="1"/>
  <c r="Q14" i="22" s="1"/>
  <c r="R14" i="22" s="1"/>
  <c r="T14" i="22" s="1"/>
  <c r="I11" i="21"/>
  <c r="N11" i="21" s="1"/>
  <c r="I8" i="21"/>
  <c r="M8" i="21" s="1"/>
  <c r="P8" i="21" s="1"/>
  <c r="Q8" i="21" s="1"/>
  <c r="R8" i="21" s="1"/>
  <c r="T8" i="21" s="1"/>
  <c r="I16" i="21"/>
  <c r="M16" i="21" s="1"/>
  <c r="P16" i="21" s="1"/>
  <c r="Q16" i="21" s="1"/>
  <c r="R16" i="21" s="1"/>
  <c r="T16" i="21" s="1"/>
  <c r="I10" i="21"/>
  <c r="M10" i="21" s="1"/>
  <c r="P10" i="21" s="1"/>
  <c r="Q10" i="21" s="1"/>
  <c r="R10" i="21" s="1"/>
  <c r="T10" i="21" s="1"/>
  <c r="I19" i="21"/>
  <c r="N19" i="21" s="1"/>
  <c r="I24" i="21"/>
  <c r="M24" i="21" s="1"/>
  <c r="P24" i="21" s="1"/>
  <c r="Q24" i="21" s="1"/>
  <c r="R24" i="21" s="1"/>
  <c r="T24" i="21" s="1"/>
  <c r="I25" i="21"/>
  <c r="M25" i="21" s="1"/>
  <c r="P25" i="21" s="1"/>
  <c r="Q25" i="21" s="1"/>
  <c r="R25" i="21" s="1"/>
  <c r="T25" i="21" s="1"/>
  <c r="I14" i="21"/>
  <c r="M14" i="21" s="1"/>
  <c r="P14" i="21" s="1"/>
  <c r="Q14" i="21" s="1"/>
  <c r="R14" i="21" s="1"/>
  <c r="T14" i="21" s="1"/>
  <c r="I12" i="21"/>
  <c r="M12" i="21" s="1"/>
  <c r="P12" i="21" s="1"/>
  <c r="Q12" i="21" s="1"/>
  <c r="R12" i="21" s="1"/>
  <c r="T12" i="21" s="1"/>
  <c r="I9" i="21"/>
  <c r="I15" i="21"/>
  <c r="I18" i="21"/>
  <c r="M18" i="21" s="1"/>
  <c r="P18" i="21" s="1"/>
  <c r="Q18" i="21" s="1"/>
  <c r="R18" i="21" s="1"/>
  <c r="T18" i="21" s="1"/>
  <c r="I21" i="21"/>
  <c r="I20" i="21"/>
  <c r="M20" i="21" s="1"/>
  <c r="P20" i="21" s="1"/>
  <c r="Q20" i="21" s="1"/>
  <c r="R20" i="21" s="1"/>
  <c r="T20" i="21" s="1"/>
  <c r="I22" i="21"/>
  <c r="M22" i="21" s="1"/>
  <c r="P22" i="21" s="1"/>
  <c r="Q22" i="21" s="1"/>
  <c r="R22" i="21" s="1"/>
  <c r="T22" i="21" s="1"/>
  <c r="I23" i="21"/>
  <c r="I17" i="21"/>
  <c r="I13" i="21"/>
  <c r="M15" i="25" l="1"/>
  <c r="P15" i="25" s="1"/>
  <c r="Q15" i="25" s="1"/>
  <c r="R15" i="25" s="1"/>
  <c r="T15" i="25" s="1"/>
  <c r="N11" i="26"/>
  <c r="M19" i="22"/>
  <c r="P19" i="22" s="1"/>
  <c r="Q19" i="22" s="1"/>
  <c r="R19" i="22" s="1"/>
  <c r="T19" i="22" s="1"/>
  <c r="M15" i="23"/>
  <c r="P15" i="23" s="1"/>
  <c r="Q15" i="23" s="1"/>
  <c r="R15" i="23" s="1"/>
  <c r="T15" i="23" s="1"/>
  <c r="N19" i="26"/>
  <c r="N19" i="27"/>
  <c r="N13" i="25"/>
  <c r="M19" i="28"/>
  <c r="P19" i="28" s="1"/>
  <c r="Q19" i="28" s="1"/>
  <c r="R19" i="28" s="1"/>
  <c r="T19" i="28" s="1"/>
  <c r="M13" i="23"/>
  <c r="P13" i="23" s="1"/>
  <c r="Q13" i="23" s="1"/>
  <c r="R13" i="23" s="1"/>
  <c r="T13" i="23" s="1"/>
  <c r="N9" i="28"/>
  <c r="N17" i="25"/>
  <c r="M11" i="28"/>
  <c r="P11" i="28" s="1"/>
  <c r="Q11" i="28" s="1"/>
  <c r="R11" i="28" s="1"/>
  <c r="T11" i="28" s="1"/>
  <c r="N11" i="27"/>
  <c r="N15" i="27"/>
  <c r="M21" i="27"/>
  <c r="P21" i="27" s="1"/>
  <c r="Q21" i="27" s="1"/>
  <c r="R21" i="27" s="1"/>
  <c r="T21" i="27" s="1"/>
  <c r="M19" i="23"/>
  <c r="P19" i="23" s="1"/>
  <c r="Q19" i="23" s="1"/>
  <c r="R19" i="23" s="1"/>
  <c r="T19" i="23" s="1"/>
  <c r="M9" i="26"/>
  <c r="P9" i="26" s="1"/>
  <c r="Q9" i="26" s="1"/>
  <c r="R9" i="26" s="1"/>
  <c r="T9" i="26" s="1"/>
  <c r="M9" i="27"/>
  <c r="P9" i="27" s="1"/>
  <c r="Q9" i="27" s="1"/>
  <c r="R9" i="27" s="1"/>
  <c r="T9" i="27" s="1"/>
  <c r="M9" i="25"/>
  <c r="P9" i="25" s="1"/>
  <c r="Q9" i="25" s="1"/>
  <c r="R9" i="25" s="1"/>
  <c r="T9" i="25" s="1"/>
  <c r="N25" i="28"/>
  <c r="M25" i="28"/>
  <c r="P25" i="28" s="1"/>
  <c r="Q25" i="28" s="1"/>
  <c r="R25" i="28" s="1"/>
  <c r="T25" i="28" s="1"/>
  <c r="N15" i="28"/>
  <c r="M15" i="28"/>
  <c r="P15" i="28" s="1"/>
  <c r="Q15" i="28" s="1"/>
  <c r="R15" i="28" s="1"/>
  <c r="T15" i="28" s="1"/>
  <c r="M17" i="28"/>
  <c r="P17" i="28" s="1"/>
  <c r="Q17" i="28" s="1"/>
  <c r="R17" i="28" s="1"/>
  <c r="T17" i="28" s="1"/>
  <c r="E173" i="8" s="1"/>
  <c r="N17" i="28"/>
  <c r="N21" i="28"/>
  <c r="M21" i="28"/>
  <c r="P21" i="28" s="1"/>
  <c r="Q21" i="28" s="1"/>
  <c r="R21" i="28" s="1"/>
  <c r="T21" i="28" s="1"/>
  <c r="N23" i="28"/>
  <c r="M23" i="28"/>
  <c r="P23" i="28" s="1"/>
  <c r="Q23" i="28" s="1"/>
  <c r="R23" i="28" s="1"/>
  <c r="T23" i="28" s="1"/>
  <c r="N13" i="28"/>
  <c r="M13" i="28"/>
  <c r="P13" i="28" s="1"/>
  <c r="Q13" i="28" s="1"/>
  <c r="R13" i="28" s="1"/>
  <c r="T13" i="28" s="1"/>
  <c r="N23" i="27"/>
  <c r="M23" i="27"/>
  <c r="P23" i="27" s="1"/>
  <c r="Q23" i="27" s="1"/>
  <c r="R23" i="27" s="1"/>
  <c r="T23" i="27" s="1"/>
  <c r="M13" i="27"/>
  <c r="P13" i="27" s="1"/>
  <c r="Q13" i="27" s="1"/>
  <c r="R13" i="27" s="1"/>
  <c r="T13" i="27" s="1"/>
  <c r="N13" i="27"/>
  <c r="N25" i="27"/>
  <c r="M25" i="27"/>
  <c r="P25" i="27" s="1"/>
  <c r="Q25" i="27" s="1"/>
  <c r="R25" i="27" s="1"/>
  <c r="T25" i="27" s="1"/>
  <c r="M17" i="27"/>
  <c r="P17" i="27" s="1"/>
  <c r="Q17" i="27" s="1"/>
  <c r="R17" i="27" s="1"/>
  <c r="T17" i="27" s="1"/>
  <c r="E176" i="8" s="1"/>
  <c r="N17" i="27"/>
  <c r="N17" i="26"/>
  <c r="M17" i="26"/>
  <c r="P17" i="26" s="1"/>
  <c r="Q17" i="26" s="1"/>
  <c r="R17" i="26" s="1"/>
  <c r="T17" i="26" s="1"/>
  <c r="N25" i="26"/>
  <c r="M25" i="26"/>
  <c r="P25" i="26" s="1"/>
  <c r="Q25" i="26" s="1"/>
  <c r="R25" i="26" s="1"/>
  <c r="T25" i="26" s="1"/>
  <c r="N21" i="26"/>
  <c r="M21" i="26"/>
  <c r="P21" i="26" s="1"/>
  <c r="Q21" i="26" s="1"/>
  <c r="R21" i="26" s="1"/>
  <c r="T21" i="26" s="1"/>
  <c r="N15" i="26"/>
  <c r="M15" i="26"/>
  <c r="P15" i="26" s="1"/>
  <c r="Q15" i="26" s="1"/>
  <c r="R15" i="26" s="1"/>
  <c r="T15" i="26" s="1"/>
  <c r="N13" i="26"/>
  <c r="M13" i="26"/>
  <c r="P13" i="26" s="1"/>
  <c r="Q13" i="26" s="1"/>
  <c r="R13" i="26" s="1"/>
  <c r="T13" i="26" s="1"/>
  <c r="N23" i="26"/>
  <c r="M23" i="26"/>
  <c r="P23" i="26" s="1"/>
  <c r="Q23" i="26" s="1"/>
  <c r="R23" i="26" s="1"/>
  <c r="T23" i="26" s="1"/>
  <c r="M9" i="23"/>
  <c r="P9" i="23" s="1"/>
  <c r="Q9" i="23" s="1"/>
  <c r="R9" i="23" s="1"/>
  <c r="T9" i="23" s="1"/>
  <c r="M21" i="22"/>
  <c r="P21" i="22" s="1"/>
  <c r="Q21" i="22" s="1"/>
  <c r="R21" i="22" s="1"/>
  <c r="T21" i="22" s="1"/>
  <c r="N25" i="24"/>
  <c r="M15" i="22"/>
  <c r="P15" i="22" s="1"/>
  <c r="Q15" i="22" s="1"/>
  <c r="R15" i="22" s="1"/>
  <c r="T15" i="22" s="1"/>
  <c r="M11" i="24"/>
  <c r="P11" i="24" s="1"/>
  <c r="Q11" i="24" s="1"/>
  <c r="R11" i="24" s="1"/>
  <c r="T11" i="24" s="1"/>
  <c r="N23" i="25"/>
  <c r="N9" i="22"/>
  <c r="N11" i="23"/>
  <c r="M11" i="23"/>
  <c r="P11" i="23" s="1"/>
  <c r="Q11" i="23" s="1"/>
  <c r="R11" i="23" s="1"/>
  <c r="T11" i="23" s="1"/>
  <c r="M13" i="22"/>
  <c r="P13" i="22" s="1"/>
  <c r="Q13" i="22" s="1"/>
  <c r="R13" i="22" s="1"/>
  <c r="T13" i="22" s="1"/>
  <c r="M19" i="24"/>
  <c r="P19" i="24" s="1"/>
  <c r="Q19" i="24" s="1"/>
  <c r="R19" i="24" s="1"/>
  <c r="T19" i="24" s="1"/>
  <c r="M11" i="22"/>
  <c r="P11" i="22" s="1"/>
  <c r="Q11" i="22" s="1"/>
  <c r="R11" i="22" s="1"/>
  <c r="T11" i="22" s="1"/>
  <c r="N11" i="22"/>
  <c r="N11" i="25"/>
  <c r="M11" i="25"/>
  <c r="P11" i="25" s="1"/>
  <c r="Q11" i="25" s="1"/>
  <c r="R11" i="25" s="1"/>
  <c r="T11" i="25" s="1"/>
  <c r="N17" i="23"/>
  <c r="N19" i="25"/>
  <c r="M19" i="25"/>
  <c r="P19" i="25" s="1"/>
  <c r="Q19" i="25" s="1"/>
  <c r="R19" i="25" s="1"/>
  <c r="T19" i="25" s="1"/>
  <c r="N21" i="25"/>
  <c r="M21" i="25"/>
  <c r="P21" i="25" s="1"/>
  <c r="Q21" i="25" s="1"/>
  <c r="R21" i="25" s="1"/>
  <c r="T21" i="25" s="1"/>
  <c r="N25" i="25"/>
  <c r="M25" i="25"/>
  <c r="P25" i="25" s="1"/>
  <c r="Q25" i="25" s="1"/>
  <c r="R25" i="25" s="1"/>
  <c r="T25" i="25" s="1"/>
  <c r="N23" i="24"/>
  <c r="M23" i="24"/>
  <c r="P23" i="24" s="1"/>
  <c r="Q23" i="24" s="1"/>
  <c r="R23" i="24" s="1"/>
  <c r="T23" i="24" s="1"/>
  <c r="N13" i="24"/>
  <c r="M13" i="24"/>
  <c r="P13" i="24" s="1"/>
  <c r="Q13" i="24" s="1"/>
  <c r="R13" i="24" s="1"/>
  <c r="T13" i="24" s="1"/>
  <c r="N9" i="24"/>
  <c r="M9" i="24"/>
  <c r="P9" i="24" s="1"/>
  <c r="Q9" i="24" s="1"/>
  <c r="R9" i="24" s="1"/>
  <c r="T9" i="24" s="1"/>
  <c r="N21" i="24"/>
  <c r="M21" i="24"/>
  <c r="P21" i="24" s="1"/>
  <c r="Q21" i="24" s="1"/>
  <c r="R21" i="24" s="1"/>
  <c r="T21" i="24" s="1"/>
  <c r="N15" i="24"/>
  <c r="M15" i="24"/>
  <c r="P15" i="24" s="1"/>
  <c r="Q15" i="24" s="1"/>
  <c r="R15" i="24" s="1"/>
  <c r="T15" i="24" s="1"/>
  <c r="M17" i="24"/>
  <c r="P17" i="24" s="1"/>
  <c r="Q17" i="24" s="1"/>
  <c r="R17" i="24" s="1"/>
  <c r="T17" i="24" s="1"/>
  <c r="E167" i="8" s="1"/>
  <c r="N17" i="24"/>
  <c r="N21" i="23"/>
  <c r="M21" i="23"/>
  <c r="P21" i="23" s="1"/>
  <c r="Q21" i="23" s="1"/>
  <c r="R21" i="23" s="1"/>
  <c r="T21" i="23" s="1"/>
  <c r="N23" i="23"/>
  <c r="M23" i="23"/>
  <c r="P23" i="23" s="1"/>
  <c r="Q23" i="23" s="1"/>
  <c r="R23" i="23" s="1"/>
  <c r="T23" i="23" s="1"/>
  <c r="M25" i="23"/>
  <c r="P25" i="23" s="1"/>
  <c r="Q25" i="23" s="1"/>
  <c r="R25" i="23" s="1"/>
  <c r="T25" i="23" s="1"/>
  <c r="N25" i="23"/>
  <c r="M17" i="22"/>
  <c r="P17" i="22" s="1"/>
  <c r="Q17" i="22" s="1"/>
  <c r="R17" i="22" s="1"/>
  <c r="T17" i="22" s="1"/>
  <c r="E161" i="8" s="1"/>
  <c r="N17" i="22"/>
  <c r="N23" i="22"/>
  <c r="M23" i="22"/>
  <c r="P23" i="22" s="1"/>
  <c r="Q23" i="22" s="1"/>
  <c r="R23" i="22" s="1"/>
  <c r="T23" i="22" s="1"/>
  <c r="M25" i="22"/>
  <c r="P25" i="22" s="1"/>
  <c r="Q25" i="22" s="1"/>
  <c r="R25" i="22" s="1"/>
  <c r="T25" i="22" s="1"/>
  <c r="N25" i="22"/>
  <c r="M11" i="21"/>
  <c r="P11" i="21" s="1"/>
  <c r="Q11" i="21" s="1"/>
  <c r="R11" i="21" s="1"/>
  <c r="T11" i="21" s="1"/>
  <c r="M19" i="21"/>
  <c r="P19" i="21" s="1"/>
  <c r="Q19" i="21" s="1"/>
  <c r="R19" i="21" s="1"/>
  <c r="T19" i="21" s="1"/>
  <c r="N25" i="21"/>
  <c r="N21" i="21"/>
  <c r="M21" i="21"/>
  <c r="P21" i="21" s="1"/>
  <c r="Q21" i="21" s="1"/>
  <c r="R21" i="21" s="1"/>
  <c r="T21" i="21" s="1"/>
  <c r="N13" i="21"/>
  <c r="M13" i="21"/>
  <c r="P13" i="21" s="1"/>
  <c r="Q13" i="21" s="1"/>
  <c r="R13" i="21" s="1"/>
  <c r="T13" i="21" s="1"/>
  <c r="M17" i="21"/>
  <c r="P17" i="21" s="1"/>
  <c r="Q17" i="21" s="1"/>
  <c r="R17" i="21" s="1"/>
  <c r="T17" i="21" s="1"/>
  <c r="E158" i="8" s="1"/>
  <c r="N17" i="21"/>
  <c r="N15" i="21"/>
  <c r="M15" i="21"/>
  <c r="P15" i="21" s="1"/>
  <c r="Q15" i="21" s="1"/>
  <c r="R15" i="21" s="1"/>
  <c r="T15" i="21" s="1"/>
  <c r="N23" i="21"/>
  <c r="M23" i="21"/>
  <c r="P23" i="21" s="1"/>
  <c r="Q23" i="21" s="1"/>
  <c r="R23" i="21" s="1"/>
  <c r="T23" i="21" s="1"/>
  <c r="M9" i="21"/>
  <c r="P9" i="21" s="1"/>
  <c r="Q9" i="21" s="1"/>
  <c r="R9" i="21" s="1"/>
  <c r="T9" i="21" s="1"/>
  <c r="N9" i="21"/>
  <c r="G26" i="7" l="1" a="1"/>
  <c r="G26" i="7" s="1"/>
  <c r="D68" i="8"/>
  <c r="D48" i="8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D1642" i="13" l="1"/>
  <c r="CG1642" i="13" s="1"/>
  <c r="CF1615" i="13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M1641" i="13" s="1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K1603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BY1604" i="13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70" i="13" l="1"/>
  <c r="CM1627" i="13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A9" i="20" l="1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8" i="20"/>
  <c r="J25" i="20" l="1"/>
  <c r="S25" i="20"/>
  <c r="S24" i="20"/>
  <c r="O24" i="20"/>
  <c r="N24" i="20"/>
  <c r="K24" i="20"/>
  <c r="J24" i="20"/>
  <c r="S23" i="20"/>
  <c r="O23" i="20"/>
  <c r="L23" i="20"/>
  <c r="K23" i="20"/>
  <c r="N22" i="20"/>
  <c r="L22" i="20"/>
  <c r="S22" i="20"/>
  <c r="J21" i="20"/>
  <c r="S21" i="20"/>
  <c r="S20" i="20"/>
  <c r="O20" i="20"/>
  <c r="N20" i="20"/>
  <c r="K20" i="20"/>
  <c r="J20" i="20"/>
  <c r="S19" i="20"/>
  <c r="O19" i="20"/>
  <c r="L19" i="20"/>
  <c r="K19" i="20"/>
  <c r="N18" i="20"/>
  <c r="L18" i="20"/>
  <c r="S18" i="20"/>
  <c r="J17" i="20"/>
  <c r="S17" i="20"/>
  <c r="S16" i="20"/>
  <c r="O16" i="20"/>
  <c r="N16" i="20"/>
  <c r="K16" i="20"/>
  <c r="J16" i="20"/>
  <c r="S15" i="20"/>
  <c r="O15" i="20"/>
  <c r="L15" i="20"/>
  <c r="K15" i="20"/>
  <c r="N14" i="20"/>
  <c r="L14" i="20"/>
  <c r="S14" i="20"/>
  <c r="J13" i="20"/>
  <c r="S13" i="20"/>
  <c r="S12" i="20"/>
  <c r="O12" i="20"/>
  <c r="N12" i="20"/>
  <c r="K12" i="20"/>
  <c r="J12" i="20"/>
  <c r="S11" i="20"/>
  <c r="O11" i="20"/>
  <c r="L11" i="20"/>
  <c r="K11" i="20"/>
  <c r="N10" i="20"/>
  <c r="L10" i="20"/>
  <c r="S10" i="20"/>
  <c r="J9" i="20"/>
  <c r="S9" i="20"/>
  <c r="S8" i="20"/>
  <c r="O8" i="20"/>
  <c r="N8" i="20"/>
  <c r="K8" i="20"/>
  <c r="J8" i="20"/>
  <c r="L25" i="20"/>
  <c r="D155" i="8"/>
  <c r="L8" i="20" l="1"/>
  <c r="I8" i="20" s="1"/>
  <c r="M8" i="20" s="1"/>
  <c r="P8" i="20" s="1"/>
  <c r="Q8" i="20" s="1"/>
  <c r="R8" i="20" s="1"/>
  <c r="T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D185" i="8"/>
  <c r="N19" i="20" l="1"/>
  <c r="M19" i="20"/>
  <c r="P19" i="20" s="1"/>
  <c r="Q19" i="20" s="1"/>
  <c r="R19" i="20" s="1"/>
  <c r="T19" i="20" s="1"/>
  <c r="N25" i="20"/>
  <c r="M25" i="20"/>
  <c r="P25" i="20" s="1"/>
  <c r="Q25" i="20" s="1"/>
  <c r="R25" i="20" s="1"/>
  <c r="T25" i="20" s="1"/>
  <c r="I21" i="20"/>
  <c r="I17" i="20"/>
  <c r="I13" i="20"/>
  <c r="I9" i="20"/>
  <c r="N15" i="20"/>
  <c r="M15" i="20"/>
  <c r="P15" i="20" s="1"/>
  <c r="Q15" i="20" s="1"/>
  <c r="R15" i="20" s="1"/>
  <c r="T15" i="20" s="1"/>
  <c r="N23" i="20"/>
  <c r="M23" i="20"/>
  <c r="P23" i="20" s="1"/>
  <c r="Q23" i="20" s="1"/>
  <c r="R23" i="20" s="1"/>
  <c r="T23" i="20" s="1"/>
  <c r="N11" i="20"/>
  <c r="M11" i="20"/>
  <c r="P11" i="20" s="1"/>
  <c r="Q11" i="20" s="1"/>
  <c r="R11" i="20" s="1"/>
  <c r="T11" i="20" s="1"/>
  <c r="I22" i="20"/>
  <c r="M22" i="20" s="1"/>
  <c r="P22" i="20" s="1"/>
  <c r="Q22" i="20" s="1"/>
  <c r="R22" i="20" s="1"/>
  <c r="T22" i="20" s="1"/>
  <c r="I18" i="20"/>
  <c r="M18" i="20" s="1"/>
  <c r="P18" i="20" s="1"/>
  <c r="Q18" i="20" s="1"/>
  <c r="R18" i="20" s="1"/>
  <c r="T18" i="20" s="1"/>
  <c r="I14" i="20"/>
  <c r="M14" i="20" s="1"/>
  <c r="P14" i="20" s="1"/>
  <c r="Q14" i="20" s="1"/>
  <c r="R14" i="20" s="1"/>
  <c r="T14" i="20" s="1"/>
  <c r="I10" i="20"/>
  <c r="M10" i="20" s="1"/>
  <c r="P10" i="20" s="1"/>
  <c r="Q10" i="20" s="1"/>
  <c r="R10" i="20" s="1"/>
  <c r="T10" i="20" s="1"/>
  <c r="D186" i="8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N13" i="20" l="1"/>
  <c r="M13" i="20"/>
  <c r="P13" i="20" s="1"/>
  <c r="Q13" i="20" s="1"/>
  <c r="R13" i="20" s="1"/>
  <c r="T13" i="20" s="1"/>
  <c r="N9" i="20"/>
  <c r="M9" i="20"/>
  <c r="P9" i="20" s="1"/>
  <c r="Q9" i="20" s="1"/>
  <c r="R9" i="20" s="1"/>
  <c r="T9" i="20" s="1"/>
  <c r="N17" i="20"/>
  <c r="M17" i="20"/>
  <c r="P17" i="20" s="1"/>
  <c r="Q17" i="20" s="1"/>
  <c r="R17" i="20" s="1"/>
  <c r="T17" i="20" s="1"/>
  <c r="E155" i="8" s="1"/>
  <c r="N21" i="20"/>
  <c r="M21" i="20"/>
  <c r="P21" i="20" s="1"/>
  <c r="Q21" i="20" s="1"/>
  <c r="R21" i="20" s="1"/>
  <c r="T21" i="20" s="1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J1596" i="13" s="1"/>
  <c r="CK1595" i="13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CK1596" i="13" l="1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CJ1597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BZ1385" i="13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M1351" i="13"/>
  <c r="CM1383" i="13"/>
  <c r="CM1463" i="13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J1385" i="13"/>
  <c r="CJ1386" i="13" s="1"/>
  <c r="CM1417" i="13"/>
  <c r="CM1513" i="13"/>
  <c r="CM1577" i="13"/>
  <c r="CL1470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K1470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J1470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K1531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J1531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L1531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CM1596" i="13" l="1"/>
  <c r="CN1596" i="13" s="1"/>
  <c r="CJ1598" i="13"/>
  <c r="CM1597" i="13"/>
  <c r="CM1470" i="13"/>
  <c r="CN1470" i="13" s="1"/>
  <c r="CO1470" i="13" s="1"/>
  <c r="CM1385" i="13"/>
  <c r="CN1385" i="13" s="1"/>
  <c r="CJ1387" i="13"/>
  <c r="CM1386" i="13"/>
  <c r="CM1531" i="13"/>
  <c r="CN1531" i="13" s="1"/>
  <c r="CO1531" i="13" s="1"/>
  <c r="CN1597" i="13" l="1"/>
  <c r="CJ1599" i="13"/>
  <c r="CM1598" i="13"/>
  <c r="CN1386" i="13"/>
  <c r="CJ1388" i="13"/>
  <c r="CM1387" i="13"/>
  <c r="CN1598" i="13" l="1"/>
  <c r="CJ1600" i="13"/>
  <c r="CM1599" i="13"/>
  <c r="CN1387" i="13"/>
  <c r="CJ1389" i="13"/>
  <c r="CM1388" i="13"/>
  <c r="CN1599" i="13" l="1"/>
  <c r="CJ1601" i="13"/>
  <c r="CM1600" i="13"/>
  <c r="CN1388" i="13"/>
  <c r="CJ1390" i="13"/>
  <c r="CM1389" i="13"/>
  <c r="CN1600" i="13" l="1"/>
  <c r="CJ1602" i="13"/>
  <c r="CM1601" i="13"/>
  <c r="CN1389" i="13"/>
  <c r="CJ1391" i="13"/>
  <c r="CM1390" i="13"/>
  <c r="CN1601" i="13" l="1"/>
  <c r="CJ1603" i="13"/>
  <c r="CM1602" i="13"/>
  <c r="CN1390" i="13"/>
  <c r="CJ1392" i="13"/>
  <c r="CM1391" i="13"/>
  <c r="CN1602" i="13" l="1"/>
  <c r="CJ1604" i="13"/>
  <c r="CM1603" i="13"/>
  <c r="CN1391" i="13"/>
  <c r="CJ1393" i="13"/>
  <c r="CM1392" i="13"/>
  <c r="O630" i="9"/>
  <c r="AF630" i="9" s="1"/>
  <c r="O633" i="9"/>
  <c r="O635" i="9"/>
  <c r="O628" i="9"/>
  <c r="AF628" i="9" s="1"/>
  <c r="G13" i="7" a="1"/>
  <c r="G13" i="7" s="1"/>
  <c r="AB638" i="9"/>
  <c r="AB639" i="9"/>
  <c r="AA639" i="9" s="1"/>
  <c r="AB640" i="9"/>
  <c r="AA640" i="9" s="1"/>
  <c r="AB641" i="9"/>
  <c r="AA641" i="9" s="1"/>
  <c r="AB642" i="9"/>
  <c r="AA642" i="9" s="1"/>
  <c r="AB643" i="9"/>
  <c r="AB644" i="9"/>
  <c r="AA644" i="9" s="1"/>
  <c r="AB645" i="9"/>
  <c r="AA645" i="9" s="1"/>
  <c r="AB646" i="9"/>
  <c r="AA646" i="9" s="1"/>
  <c r="AB647" i="9"/>
  <c r="AA647" i="9" s="1"/>
  <c r="AB648" i="9"/>
  <c r="AA648" i="9" s="1"/>
  <c r="AB649" i="9"/>
  <c r="AA649" i="9" s="1"/>
  <c r="AB650" i="9"/>
  <c r="AA650" i="9" s="1"/>
  <c r="AB651" i="9"/>
  <c r="AA651" i="9" s="1"/>
  <c r="AB652" i="9"/>
  <c r="AA652" i="9" s="1"/>
  <c r="AB653" i="9"/>
  <c r="AA653" i="9" s="1"/>
  <c r="AB654" i="9"/>
  <c r="AA654" i="9" s="1"/>
  <c r="AB655" i="9"/>
  <c r="AA655" i="9" s="1"/>
  <c r="AB656" i="9"/>
  <c r="AA656" i="9" s="1"/>
  <c r="AB657" i="9"/>
  <c r="AA657" i="9" s="1"/>
  <c r="AB658" i="9"/>
  <c r="AA658" i="9" s="1"/>
  <c r="AB659" i="9"/>
  <c r="AB660" i="9"/>
  <c r="AA660" i="9" s="1"/>
  <c r="AB661" i="9"/>
  <c r="AB662" i="9"/>
  <c r="AA662" i="9" s="1"/>
  <c r="AB663" i="9"/>
  <c r="AA663" i="9" s="1"/>
  <c r="AB664" i="9"/>
  <c r="AB665" i="9"/>
  <c r="AA665" i="9" s="1"/>
  <c r="AA638" i="9"/>
  <c r="AA643" i="9"/>
  <c r="AA659" i="9"/>
  <c r="AA661" i="9"/>
  <c r="AA664" i="9"/>
  <c r="W637" i="9"/>
  <c r="W638" i="9"/>
  <c r="W639" i="9"/>
  <c r="Y639" i="9" s="1"/>
  <c r="Z639" i="9" s="1"/>
  <c r="AC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W664" i="9"/>
  <c r="Y664" i="9" s="1"/>
  <c r="Z664" i="9" s="1"/>
  <c r="AC664" i="9" s="1"/>
  <c r="W665" i="9"/>
  <c r="Y665" i="9" s="1"/>
  <c r="Z665" i="9" s="1"/>
  <c r="AC665" i="9" s="1"/>
  <c r="J638" i="9"/>
  <c r="J637" i="9"/>
  <c r="AB637" i="9"/>
  <c r="AA637" i="9" s="1"/>
  <c r="AD657" i="9" l="1"/>
  <c r="AD649" i="9"/>
  <c r="AD641" i="9"/>
  <c r="CN1603" i="13"/>
  <c r="CJ1605" i="13"/>
  <c r="CM1604" i="13"/>
  <c r="AD661" i="9"/>
  <c r="AD653" i="9"/>
  <c r="AD645" i="9"/>
  <c r="AD650" i="9"/>
  <c r="AD665" i="9"/>
  <c r="AD662" i="9"/>
  <c r="AD654" i="9"/>
  <c r="AD646" i="9"/>
  <c r="AD658" i="9"/>
  <c r="AD664" i="9"/>
  <c r="AD648" i="9"/>
  <c r="AD640" i="9"/>
  <c r="AG631" i="9"/>
  <c r="AD656" i="9"/>
  <c r="Y638" i="9"/>
  <c r="Z638" i="9" s="1"/>
  <c r="AC638" i="9" s="1"/>
  <c r="Y637" i="9"/>
  <c r="AC637" i="9" s="1"/>
  <c r="AD637" i="9" s="1"/>
  <c r="AD642" i="9"/>
  <c r="AD663" i="9"/>
  <c r="AD655" i="9"/>
  <c r="AD660" i="9"/>
  <c r="AD652" i="9"/>
  <c r="AD644" i="9"/>
  <c r="AD647" i="9"/>
  <c r="AD659" i="9"/>
  <c r="AD651" i="9"/>
  <c r="AD643" i="9"/>
  <c r="CN1392" i="13"/>
  <c r="CJ1394" i="13"/>
  <c r="CM1393" i="13"/>
  <c r="AD638" i="9" l="1"/>
  <c r="CN1604" i="13"/>
  <c r="CN1393" i="13"/>
  <c r="CJ1606" i="13"/>
  <c r="CM1605" i="13"/>
  <c r="AD639" i="9"/>
  <c r="AE659" i="9" s="1"/>
  <c r="CJ1395" i="13"/>
  <c r="CM1394" i="13"/>
  <c r="AB627" i="9"/>
  <c r="AB628" i="9"/>
  <c r="AA628" i="9" s="1"/>
  <c r="AB629" i="9"/>
  <c r="AA629" i="9" s="1"/>
  <c r="AB630" i="9"/>
  <c r="AA630" i="9" s="1"/>
  <c r="AB631" i="9"/>
  <c r="AB632" i="9"/>
  <c r="AA632" i="9" s="1"/>
  <c r="AB633" i="9"/>
  <c r="AA633" i="9" s="1"/>
  <c r="AB634" i="9"/>
  <c r="AA634" i="9" s="1"/>
  <c r="AB635" i="9"/>
  <c r="AB636" i="9"/>
  <c r="AA636" i="9" s="1"/>
  <c r="AA631" i="9"/>
  <c r="AA635" i="9"/>
  <c r="W626" i="9"/>
  <c r="Y626" i="9" s="1"/>
  <c r="AC626" i="9" s="1"/>
  <c r="AD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W635" i="9"/>
  <c r="Y635" i="9" s="1"/>
  <c r="Z635" i="9" s="1"/>
  <c r="AC635" i="9" s="1"/>
  <c r="W636" i="9"/>
  <c r="Y636" i="9" s="1"/>
  <c r="Z636" i="9" s="1"/>
  <c r="AC636" i="9" s="1"/>
  <c r="AD636" i="9" s="1"/>
  <c r="AB626" i="9"/>
  <c r="AA626" i="9" s="1"/>
  <c r="AA627" i="9"/>
  <c r="G31" i="7" a="1"/>
  <c r="G31" i="7" s="1"/>
  <c r="AD632" i="9" l="1"/>
  <c r="AE644" i="9"/>
  <c r="CN1394" i="13"/>
  <c r="CN1605" i="13"/>
  <c r="CJ1607" i="13"/>
  <c r="CM1606" i="13"/>
  <c r="AE654" i="9"/>
  <c r="AE660" i="9"/>
  <c r="AE656" i="9"/>
  <c r="AE665" i="9"/>
  <c r="AE650" i="9"/>
  <c r="AE663" i="9"/>
  <c r="AE664" i="9"/>
  <c r="AE648" i="9"/>
  <c r="AE649" i="9"/>
  <c r="AE646" i="9"/>
  <c r="AE643" i="9"/>
  <c r="AE641" i="9"/>
  <c r="AE637" i="9"/>
  <c r="AE640" i="9"/>
  <c r="AE657" i="9"/>
  <c r="AE642" i="9"/>
  <c r="AE638" i="9"/>
  <c r="AE653" i="9"/>
  <c r="AE647" i="9"/>
  <c r="AE639" i="9"/>
  <c r="AE652" i="9"/>
  <c r="AE658" i="9"/>
  <c r="AE655" i="9"/>
  <c r="AE651" i="9"/>
  <c r="AE662" i="9"/>
  <c r="AE645" i="9"/>
  <c r="AE661" i="9"/>
  <c r="AD628" i="9"/>
  <c r="AD627" i="9"/>
  <c r="CJ1396" i="13"/>
  <c r="CM1395" i="13"/>
  <c r="CN1395" i="13" s="1"/>
  <c r="AD635" i="9"/>
  <c r="AD631" i="9"/>
  <c r="AD629" i="9"/>
  <c r="AD634" i="9"/>
  <c r="AD633" i="9"/>
  <c r="AD630" i="9"/>
  <c r="CN1606" i="13" l="1"/>
  <c r="CJ1608" i="13"/>
  <c r="CM1607" i="13"/>
  <c r="AE629" i="9"/>
  <c r="AE626" i="9"/>
  <c r="CJ1397" i="13"/>
  <c r="CM1396" i="13"/>
  <c r="CN1396" i="13" s="1"/>
  <c r="AE634" i="9"/>
  <c r="AE631" i="9"/>
  <c r="AE627" i="9"/>
  <c r="AE635" i="9"/>
  <c r="AE630" i="9"/>
  <c r="AE636" i="9"/>
  <c r="AE633" i="9"/>
  <c r="AE628" i="9"/>
  <c r="AE632" i="9"/>
  <c r="CN1607" i="13" l="1"/>
  <c r="CJ1609" i="13"/>
  <c r="CM1609" i="13" s="1"/>
  <c r="CM1608" i="13"/>
  <c r="CJ1398" i="13"/>
  <c r="CM1397" i="13"/>
  <c r="CN1397" i="13" s="1"/>
  <c r="D152" i="8"/>
  <c r="D149" i="8"/>
  <c r="D146" i="8"/>
  <c r="D9" i="8"/>
  <c r="K10" i="11"/>
  <c r="G23" i="7" a="1"/>
  <c r="G23" i="7" s="1"/>
  <c r="AD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B598" i="9"/>
  <c r="AB599" i="9"/>
  <c r="AA599" i="9" s="1"/>
  <c r="AB600" i="9"/>
  <c r="AA600" i="9" s="1"/>
  <c r="AB601" i="9"/>
  <c r="AB602" i="9"/>
  <c r="AB603" i="9"/>
  <c r="AA603" i="9" s="1"/>
  <c r="AB604" i="9"/>
  <c r="AA604" i="9" s="1"/>
  <c r="AB605" i="9"/>
  <c r="AA605" i="9" s="1"/>
  <c r="AB606" i="9"/>
  <c r="AB607" i="9"/>
  <c r="AA607" i="9" s="1"/>
  <c r="AB608" i="9"/>
  <c r="AA608" i="9" s="1"/>
  <c r="AB609" i="9"/>
  <c r="AB610" i="9"/>
  <c r="AB611" i="9"/>
  <c r="AA611" i="9" s="1"/>
  <c r="AB612" i="9"/>
  <c r="AA612" i="9" s="1"/>
  <c r="AB613" i="9"/>
  <c r="AA613" i="9" s="1"/>
  <c r="AB614" i="9"/>
  <c r="AB615" i="9"/>
  <c r="AA615" i="9" s="1"/>
  <c r="AB616" i="9"/>
  <c r="AA616" i="9" s="1"/>
  <c r="AB617" i="9"/>
  <c r="AB618" i="9"/>
  <c r="AB619" i="9"/>
  <c r="AA619" i="9" s="1"/>
  <c r="AB620" i="9"/>
  <c r="AA620" i="9" s="1"/>
  <c r="AB621" i="9"/>
  <c r="AA621" i="9" s="1"/>
  <c r="AB622" i="9"/>
  <c r="AB623" i="9"/>
  <c r="AA623" i="9" s="1"/>
  <c r="AB624" i="9"/>
  <c r="AA624" i="9" s="1"/>
  <c r="AB625" i="9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7" i="9"/>
  <c r="AA598" i="9"/>
  <c r="AA601" i="9"/>
  <c r="AA602" i="9"/>
  <c r="AA606" i="9"/>
  <c r="AA609" i="9"/>
  <c r="AA610" i="9"/>
  <c r="AA614" i="9"/>
  <c r="AA617" i="9"/>
  <c r="AA618" i="9"/>
  <c r="AA622" i="9"/>
  <c r="AA625" i="9"/>
  <c r="W545" i="9"/>
  <c r="Y545" i="9" s="1"/>
  <c r="Z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W624" i="9"/>
  <c r="Y624" i="9" s="1"/>
  <c r="Z624" i="9" s="1"/>
  <c r="AC624" i="9" s="1"/>
  <c r="W625" i="9"/>
  <c r="Y625" i="9" s="1"/>
  <c r="Z625" i="9" s="1"/>
  <c r="AC625" i="9" s="1"/>
  <c r="AB545" i="9"/>
  <c r="AA545" i="9" s="1"/>
  <c r="CN1608" i="13" l="1"/>
  <c r="CN1609" i="13" s="1"/>
  <c r="AD620" i="9"/>
  <c r="AD612" i="9"/>
  <c r="AD604" i="9"/>
  <c r="AD596" i="9"/>
  <c r="AD588" i="9"/>
  <c r="CJ1399" i="13"/>
  <c r="CM1398" i="13"/>
  <c r="CN1398" i="13" s="1"/>
  <c r="AD580" i="9"/>
  <c r="AD621" i="9"/>
  <c r="AD613" i="9"/>
  <c r="AD605" i="9"/>
  <c r="AD597" i="9"/>
  <c r="AD589" i="9"/>
  <c r="AD572" i="9"/>
  <c r="AD618" i="9"/>
  <c r="AD622" i="9"/>
  <c r="AD590" i="9"/>
  <c r="AD566" i="9"/>
  <c r="AD609" i="9"/>
  <c r="AD564" i="9"/>
  <c r="AD556" i="9"/>
  <c r="AD548" i="9"/>
  <c r="AD610" i="9"/>
  <c r="AD601" i="9"/>
  <c r="AD593" i="9"/>
  <c r="AD585" i="9"/>
  <c r="AD577" i="9"/>
  <c r="AD569" i="9"/>
  <c r="AD561" i="9"/>
  <c r="AD553" i="9"/>
  <c r="AD617" i="9"/>
  <c r="AD615" i="9"/>
  <c r="AD607" i="9"/>
  <c r="AD599" i="9"/>
  <c r="AD591" i="9"/>
  <c r="AD583" i="9"/>
  <c r="AD575" i="9"/>
  <c r="AD567" i="9"/>
  <c r="AD559" i="9"/>
  <c r="AD551" i="9"/>
  <c r="AD602" i="9"/>
  <c r="AD598" i="9"/>
  <c r="AD592" i="9"/>
  <c r="AD563" i="9"/>
  <c r="AD616" i="9"/>
  <c r="AD584" i="9"/>
  <c r="AD558" i="9"/>
  <c r="AD581" i="9"/>
  <c r="AD573" i="9"/>
  <c r="AD565" i="9"/>
  <c r="AD557" i="9"/>
  <c r="AD549" i="9"/>
  <c r="AD614" i="9"/>
  <c r="AD582" i="9"/>
  <c r="AD555" i="9"/>
  <c r="AD608" i="9"/>
  <c r="AD576" i="9"/>
  <c r="AD552" i="9"/>
  <c r="AD619" i="9"/>
  <c r="AD611" i="9"/>
  <c r="AD603" i="9"/>
  <c r="AD595" i="9"/>
  <c r="AD587" i="9"/>
  <c r="AD579" i="9"/>
  <c r="AD571" i="9"/>
  <c r="AD606" i="9"/>
  <c r="AD574" i="9"/>
  <c r="AD550" i="9"/>
  <c r="AD560" i="9"/>
  <c r="AD594" i="9"/>
  <c r="AD586" i="9"/>
  <c r="AD578" i="9"/>
  <c r="AD570" i="9"/>
  <c r="AD562" i="9"/>
  <c r="AD554" i="9"/>
  <c r="AD546" i="9"/>
  <c r="AD600" i="9"/>
  <c r="AD568" i="9"/>
  <c r="AD547" i="9"/>
  <c r="AD625" i="9"/>
  <c r="AD623" i="9"/>
  <c r="AD624" i="9"/>
  <c r="CO1608" i="13" l="1"/>
  <c r="CJ1400" i="13"/>
  <c r="CM1399" i="13"/>
  <c r="CN1399" i="13" s="1"/>
  <c r="AE588" i="9"/>
  <c r="AE606" i="9"/>
  <c r="AE587" i="9"/>
  <c r="AE593" i="9"/>
  <c r="AE562" i="9"/>
  <c r="AE598" i="9"/>
  <c r="AE545" i="9"/>
  <c r="AE600" i="9"/>
  <c r="AE570" i="9"/>
  <c r="AE609" i="9"/>
  <c r="AE613" i="9"/>
  <c r="AE615" i="9"/>
  <c r="AE558" i="9"/>
  <c r="AE592" i="9"/>
  <c r="AE589" i="9"/>
  <c r="AE621" i="9"/>
  <c r="AE580" i="9"/>
  <c r="AE574" i="9"/>
  <c r="AE579" i="9"/>
  <c r="AE618" i="9"/>
  <c r="AE554" i="9"/>
  <c r="AE601" i="9"/>
  <c r="AE567" i="9"/>
  <c r="AE584" i="9"/>
  <c r="AE572" i="9"/>
  <c r="AE546" i="9"/>
  <c r="AE576" i="9"/>
  <c r="AE564" i="9"/>
  <c r="AE602" i="9"/>
  <c r="AE599" i="9"/>
  <c r="AE585" i="9"/>
  <c r="AE566" i="9"/>
  <c r="AE568" i="9"/>
  <c r="AE573" i="9"/>
  <c r="AE620" i="9"/>
  <c r="AE619" i="9"/>
  <c r="AE555" i="9"/>
  <c r="AE594" i="9"/>
  <c r="AE551" i="9"/>
  <c r="AE577" i="9"/>
  <c r="AE624" i="9"/>
  <c r="AE560" i="9"/>
  <c r="AE581" i="9"/>
  <c r="AE605" i="9"/>
  <c r="AE610" i="9"/>
  <c r="AE614" i="9"/>
  <c r="AE557" i="9"/>
  <c r="AE563" i="9"/>
  <c r="AE549" i="9"/>
  <c r="AE556" i="9"/>
  <c r="AE550" i="9"/>
  <c r="AE623" i="9"/>
  <c r="AE612" i="9"/>
  <c r="AE548" i="9"/>
  <c r="AE611" i="9"/>
  <c r="AE547" i="9"/>
  <c r="AE586" i="9"/>
  <c r="AE582" i="9"/>
  <c r="AE569" i="9"/>
  <c r="AE616" i="9"/>
  <c r="AE552" i="9"/>
  <c r="AE597" i="9"/>
  <c r="AE571" i="9"/>
  <c r="AE565" i="9"/>
  <c r="AE575" i="9"/>
  <c r="AE607" i="9"/>
  <c r="AE603" i="9"/>
  <c r="AE583" i="9"/>
  <c r="AE578" i="9"/>
  <c r="AE625" i="9"/>
  <c r="AE561" i="9"/>
  <c r="AE608" i="9"/>
  <c r="AE559" i="9"/>
  <c r="AE604" i="9"/>
  <c r="AE622" i="9"/>
  <c r="AE596" i="9"/>
  <c r="AE591" i="9"/>
  <c r="AE595" i="9"/>
  <c r="AE590" i="9"/>
  <c r="AE617" i="9"/>
  <c r="AE553" i="9"/>
  <c r="CJ1401" i="13" l="1"/>
  <c r="CM1400" i="13"/>
  <c r="CN1400" i="13" s="1"/>
  <c r="G8" i="7" a="1"/>
  <c r="G8" i="7" s="1"/>
  <c r="AD434" i="9"/>
  <c r="AB436" i="9"/>
  <c r="AA436" i="9" s="1"/>
  <c r="AB437" i="9"/>
  <c r="AA437" i="9" s="1"/>
  <c r="AB438" i="9"/>
  <c r="AA438" i="9" s="1"/>
  <c r="AB439" i="9"/>
  <c r="AA439" i="9" s="1"/>
  <c r="AB440" i="9"/>
  <c r="AA440" i="9" s="1"/>
  <c r="AB441" i="9"/>
  <c r="AA441" i="9" s="1"/>
  <c r="AB442" i="9"/>
  <c r="AB443" i="9"/>
  <c r="AA443" i="9" s="1"/>
  <c r="AB444" i="9"/>
  <c r="AB445" i="9"/>
  <c r="AA445" i="9" s="1"/>
  <c r="AB446" i="9"/>
  <c r="AA446" i="9" s="1"/>
  <c r="AB447" i="9"/>
  <c r="AA447" i="9" s="1"/>
  <c r="AB448" i="9"/>
  <c r="AA448" i="9" s="1"/>
  <c r="AB449" i="9"/>
  <c r="AA449" i="9" s="1"/>
  <c r="AB450" i="9"/>
  <c r="AB451" i="9"/>
  <c r="AA451" i="9" s="1"/>
  <c r="AB452" i="9"/>
  <c r="AB453" i="9"/>
  <c r="AB454" i="9"/>
  <c r="AA454" i="9" s="1"/>
  <c r="AB455" i="9"/>
  <c r="AA455" i="9" s="1"/>
  <c r="AB456" i="9"/>
  <c r="AA456" i="9" s="1"/>
  <c r="AB457" i="9"/>
  <c r="AA457" i="9" s="1"/>
  <c r="AB458" i="9"/>
  <c r="AB459" i="9"/>
  <c r="AA459" i="9" s="1"/>
  <c r="AB460" i="9"/>
  <c r="AB461" i="9"/>
  <c r="AA461" i="9" s="1"/>
  <c r="AB462" i="9"/>
  <c r="AA462" i="9" s="1"/>
  <c r="AB463" i="9"/>
  <c r="AA463" i="9" s="1"/>
  <c r="AB464" i="9"/>
  <c r="AA464" i="9" s="1"/>
  <c r="AB465" i="9"/>
  <c r="AA465" i="9" s="1"/>
  <c r="AB466" i="9"/>
  <c r="AB467" i="9"/>
  <c r="AA467" i="9" s="1"/>
  <c r="AB468" i="9"/>
  <c r="AB469" i="9"/>
  <c r="AA469" i="9" s="1"/>
  <c r="AB470" i="9"/>
  <c r="AA470" i="9" s="1"/>
  <c r="AB471" i="9"/>
  <c r="AA471" i="9" s="1"/>
  <c r="AB472" i="9"/>
  <c r="AA472" i="9" s="1"/>
  <c r="AB473" i="9"/>
  <c r="AA473" i="9" s="1"/>
  <c r="AB474" i="9"/>
  <c r="AB475" i="9"/>
  <c r="AA475" i="9" s="1"/>
  <c r="AB476" i="9"/>
  <c r="AB477" i="9"/>
  <c r="AA477" i="9" s="1"/>
  <c r="AB478" i="9"/>
  <c r="AA478" i="9" s="1"/>
  <c r="AB479" i="9"/>
  <c r="AA479" i="9" s="1"/>
  <c r="AB480" i="9"/>
  <c r="AB481" i="9"/>
  <c r="AA481" i="9" s="1"/>
  <c r="AB482" i="9"/>
  <c r="AB483" i="9"/>
  <c r="AA483" i="9" s="1"/>
  <c r="AB484" i="9"/>
  <c r="AB485" i="9"/>
  <c r="AA485" i="9" s="1"/>
  <c r="AB486" i="9"/>
  <c r="AA486" i="9" s="1"/>
  <c r="AB487" i="9"/>
  <c r="AA487" i="9" s="1"/>
  <c r="AB488" i="9"/>
  <c r="AA488" i="9" s="1"/>
  <c r="AB489" i="9"/>
  <c r="AA489" i="9" s="1"/>
  <c r="AB490" i="9"/>
  <c r="AB491" i="9"/>
  <c r="AA491" i="9" s="1"/>
  <c r="AB492" i="9"/>
  <c r="AB493" i="9"/>
  <c r="AA493" i="9" s="1"/>
  <c r="AB494" i="9"/>
  <c r="AA494" i="9" s="1"/>
  <c r="AB495" i="9"/>
  <c r="AA495" i="9" s="1"/>
  <c r="AB496" i="9"/>
  <c r="AA496" i="9" s="1"/>
  <c r="AB497" i="9"/>
  <c r="AA497" i="9" s="1"/>
  <c r="AB498" i="9"/>
  <c r="AB499" i="9"/>
  <c r="AA499" i="9" s="1"/>
  <c r="AB500" i="9"/>
  <c r="AB501" i="9"/>
  <c r="AA501" i="9" s="1"/>
  <c r="AB502" i="9"/>
  <c r="AA502" i="9" s="1"/>
  <c r="AB503" i="9"/>
  <c r="AA503" i="9" s="1"/>
  <c r="AB504" i="9"/>
  <c r="AA504" i="9" s="1"/>
  <c r="AB505" i="9"/>
  <c r="AA505" i="9" s="1"/>
  <c r="AB506" i="9"/>
  <c r="AB507" i="9"/>
  <c r="AA507" i="9" s="1"/>
  <c r="AB508" i="9"/>
  <c r="AB509" i="9"/>
  <c r="AA509" i="9" s="1"/>
  <c r="AB510" i="9"/>
  <c r="AA510" i="9" s="1"/>
  <c r="AB511" i="9"/>
  <c r="AA511" i="9" s="1"/>
  <c r="AB512" i="9"/>
  <c r="AA512" i="9" s="1"/>
  <c r="AB513" i="9"/>
  <c r="AA513" i="9" s="1"/>
  <c r="AB514" i="9"/>
  <c r="AB515" i="9"/>
  <c r="AA515" i="9" s="1"/>
  <c r="AB516" i="9"/>
  <c r="AB517" i="9"/>
  <c r="AA517" i="9" s="1"/>
  <c r="AB518" i="9"/>
  <c r="AA518" i="9" s="1"/>
  <c r="AB519" i="9"/>
  <c r="AA519" i="9" s="1"/>
  <c r="AB520" i="9"/>
  <c r="AA520" i="9" s="1"/>
  <c r="AB521" i="9"/>
  <c r="AA521" i="9" s="1"/>
  <c r="AB522" i="9"/>
  <c r="AB523" i="9"/>
  <c r="AA523" i="9" s="1"/>
  <c r="AB524" i="9"/>
  <c r="AB525" i="9"/>
  <c r="AA525" i="9" s="1"/>
  <c r="AB526" i="9"/>
  <c r="AA526" i="9" s="1"/>
  <c r="AB527" i="9"/>
  <c r="AA527" i="9" s="1"/>
  <c r="AB528" i="9"/>
  <c r="AA528" i="9" s="1"/>
  <c r="AB529" i="9"/>
  <c r="AA529" i="9" s="1"/>
  <c r="AB530" i="9"/>
  <c r="AB531" i="9"/>
  <c r="AA531" i="9" s="1"/>
  <c r="AB532" i="9"/>
  <c r="AB533" i="9"/>
  <c r="AA533" i="9" s="1"/>
  <c r="AB534" i="9"/>
  <c r="AA534" i="9" s="1"/>
  <c r="AB535" i="9"/>
  <c r="AA535" i="9" s="1"/>
  <c r="AB536" i="9"/>
  <c r="AA536" i="9" s="1"/>
  <c r="AB537" i="9"/>
  <c r="AA537" i="9" s="1"/>
  <c r="AB538" i="9"/>
  <c r="AB539" i="9"/>
  <c r="AA539" i="9" s="1"/>
  <c r="AB540" i="9"/>
  <c r="AB541" i="9"/>
  <c r="AA541" i="9" s="1"/>
  <c r="AB542" i="9"/>
  <c r="AA542" i="9" s="1"/>
  <c r="AB543" i="9"/>
  <c r="AA543" i="9" s="1"/>
  <c r="AB544" i="9"/>
  <c r="AA544" i="9" s="1"/>
  <c r="AA442" i="9"/>
  <c r="AA444" i="9"/>
  <c r="AA450" i="9"/>
  <c r="AA452" i="9"/>
  <c r="AA453" i="9"/>
  <c r="AA458" i="9"/>
  <c r="AA460" i="9"/>
  <c r="AA466" i="9"/>
  <c r="AA468" i="9"/>
  <c r="AA474" i="9"/>
  <c r="AA476" i="9"/>
  <c r="AA480" i="9"/>
  <c r="AA482" i="9"/>
  <c r="AA484" i="9"/>
  <c r="AA490" i="9"/>
  <c r="AA492" i="9"/>
  <c r="AA498" i="9"/>
  <c r="AA500" i="9"/>
  <c r="AA506" i="9"/>
  <c r="AA508" i="9"/>
  <c r="AA514" i="9"/>
  <c r="AA516" i="9"/>
  <c r="AA522" i="9"/>
  <c r="AA524" i="9"/>
  <c r="AA530" i="9"/>
  <c r="AA532" i="9"/>
  <c r="AA538" i="9"/>
  <c r="AA540" i="9"/>
  <c r="W434" i="9"/>
  <c r="Y434" i="9" s="1"/>
  <c r="Z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W543" i="9"/>
  <c r="Y543" i="9" s="1"/>
  <c r="Z543" i="9" s="1"/>
  <c r="AC543" i="9" s="1"/>
  <c r="W544" i="9"/>
  <c r="Y544" i="9" s="1"/>
  <c r="Z544" i="9" s="1"/>
  <c r="AC544" i="9" s="1"/>
  <c r="AB435" i="9"/>
  <c r="AA435" i="9" s="1"/>
  <c r="AB434" i="9"/>
  <c r="AA434" i="9" s="1"/>
  <c r="AD544" i="9" l="1"/>
  <c r="AD536" i="9"/>
  <c r="AD528" i="9"/>
  <c r="AD520" i="9"/>
  <c r="AD512" i="9"/>
  <c r="AD504" i="9"/>
  <c r="AD496" i="9"/>
  <c r="AD488" i="9"/>
  <c r="AD480" i="9"/>
  <c r="CJ1402" i="13"/>
  <c r="CM1402" i="13" s="1"/>
  <c r="CM1401" i="13"/>
  <c r="CN1401" i="13" s="1"/>
  <c r="AD435" i="9"/>
  <c r="AD498" i="9"/>
  <c r="AD482" i="9"/>
  <c r="AD529" i="9"/>
  <c r="AD505" i="9"/>
  <c r="AD497" i="9"/>
  <c r="AD489" i="9"/>
  <c r="AD481" i="9"/>
  <c r="AD473" i="9"/>
  <c r="AD465" i="9"/>
  <c r="AD457" i="9"/>
  <c r="AD449" i="9"/>
  <c r="AD441" i="9"/>
  <c r="AD537" i="9"/>
  <c r="AD513" i="9"/>
  <c r="AD521" i="9"/>
  <c r="AD463" i="9"/>
  <c r="AD469" i="9"/>
  <c r="AD541" i="9"/>
  <c r="AD525" i="9"/>
  <c r="AD509" i="9"/>
  <c r="AD539" i="9"/>
  <c r="AD523" i="9"/>
  <c r="AD507" i="9"/>
  <c r="AD491" i="9"/>
  <c r="AD475" i="9"/>
  <c r="AD459" i="9"/>
  <c r="AD451" i="9"/>
  <c r="AD443" i="9"/>
  <c r="AD439" i="9"/>
  <c r="AD531" i="9"/>
  <c r="AD515" i="9"/>
  <c r="AD483" i="9"/>
  <c r="AD467" i="9"/>
  <c r="AD455" i="9"/>
  <c r="AD472" i="9"/>
  <c r="AD448" i="9"/>
  <c r="AD533" i="9"/>
  <c r="AD501" i="9"/>
  <c r="AD493" i="9"/>
  <c r="AD453" i="9"/>
  <c r="AD445" i="9"/>
  <c r="AD516" i="9"/>
  <c r="AD484" i="9"/>
  <c r="AD460" i="9"/>
  <c r="AD490" i="9"/>
  <c r="AD540" i="9"/>
  <c r="AD508" i="9"/>
  <c r="AD476" i="9"/>
  <c r="AD538" i="9"/>
  <c r="AD474" i="9"/>
  <c r="AD499" i="9"/>
  <c r="AD464" i="9"/>
  <c r="AD456" i="9"/>
  <c r="AD440" i="9"/>
  <c r="AD452" i="9"/>
  <c r="AD530" i="9"/>
  <c r="AD466" i="9"/>
  <c r="AD543" i="9"/>
  <c r="AD535" i="9"/>
  <c r="AD527" i="9"/>
  <c r="AD519" i="9"/>
  <c r="AD511" i="9"/>
  <c r="AD503" i="9"/>
  <c r="AD495" i="9"/>
  <c r="AD487" i="9"/>
  <c r="AD479" i="9"/>
  <c r="AD532" i="9"/>
  <c r="AD500" i="9"/>
  <c r="AD471" i="9"/>
  <c r="AD522" i="9"/>
  <c r="AD458" i="9"/>
  <c r="AD542" i="9"/>
  <c r="AD534" i="9"/>
  <c r="AD526" i="9"/>
  <c r="AD518" i="9"/>
  <c r="AD510" i="9"/>
  <c r="AD502" i="9"/>
  <c r="AD494" i="9"/>
  <c r="AD486" i="9"/>
  <c r="AD478" i="9"/>
  <c r="AD470" i="9"/>
  <c r="AD462" i="9"/>
  <c r="AD454" i="9"/>
  <c r="AD446" i="9"/>
  <c r="AD438" i="9"/>
  <c r="AD468" i="9"/>
  <c r="AD447" i="9"/>
  <c r="AD514" i="9"/>
  <c r="AD450" i="9"/>
  <c r="AD517" i="9"/>
  <c r="AD485" i="9"/>
  <c r="AD477" i="9"/>
  <c r="AD461" i="9"/>
  <c r="AD524" i="9"/>
  <c r="AD492" i="9"/>
  <c r="AD444" i="9"/>
  <c r="AD506" i="9"/>
  <c r="AD442" i="9"/>
  <c r="AD436" i="9"/>
  <c r="AD437" i="9"/>
  <c r="G11" i="7" a="1"/>
  <c r="G11" i="7" s="1"/>
  <c r="AD401" i="9"/>
  <c r="W401" i="9"/>
  <c r="Y401" i="9" s="1"/>
  <c r="Z401" i="9" s="1"/>
  <c r="W402" i="9"/>
  <c r="W403" i="9"/>
  <c r="W404" i="9"/>
  <c r="W405" i="9"/>
  <c r="W406" i="9"/>
  <c r="W407" i="9"/>
  <c r="Y407" i="9" s="1"/>
  <c r="Z407" i="9" s="1"/>
  <c r="AC407" i="9" s="1"/>
  <c r="W408" i="9"/>
  <c r="Y408" i="9" s="1"/>
  <c r="Z408" i="9" s="1"/>
  <c r="W409" i="9"/>
  <c r="Y409" i="9" s="1"/>
  <c r="Z409" i="9" s="1"/>
  <c r="AC409" i="9" s="1"/>
  <c r="W410" i="9"/>
  <c r="Y410" i="9" s="1"/>
  <c r="Z410" i="9" s="1"/>
  <c r="W411" i="9"/>
  <c r="Y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AC414" i="9" s="1"/>
  <c r="W415" i="9"/>
  <c r="Y415" i="9" s="1"/>
  <c r="Z415" i="9" s="1"/>
  <c r="AC415" i="9" s="1"/>
  <c r="W416" i="9"/>
  <c r="Y416" i="9" s="1"/>
  <c r="Z416" i="9" s="1"/>
  <c r="W417" i="9"/>
  <c r="Y417" i="9" s="1"/>
  <c r="Z417" i="9" s="1"/>
  <c r="AC417" i="9" s="1"/>
  <c r="W418" i="9"/>
  <c r="Y418" i="9" s="1"/>
  <c r="Z418" i="9" s="1"/>
  <c r="W419" i="9"/>
  <c r="Y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AC422" i="9" s="1"/>
  <c r="W423" i="9"/>
  <c r="Y423" i="9" s="1"/>
  <c r="Z423" i="9" s="1"/>
  <c r="AC423" i="9" s="1"/>
  <c r="W424" i="9"/>
  <c r="Y424" i="9" s="1"/>
  <c r="Z424" i="9" s="1"/>
  <c r="W425" i="9"/>
  <c r="Y425" i="9" s="1"/>
  <c r="Z425" i="9" s="1"/>
  <c r="AC425" i="9" s="1"/>
  <c r="W426" i="9"/>
  <c r="Y426" i="9" s="1"/>
  <c r="Z426" i="9" s="1"/>
  <c r="W427" i="9"/>
  <c r="Y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AC430" i="9" s="1"/>
  <c r="W431" i="9"/>
  <c r="Y431" i="9" s="1"/>
  <c r="Z431" i="9" s="1"/>
  <c r="AC431" i="9" s="1"/>
  <c r="W432" i="9"/>
  <c r="Y432" i="9" s="1"/>
  <c r="Z432" i="9" s="1"/>
  <c r="W433" i="9"/>
  <c r="Y433" i="9" s="1"/>
  <c r="Z433" i="9" s="1"/>
  <c r="AC433" i="9" s="1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B416" i="9"/>
  <c r="AB417" i="9"/>
  <c r="AA417" i="9" s="1"/>
  <c r="AB418" i="9"/>
  <c r="AA418" i="9" s="1"/>
  <c r="AB419" i="9"/>
  <c r="AB420" i="9"/>
  <c r="AA420" i="9" s="1"/>
  <c r="AB421" i="9"/>
  <c r="AA421" i="9" s="1"/>
  <c r="AB422" i="9"/>
  <c r="AA422" i="9" s="1"/>
  <c r="AB423" i="9"/>
  <c r="AB424" i="9"/>
  <c r="AB425" i="9"/>
  <c r="AA425" i="9" s="1"/>
  <c r="AB426" i="9"/>
  <c r="AA426" i="9" s="1"/>
  <c r="AB427" i="9"/>
  <c r="AB428" i="9"/>
  <c r="AA428" i="9" s="1"/>
  <c r="AB429" i="9"/>
  <c r="AA429" i="9" s="1"/>
  <c r="AB430" i="9"/>
  <c r="AA430" i="9" s="1"/>
  <c r="AB431" i="9"/>
  <c r="AB432" i="9"/>
  <c r="AB433" i="9"/>
  <c r="AA433" i="9" s="1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5" i="9"/>
  <c r="AA416" i="9"/>
  <c r="AA419" i="9"/>
  <c r="AA423" i="9"/>
  <c r="AA424" i="9"/>
  <c r="AA427" i="9"/>
  <c r="AA431" i="9"/>
  <c r="AA432" i="9"/>
  <c r="J402" i="9"/>
  <c r="J404" i="9"/>
  <c r="J405" i="9"/>
  <c r="J406" i="9"/>
  <c r="J403" i="9"/>
  <c r="AB401" i="9"/>
  <c r="AA401" i="9" s="1"/>
  <c r="O432" i="9"/>
  <c r="O430" i="9"/>
  <c r="O428" i="9"/>
  <c r="O426" i="9"/>
  <c r="O424" i="9"/>
  <c r="O422" i="9"/>
  <c r="O420" i="9"/>
  <c r="O418" i="9"/>
  <c r="O416" i="9"/>
  <c r="O414" i="9"/>
  <c r="O412" i="9"/>
  <c r="O410" i="9"/>
  <c r="O408" i="9"/>
  <c r="G9" i="7" a="1"/>
  <c r="G9" i="7" s="1"/>
  <c r="AD366" i="9"/>
  <c r="J368" i="9"/>
  <c r="J369" i="9"/>
  <c r="J370" i="9"/>
  <c r="J371" i="9"/>
  <c r="J367" i="9"/>
  <c r="AB369" i="9"/>
  <c r="AA369" i="9" s="1"/>
  <c r="W369" i="9"/>
  <c r="AB366" i="9"/>
  <c r="AA366" i="9" s="1"/>
  <c r="W366" i="9"/>
  <c r="Y366" i="9" s="1"/>
  <c r="Z366" i="9" s="1"/>
  <c r="AB367" i="9"/>
  <c r="AA367" i="9" s="1"/>
  <c r="AB368" i="9"/>
  <c r="AA368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A393" i="9" s="1"/>
  <c r="AB394" i="9"/>
  <c r="AA394" i="9" s="1"/>
  <c r="AB395" i="9"/>
  <c r="AB396" i="9"/>
  <c r="AA396" i="9" s="1"/>
  <c r="AB397" i="9"/>
  <c r="AA397" i="9" s="1"/>
  <c r="AB398" i="9"/>
  <c r="AA398" i="9" s="1"/>
  <c r="AB399" i="9"/>
  <c r="AA399" i="9" s="1"/>
  <c r="AB400" i="9"/>
  <c r="AA400" i="9" s="1"/>
  <c r="AA395" i="9"/>
  <c r="W367" i="9"/>
  <c r="Y367" i="9" s="1"/>
  <c r="Z367" i="9" s="1"/>
  <c r="AC367" i="9" s="1"/>
  <c r="W368" i="9"/>
  <c r="W370" i="9"/>
  <c r="W371" i="9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W399" i="9"/>
  <c r="Y399" i="9" s="1"/>
  <c r="Z399" i="9" s="1"/>
  <c r="AC399" i="9" s="1"/>
  <c r="W400" i="9"/>
  <c r="Y400" i="9" s="1"/>
  <c r="Z400" i="9" s="1"/>
  <c r="AC400" i="9" s="1"/>
  <c r="O399" i="9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CN1402" i="13" l="1"/>
  <c r="CO1401" i="13"/>
  <c r="Y403" i="9"/>
  <c r="Y402" i="9"/>
  <c r="Z402" i="9" s="1"/>
  <c r="AE531" i="9"/>
  <c r="AE536" i="9"/>
  <c r="AE518" i="9"/>
  <c r="AE490" i="9"/>
  <c r="AE491" i="9"/>
  <c r="Y404" i="9"/>
  <c r="Z404" i="9" s="1"/>
  <c r="AC404" i="9" s="1"/>
  <c r="AE538" i="9"/>
  <c r="AE474" i="9"/>
  <c r="AE521" i="9"/>
  <c r="AE457" i="9"/>
  <c r="AE456" i="9"/>
  <c r="AE495" i="9"/>
  <c r="AE544" i="9"/>
  <c r="AE534" i="9"/>
  <c r="AE470" i="9"/>
  <c r="AE517" i="9"/>
  <c r="AE453" i="9"/>
  <c r="AE500" i="9"/>
  <c r="AE436" i="9"/>
  <c r="AE483" i="9"/>
  <c r="AE530" i="9"/>
  <c r="AE466" i="9"/>
  <c r="AE513" i="9"/>
  <c r="AE449" i="9"/>
  <c r="AE440" i="9"/>
  <c r="AE487" i="9"/>
  <c r="AE528" i="9"/>
  <c r="AE526" i="9"/>
  <c r="AE462" i="9"/>
  <c r="AE509" i="9"/>
  <c r="AE445" i="9"/>
  <c r="AE492" i="9"/>
  <c r="AE539" i="9"/>
  <c r="AE475" i="9"/>
  <c r="AE514" i="9"/>
  <c r="AE450" i="9"/>
  <c r="AE497" i="9"/>
  <c r="AE535" i="9"/>
  <c r="AE471" i="9"/>
  <c r="AE496" i="9"/>
  <c r="AE510" i="9"/>
  <c r="AE446" i="9"/>
  <c r="AE493" i="9"/>
  <c r="AE540" i="9"/>
  <c r="AE476" i="9"/>
  <c r="AE523" i="9"/>
  <c r="AE459" i="9"/>
  <c r="AE441" i="9"/>
  <c r="AE512" i="9"/>
  <c r="AE454" i="9"/>
  <c r="AE484" i="9"/>
  <c r="AE467" i="9"/>
  <c r="AE506" i="9"/>
  <c r="AE442" i="9"/>
  <c r="AE489" i="9"/>
  <c r="AE520" i="9"/>
  <c r="AE527" i="9"/>
  <c r="AE463" i="9"/>
  <c r="AE480" i="9"/>
  <c r="AE502" i="9"/>
  <c r="AE438" i="9"/>
  <c r="AE485" i="9"/>
  <c r="AE532" i="9"/>
  <c r="AE468" i="9"/>
  <c r="AE515" i="9"/>
  <c r="AE451" i="9"/>
  <c r="AE522" i="9"/>
  <c r="AE479" i="9"/>
  <c r="AE501" i="9"/>
  <c r="AD431" i="9"/>
  <c r="AD423" i="9"/>
  <c r="AD415" i="9"/>
  <c r="AE498" i="9"/>
  <c r="AE434" i="9"/>
  <c r="AE481" i="9"/>
  <c r="AE504" i="9"/>
  <c r="AE519" i="9"/>
  <c r="AE455" i="9"/>
  <c r="AE464" i="9"/>
  <c r="AE494" i="9"/>
  <c r="AE541" i="9"/>
  <c r="AE477" i="9"/>
  <c r="AE524" i="9"/>
  <c r="AE460" i="9"/>
  <c r="AE507" i="9"/>
  <c r="AE443" i="9"/>
  <c r="AE458" i="9"/>
  <c r="AD430" i="9"/>
  <c r="AD422" i="9"/>
  <c r="AD414" i="9"/>
  <c r="Y406" i="9"/>
  <c r="Z406" i="9" s="1"/>
  <c r="AC406" i="9" s="1"/>
  <c r="AD407" i="9" s="1"/>
  <c r="AE537" i="9"/>
  <c r="AE473" i="9"/>
  <c r="AE488" i="9"/>
  <c r="AE511" i="9"/>
  <c r="AE447" i="9"/>
  <c r="AE448" i="9"/>
  <c r="AE486" i="9"/>
  <c r="AE533" i="9"/>
  <c r="AE469" i="9"/>
  <c r="AE516" i="9"/>
  <c r="AE452" i="9"/>
  <c r="AE499" i="9"/>
  <c r="AE435" i="9"/>
  <c r="AE505" i="9"/>
  <c r="AE543" i="9"/>
  <c r="AE437" i="9"/>
  <c r="Y405" i="9"/>
  <c r="Z405" i="9" s="1"/>
  <c r="AC405" i="9" s="1"/>
  <c r="AE482" i="9"/>
  <c r="AE529" i="9"/>
  <c r="AE465" i="9"/>
  <c r="AE472" i="9"/>
  <c r="AE503" i="9"/>
  <c r="AE439" i="9"/>
  <c r="AE542" i="9"/>
  <c r="AE478" i="9"/>
  <c r="AE525" i="9"/>
  <c r="AE461" i="9"/>
  <c r="AE508" i="9"/>
  <c r="AE444" i="9"/>
  <c r="AD429" i="9"/>
  <c r="AD421" i="9"/>
  <c r="AD413" i="9"/>
  <c r="Z427" i="9"/>
  <c r="AC427" i="9" s="1"/>
  <c r="Z419" i="9"/>
  <c r="AC419" i="9" s="1"/>
  <c r="Z411" i="9"/>
  <c r="AC411" i="9" s="1"/>
  <c r="AD412" i="9" s="1"/>
  <c r="Z403" i="9"/>
  <c r="AC403" i="9" s="1"/>
  <c r="Y368" i="9"/>
  <c r="Z368" i="9" s="1"/>
  <c r="AC368" i="9" s="1"/>
  <c r="AD368" i="9" s="1"/>
  <c r="AD400" i="9"/>
  <c r="AD392" i="9"/>
  <c r="AD384" i="9"/>
  <c r="AD376" i="9"/>
  <c r="Y371" i="9"/>
  <c r="Z371" i="9" s="1"/>
  <c r="AC371" i="9" s="1"/>
  <c r="AD372" i="9" s="1"/>
  <c r="AC426" i="9"/>
  <c r="AD426" i="9" s="1"/>
  <c r="AC418" i="9"/>
  <c r="AD418" i="9" s="1"/>
  <c r="AC410" i="9"/>
  <c r="AD410" i="9" s="1"/>
  <c r="AC402" i="9"/>
  <c r="AD402" i="9" s="1"/>
  <c r="AC432" i="9"/>
  <c r="AD432" i="9" s="1"/>
  <c r="AC424" i="9"/>
  <c r="AD424" i="9" s="1"/>
  <c r="AC416" i="9"/>
  <c r="AD416" i="9" s="1"/>
  <c r="AC408" i="9"/>
  <c r="AD408" i="9" s="1"/>
  <c r="AD396" i="9"/>
  <c r="AD388" i="9"/>
  <c r="AD380" i="9"/>
  <c r="AD386" i="9"/>
  <c r="AD378" i="9"/>
  <c r="AD395" i="9"/>
  <c r="AD387" i="9"/>
  <c r="AD379" i="9"/>
  <c r="AD393" i="9"/>
  <c r="AD385" i="9"/>
  <c r="AD377" i="9"/>
  <c r="AD399" i="9"/>
  <c r="AD391" i="9"/>
  <c r="AD383" i="9"/>
  <c r="AD375" i="9"/>
  <c r="AD398" i="9"/>
  <c r="AD390" i="9"/>
  <c r="AD382" i="9"/>
  <c r="AD374" i="9"/>
  <c r="AD397" i="9"/>
  <c r="AD389" i="9"/>
  <c r="AD381" i="9"/>
  <c r="AD373" i="9"/>
  <c r="AD394" i="9"/>
  <c r="AD367" i="9"/>
  <c r="Y369" i="9"/>
  <c r="Z369" i="9" s="1"/>
  <c r="AC369" i="9" s="1"/>
  <c r="Y370" i="9"/>
  <c r="Z370" i="9" s="1"/>
  <c r="AC370" i="9" s="1"/>
  <c r="AD405" i="9" l="1"/>
  <c r="AD425" i="9"/>
  <c r="AD369" i="9"/>
  <c r="AD406" i="9"/>
  <c r="AD433" i="9"/>
  <c r="AD427" i="9"/>
  <c r="AD428" i="9"/>
  <c r="AD403" i="9"/>
  <c r="AD404" i="9"/>
  <c r="AD419" i="9"/>
  <c r="AD420" i="9"/>
  <c r="AD411" i="9"/>
  <c r="AD417" i="9"/>
  <c r="AD370" i="9"/>
  <c r="AD409" i="9"/>
  <c r="AD371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7" i="9" l="1"/>
  <c r="AE425" i="9"/>
  <c r="AE412" i="9"/>
  <c r="AE409" i="9"/>
  <c r="AE430" i="9"/>
  <c r="AE401" i="9"/>
  <c r="AE421" i="9"/>
  <c r="AE407" i="9"/>
  <c r="AE428" i="9"/>
  <c r="AE405" i="9"/>
  <c r="AE411" i="9"/>
  <c r="AE410" i="9"/>
  <c r="AE419" i="9"/>
  <c r="AE415" i="9"/>
  <c r="AE433" i="9"/>
  <c r="AE404" i="9"/>
  <c r="AE429" i="9"/>
  <c r="AE408" i="9"/>
  <c r="AE418" i="9"/>
  <c r="AE403" i="9"/>
  <c r="AE406" i="9"/>
  <c r="AE426" i="9"/>
  <c r="AE424" i="9"/>
  <c r="AE422" i="9"/>
  <c r="AE420" i="9"/>
  <c r="AE417" i="9"/>
  <c r="AE431" i="9"/>
  <c r="AE413" i="9"/>
  <c r="AE416" i="9"/>
  <c r="AE423" i="9"/>
  <c r="AE427" i="9"/>
  <c r="AE414" i="9"/>
  <c r="AE402" i="9"/>
  <c r="AE432" i="9"/>
  <c r="AE385" i="9"/>
  <c r="AE368" i="9"/>
  <c r="AE399" i="9"/>
  <c r="AE391" i="9"/>
  <c r="AE398" i="9"/>
  <c r="AE382" i="9"/>
  <c r="AE381" i="9"/>
  <c r="AE384" i="9"/>
  <c r="AE371" i="9"/>
  <c r="AE379" i="9"/>
  <c r="AE390" i="9"/>
  <c r="AE375" i="9"/>
  <c r="AE369" i="9"/>
  <c r="AE377" i="9"/>
  <c r="AE374" i="9"/>
  <c r="AE389" i="9"/>
  <c r="AE386" i="9"/>
  <c r="AE394" i="9"/>
  <c r="AE380" i="9"/>
  <c r="AE370" i="9"/>
  <c r="AE395" i="9"/>
  <c r="AE367" i="9"/>
  <c r="AE400" i="9"/>
  <c r="AE396" i="9"/>
  <c r="AE373" i="9"/>
  <c r="AE366" i="9"/>
  <c r="AE387" i="9"/>
  <c r="AE392" i="9"/>
  <c r="AE388" i="9"/>
  <c r="AE378" i="9"/>
  <c r="AE376" i="9"/>
  <c r="AE393" i="9"/>
  <c r="AE383" i="9"/>
  <c r="AE372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D188" i="8" l="1"/>
  <c r="D190" i="8" s="1"/>
  <c r="A9" i="19" l="1"/>
  <c r="A10" i="19"/>
  <c r="A11" i="19"/>
  <c r="S11" i="19" s="1"/>
  <c r="A12" i="19"/>
  <c r="O12" i="19" s="1"/>
  <c r="A13" i="19"/>
  <c r="O13" i="19" s="1"/>
  <c r="A14" i="19"/>
  <c r="S14" i="19" s="1"/>
  <c r="A15" i="19"/>
  <c r="S15" i="19" s="1"/>
  <c r="A16" i="19"/>
  <c r="O16" i="19" s="1"/>
  <c r="A17" i="19"/>
  <c r="O17" i="19" s="1"/>
  <c r="A18" i="19"/>
  <c r="O18" i="19" s="1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O24" i="19" s="1"/>
  <c r="A25" i="19"/>
  <c r="O25" i="19" s="1"/>
  <c r="A8" i="19"/>
  <c r="L25" i="19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9"/>
  <c r="N22" i="19"/>
  <c r="N20" i="19"/>
  <c r="N18" i="19"/>
  <c r="N16" i="19"/>
  <c r="N14" i="19"/>
  <c r="N12" i="19"/>
  <c r="N10" i="19"/>
  <c r="O10" i="19"/>
  <c r="S9" i="19"/>
  <c r="N8" i="19"/>
  <c r="N24" i="18"/>
  <c r="N22" i="18"/>
  <c r="N20" i="18"/>
  <c r="N18" i="18"/>
  <c r="N16" i="18"/>
  <c r="N14" i="18"/>
  <c r="N12" i="18"/>
  <c r="N10" i="18"/>
  <c r="N8" i="18"/>
  <c r="I10" i="11"/>
  <c r="J10" i="11"/>
  <c r="BI1098" i="13"/>
  <c r="BH1098" i="13"/>
  <c r="BJ1098" i="13"/>
  <c r="O23" i="19" l="1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S12" i="19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S16" i="19"/>
  <c r="O20" i="19"/>
  <c r="O9" i="19"/>
  <c r="S17" i="19"/>
  <c r="O21" i="19"/>
  <c r="J16" i="18"/>
  <c r="L19" i="18"/>
  <c r="L10" i="18"/>
  <c r="J12" i="18"/>
  <c r="K14" i="18"/>
  <c r="K16" i="18"/>
  <c r="J8" i="19"/>
  <c r="K11" i="19"/>
  <c r="S13" i="19"/>
  <c r="K19" i="19"/>
  <c r="S25" i="19"/>
  <c r="O19" i="19"/>
  <c r="J16" i="19"/>
  <c r="O11" i="19"/>
  <c r="L14" i="19"/>
  <c r="O15" i="19"/>
  <c r="O20" i="18"/>
  <c r="S24" i="18"/>
  <c r="O16" i="18"/>
  <c r="L16" i="18"/>
  <c r="J24" i="19"/>
  <c r="K8" i="19"/>
  <c r="S8" i="19"/>
  <c r="L11" i="19"/>
  <c r="J13" i="19"/>
  <c r="L19" i="19"/>
  <c r="J21" i="19"/>
  <c r="K24" i="19"/>
  <c r="S24" i="19"/>
  <c r="K16" i="19"/>
  <c r="L8" i="19"/>
  <c r="J18" i="19"/>
  <c r="K21" i="19"/>
  <c r="L24" i="19"/>
  <c r="L22" i="19"/>
  <c r="J10" i="19"/>
  <c r="K13" i="19"/>
  <c r="L16" i="19"/>
  <c r="K10" i="19"/>
  <c r="S10" i="19"/>
  <c r="L13" i="19"/>
  <c r="O14" i="19"/>
  <c r="J15" i="19"/>
  <c r="K18" i="19"/>
  <c r="S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I19" i="19" s="1"/>
  <c r="K22" i="19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I19" i="18" l="1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25" i="19"/>
  <c r="N25" i="19" s="1"/>
  <c r="I10" i="19"/>
  <c r="M10" i="19" s="1"/>
  <c r="P10" i="19" s="1"/>
  <c r="Q10" i="19" s="1"/>
  <c r="R10" i="19" s="1"/>
  <c r="T10" i="19" s="1"/>
  <c r="I8" i="19"/>
  <c r="M8" i="19" s="1"/>
  <c r="P8" i="19" s="1"/>
  <c r="Q8" i="19" s="1"/>
  <c r="R8" i="19" s="1"/>
  <c r="T8" i="19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I20" i="19"/>
  <c r="M20" i="19" s="1"/>
  <c r="P20" i="19" s="1"/>
  <c r="Q20" i="19" s="1"/>
  <c r="R20" i="19" s="1"/>
  <c r="T20" i="19" s="1"/>
  <c r="I16" i="19"/>
  <c r="M16" i="19" s="1"/>
  <c r="P16" i="19" s="1"/>
  <c r="Q16" i="19" s="1"/>
  <c r="R16" i="19" s="1"/>
  <c r="T16" i="19" s="1"/>
  <c r="I13" i="19"/>
  <c r="I9" i="19"/>
  <c r="I18" i="19"/>
  <c r="M18" i="19" s="1"/>
  <c r="P18" i="19" s="1"/>
  <c r="Q18" i="19" s="1"/>
  <c r="R18" i="19" s="1"/>
  <c r="T18" i="19" s="1"/>
  <c r="N19" i="19"/>
  <c r="M19" i="19"/>
  <c r="P19" i="19" s="1"/>
  <c r="Q19" i="19" s="1"/>
  <c r="R19" i="19" s="1"/>
  <c r="T19" i="19" s="1"/>
  <c r="I23" i="19"/>
  <c r="I14" i="19"/>
  <c r="M14" i="19" s="1"/>
  <c r="P14" i="19" s="1"/>
  <c r="Q14" i="19" s="1"/>
  <c r="R14" i="19" s="1"/>
  <c r="T14" i="19" s="1"/>
  <c r="I24" i="19"/>
  <c r="M24" i="19" s="1"/>
  <c r="P24" i="19" s="1"/>
  <c r="Q24" i="19" s="1"/>
  <c r="R24" i="19" s="1"/>
  <c r="T24" i="19" s="1"/>
  <c r="I22" i="19"/>
  <c r="M22" i="19" s="1"/>
  <c r="P22" i="19" s="1"/>
  <c r="Q22" i="19" s="1"/>
  <c r="R22" i="19" s="1"/>
  <c r="T22" i="19" s="1"/>
  <c r="I12" i="19"/>
  <c r="M12" i="19" s="1"/>
  <c r="P12" i="19" s="1"/>
  <c r="Q12" i="19" s="1"/>
  <c r="R12" i="19" s="1"/>
  <c r="T12" i="19" s="1"/>
  <c r="I21" i="19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M19" i="18" l="1"/>
  <c r="P19" i="18" s="1"/>
  <c r="Q19" i="18" s="1"/>
  <c r="R19" i="18" s="1"/>
  <c r="T19" i="18" s="1"/>
  <c r="N13" i="18"/>
  <c r="N11" i="18"/>
  <c r="M25" i="19"/>
  <c r="P25" i="19" s="1"/>
  <c r="Q25" i="19" s="1"/>
  <c r="R25" i="19" s="1"/>
  <c r="T25" i="19" s="1"/>
  <c r="M11" i="19"/>
  <c r="P11" i="19" s="1"/>
  <c r="Q11" i="19" s="1"/>
  <c r="R11" i="19" s="1"/>
  <c r="T11" i="19" s="1"/>
  <c r="M17" i="19"/>
  <c r="P17" i="19" s="1"/>
  <c r="Q17" i="19" s="1"/>
  <c r="R17" i="19" s="1"/>
  <c r="T17" i="19" s="1"/>
  <c r="E152" i="8" s="1"/>
  <c r="M9" i="18"/>
  <c r="P9" i="18" s="1"/>
  <c r="Q9" i="18" s="1"/>
  <c r="R9" i="18" s="1"/>
  <c r="T9" i="18" s="1"/>
  <c r="M15" i="18"/>
  <c r="P15" i="18" s="1"/>
  <c r="Q15" i="18" s="1"/>
  <c r="R15" i="18" s="1"/>
  <c r="T15" i="18" s="1"/>
  <c r="N15" i="19"/>
  <c r="N23" i="19"/>
  <c r="M23" i="19"/>
  <c r="P23" i="19" s="1"/>
  <c r="Q23" i="19" s="1"/>
  <c r="R23" i="19" s="1"/>
  <c r="T23" i="19" s="1"/>
  <c r="N21" i="19"/>
  <c r="M21" i="19"/>
  <c r="P21" i="19" s="1"/>
  <c r="Q21" i="19" s="1"/>
  <c r="R21" i="19" s="1"/>
  <c r="T21" i="19" s="1"/>
  <c r="N9" i="19"/>
  <c r="M9" i="19"/>
  <c r="P9" i="19" s="1"/>
  <c r="Q9" i="19" s="1"/>
  <c r="R9" i="19" s="1"/>
  <c r="T9" i="19" s="1"/>
  <c r="N13" i="19"/>
  <c r="M13" i="19"/>
  <c r="P13" i="19" s="1"/>
  <c r="Q13" i="19" s="1"/>
  <c r="R13" i="19" s="1"/>
  <c r="T13" i="19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149" i="8" s="1"/>
  <c r="N17" i="18"/>
  <c r="H10" i="16" l="1"/>
  <c r="G10" i="16"/>
  <c r="N10" i="14" l="1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47" i="7"/>
  <c r="G145" i="7"/>
  <c r="G101" i="7"/>
  <c r="G143" i="7"/>
  <c r="G148" i="7"/>
  <c r="G146" i="7"/>
  <c r="G283" i="7"/>
  <c r="G284" i="7"/>
  <c r="G81" i="7"/>
  <c r="G150" i="7"/>
  <c r="G183" i="7"/>
  <c r="G181" i="7"/>
  <c r="G182" i="7"/>
  <c r="G82" i="7"/>
  <c r="G149" i="7"/>
  <c r="G144" i="7"/>
  <c r="G188" i="7"/>
  <c r="G269" i="7"/>
  <c r="G159" i="7"/>
  <c r="G264" i="7"/>
  <c r="G160" i="7"/>
  <c r="G161" i="7"/>
  <c r="G267" i="7"/>
  <c r="G263" i="7"/>
  <c r="G294" i="7"/>
  <c r="G295" i="7"/>
  <c r="G305" i="7"/>
  <c r="G304" i="7"/>
  <c r="G265" i="7"/>
  <c r="G262" i="7"/>
  <c r="G261" i="7"/>
  <c r="G268" i="7"/>
  <c r="G266" i="7"/>
  <c r="G83" i="7"/>
  <c r="G240" i="7"/>
  <c r="G226" i="7"/>
  <c r="G194" i="7"/>
  <c r="G118" i="7"/>
  <c r="G120" i="7"/>
  <c r="G117" i="7"/>
  <c r="G119" i="7"/>
  <c r="G196" i="7"/>
  <c r="G195" i="7"/>
  <c r="G103" i="7"/>
  <c r="G121" i="7"/>
  <c r="G234" i="7"/>
  <c r="G239" i="7"/>
  <c r="G236" i="7"/>
  <c r="G238" i="7"/>
  <c r="G224" i="7"/>
  <c r="G235" i="7"/>
  <c r="G241" i="7"/>
  <c r="G232" i="7"/>
  <c r="G233" i="7"/>
  <c r="G230" i="7"/>
  <c r="G227" i="7"/>
  <c r="G225" i="7"/>
  <c r="G229" i="7"/>
  <c r="G228" i="7"/>
  <c r="G104" i="7"/>
  <c r="G237" i="7"/>
  <c r="G231" i="7"/>
  <c r="G142" i="7"/>
  <c r="G167" i="7"/>
  <c r="G168" i="7"/>
  <c r="G163" i="7"/>
  <c r="G164" i="7"/>
  <c r="G162" i="7"/>
  <c r="G166" i="7"/>
  <c r="G180" i="7"/>
  <c r="G186" i="7"/>
  <c r="G165" i="7"/>
  <c r="G111" i="7"/>
  <c r="G211" i="7"/>
  <c r="G89" i="7"/>
  <c r="G306" i="7"/>
  <c r="G122" i="7"/>
  <c r="G123" i="7"/>
  <c r="G197" i="7"/>
  <c r="G125" i="7"/>
  <c r="G90" i="7"/>
  <c r="G86" i="7"/>
  <c r="G87" i="7"/>
  <c r="G88" i="7"/>
  <c r="G141" i="7"/>
  <c r="G250" i="7"/>
  <c r="G252" i="7"/>
  <c r="G258" i="7"/>
  <c r="G251" i="7"/>
  <c r="G254" i="7"/>
  <c r="G285" i="7"/>
  <c r="G287" i="7"/>
  <c r="G286" i="7"/>
  <c r="G246" i="7"/>
  <c r="G247" i="7"/>
  <c r="G248" i="7"/>
  <c r="G208" i="7"/>
  <c r="G209" i="7"/>
  <c r="G218" i="7"/>
  <c r="G108" i="7"/>
  <c r="G140" i="7"/>
  <c r="G212" i="7"/>
  <c r="G116" i="7"/>
  <c r="G192" i="7"/>
  <c r="G92" i="7"/>
  <c r="G172" i="7"/>
  <c r="G173" i="7"/>
  <c r="G189" i="7"/>
  <c r="G190" i="7"/>
  <c r="G210" i="7"/>
  <c r="G213" i="7"/>
  <c r="G84" i="7"/>
  <c r="G257" i="7"/>
  <c r="G255" i="7"/>
  <c r="G242" i="7"/>
  <c r="G124" i="7"/>
  <c r="G253" i="7"/>
  <c r="G256" i="7"/>
  <c r="G243" i="7"/>
  <c r="G204" i="7"/>
  <c r="G206" i="7"/>
  <c r="G205" i="7"/>
  <c r="G112" i="7"/>
  <c r="G179" i="7"/>
  <c r="G249" i="7"/>
  <c r="G184" i="7"/>
  <c r="G185" i="7"/>
  <c r="G126" i="7"/>
  <c r="G127" i="7"/>
  <c r="G187" i="7"/>
  <c r="G176" i="7"/>
  <c r="G175" i="7"/>
  <c r="G178" i="7"/>
  <c r="G177" i="7"/>
  <c r="G113" i="7"/>
  <c r="G207" i="7"/>
  <c r="G169" i="7"/>
  <c r="G214" i="7"/>
  <c r="G217" i="7"/>
  <c r="G215" i="7"/>
  <c r="G109" i="7"/>
  <c r="G290" i="7"/>
  <c r="G289" i="7"/>
  <c r="G154" i="7"/>
  <c r="G216" i="7"/>
  <c r="G260" i="7"/>
  <c r="G219" i="7"/>
  <c r="G303" i="7"/>
  <c r="G100" i="7"/>
  <c r="G91" i="7"/>
  <c r="G271" i="7"/>
  <c r="G270" i="7"/>
  <c r="G106" i="7"/>
  <c r="G107" i="7"/>
  <c r="G96" i="7"/>
  <c r="G97" i="7"/>
  <c r="G99" i="7"/>
  <c r="G296" i="7"/>
  <c r="G297" i="7"/>
  <c r="G300" i="7"/>
  <c r="G171" i="7"/>
  <c r="G272" i="7"/>
  <c r="G274" i="7"/>
  <c r="G276" i="7"/>
  <c r="G277" i="7"/>
  <c r="G273" i="7"/>
  <c r="G279" i="7"/>
  <c r="G280" i="7"/>
  <c r="G282" i="7"/>
  <c r="G275" i="7"/>
  <c r="G281" i="7"/>
  <c r="G102" i="7"/>
  <c r="G85" i="7"/>
  <c r="G114" i="7"/>
  <c r="G115" i="7"/>
  <c r="G174" i="7"/>
  <c r="G191" i="7"/>
  <c r="G193" i="7"/>
  <c r="G199" i="7"/>
  <c r="G245" i="7"/>
  <c r="G244" i="7"/>
  <c r="G299" i="7"/>
  <c r="G298" i="7"/>
  <c r="G302" i="7"/>
  <c r="G220" i="7"/>
  <c r="G222" i="7"/>
  <c r="G223" i="7"/>
  <c r="G152" i="7"/>
  <c r="G151" i="7"/>
  <c r="G93" i="7"/>
  <c r="G94" i="7"/>
  <c r="G95" i="7"/>
  <c r="G110" i="7"/>
  <c r="G288" i="7"/>
  <c r="G292" i="7"/>
  <c r="G291" i="7"/>
  <c r="G293" i="7"/>
  <c r="G307" i="7"/>
  <c r="G98" i="7"/>
  <c r="G105" i="7"/>
  <c r="G155" i="7"/>
  <c r="G170" i="7"/>
  <c r="G153" i="7"/>
  <c r="G221" i="7"/>
  <c r="G278" i="7"/>
  <c r="G301" i="7"/>
  <c r="G135" i="7"/>
  <c r="G138" i="7"/>
  <c r="G128" i="7"/>
  <c r="G157" i="7"/>
  <c r="G133" i="7"/>
  <c r="G136" i="7"/>
  <c r="G134" i="7"/>
  <c r="G137" i="7"/>
  <c r="G198" i="7"/>
  <c r="G129" i="7"/>
  <c r="G132" i="7"/>
  <c r="G139" i="7"/>
  <c r="G131" i="7"/>
  <c r="G130" i="7"/>
  <c r="G200" i="7"/>
  <c r="G201" i="7"/>
  <c r="G203" i="7"/>
  <c r="G158" i="7"/>
  <c r="G202" i="7"/>
  <c r="G259" i="7"/>
  <c r="G156" i="7"/>
  <c r="L15" i="14" l="1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I12" i="14" l="1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M21" i="14" l="1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146" i="8" s="1"/>
  <c r="BJ1056" i="13" l="1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74" i="7" a="1"/>
  <c r="G73" i="7" a="1"/>
  <c r="G14" i="7" a="1"/>
  <c r="BK1298" i="13" l="1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74" i="7"/>
  <c r="G73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H354" i="13"/>
  <c r="BH355" i="13"/>
  <c r="BH356" i="13"/>
  <c r="BH357" i="13"/>
  <c r="BH358" i="13"/>
  <c r="BH359" i="13"/>
  <c r="BH360" i="13"/>
  <c r="BH361" i="13"/>
  <c r="BH362" i="13"/>
  <c r="BH363" i="13"/>
  <c r="BH364" i="13"/>
  <c r="BH365" i="13"/>
  <c r="BH366" i="13"/>
  <c r="BH367" i="13"/>
  <c r="BH368" i="13"/>
  <c r="BH369" i="13"/>
  <c r="BH370" i="13"/>
  <c r="BH371" i="13"/>
  <c r="BH372" i="13"/>
  <c r="BH373" i="13"/>
  <c r="BH374" i="13"/>
  <c r="BH375" i="13"/>
  <c r="BH376" i="13"/>
  <c r="BH377" i="13"/>
  <c r="BH378" i="13"/>
  <c r="BH379" i="13"/>
  <c r="BH380" i="13"/>
  <c r="BH381" i="13"/>
  <c r="BH382" i="13"/>
  <c r="BH383" i="13"/>
  <c r="BH384" i="13"/>
  <c r="BH385" i="13"/>
  <c r="BH386" i="13"/>
  <c r="BH387" i="13"/>
  <c r="BH388" i="13"/>
  <c r="BH389" i="13"/>
  <c r="BH390" i="13"/>
  <c r="BH391" i="13"/>
  <c r="BH392" i="13"/>
  <c r="BH393" i="13"/>
  <c r="BH394" i="13"/>
  <c r="BH395" i="13"/>
  <c r="BH396" i="13"/>
  <c r="BH397" i="13"/>
  <c r="BH398" i="13"/>
  <c r="BH399" i="13"/>
  <c r="BH400" i="13"/>
  <c r="BH401" i="13"/>
  <c r="BH402" i="13"/>
  <c r="BH403" i="13"/>
  <c r="BH404" i="13"/>
  <c r="BH405" i="13"/>
  <c r="BH406" i="13"/>
  <c r="BH407" i="13"/>
  <c r="BH408" i="13"/>
  <c r="BH409" i="13"/>
  <c r="BH410" i="13"/>
  <c r="BH411" i="13"/>
  <c r="BH412" i="13"/>
  <c r="BH413" i="13"/>
  <c r="BH414" i="13"/>
  <c r="BH415" i="13"/>
  <c r="BH416" i="13"/>
  <c r="BH417" i="13"/>
  <c r="BH418" i="13"/>
  <c r="BH419" i="13"/>
  <c r="BH420" i="13"/>
  <c r="BH421" i="13"/>
  <c r="BH422" i="13"/>
  <c r="BH423" i="13"/>
  <c r="BH424" i="13"/>
  <c r="BH425" i="13"/>
  <c r="BH426" i="13"/>
  <c r="BH427" i="13"/>
  <c r="BH428" i="13"/>
  <c r="BH429" i="13"/>
  <c r="BH430" i="13"/>
  <c r="BH431" i="13"/>
  <c r="BH432" i="13"/>
  <c r="BH433" i="13"/>
  <c r="BH434" i="13"/>
  <c r="BH435" i="13"/>
  <c r="BH436" i="13"/>
  <c r="BH437" i="13"/>
  <c r="BH438" i="13"/>
  <c r="BH439" i="13"/>
  <c r="BH440" i="13"/>
  <c r="BH441" i="13"/>
  <c r="BH442" i="13"/>
  <c r="BH443" i="13"/>
  <c r="BH444" i="13"/>
  <c r="BH445" i="13"/>
  <c r="BH446" i="13"/>
  <c r="BH447" i="13"/>
  <c r="BH448" i="13"/>
  <c r="BH449" i="13"/>
  <c r="BH450" i="13"/>
  <c r="BH451" i="13"/>
  <c r="BH452" i="13"/>
  <c r="BH453" i="13"/>
  <c r="BH454" i="13"/>
  <c r="BH455" i="13"/>
  <c r="BH456" i="13"/>
  <c r="BH457" i="13"/>
  <c r="BH458" i="13"/>
  <c r="BH459" i="13"/>
  <c r="BH460" i="13"/>
  <c r="BH461" i="13"/>
  <c r="BH462" i="13"/>
  <c r="BH463" i="13"/>
  <c r="BH464" i="13"/>
  <c r="BH465" i="13"/>
  <c r="BH466" i="13"/>
  <c r="BH467" i="13"/>
  <c r="BH468" i="13"/>
  <c r="BH469" i="13"/>
  <c r="BH470" i="13"/>
  <c r="BH471" i="13"/>
  <c r="BH472" i="13"/>
  <c r="BH473" i="13"/>
  <c r="BH474" i="13"/>
  <c r="BH475" i="13"/>
  <c r="BH476" i="13"/>
  <c r="BH477" i="13"/>
  <c r="BH478" i="13"/>
  <c r="BH479" i="13"/>
  <c r="BH480" i="13"/>
  <c r="BH481" i="13"/>
  <c r="BH482" i="13"/>
  <c r="BH483" i="13"/>
  <c r="BH484" i="13"/>
  <c r="BH485" i="13"/>
  <c r="BH486" i="13"/>
  <c r="BH487" i="13"/>
  <c r="BH488" i="13"/>
  <c r="BH489" i="13"/>
  <c r="BH490" i="13"/>
  <c r="BH491" i="13"/>
  <c r="BH492" i="13"/>
  <c r="BH493" i="13"/>
  <c r="BH494" i="13"/>
  <c r="BH495" i="13"/>
  <c r="BH496" i="13"/>
  <c r="BH497" i="13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BK497" i="13" l="1"/>
  <c r="BK489" i="13"/>
  <c r="BK481" i="13"/>
  <c r="BK473" i="13"/>
  <c r="BK465" i="13"/>
  <c r="BK457" i="13"/>
  <c r="BK449" i="13"/>
  <c r="BK441" i="13"/>
  <c r="BK433" i="13"/>
  <c r="BK425" i="13"/>
  <c r="BK417" i="13"/>
  <c r="BK409" i="13"/>
  <c r="BK401" i="13"/>
  <c r="BK393" i="13"/>
  <c r="BK385" i="13"/>
  <c r="BK377" i="13"/>
  <c r="BK369" i="13"/>
  <c r="BK361" i="13"/>
  <c r="BK353" i="13"/>
  <c r="BK918" i="13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J4" i="13"/>
  <c r="CJ5" i="13" s="1"/>
  <c r="CO4" i="13"/>
  <c r="CK4" i="13"/>
  <c r="J265" i="9"/>
  <c r="J245" i="9"/>
  <c r="J100" i="9"/>
  <c r="J43" i="9"/>
  <c r="J23" i="9"/>
  <c r="G119" i="8" l="1"/>
  <c r="G112" i="8" s="1"/>
  <c r="C93" i="8"/>
  <c r="E93" i="8" s="1"/>
  <c r="G93" i="8"/>
  <c r="G86" i="8" s="1"/>
  <c r="F119" i="8"/>
  <c r="F112" i="8" s="1"/>
  <c r="C119" i="8"/>
  <c r="E119" i="8" s="1"/>
  <c r="C94" i="8"/>
  <c r="E94" i="8" s="1"/>
  <c r="F93" i="8"/>
  <c r="F86" i="8" s="1"/>
  <c r="C120" i="8"/>
  <c r="E120" i="8" s="1"/>
  <c r="C75" i="8"/>
  <c r="E75" i="8" s="1"/>
  <c r="C55" i="8"/>
  <c r="E55" i="8" s="1"/>
  <c r="G75" i="8"/>
  <c r="G68" i="8" s="1"/>
  <c r="C76" i="8"/>
  <c r="E76" i="8" s="1"/>
  <c r="C56" i="8"/>
  <c r="E56" i="8" s="1"/>
  <c r="C35" i="8"/>
  <c r="E35" i="8" s="1"/>
  <c r="C36" i="8"/>
  <c r="E36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47" i="9"/>
  <c r="AA3" i="9"/>
  <c r="G19" i="7" a="1"/>
  <c r="G40" i="7" a="1"/>
  <c r="G68" i="7" a="1"/>
  <c r="G20" i="7" a="1"/>
  <c r="G36" i="7" a="1"/>
  <c r="G43" i="7" a="1"/>
  <c r="G18" i="7" a="1"/>
  <c r="G21" i="7" a="1"/>
  <c r="G37" i="7" a="1"/>
  <c r="G39" i="7" a="1"/>
  <c r="G29" i="7" a="1"/>
  <c r="G30" i="7" a="1"/>
  <c r="G17" i="7" a="1"/>
  <c r="G22" i="7" a="1"/>
  <c r="G34" i="7" a="1"/>
  <c r="G16" i="7" a="1"/>
  <c r="G32" i="7" a="1"/>
  <c r="G65" i="7" a="1"/>
  <c r="G33" i="7" a="1"/>
  <c r="G66" i="7" a="1"/>
  <c r="G41" i="7" a="1"/>
  <c r="G27" i="7" a="1"/>
  <c r="G69" i="7" a="1"/>
  <c r="G28" i="7" a="1"/>
  <c r="G42" i="7" a="1"/>
  <c r="G67" i="7" a="1"/>
  <c r="G12" i="7" a="1"/>
  <c r="G10" i="7" a="1"/>
  <c r="G75" i="7" a="1"/>
  <c r="G15" i="7" a="1"/>
  <c r="G71" i="7" a="1"/>
  <c r="G72" i="7" a="1"/>
  <c r="G70" i="7" a="1"/>
  <c r="BZ482" i="13" l="1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67" i="7"/>
  <c r="G42" i="7"/>
  <c r="G28" i="7"/>
  <c r="G69" i="7"/>
  <c r="G27" i="7"/>
  <c r="G41" i="7"/>
  <c r="G66" i="7"/>
  <c r="G33" i="7"/>
  <c r="G65" i="7"/>
  <c r="G32" i="7"/>
  <c r="G16" i="7"/>
  <c r="G34" i="7"/>
  <c r="G22" i="7"/>
  <c r="G17" i="7"/>
  <c r="G30" i="7"/>
  <c r="G29" i="7"/>
  <c r="G39" i="7"/>
  <c r="G37" i="7"/>
  <c r="G21" i="7"/>
  <c r="G18" i="7"/>
  <c r="G43" i="7"/>
  <c r="G36" i="7"/>
  <c r="G20" i="7"/>
  <c r="G68" i="7"/>
  <c r="G40" i="7"/>
  <c r="G19" i="7"/>
  <c r="G75" i="7"/>
  <c r="G10" i="7"/>
  <c r="G12" i="7"/>
  <c r="G15" i="7"/>
  <c r="G72" i="7"/>
  <c r="G71" i="7"/>
  <c r="G70" i="7"/>
  <c r="D4" i="8"/>
  <c r="B4" i="11"/>
  <c r="BZ499" i="13" l="1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B2" i="11"/>
  <c r="B3" i="11"/>
  <c r="B5" i="11"/>
  <c r="BZ998" i="13" l="1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F75" i="8"/>
  <c r="F68" i="8" s="1"/>
  <c r="F55" i="8"/>
  <c r="F48" i="8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BZ1261" i="13" l="1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H197" i="8" s="1"/>
  <c r="K197" i="8" s="1"/>
  <c r="F35" i="8"/>
  <c r="F28" i="8" s="1"/>
  <c r="CM9" i="13"/>
  <c r="CJ10" i="13"/>
  <c r="CN8" i="13"/>
  <c r="AB365" i="9"/>
  <c r="AA365" i="9" s="1"/>
  <c r="W365" i="9"/>
  <c r="Y365" i="9" s="1"/>
  <c r="Z365" i="9" s="1"/>
  <c r="AC365" i="9" s="1"/>
  <c r="AB364" i="9"/>
  <c r="AA364" i="9" s="1"/>
  <c r="W364" i="9"/>
  <c r="Y364" i="9" s="1"/>
  <c r="Z364" i="9" s="1"/>
  <c r="AC364" i="9" s="1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J353" i="9"/>
  <c r="AB352" i="9"/>
  <c r="AA352" i="9" s="1"/>
  <c r="W352" i="9"/>
  <c r="Y352" i="9" s="1"/>
  <c r="Z352" i="9" s="1"/>
  <c r="AC352" i="9" s="1"/>
  <c r="AB351" i="9"/>
  <c r="AA351" i="9" s="1"/>
  <c r="W351" i="9"/>
  <c r="Y351" i="9" s="1"/>
  <c r="Z351" i="9" s="1"/>
  <c r="AC351" i="9" s="1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D347" i="9"/>
  <c r="W347" i="9"/>
  <c r="Y347" i="9" s="1"/>
  <c r="Z347" i="9" s="1"/>
  <c r="W346" i="9"/>
  <c r="Y346" i="9" s="1"/>
  <c r="Z346" i="9" s="1"/>
  <c r="AC346" i="9" s="1"/>
  <c r="W345" i="9"/>
  <c r="Y345" i="9" s="1"/>
  <c r="Z345" i="9" s="1"/>
  <c r="AC345" i="9" s="1"/>
  <c r="W344" i="9"/>
  <c r="Y344" i="9" s="1"/>
  <c r="Z344" i="9" s="1"/>
  <c r="AC344" i="9" s="1"/>
  <c r="W343" i="9"/>
  <c r="Y343" i="9" s="1"/>
  <c r="Z343" i="9" s="1"/>
  <c r="AC343" i="9" s="1"/>
  <c r="W342" i="9"/>
  <c r="Y342" i="9" s="1"/>
  <c r="Z342" i="9" s="1"/>
  <c r="AC342" i="9" s="1"/>
  <c r="AD342" i="9" s="1"/>
  <c r="W341" i="9"/>
  <c r="Y341" i="9" s="1"/>
  <c r="Z341" i="9" s="1"/>
  <c r="AC341" i="9" s="1"/>
  <c r="W340" i="9"/>
  <c r="Y340" i="9" s="1"/>
  <c r="Z340" i="9" s="1"/>
  <c r="AC340" i="9" s="1"/>
  <c r="AD340" i="9" s="1"/>
  <c r="W339" i="9"/>
  <c r="Y339" i="9" s="1"/>
  <c r="Z339" i="9" s="1"/>
  <c r="AC339" i="9" s="1"/>
  <c r="W337" i="9"/>
  <c r="Y337" i="9" s="1"/>
  <c r="Z337" i="9" s="1"/>
  <c r="W336" i="9"/>
  <c r="Y336" i="9" s="1"/>
  <c r="Z336" i="9" s="1"/>
  <c r="AC336" i="9" s="1"/>
  <c r="W335" i="9"/>
  <c r="Y335" i="9" s="1"/>
  <c r="Z335" i="9" s="1"/>
  <c r="AC335" i="9" s="1"/>
  <c r="W334" i="9"/>
  <c r="Y334" i="9" s="1"/>
  <c r="Z334" i="9" s="1"/>
  <c r="AC334" i="9" s="1"/>
  <c r="W333" i="9"/>
  <c r="Y333" i="9" s="1"/>
  <c r="Z333" i="9" s="1"/>
  <c r="AC333" i="9" s="1"/>
  <c r="AD333" i="9" s="1"/>
  <c r="W332" i="9"/>
  <c r="Y332" i="9" s="1"/>
  <c r="Z332" i="9" s="1"/>
  <c r="AC332" i="9" s="1"/>
  <c r="W331" i="9"/>
  <c r="Y331" i="9" s="1"/>
  <c r="Z331" i="9" s="1"/>
  <c r="AC331" i="9" s="1"/>
  <c r="AD331" i="9" s="1"/>
  <c r="W330" i="9"/>
  <c r="Y330" i="9" s="1"/>
  <c r="Z330" i="9" s="1"/>
  <c r="AC330" i="9" s="1"/>
  <c r="AD330" i="9" s="1"/>
  <c r="W328" i="9"/>
  <c r="Y328" i="9" s="1"/>
  <c r="Z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K198" i="8" l="1"/>
  <c r="AD336" i="9"/>
  <c r="AD345" i="9"/>
  <c r="AD334" i="9"/>
  <c r="AD335" i="9"/>
  <c r="AD332" i="9"/>
  <c r="AE329" i="9" s="1"/>
  <c r="C12" i="8"/>
  <c r="AD344" i="9"/>
  <c r="AD343" i="9"/>
  <c r="AD346" i="9"/>
  <c r="AD339" i="9"/>
  <c r="AD341" i="9"/>
  <c r="C90" i="8"/>
  <c r="C98" i="8" s="1"/>
  <c r="C102" i="8" s="1"/>
  <c r="C72" i="8"/>
  <c r="C80" i="8" s="1"/>
  <c r="C84" i="8" s="1"/>
  <c r="C89" i="8"/>
  <c r="C97" i="8" s="1"/>
  <c r="C101" i="8" s="1"/>
  <c r="C51" i="8"/>
  <c r="C59" i="8" s="1"/>
  <c r="C63" i="8" s="1"/>
  <c r="C52" i="8"/>
  <c r="C60" i="8" s="1"/>
  <c r="C64" i="8" s="1"/>
  <c r="C116" i="8"/>
  <c r="C124" i="8" s="1"/>
  <c r="C128" i="8" s="1"/>
  <c r="C71" i="8"/>
  <c r="C79" i="8" s="1"/>
  <c r="C83" i="8" s="1"/>
  <c r="C115" i="8"/>
  <c r="C123" i="8" s="1"/>
  <c r="C127" i="8" s="1"/>
  <c r="C31" i="8"/>
  <c r="C39" i="8" s="1"/>
  <c r="C43" i="8" s="1"/>
  <c r="C32" i="8"/>
  <c r="C40" i="8" s="1"/>
  <c r="C44" i="8" s="1"/>
  <c r="Z9" i="9"/>
  <c r="AC9" i="9" s="1"/>
  <c r="Y353" i="9"/>
  <c r="Z353" i="9" s="1"/>
  <c r="AC353" i="9" s="1"/>
  <c r="AD353" i="9" s="1"/>
  <c r="CM10" i="13"/>
  <c r="CJ11" i="13"/>
  <c r="CN9" i="13"/>
  <c r="AD364" i="9"/>
  <c r="AD27" i="9"/>
  <c r="AD252" i="9"/>
  <c r="AD8" i="9"/>
  <c r="AD267" i="9"/>
  <c r="AD249" i="9"/>
  <c r="AD271" i="9"/>
  <c r="AD361" i="9"/>
  <c r="AD57" i="9"/>
  <c r="AD218" i="9"/>
  <c r="AD173" i="9"/>
  <c r="AD174" i="9"/>
  <c r="AD348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6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50" i="9"/>
  <c r="Y264" i="9"/>
  <c r="Z264" i="9" s="1"/>
  <c r="AC264" i="9" s="1"/>
  <c r="AD264" i="9" s="1"/>
  <c r="AD357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9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8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51" i="9"/>
  <c r="AD359" i="9"/>
  <c r="AD362" i="9"/>
  <c r="AD270" i="9"/>
  <c r="AD365" i="9"/>
  <c r="AD260" i="9"/>
  <c r="AD352" i="9"/>
  <c r="AD360" i="9"/>
  <c r="AD355" i="9"/>
  <c r="AD363" i="9"/>
  <c r="AE338" i="9" l="1"/>
  <c r="C13" i="8" s="1"/>
  <c r="E86" i="8"/>
  <c r="AD354" i="9"/>
  <c r="E48" i="8"/>
  <c r="E68" i="8"/>
  <c r="E112" i="8"/>
  <c r="E28" i="8"/>
  <c r="AD10" i="9"/>
  <c r="AD9" i="9"/>
  <c r="AE365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354" i="9"/>
  <c r="AE356" i="9"/>
  <c r="AE352" i="9"/>
  <c r="AE361" i="9"/>
  <c r="AE347" i="9"/>
  <c r="AE348" i="9"/>
  <c r="AE353" i="9"/>
  <c r="AE351" i="9"/>
  <c r="AD190" i="9"/>
  <c r="AE183" i="9" s="1"/>
  <c r="AE358" i="9"/>
  <c r="AE350" i="9"/>
  <c r="AE359" i="9"/>
  <c r="AE357" i="9"/>
  <c r="AE349" i="9"/>
  <c r="AE360" i="9"/>
  <c r="AE364" i="9"/>
  <c r="AE355" i="9"/>
  <c r="AE363" i="9"/>
  <c r="AE362" i="9"/>
  <c r="AD44" i="9"/>
  <c r="AE49" i="9" s="1"/>
  <c r="AE109" i="9" l="1"/>
  <c r="AE103" i="9"/>
  <c r="AE107" i="9"/>
  <c r="AE112" i="9"/>
  <c r="H198" i="8"/>
  <c r="AE101" i="9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C21" i="8" s="1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C25" i="8" l="1"/>
  <c r="E9" i="8" s="1"/>
  <c r="CN12" i="13"/>
  <c r="CM13" i="13"/>
  <c r="CJ14" i="13"/>
  <c r="G197" i="8" l="1"/>
  <c r="J197" i="8" s="1"/>
  <c r="J198" i="8" s="1"/>
  <c r="CN13" i="13"/>
  <c r="CM14" i="13"/>
  <c r="CJ15" i="13"/>
  <c r="G198" i="8" l="1"/>
  <c r="CN14" i="13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G55" i="8" s="1"/>
  <c r="G48" i="8" s="1"/>
  <c r="CJ398" i="13" l="1"/>
  <c r="CM397" i="13"/>
  <c r="CN397" i="13" s="1"/>
  <c r="CJ399" i="13" l="1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CJ1122" i="13" l="1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35" i="8" s="1"/>
  <c r="G28" i="8" s="1"/>
  <c r="CJ1262" i="13" l="1"/>
  <c r="CM1261" i="13"/>
  <c r="CN1261" i="13" s="1"/>
  <c r="CJ1263" i="13" l="1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I197" i="8" l="1"/>
  <c r="L197" i="8" s="1"/>
  <c r="B197" i="8"/>
  <c r="C197" i="8" s="1"/>
  <c r="E197" i="8" s="1"/>
  <c r="E198" i="8" s="1"/>
  <c r="I198" i="8" l="1"/>
  <c r="L198" i="8"/>
  <c r="F197" i="8"/>
  <c r="F198" i="8" s="1"/>
  <c r="E199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35C4D490-B865-4119-81B0-E5CB71740646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E8D50805-AB7B-438C-A2AD-88037852E42D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50306331-A07E-4C6F-9DEA-1D3CACD25E85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B9B92B7B-65D0-4FCA-A511-DE040BB866C9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<sst xmlns="http://schemas.openxmlformats.org/spreadsheetml/2006/main" count="36025" uniqueCount="1550">
  <si>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</si>
  <si>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</si>
  <si>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</si>
  <si>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</si>
  <si>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</si>
  <si>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</si>
  <si>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</si>
  <si>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</si>
  <si>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</si>
  <si>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</si>
  <si>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</si>
  <si>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</si>
  <si>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</si>
  <si>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</si>
  <si>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</si>
  <si>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</si>
  <si>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</si>
  <si>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</si>
  <si>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</si>
  <si>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</si>
  <si>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</si>
  <si>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</si>
  <si>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</si>
  <si>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</si>
  <si>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</si>
  <si>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</si>
  <si>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</si>
  <si>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</si>
  <si>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</si>
  <si>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</si>
  <si>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</si>
  <si>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</si>
  <si>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</si>
  <si>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</si>
  <si>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</si>
  <si>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</si>
  <si>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</si>
  <si>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</si>
  <si>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</si>
  <si>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</si>
  <si>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</si>
  <si>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</si>
  <si>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</si>
  <si>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</si>
  <si>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</si>
  <si>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</si>
  <si>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</si>
  <si>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</si>
  <si>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</si>
  <si>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</si>
  <si>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</si>
  <si>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</si>
  <si>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</si>
  <si>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</si>
  <si>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</si>
  <si>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</si>
  <si>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</si>
  <si>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</si>
  <si>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</si>
  <si>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</si>
  <si>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</si>
  <si>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</si>
  <si>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</si>
  <si>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</si>
  <si>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</si>
  <si>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</si>
  <si>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</si>
  <si>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</si>
  <si>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</si>
  <si>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</si>
  <si>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</si>
  <si>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</si>
  <si>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</si>
  <si>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</si>
  <si>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</si>
  <si>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</si>
  <si>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</si>
  <si>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</si>
  <si>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</si>
  <si>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</si>
  <si>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</si>
  <si>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</si>
  <si>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</si>
  <si>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</si>
  <si>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</si>
  <si>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</si>
  <si>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</si>
  <si>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</si>
  <si>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</si>
  <si>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</si>
  <si>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</si>
  <si>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</si>
  <si>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</si>
  <si>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</si>
  <si>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</si>
  <si>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</si>
  <si>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</si>
  <si>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</si>
  <si>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</si>
  <si>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</si>
  <si>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</si>
  <si>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</si>
  <si>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</si>
  <si>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</si>
  <si>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</si>
  <si>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</si>
  <si>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</si>
  <si>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</si>
  <si>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</si>
  <si>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</si>
  <si>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</si>
  <si>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</si>
  <si>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</si>
  <si>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</si>
  <si>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</si>
  <si>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</si>
  <si>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</si>
  <si>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</si>
  <si>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</si>
  <si>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</si>
  <si>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</si>
  <si>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</si>
  <si>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</si>
  <si>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</si>
  <si>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</si>
  <si>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</si>
  <si>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</si>
  <si>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</si>
  <si>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</si>
  <si>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</si>
  <si>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</si>
  <si>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</si>
  <si>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</si>
  <si>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</si>
  <si>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</si>
  <si>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</si>
  <si>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</si>
  <si>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</si>
  <si>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</si>
  <si>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</si>
  <si>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</si>
  <si>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</si>
  <si>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</si>
  <si>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</si>
  <si>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</si>
  <si>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</si>
  <si>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</si>
  <si>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</si>
  <si>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</si>
  <si>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</si>
  <si>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</si>
  <si>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</si>
  <si>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</si>
  <si>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</si>
  <si>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</si>
  <si>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</si>
  <si>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</si>
  <si>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</si>
  <si>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</si>
  <si>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</si>
  <si>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</si>
  <si>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</si>
  <si>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</si>
  <si>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</si>
  <si>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</si>
  <si>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</si>
  <si>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</si>
  <si>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</si>
  <si>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</si>
  <si>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</si>
  <si>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</si>
  <si>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</si>
  <si>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</si>
  <si>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</si>
  <si>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</si>
  <si>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</si>
  <si>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</si>
  <si>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</si>
  <si>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</si>
  <si>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</si>
  <si>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</si>
  <si>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</si>
  <si>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</si>
  <si>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</si>
  <si>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</si>
  <si>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</si>
  <si>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</si>
  <si>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</si>
  <si>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</si>
  <si>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</si>
  <si>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</si>
  <si>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</si>
  <si>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</si>
  <si>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</si>
  <si>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</si>
  <si>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</si>
  <si>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</si>
  <si>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</si>
  <si>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</si>
  <si>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</si>
  <si>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</si>
  <si>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</si>
  <si>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</si>
  <si>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</si>
  <si>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</si>
  <si>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</si>
  <si>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</si>
  <si>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</si>
  <si>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</si>
  <si>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</si>
  <si>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</si>
  <si>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</si>
  <si>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</si>
  <si>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</si>
  <si>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</si>
  <si>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</si>
  <si>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</si>
  <si>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</si>
  <si>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</si>
  <si>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</si>
  <si>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</si>
  <si>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</si>
  <si>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</si>
  <si>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</si>
  <si>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</si>
  <si>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</si>
  <si>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</si>
  <si>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</si>
  <si>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</si>
  <si>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</si>
  <si>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</si>
  <si>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</si>
  <si>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</si>
  <si>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</si>
  <si>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</si>
  <si>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</si>
  <si>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</si>
  <si>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</si>
  <si>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</si>
  <si>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</si>
  <si>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</si>
  <si>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</si>
  <si>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</si>
  <si>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</si>
  <si>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</si>
  <si>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</si>
  <si>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</si>
  <si>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</si>
  <si>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</si>
  <si>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</si>
  <si>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</si>
  <si>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</si>
  <si>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</si>
  <si>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</si>
  <si>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</si>
  <si>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</si>
  <si>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</si>
  <si>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</si>
  <si>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</si>
  <si>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</si>
  <si>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</si>
  <si>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</si>
  <si>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</si>
  <si>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</si>
  <si>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</si>
  <si>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</si>
  <si>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</si>
  <si>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</si>
  <si>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</si>
  <si>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</si>
  <si>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</si>
  <si>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</si>
  <si>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</si>
  <si>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</si>
  <si>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</si>
  <si>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</si>
  <si>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</si>
  <si>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</si>
  <si>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</si>
  <si>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</si>
  <si>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</si>
  <si>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</si>
  <si>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</si>
  <si>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</si>
  <si>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</si>
  <si>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</si>
  <si>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</si>
  <si>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</si>
  <si>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</si>
  <si>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</si>
  <si>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</si>
  <si>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</si>
  <si>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</si>
  <si>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</si>
  <si>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</si>
  <si>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</si>
  <si>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</si>
  <si>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</si>
  <si>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</si>
  <si>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</si>
  <si>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</si>
  <si>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</si>
  <si>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</si>
  <si>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</si>
  <si>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</si>
  <si>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</si>
  <si>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</si>
  <si>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</si>
  <si>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</si>
  <si>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</si>
  <si>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</si>
  <si>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</si>
  <si>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</si>
  <si>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</si>
  <si>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</si>
  <si>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</si>
  <si>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</si>
  <si>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</si>
  <si>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</si>
  <si>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</si>
  <si>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2 - Définition du scénario de projet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</si>
  <si>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</si>
  <si>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</si>
  <si>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</si>
  <si>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</si>
  <si>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</si>
  <si>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</si>
  <si>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</si>
  <si>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</si>
  <si>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</si>
  <si>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</si>
  <si>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</si>
  <si>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</si>
  <si>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</si>
  <si>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</si>
  <si>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</si>
  <si>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</si>
  <si>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</si>
  <si>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</si>
  <si>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</si>
  <si>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</si>
  <si>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</si>
  <si>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</si>
  <si>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</si>
  <si>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</si>
  <si>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</si>
  <si>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</si>
  <si>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</si>
  <si>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</si>
  <si>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</si>
  <si>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</si>
  <si>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</si>
  <si>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</si>
  <si>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</si>
  <si>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</si>
  <si>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</si>
  <si>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</si>
  <si>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</si>
  <si>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</si>
  <si>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</si>
  <si>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</si>
  <si>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</si>
  <si>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</si>
  <si>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</si>
  <si>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</si>
  <si>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</si>
  <si>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</si>
  <si>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</si>
  <si>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</si>
  <si>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</si>
  <si>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</si>
  <si>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</si>
  <si>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</si>
  <si>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</si>
  <si>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</si>
  <si>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</si>
  <si>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</si>
  <si>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</si>
  <si>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</si>
  <si>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</si>
  <si>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</si>
  <si>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</si>
  <si>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</si>
  <si>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</si>
  <si>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</si>
  <si>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</si>
  <si>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</si>
  <si>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</si>
  <si>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</si>
  <si>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</si>
  <si>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</si>
  <si>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</si>
  <si>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</si>
  <si>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</si>
  <si>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</si>
  <si>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</si>
  <si>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</si>
  <si>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</si>
  <si>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</si>
  <si>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</si>
  <si>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</si>
  <si>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</si>
  <si>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</si>
  <si>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</si>
  <si>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</si>
  <si>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</si>
  <si>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</si>
  <si>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</si>
  <si>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</si>
  <si>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</si>
  <si>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</si>
  <si>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</si>
  <si>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</si>
  <si>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</si>
  <si>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</si>
  <si>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</si>
  <si>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</si>
  <si>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</si>
  <si>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</si>
  <si>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</si>
  <si>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</si>
  <si>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Chêne sessile_F1_Dynamique_Guide chênaie continentale_30_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</si>
  <si>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</si>
  <si>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</si>
  <si>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</si>
  <si>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</si>
  <si>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</si>
  <si>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</si>
  <si>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</si>
  <si>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</si>
  <si>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</si>
  <si>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</si>
  <si>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</si>
  <si>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</si>
  <si>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</si>
  <si>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</si>
  <si>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</si>
  <si>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</si>
  <si>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</si>
  <si>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</si>
  <si>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</si>
  <si>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</si>
  <si>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</si>
  <si>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</si>
  <si>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</si>
  <si>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</si>
  <si>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</si>
  <si>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</si>
  <si>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</si>
  <si>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</si>
  <si>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</si>
  <si>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</si>
  <si>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</si>
  <si>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</si>
  <si>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</si>
  <si>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</si>
  <si>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</si>
  <si>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</si>
  <si>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</si>
  <si>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</si>
  <si>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</si>
  <si>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</si>
  <si>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</si>
  <si>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</si>
  <si>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</si>
  <si>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</si>
  <si>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</si>
  <si>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</si>
  <si>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</si>
  <si>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</si>
  <si>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</si>
  <si>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</si>
  <si>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</si>
  <si>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</si>
  <si>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</si>
  <si>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</si>
  <si>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</si>
  <si>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</si>
  <si>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</si>
  <si>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</si>
  <si>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</si>
  <si>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</si>
  <si>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</si>
  <si>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</si>
  <si>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</si>
  <si>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</si>
  <si>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</si>
  <si>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</si>
  <si>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</si>
  <si>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</si>
  <si>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</si>
  <si>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</si>
  <si>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</si>
  <si>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</si>
  <si>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</si>
  <si>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</si>
  <si>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</si>
  <si>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</si>
  <si>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</si>
  <si>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</si>
  <si>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</si>
  <si>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</si>
  <si>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</si>
  <si>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</si>
  <si>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</si>
  <si>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</si>
  <si>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</si>
  <si>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</si>
  <si>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</si>
  <si>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</si>
  <si>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</si>
  <si>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</si>
  <si>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</si>
  <si>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</si>
  <si>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</si>
  <si>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</si>
  <si>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</si>
  <si>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</si>
  <si>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</si>
  <si>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</si>
  <si>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</si>
  <si>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</si>
  <si>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</si>
  <si>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</si>
  <si>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</si>
  <si>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</si>
  <si>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</si>
  <si>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</si>
  <si>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</si>
  <si>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</si>
  <si>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</si>
  <si>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</si>
  <si>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</si>
  <si>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</si>
  <si>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</si>
  <si>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</si>
  <si>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</si>
  <si>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</si>
  <si>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</si>
  <si>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</si>
  <si>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</si>
  <si>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</si>
  <si>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</si>
  <si>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</si>
  <si>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</si>
  <si>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</si>
  <si>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</si>
  <si>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</si>
  <si>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</si>
  <si>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</si>
  <si>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</si>
  <si>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</si>
  <si>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</si>
  <si>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</si>
  <si>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</si>
  <si>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</si>
  <si>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</si>
  <si>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</si>
  <si>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</si>
  <si>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</si>
  <si>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</si>
  <si>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</si>
  <si>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</si>
  <si>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</si>
  <si>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</si>
  <si>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</si>
  <si>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</si>
  <si>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</si>
  <si>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</si>
  <si>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</si>
  <si>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</si>
  <si>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</si>
  <si>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</si>
  <si>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</si>
  <si>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</si>
  <si>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</si>
  <si>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</si>
  <si>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</si>
  <si>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</si>
  <si>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</si>
  <si>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</si>
  <si>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</si>
  <si>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</si>
  <si>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</si>
  <si>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</si>
  <si>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</si>
  <si>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</si>
  <si>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</si>
  <si>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</si>
  <si>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</si>
  <si>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</si>
  <si>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</si>
  <si>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</si>
  <si>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</si>
  <si>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</si>
  <si>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</si>
  <si>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</si>
  <si>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</si>
  <si>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</si>
  <si>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</si>
  <si>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</si>
  <si>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</si>
  <si>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</si>
  <si>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</si>
  <si>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</si>
  <si>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</si>
  <si>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</si>
  <si>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</si>
  <si>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</si>
  <si>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</si>
  <si>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</si>
  <si>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</si>
  <si>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</si>
  <si>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</si>
  <si>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</si>
  <si>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</si>
  <si>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</si>
  <si>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</si>
  <si>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</si>
  <si>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</si>
  <si>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</si>
  <si>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</si>
  <si>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</si>
  <si>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</si>
  <si>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</si>
  <si>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</si>
  <si>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</si>
  <si>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</si>
  <si>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</si>
  <si>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</si>
  <si>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</si>
  <si>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</si>
  <si>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</si>
  <si>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</si>
  <si>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</si>
  <si>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</si>
  <si>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</si>
  <si>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</si>
  <si>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</si>
  <si>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</si>
  <si>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</si>
  <si>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</si>
  <si>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</si>
  <si>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</si>
  <si>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</si>
  <si>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</si>
  <si>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</si>
  <si>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</si>
  <si>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</si>
  <si>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</si>
  <si>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</si>
  <si>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</si>
  <si>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</si>
  <si>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</si>
  <si>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</si>
  <si>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</si>
  <si>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</si>
  <si>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</si>
  <si>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</si>
  <si>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</si>
  <si>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</si>
  <si>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</si>
  <si>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</si>
  <si>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</si>
  <si>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</si>
  <si>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</si>
  <si>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</si>
  <si>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</si>
  <si>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</si>
  <si>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</si>
  <si>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</si>
  <si>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</si>
  <si>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</si>
  <si>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</si>
  <si>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</si>
  <si>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</si>
  <si>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</si>
  <si>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</si>
  <si>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</si>
  <si>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</si>
  <si>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</si>
  <si>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</si>
  <si>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</si>
  <si>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</si>
  <si>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</si>
  <si>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</si>
  <si>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</si>
  <si>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</si>
  <si>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</si>
  <si>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</si>
  <si>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</si>
  <si>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</si>
  <si>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</si>
  <si>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</si>
  <si>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</si>
  <si>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</si>
  <si>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</si>
  <si>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</si>
  <si>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</si>
  <si>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</si>
  <si>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</si>
  <si>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</si>
  <si>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</si>
  <si>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</si>
  <si>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</si>
  <si>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</si>
  <si>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</si>
  <si>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</si>
  <si>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</si>
  <si>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</si>
  <si>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</si>
  <si>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</si>
  <si>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</si>
  <si>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</si>
  <si>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</si>
  <si>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</si>
  <si>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</si>
  <si>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</si>
  <si>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</si>
  <si>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</si>
  <si>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</si>
  <si>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</si>
  <si>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</si>
  <si>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</si>
  <si>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</si>
  <si>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</si>
  <si>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</si>
  <si>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</si>
  <si>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</si>
  <si>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</si>
  <si>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</si>
  <si>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</si>
  <si>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</si>
  <si>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</si>
  <si>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</si>
  <si>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</si>
  <si>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</si>
  <si>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</si>
  <si>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</si>
  <si>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</si>
  <si>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</si>
  <si>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</si>
  <si>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</si>
  <si>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</si>
  <si>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</si>
  <si>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</si>
  <si>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</si>
  <si>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</si>
  <si>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</si>
  <si>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</si>
  <si>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</si>
  <si>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</si>
  <si>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</si>
  <si>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</si>
  <si>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</si>
  <si>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</si>
  <si>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</si>
  <si>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</si>
  <si>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</si>
  <si>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</si>
  <si>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</si>
  <si>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</si>
  <si>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</si>
  <si>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</si>
  <si>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</si>
  <si>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</si>
  <si>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</si>
  <si>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</si>
  <si>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</si>
  <si>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</si>
  <si>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</si>
  <si>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</si>
  <si>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</si>
  <si>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</si>
  <si>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</si>
  <si>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</si>
  <si>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</si>
  <si>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</si>
  <si>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</si>
  <si>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</si>
  <si>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</si>
  <si>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</si>
  <si>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</si>
  <si>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</si>
  <si>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</si>
  <si>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</si>
  <si>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</si>
  <si>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</si>
  <si>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</si>
  <si>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</si>
  <si>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</si>
  <si>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</si>
  <si>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</si>
  <si>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</si>
  <si>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</si>
  <si>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</si>
  <si>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</si>
  <si>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</si>
  <si>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</si>
  <si>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</si>
  <si>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</si>
  <si>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</si>
  <si>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</si>
  <si>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</si>
  <si>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</si>
  <si>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</si>
  <si>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</si>
  <si>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</si>
  <si>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</si>
  <si>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</si>
  <si>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</si>
  <si>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</si>
  <si>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</si>
  <si>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</si>
  <si>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</si>
  <si>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</si>
  <si>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</si>
  <si>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</si>
  <si>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</si>
  <si>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</si>
  <si>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</si>
  <si>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</si>
  <si>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</si>
  <si>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</si>
  <si>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</si>
  <si>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</si>
  <si>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</si>
  <si>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</si>
  <si>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</si>
  <si>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</si>
  <si>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</si>
  <si>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</si>
  <si>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</si>
  <si>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</si>
  <si>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</si>
  <si>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</si>
  <si>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</si>
  <si>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</si>
  <si>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</si>
  <si>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</si>
  <si>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</si>
  <si>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</si>
  <si>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</si>
  <si>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</si>
  <si>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</si>
  <si>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</si>
  <si>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</si>
  <si>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</si>
  <si>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</si>
  <si>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</si>
  <si>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</si>
  <si>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</si>
  <si>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</si>
  <si>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</si>
  <si>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</si>
  <si>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</si>
  <si>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</si>
  <si>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</si>
  <si>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</si>
  <si>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</si>
  <si>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</si>
  <si>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</si>
  <si>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</si>
  <si>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</si>
  <si>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</si>
  <si>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</si>
  <si>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</si>
  <si>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</si>
  <si>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</si>
  <si>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</si>
  <si>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</si>
  <si>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</si>
  <si>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</si>
  <si>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</si>
  <si>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</si>
  <si>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</si>
  <si>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</si>
  <si>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</si>
  <si>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</si>
  <si>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</si>
  <si>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</si>
  <si>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</si>
  <si>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</si>
  <si>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</si>
  <si>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</si>
  <si>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</si>
  <si>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</si>
  <si>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</si>
  <si>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</si>
  <si>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</si>
  <si>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</si>
  <si>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</si>
  <si>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</si>
  <si>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</si>
  <si>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</si>
  <si>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</si>
  <si>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</si>
  <si>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</si>
  <si>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</si>
  <si>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</si>
  <si>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</si>
  <si>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</si>
  <si>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</si>
  <si>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</si>
  <si>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</si>
  <si>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</si>
  <si>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</si>
  <si>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</si>
  <si>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</si>
  <si>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</si>
  <si>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</si>
  <si>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</si>
  <si>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</si>
  <si>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</si>
  <si>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</si>
  <si>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</si>
  <si>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</si>
  <si>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</si>
  <si>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</si>
  <si>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</si>
  <si>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</si>
  <si>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</si>
  <si>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</si>
  <si>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</si>
  <si>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</si>
  <si>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</si>
  <si>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</si>
  <si>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</si>
  <si>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</si>
  <si>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</si>
  <si>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</si>
  <si>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</si>
  <si>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</si>
  <si>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</si>
  <si>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</si>
  <si>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</si>
  <si>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</si>
  <si>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</si>
  <si>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</si>
  <si>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</si>
  <si>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</si>
  <si>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</si>
  <si>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</si>
  <si>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</si>
  <si>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</si>
  <si>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</si>
  <si>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</si>
  <si>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</si>
  <si>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</si>
  <si>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</si>
  <si>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</si>
  <si>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</si>
  <si>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</si>
  <si>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</si>
  <si>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</si>
  <si>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</si>
  <si>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</si>
  <si>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</si>
  <si>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</si>
  <si>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</si>
  <si>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</si>
  <si>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</si>
  <si>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</si>
  <si>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</si>
  <si>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</si>
  <si>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</si>
  <si>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</si>
  <si>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</si>
  <si>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</si>
  <si>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</si>
  <si>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</si>
  <si>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</si>
  <si>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</si>
  <si>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</si>
  <si>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</si>
  <si>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</si>
  <si>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</si>
  <si>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</si>
  <si>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</si>
  <si>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</si>
  <si>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</si>
  <si>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</si>
  <si>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</si>
  <si>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</si>
  <si>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</si>
  <si>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</si>
  <si>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</si>
  <si>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</si>
  <si>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</si>
  <si>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</si>
  <si>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</si>
  <si>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</si>
  <si>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</si>
  <si>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</si>
  <si>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</si>
  <si>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</si>
  <si>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</si>
  <si>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</si>
  <si>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</si>
  <si>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</si>
  <si>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</si>
  <si>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</si>
  <si>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</si>
  <si>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</si>
  <si>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</si>
  <si>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</si>
  <si>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</si>
  <si>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</si>
  <si>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</si>
  <si>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</si>
  <si>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</si>
  <si>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</si>
  <si>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</si>
  <si>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</si>
  <si>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</si>
  <si>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</si>
  <si>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</si>
  <si>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</si>
  <si>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</si>
  <si>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</si>
  <si>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</si>
  <si>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</si>
  <si>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</si>
  <si>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</si>
  <si>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</si>
  <si>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</si>
  <si>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</si>
  <si>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</si>
  <si>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</si>
  <si>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</si>
  <si>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</si>
  <si>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</si>
  <si>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</si>
  <si>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</si>
  <si>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</si>
  <si>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</si>
  <si>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</si>
  <si>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</si>
  <si>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</si>
  <si>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</si>
  <si>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</si>
  <si>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</si>
  <si>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</si>
  <si>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</si>
  <si>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</si>
  <si>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</si>
  <si>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</si>
  <si>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</si>
  <si>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</si>
  <si>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</si>
  <si>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</si>
  <si>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</si>
  <si>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</si>
  <si>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</si>
  <si>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</si>
  <si>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</si>
  <si>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</si>
  <si>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</si>
  <si>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</si>
  <si>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</si>
  <si>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</si>
  <si>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</si>
  <si>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</si>
  <si>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</si>
  <si>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</si>
  <si>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</si>
  <si>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</si>
  <si>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</si>
  <si>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</si>
  <si>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</si>
  <si>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</si>
  <si>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</si>
  <si>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</si>
  <si>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</si>
  <si>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</si>
  <si>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</si>
  <si>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</si>
  <si>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</si>
  <si>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</si>
  <si>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</si>
  <si>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</si>
  <si>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</si>
  <si>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</si>
  <si>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</si>
  <si>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</si>
  <si>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</si>
  <si>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</si>
  <si>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</si>
  <si>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</si>
  <si>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</si>
  <si>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</si>
  <si>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</si>
  <si>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</si>
  <si>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</si>
  <si>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</si>
  <si>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</si>
  <si>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</si>
  <si>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</si>
  <si>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</si>
  <si>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</si>
  <si>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</si>
  <si>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</si>
  <si>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</si>
  <si>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</si>
  <si>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</si>
  <si>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</si>
  <si>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</si>
  <si>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</si>
  <si>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</si>
  <si>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</si>
  <si>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</si>
  <si>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</si>
  <si>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</si>
  <si>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</si>
  <si>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</si>
  <si>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</si>
  <si>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</si>
  <si>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</si>
  <si>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</si>
  <si>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</si>
  <si>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</si>
  <si>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</si>
  <si>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</si>
  <si>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</si>
  <si>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</si>
  <si>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</si>
  <si>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</si>
  <si>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</si>
  <si>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</si>
  <si>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</si>
  <si>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</si>
  <si>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</si>
  <si>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</si>
  <si>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</si>
  <si>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</si>
  <si>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</si>
  <si>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</si>
  <si>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</si>
  <si>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</si>
  <si>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</si>
  <si>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</si>
  <si>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</si>
  <si>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</si>
  <si>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</si>
  <si>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</si>
  <si>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</si>
  <si>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</si>
  <si>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</si>
  <si>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</si>
  <si>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</si>
  <si>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</si>
  <si>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</si>
  <si>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</si>
  <si>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</si>
  <si>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</si>
  <si>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</si>
  <si>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</si>
  <si>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</si>
  <si>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</si>
  <si>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</si>
  <si>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</si>
  <si>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</si>
  <si>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</si>
  <si>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</si>
  <si>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</si>
  <si>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</si>
  <si>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</si>
  <si>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</si>
  <si>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</si>
  <si>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</si>
  <si>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</si>
  <si>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</si>
  <si>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</si>
  <si>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</si>
  <si>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</si>
  <si>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</si>
  <si>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</si>
  <si>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</si>
  <si>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</si>
  <si>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</si>
  <si>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</si>
  <si>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</si>
  <si>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</si>
  <si>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</si>
  <si>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</si>
  <si>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</si>
  <si>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</si>
  <si>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</si>
  <si>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</si>
  <si>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</si>
  <si>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</si>
  <si>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</si>
  <si>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</si>
  <si>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</si>
  <si>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</si>
  <si>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</si>
  <si>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</si>
  <si>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</si>
  <si>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</si>
  <si>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</si>
  <si>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</si>
  <si>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</si>
  <si>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</si>
  <si>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</si>
  <si>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</si>
  <si>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</si>
  <si>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</si>
  <si>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</si>
  <si>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</si>
  <si>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</si>
  <si>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</si>
  <si>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</si>
  <si>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</si>
  <si>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</si>
  <si>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</si>
  <si>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</si>
  <si>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</si>
  <si>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</si>
  <si>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</si>
  <si>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</si>
  <si>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</si>
  <si>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</si>
  <si>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</si>
  <si>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</si>
  <si>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</si>
  <si>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</si>
  <si>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</si>
  <si>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</si>
  <si>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</si>
  <si>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</si>
  <si>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</si>
  <si>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</si>
  <si>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</si>
  <si>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</si>
  <si>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</si>
  <si>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</si>
  <si>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</si>
  <si>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</si>
  <si>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</si>
  <si>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</si>
  <si>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</si>
  <si>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</si>
  <si>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</si>
  <si>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</si>
  <si>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</si>
  <si>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</si>
  <si>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</si>
  <si>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</si>
  <si>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</si>
  <si>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</si>
  <si>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</si>
  <si>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</si>
  <si>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</si>
  <si>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</si>
  <si>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</si>
  <si>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</si>
  <si>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</si>
  <si>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</si>
  <si>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</si>
  <si>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</si>
  <si>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</si>
  <si>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</si>
  <si>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</si>
  <si>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</si>
  <si>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</si>
  <si>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</si>
  <si>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</si>
  <si>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</si>
  <si>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</si>
  <si>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</si>
  <si>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</si>
  <si>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</si>
  <si>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</si>
  <si>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</si>
  <si>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</si>
  <si>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</si>
  <si>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</si>
  <si>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</si>
  <si>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</si>
  <si>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</si>
  <si>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</si>
  <si>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</si>
  <si>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</si>
  <si>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</si>
  <si>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</si>
  <si>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</si>
  <si>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</si>
  <si>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</si>
  <si>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</si>
  <si>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</si>
  <si>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</si>
  <si>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</si>
  <si>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</si>
  <si>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</si>
  <si>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</si>
  <si>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</si>
  <si>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</si>
  <si>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</si>
  <si>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</si>
  <si>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</si>
  <si>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</si>
  <si>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</si>
  <si>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</si>
  <si>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</si>
  <si>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</si>
  <si>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</si>
  <si>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</si>
  <si>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</si>
  <si>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</si>
  <si>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</si>
  <si>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</si>
  <si>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</si>
  <si>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</si>
  <si>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</si>
  <si>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</si>
  <si>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</si>
  <si>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</si>
  <si>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</si>
  <si>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</si>
  <si>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</si>
  <si>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</si>
  <si>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</si>
  <si>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</si>
  <si>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</si>
  <si>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</si>
  <si>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</si>
  <si>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</si>
  <si>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</si>
  <si>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</si>
  <si>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</si>
  <si>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</si>
  <si>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</si>
  <si>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</si>
  <si>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</si>
  <si>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</si>
  <si>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</si>
  <si>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</si>
  <si>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</si>
  <si>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</si>
  <si>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</si>
  <si>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</si>
  <si>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</si>
  <si>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</si>
  <si>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</si>
  <si>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</si>
  <si>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</si>
  <si>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</si>
  <si>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</si>
  <si>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</si>
  <si>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</si>
  <si>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</si>
  <si>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</si>
  <si>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</si>
  <si>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</si>
  <si>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</si>
  <si>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</si>
  <si>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</si>
  <si>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</si>
  <si>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</si>
  <si>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</si>
  <si>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</si>
  <si>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</si>
  <si>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</si>
  <si>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</si>
  <si>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</si>
  <si>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</si>
  <si>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</si>
  <si>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</si>
  <si>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</si>
  <si>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</si>
  <si>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</si>
  <si>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</si>
  <si>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</si>
  <si>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</si>
  <si>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</si>
  <si>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</si>
  <si>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</si>
  <si>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</si>
  <si>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</si>
  <si>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</si>
  <si>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</si>
  <si>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</si>
  <si>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</si>
  <si>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</si>
  <si>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</si>
  <si>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</si>
  <si>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</si>
  <si>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</si>
  <si>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</si>
  <si>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</si>
  <si>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</si>
  <si>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</si>
  <si>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</si>
  <si>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</si>
  <si>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</si>
  <si>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</si>
  <si>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</si>
  <si>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</si>
  <si>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</si>
  <si>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</si>
  <si>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</si>
  <si>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</si>
  <si>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</si>
  <si>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</si>
  <si>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</si>
  <si>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</si>
  <si>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</si>
  <si>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</si>
  <si>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</si>
  <si>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</si>
  <si>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</si>
  <si>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Chene_sessile</t>
  </si>
  <si>
    <t>Guide de sylviculture</t>
  </si>
  <si>
    <t>Essence disponible</t>
  </si>
  <si>
    <t>Guide sylvicole disponible par essence</t>
  </si>
  <si>
    <t>GSM_Alpes_du_Sud</t>
  </si>
  <si>
    <t>guide_chenaie_continentale</t>
  </si>
  <si>
    <t>guide_chenaie_atlantique</t>
  </si>
  <si>
    <t>guide_national</t>
  </si>
  <si>
    <t>Fertilité disponible par essence et par guide</t>
  </si>
  <si>
    <t>Itinéraire disponible par essence/par guide/par fertilité</t>
  </si>
  <si>
    <t>Diamètre d'exploitabilité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</si>
  <si>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</si>
  <si>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</si>
  <si>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</si>
  <si>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</si>
  <si>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</si>
  <si>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</si>
  <si>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</si>
  <si>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</si>
  <si>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</si>
  <si>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</si>
  <si>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</si>
  <si>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</si>
  <si>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</si>
  <si>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</si>
  <si>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</si>
  <si>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</si>
  <si>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</si>
  <si>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</si>
  <si>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</si>
  <si>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</si>
  <si>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</si>
  <si>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</si>
  <si>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</si>
  <si>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</si>
  <si>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</si>
  <si>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</si>
  <si>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</si>
  <si>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</si>
  <si>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</si>
  <si>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</si>
  <si>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</si>
  <si>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</si>
  <si>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</si>
  <si>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</si>
  <si>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</si>
  <si>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</si>
  <si>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</si>
  <si>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</si>
  <si>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</si>
  <si>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</si>
  <si>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</si>
  <si>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</si>
  <si>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</si>
  <si>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</si>
  <si>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</si>
  <si>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</si>
  <si>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</si>
  <si>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</si>
  <si>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</si>
  <si>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</si>
  <si>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</si>
  <si>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</si>
  <si>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</si>
  <si>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</si>
  <si>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</si>
  <si>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</si>
  <si>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</si>
  <si>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</si>
  <si>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</si>
  <si>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</si>
  <si>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</si>
  <si>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</si>
  <si>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</si>
  <si>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</si>
  <si>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</si>
  <si>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</si>
  <si>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</si>
  <si>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</si>
  <si>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</si>
  <si>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</si>
  <si>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</si>
  <si>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</si>
  <si>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</si>
  <si>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</si>
  <si>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</si>
  <si>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</si>
  <si>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</si>
  <si>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</si>
  <si>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</si>
  <si>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</si>
  <si>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</si>
  <si>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</si>
  <si>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</si>
  <si>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</si>
  <si>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</si>
  <si>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</si>
  <si>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</si>
  <si>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</si>
  <si>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</si>
  <si>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</si>
  <si>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</si>
  <si>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</si>
  <si>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</si>
  <si>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</si>
  <si>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</si>
  <si>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</si>
  <si>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</si>
  <si>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</si>
  <si>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</si>
  <si>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</si>
  <si>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</si>
  <si>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</si>
  <si>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</si>
  <si>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</si>
  <si>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</si>
  <si>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</si>
  <si>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</si>
  <si>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</si>
  <si>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</si>
  <si>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</si>
  <si>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</si>
  <si>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[OBLIGATOIRE]</t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</si>
  <si>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</si>
  <si>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AVANT Rabais</t>
    </r>
  </si>
  <si>
    <t>AVANT RABAIS</t>
  </si>
  <si>
    <t>APRES RABAIS</t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</si>
  <si>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AVANT Rabais</t>
    </r>
  </si>
  <si>
    <t>MEL</t>
  </si>
  <si>
    <t>APRES RABAIS (Détail pour la constitution du dossier)</t>
  </si>
  <si>
    <t>Volume aérien Méditerranée (en m3)</t>
  </si>
  <si>
    <r>
      <t xml:space="preserve">Volume racinaire feuillus (en m3) </t>
    </r>
    <r>
      <rPr>
        <b/>
        <sz val="11"/>
        <color rgb="FFFFFF00"/>
        <rFont val="Calibri"/>
        <family val="2"/>
        <scheme val="minor"/>
      </rPr>
      <t>MEDITERRANEE</t>
    </r>
  </si>
  <si>
    <r>
      <t xml:space="preserve">Volume racinaire résineux (en m3) </t>
    </r>
    <r>
      <rPr>
        <b/>
        <sz val="11"/>
        <color rgb="FFFFFF00"/>
        <rFont val="Calibri"/>
        <family val="2"/>
        <scheme val="minor"/>
      </rPr>
      <t>MEDITERRANEE</t>
    </r>
  </si>
  <si>
    <r>
      <t xml:space="preserve">Volume racinaire feuillus (en m3) </t>
    </r>
    <r>
      <rPr>
        <b/>
        <sz val="11"/>
        <color rgb="FFFFFF00"/>
        <rFont val="Calibri"/>
        <family val="2"/>
        <scheme val="minor"/>
      </rPr>
      <t>NATIONAL</t>
    </r>
  </si>
  <si>
    <r>
      <t xml:space="preserve">Volume racinaire résineux (en m3) </t>
    </r>
    <r>
      <rPr>
        <b/>
        <sz val="11"/>
        <color rgb="FFFFFF00"/>
        <rFont val="Calibri"/>
        <family val="2"/>
        <scheme val="minor"/>
      </rPr>
      <t>NATIONAL</t>
    </r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</si>
  <si>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APRES Rabais</t>
    </r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</si>
  <si>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APRES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</si>
  <si>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APRES Rabais</t>
    </r>
  </si>
  <si>
    <t>Chene_pedoncule_F1_Dynamique_Guide chênaie continentale_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</si>
</sst>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0"/>
    <numFmt numFmtId="166" formatCode="0.0"/>
    <numFmt numFmtId="167" formatCode="#,##0.0"/>
  </numFmts>
  <fonts count="3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12" xfId="0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6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22" fillId="16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23" fillId="0" borderId="0" xfId="0" applyFont="1" applyAlignment="1">
      <alignment wrapText="1"/>
    </xf>
    <xf numFmtId="0" fontId="0" fillId="17" borderId="12" xfId="0" applyFill="1" applyBorder="1" applyAlignment="1">
      <alignment horizontal="center" vertical="center"/>
    </xf>
    <xf numFmtId="0" fontId="16" fillId="16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18" borderId="12" xfId="0" applyFont="1" applyFill="1" applyBorder="1" applyAlignment="1">
      <alignment horizontal="center"/>
    </xf>
    <xf numFmtId="0" fontId="0" fillId="18" borderId="12" xfId="0" applyFill="1" applyBorder="1"/>
    <xf numFmtId="49" fontId="0" fillId="18" borderId="12" xfId="0" applyNumberFormat="1" applyFill="1" applyBorder="1"/>
    <xf numFmtId="0" fontId="0" fillId="19" borderId="12" xfId="0" applyFill="1" applyBorder="1"/>
    <xf numFmtId="0" fontId="15" fillId="19" borderId="12" xfId="0" applyFont="1" applyFill="1" applyBorder="1"/>
    <xf numFmtId="0" fontId="0" fillId="20" borderId="12" xfId="0" applyFill="1" applyBorder="1"/>
    <xf numFmtId="0" fontId="0" fillId="21" borderId="12" xfId="0" applyFill="1" applyBorder="1"/>
    <xf numFmtId="164" fontId="9" fillId="20" borderId="12" xfId="0" applyNumberFormat="1" applyFont="1" applyFill="1" applyBorder="1" applyAlignment="1">
      <alignment horizontal="right"/>
    </xf>
    <xf numFmtId="0" fontId="0" fillId="22" borderId="12" xfId="0" applyFill="1" applyBorder="1"/>
    <xf numFmtId="0" fontId="0" fillId="18" borderId="12" xfId="0" applyFill="1" applyBorder="1" applyAlignment="1">
      <alignment horizontal="center"/>
    </xf>
    <xf numFmtId="164" fontId="9" fillId="21" borderId="12" xfId="0" applyNumberFormat="1" applyFont="1" applyFill="1" applyBorder="1" applyAlignment="1">
      <alignment horizontal="right"/>
    </xf>
    <xf numFmtId="0" fontId="8" fillId="18" borderId="12" xfId="0" applyFont="1" applyFill="1" applyBorder="1" applyAlignment="1">
      <alignment horizontal="center"/>
    </xf>
    <xf numFmtId="164" fontId="24" fillId="20" borderId="12" xfId="0" applyNumberFormat="1" applyFont="1" applyFill="1" applyBorder="1" applyAlignment="1">
      <alignment horizontal="right"/>
    </xf>
    <xf numFmtId="0" fontId="7" fillId="18" borderId="12" xfId="0" applyFont="1" applyFill="1" applyBorder="1" applyAlignment="1">
      <alignment horizontal="center"/>
    </xf>
    <xf numFmtId="0" fontId="8" fillId="18" borderId="12" xfId="0" applyFont="1" applyFill="1" applyBorder="1"/>
    <xf numFmtId="0" fontId="15" fillId="18" borderId="12" xfId="0" applyFont="1" applyFill="1" applyBorder="1"/>
    <xf numFmtId="0" fontId="16" fillId="18" borderId="12" xfId="0" applyFont="1" applyFill="1" applyBorder="1" applyAlignment="1">
      <alignment horizontal="center"/>
    </xf>
    <xf numFmtId="0" fontId="16" fillId="18" borderId="12" xfId="0" applyFont="1" applyFill="1" applyBorder="1"/>
    <xf numFmtId="0" fontId="16" fillId="23" borderId="12" xfId="0" applyFont="1" applyFill="1" applyBorder="1" applyAlignment="1">
      <alignment horizontal="center"/>
    </xf>
    <xf numFmtId="0" fontId="0" fillId="23" borderId="12" xfId="0" applyFill="1" applyBorder="1"/>
    <xf numFmtId="49" fontId="0" fillId="23" borderId="12" xfId="0" applyNumberFormat="1" applyFill="1" applyBorder="1"/>
    <xf numFmtId="0" fontId="15" fillId="23" borderId="12" xfId="0" applyFont="1" applyFill="1" applyBorder="1"/>
    <xf numFmtId="0" fontId="0" fillId="24" borderId="12" xfId="0" applyFill="1" applyBorder="1"/>
    <xf numFmtId="164" fontId="9" fillId="24" borderId="12" xfId="0" applyNumberFormat="1" applyFont="1" applyFill="1" applyBorder="1" applyAlignment="1">
      <alignment horizontal="right"/>
    </xf>
    <xf numFmtId="0" fontId="0" fillId="23" borderId="12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2" xfId="0" applyFill="1" applyBorder="1"/>
    <xf numFmtId="49" fontId="0" fillId="25" borderId="12" xfId="0" applyNumberFormat="1" applyFill="1" applyBorder="1"/>
    <xf numFmtId="0" fontId="15" fillId="25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6" fillId="25" borderId="12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7" borderId="12" xfId="0" applyFill="1" applyBorder="1"/>
    <xf numFmtId="164" fontId="9" fillId="27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8" borderId="12" xfId="0" applyFill="1" applyBorder="1"/>
    <xf numFmtId="0" fontId="15" fillId="28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9" borderId="12" xfId="0" applyFont="1" applyFill="1" applyBorder="1" applyAlignment="1">
      <alignment horizontal="center"/>
    </xf>
    <xf numFmtId="0" fontId="0" fillId="29" borderId="12" xfId="0" applyFill="1" applyBorder="1"/>
    <xf numFmtId="49" fontId="0" fillId="29" borderId="12" xfId="0" applyNumberFormat="1" applyFill="1" applyBorder="1"/>
    <xf numFmtId="164" fontId="9" fillId="29" borderId="12" xfId="0" applyNumberFormat="1" applyFont="1" applyFill="1" applyBorder="1" applyAlignment="1">
      <alignment horizontal="right"/>
    </xf>
    <xf numFmtId="0" fontId="10" fillId="29" borderId="12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8" fillId="29" borderId="12" xfId="0" applyFont="1" applyFill="1" applyBorder="1" applyAlignment="1">
      <alignment horizontal="center"/>
    </xf>
    <xf numFmtId="0" fontId="8" fillId="29" borderId="12" xfId="0" applyFont="1" applyFill="1" applyBorder="1"/>
    <xf numFmtId="0" fontId="0" fillId="6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30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1" borderId="12" xfId="0" applyFill="1" applyBorder="1"/>
    <xf numFmtId="164" fontId="9" fillId="31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2" borderId="12" xfId="0" applyFont="1" applyFill="1" applyBorder="1" applyAlignment="1">
      <alignment horizontal="center"/>
    </xf>
    <xf numFmtId="0" fontId="0" fillId="32" borderId="12" xfId="0" applyFill="1" applyBorder="1"/>
    <xf numFmtId="49" fontId="0" fillId="32" borderId="12" xfId="0" applyNumberFormat="1" applyFill="1" applyBorder="1"/>
    <xf numFmtId="0" fontId="15" fillId="32" borderId="12" xfId="0" applyFont="1" applyFill="1" applyBorder="1"/>
    <xf numFmtId="0" fontId="0" fillId="33" borderId="12" xfId="0" applyFill="1" applyBorder="1"/>
    <xf numFmtId="164" fontId="9" fillId="33" borderId="12" xfId="0" applyNumberFormat="1" applyFont="1" applyFill="1" applyBorder="1" applyAlignment="1">
      <alignment horizontal="right"/>
    </xf>
    <xf numFmtId="0" fontId="10" fillId="32" borderId="12" xfId="0" applyFont="1" applyFill="1" applyBorder="1" applyAlignment="1">
      <alignment horizontal="center"/>
    </xf>
    <xf numFmtId="0" fontId="8" fillId="32" borderId="12" xfId="0" applyFont="1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34" borderId="12" xfId="0" applyFill="1" applyBorder="1"/>
    <xf numFmtId="49" fontId="0" fillId="34" borderId="12" xfId="0" applyNumberFormat="1" applyFill="1" applyBorder="1"/>
    <xf numFmtId="0" fontId="15" fillId="34" borderId="12" xfId="0" applyFont="1" applyFill="1" applyBorder="1"/>
    <xf numFmtId="0" fontId="0" fillId="35" borderId="12" xfId="0" applyFill="1" applyBorder="1"/>
    <xf numFmtId="164" fontId="9" fillId="35" borderId="12" xfId="0" applyNumberFormat="1" applyFont="1" applyFill="1" applyBorder="1" applyAlignment="1">
      <alignment horizontal="right"/>
    </xf>
    <xf numFmtId="0" fontId="8" fillId="34" borderId="12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0" fontId="10" fillId="34" borderId="12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0" fillId="36" borderId="12" xfId="0" applyFill="1" applyBorder="1"/>
    <xf numFmtId="49" fontId="0" fillId="36" borderId="12" xfId="0" applyNumberFormat="1" applyFill="1" applyBorder="1"/>
    <xf numFmtId="0" fontId="0" fillId="37" borderId="12" xfId="0" applyFill="1" applyBorder="1"/>
    <xf numFmtId="164" fontId="9" fillId="37" borderId="12" xfId="0" applyNumberFormat="1" applyFont="1" applyFill="1" applyBorder="1" applyAlignment="1">
      <alignment horizontal="right"/>
    </xf>
    <xf numFmtId="0" fontId="15" fillId="36" borderId="12" xfId="0" applyFont="1" applyFill="1" applyBorder="1"/>
    <xf numFmtId="164" fontId="9" fillId="36" borderId="12" xfId="0" applyNumberFormat="1" applyFont="1" applyFill="1" applyBorder="1" applyAlignment="1">
      <alignment horizontal="right"/>
    </xf>
    <xf numFmtId="0" fontId="10" fillId="36" borderId="12" xfId="0" applyFont="1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8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8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0" fillId="39" borderId="12" xfId="0" applyFill="1" applyBorder="1"/>
    <xf numFmtId="49" fontId="0" fillId="39" borderId="12" xfId="0" applyNumberFormat="1" applyFill="1" applyBorder="1"/>
    <xf numFmtId="0" fontId="15" fillId="39" borderId="12" xfId="0" applyFont="1" applyFill="1" applyBorder="1"/>
    <xf numFmtId="0" fontId="0" fillId="40" borderId="12" xfId="0" applyFill="1" applyBorder="1"/>
    <xf numFmtId="164" fontId="9" fillId="40" borderId="12" xfId="0" applyNumberFormat="1" applyFont="1" applyFill="1" applyBorder="1" applyAlignment="1">
      <alignment horizontal="right"/>
    </xf>
    <xf numFmtId="164" fontId="9" fillId="39" borderId="12" xfId="0" applyNumberFormat="1" applyFont="1" applyFill="1" applyBorder="1" applyAlignment="1">
      <alignment horizontal="right"/>
    </xf>
    <xf numFmtId="0" fontId="10" fillId="39" borderId="12" xfId="0" applyFon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0" fillId="41" borderId="12" xfId="0" applyFill="1" applyBorder="1"/>
    <xf numFmtId="49" fontId="0" fillId="41" borderId="12" xfId="0" applyNumberFormat="1" applyFill="1" applyBorder="1"/>
    <xf numFmtId="0" fontId="0" fillId="42" borderId="12" xfId="0" applyFill="1" applyBorder="1"/>
    <xf numFmtId="0" fontId="8" fillId="41" borderId="12" xfId="0" applyFont="1" applyFill="1" applyBorder="1" applyAlignment="1">
      <alignment horizontal="center"/>
    </xf>
    <xf numFmtId="164" fontId="9" fillId="42" borderId="12" xfId="0" applyNumberFormat="1" applyFont="1" applyFill="1" applyBorder="1" applyAlignment="1">
      <alignment horizontal="right"/>
    </xf>
    <xf numFmtId="0" fontId="10" fillId="41" borderId="12" xfId="0" applyFont="1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8" fillId="41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5" fillId="0" borderId="12" xfId="0" applyFont="1" applyBorder="1"/>
    <xf numFmtId="0" fontId="26" fillId="43" borderId="12" xfId="0" applyFont="1" applyFill="1" applyBorder="1" applyAlignment="1">
      <alignment horizontal="center" vertical="center" wrapText="1"/>
    </xf>
    <xf numFmtId="0" fontId="27" fillId="43" borderId="12" xfId="0" applyFont="1" applyFill="1" applyBorder="1" applyAlignment="1">
      <alignment horizontal="center" vertical="center" wrapText="1"/>
    </xf>
    <xf numFmtId="165" fontId="27" fillId="43" borderId="1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4" fontId="0" fillId="43" borderId="0" xfId="0" applyNumberFormat="1" applyFill="1" applyAlignment="1">
      <alignment horizontal="center" vertical="center"/>
    </xf>
    <xf numFmtId="0" fontId="0" fillId="43" borderId="0" xfId="0" applyFill="1"/>
    <xf numFmtId="0" fontId="26" fillId="43" borderId="12" xfId="0" applyFont="1" applyFill="1" applyBorder="1" applyAlignment="1">
      <alignment horizontal="center" vertical="center"/>
    </xf>
    <xf numFmtId="0" fontId="27" fillId="43" borderId="12" xfId="0" applyFont="1" applyFill="1" applyBorder="1" applyAlignment="1">
      <alignment horizontal="center" vertical="center"/>
    </xf>
    <xf numFmtId="4" fontId="27" fillId="43" borderId="12" xfId="0" applyNumberFormat="1" applyFont="1" applyFill="1" applyBorder="1" applyAlignment="1">
      <alignment horizontal="center" vertical="center"/>
    </xf>
    <xf numFmtId="1" fontId="28" fillId="43" borderId="12" xfId="0" applyNumberFormat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4" fontId="29" fillId="0" borderId="12" xfId="0" applyNumberFormat="1" applyFont="1" applyBorder="1" applyAlignment="1">
      <alignment horizontal="center" vertical="center"/>
    </xf>
    <xf numFmtId="0" fontId="28" fillId="43" borderId="12" xfId="0" applyFont="1" applyFill="1" applyBorder="1" applyAlignment="1">
      <alignment horizontal="center" vertical="center" wrapText="1"/>
    </xf>
    <xf numFmtId="0" fontId="28" fillId="43" borderId="12" xfId="0" applyFont="1" applyFill="1" applyBorder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31" fillId="43" borderId="12" xfId="0" applyFont="1" applyFill="1" applyBorder="1" applyAlignment="1">
      <alignment horizontal="center" vertical="center" wrapText="1"/>
    </xf>
    <xf numFmtId="0" fontId="31" fillId="43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0" fillId="17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3" fillId="0" borderId="0" xfId="0" applyFont="1" applyAlignment="1"/>
    <xf numFmtId="0" fontId="12" fillId="44" borderId="12" xfId="0" applyFont="1" applyFill="1" applyBorder="1" applyAlignment="1">
      <alignment horizontal="center" vertical="center" wrapText="1"/>
    </xf>
    <xf numFmtId="0" fontId="8" fillId="45" borderId="12" xfId="0" applyFont="1" applyFill="1" applyBorder="1" applyAlignment="1">
      <alignment horizontal="left" vertical="center" wrapText="1"/>
    </xf>
    <xf numFmtId="9" fontId="0" fillId="45" borderId="12" xfId="0" applyNumberFormat="1" applyFill="1" applyBorder="1" applyAlignment="1">
      <alignment horizontal="center" vertical="center" wrapText="1"/>
    </xf>
    <xf numFmtId="0" fontId="8" fillId="45" borderId="20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5" borderId="12" xfId="0" applyNumberFormat="1" applyFill="1" applyBorder="1" applyAlignment="1">
      <alignment horizontal="center" vertical="center"/>
    </xf>
    <xf numFmtId="9" fontId="34" fillId="0" borderId="12" xfId="4" applyFont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22" fillId="16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6" borderId="0" xfId="0" applyFill="1" applyAlignment="1">
      <alignment wrapText="1"/>
    </xf>
    <xf numFmtId="0" fontId="0" fillId="46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7" borderId="12" xfId="0" applyFill="1" applyBorder="1"/>
    <xf numFmtId="10" fontId="24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8" borderId="12" xfId="0" applyFont="1" applyFill="1" applyBorder="1" applyAlignment="1">
      <alignment horizontal="center" vertical="center"/>
    </xf>
    <xf numFmtId="0" fontId="12" fillId="48" borderId="20" xfId="0" applyFont="1" applyFill="1" applyBorder="1" applyAlignment="1">
      <alignment horizontal="center" vertical="center"/>
    </xf>
    <xf numFmtId="0" fontId="35" fillId="0" borderId="0" xfId="0" applyFont="1"/>
    <xf numFmtId="0" fontId="16" fillId="0" borderId="0" xfId="0" applyFont="1"/>
    <xf numFmtId="0" fontId="0" fillId="43" borderId="0" xfId="0" applyFill="1" applyBorder="1"/>
    <xf numFmtId="0" fontId="16" fillId="43" borderId="0" xfId="0" applyFont="1" applyFill="1" applyBorder="1" applyAlignment="1">
      <alignment horizontal="center" vertical="center"/>
    </xf>
    <xf numFmtId="4" fontId="0" fillId="43" borderId="0" xfId="0" applyNumberFormat="1" applyFill="1" applyBorder="1" applyAlignment="1">
      <alignment horizontal="center"/>
    </xf>
    <xf numFmtId="0" fontId="0" fillId="49" borderId="12" xfId="0" applyFill="1" applyBorder="1" applyAlignment="1">
      <alignment horizontal="center" vertical="center"/>
    </xf>
    <xf numFmtId="0" fontId="0" fillId="49" borderId="0" xfId="0" applyFill="1" applyAlignment="1">
      <alignment horizontal="center" vertical="center"/>
    </xf>
    <xf numFmtId="0" fontId="0" fillId="49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9" borderId="12" xfId="0" applyFill="1" applyBorder="1"/>
    <xf numFmtId="0" fontId="15" fillId="49" borderId="0" xfId="0" applyFont="1" applyFill="1" applyAlignment="1">
      <alignment horizontal="center" vertical="center"/>
    </xf>
    <xf numFmtId="0" fontId="0" fillId="49" borderId="0" xfId="0" applyFill="1" applyBorder="1" applyAlignment="1">
      <alignment horizontal="center" vertical="center"/>
    </xf>
    <xf numFmtId="0" fontId="0" fillId="49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4" fillId="50" borderId="0" xfId="0" applyFont="1" applyFill="1"/>
    <xf numFmtId="0" fontId="0" fillId="0" borderId="0" xfId="0" applyAlignment="1">
      <alignment horizontal="center"/>
    </xf>
    <xf numFmtId="0" fontId="27" fillId="2" borderId="12" xfId="0" applyFont="1" applyFill="1" applyBorder="1" applyAlignment="1">
      <alignment horizontal="center" vertical="center" wrapText="1"/>
    </xf>
    <xf numFmtId="0" fontId="16" fillId="4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43" borderId="12" xfId="0" applyFill="1" applyBorder="1"/>
    <xf numFmtId="0" fontId="0" fillId="43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17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16" fillId="44" borderId="12" xfId="0" applyFont="1" applyFill="1" applyBorder="1" applyAlignment="1">
      <alignment horizontal="center" vertical="center" wrapText="1"/>
    </xf>
    <xf numFmtId="0" fontId="12" fillId="44" borderId="13" xfId="0" applyFont="1" applyFill="1" applyBorder="1" applyAlignment="1">
      <alignment horizontal="center" vertical="center" wrapText="1"/>
    </xf>
    <xf numFmtId="166" fontId="16" fillId="0" borderId="13" xfId="0" applyNumberFormat="1" applyFont="1" applyFill="1" applyBorder="1" applyAlignment="1">
      <alignment horizontal="center" vertical="center"/>
    </xf>
    <xf numFmtId="4" fontId="16" fillId="2" borderId="13" xfId="0" applyNumberFormat="1" applyFont="1" applyFill="1" applyBorder="1" applyAlignment="1">
      <alignment horizontal="center" vertical="center"/>
    </xf>
    <xf numFmtId="4" fontId="34" fillId="12" borderId="13" xfId="0" applyNumberFormat="1" applyFont="1" applyFill="1" applyBorder="1" applyAlignment="1">
      <alignment horizontal="center" vertical="center"/>
    </xf>
    <xf numFmtId="167" fontId="16" fillId="6" borderId="12" xfId="0" applyNumberFormat="1" applyFont="1" applyFill="1" applyBorder="1" applyAlignment="1">
      <alignment horizontal="center" vertical="center"/>
    </xf>
    <xf numFmtId="167" fontId="0" fillId="9" borderId="12" xfId="0" applyNumberFormat="1" applyFill="1" applyBorder="1" applyAlignment="1">
      <alignment horizontal="center"/>
    </xf>
    <xf numFmtId="167" fontId="34" fillId="12" borderId="12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9" borderId="13" xfId="0" applyFill="1" applyBorder="1" applyAlignment="1">
      <alignment horizontal="center" vertical="center"/>
    </xf>
    <xf numFmtId="0" fontId="0" fillId="0" borderId="0" xfId="0" applyFill="1" applyBorder="1"/>
    <xf numFmtId="4" fontId="0" fillId="0" borderId="0" xfId="0" applyNumberFormat="1" applyFill="1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0" borderId="20" xfId="0" applyFill="1" applyBorder="1"/>
    <xf numFmtId="0" fontId="12" fillId="6" borderId="12" xfId="0" applyFont="1" applyFill="1" applyBorder="1" applyAlignment="1">
      <alignment horizontal="center" vertical="center" wrapText="1"/>
    </xf>
    <xf numFmtId="167" fontId="0" fillId="6" borderId="12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33" fillId="0" borderId="0" xfId="0" applyFont="1" applyAlignment="1">
      <alignment vertical="center"/>
    </xf>
    <xf numFmtId="0" fontId="16" fillId="6" borderId="12" xfId="0" applyFont="1" applyFill="1" applyBorder="1" applyAlignment="1">
      <alignment horizontal="center" vertical="center"/>
    </xf>
    <xf numFmtId="4" fontId="0" fillId="0" borderId="0" xfId="0" applyNumberForma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6" fillId="51" borderId="12" xfId="0" applyFont="1" applyFill="1" applyBorder="1" applyAlignment="1">
      <alignment horizontal="center" vertical="center"/>
    </xf>
    <xf numFmtId="0" fontId="16" fillId="11" borderId="13" xfId="0" applyFont="1" applyFill="1" applyBorder="1" applyAlignment="1">
      <alignment horizontal="center" vertical="center" wrapText="1"/>
    </xf>
    <xf numFmtId="0" fontId="16" fillId="11" borderId="14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1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75073"/>
          <a:ext cx="10863349" cy="5983775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07EDCF-7607-44DC-B1AB-DBA00A0A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CFF230-D73E-4A21-B0F3-04154292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C48AAF-38CE-45E6-93A3-77755BCD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0D9B1F-CC6F-46C0-820B-A46600CA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6F9AB2-C4FD-4CBD-AFD2-D50F259B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77AA40-978D-44A2-B905-38302696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AAD0D6-1E93-4A14-B525-28D3A0D0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81EE91E-5159-4610-860C-7BAF32FD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56447/1/923502012153.pdf" TargetMode="External"/><Relationship Id="rId13" Type="http://schemas.openxmlformats.org/officeDocument/2006/relationships/hyperlink" Target="http://biblio.onf.fr/documentation/getfile.php?file=1/Doc_associe/56911/1/923502012259.pdf" TargetMode="External"/><Relationship Id="rId18" Type="http://schemas.openxmlformats.org/officeDocument/2006/relationships/hyperlink" Target="http://biblio.onf.fr/documentation/getfile.php?file=1/Doc_associe/56447/1/923502012153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7" Type="http://schemas.openxmlformats.org/officeDocument/2006/relationships/hyperlink" Target="http://biblio.onf.fr/documentation/getfile.php?file=1/Doc_associe/45643/1/923502010872.pdf" TargetMode="External"/><Relationship Id="rId12" Type="http://schemas.openxmlformats.org/officeDocument/2006/relationships/hyperlink" Target="http://biblio.onf.fr/documentation/getfile.php?file=1/Doc_associe/56911/1/923502012259.pdf" TargetMode="External"/><Relationship Id="rId17" Type="http://schemas.openxmlformats.org/officeDocument/2006/relationships/hyperlink" Target="http://biblio.onf.fr/documentation/getfile.php?file=1/Doc_associe/45643/1/923502010872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45643/1/923502010872.pdf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45643/1/923502010872.pdf" TargetMode="External"/><Relationship Id="rId11" Type="http://schemas.openxmlformats.org/officeDocument/2006/relationships/hyperlink" Target="http://biblio.onf.fr/documentation/getfile.php?file=1/Doc_associe/44975/1/923502010589.pdf" TargetMode="External"/><Relationship Id="rId5" Type="http://schemas.openxmlformats.org/officeDocument/2006/relationships/hyperlink" Target="http://biblio.onf.fr/documentation/getfile.php?file=1/Doc_associe/56447/1/923502012153.pdf" TargetMode="External"/><Relationship Id="rId15" Type="http://schemas.openxmlformats.org/officeDocument/2006/relationships/hyperlink" Target="http://biblio.onf.fr/documentation/getfile.php?file=1/Doc_associe/44975/1/923502010589.pdf" TargetMode="External"/><Relationship Id="rId10" Type="http://schemas.openxmlformats.org/officeDocument/2006/relationships/hyperlink" Target="http://biblio.onf.fr/documentation/getfile.php?file=1/Doc_associe/45643/1/923502010872.pdf" TargetMode="External"/><Relationship Id="rId19" Type="http://schemas.openxmlformats.org/officeDocument/2006/relationships/hyperlink" Target="http://biblio.onf.fr/documentation/getfile.php?file=1/Doc_associe/56447/1/923502012153.pdf" TargetMode="External"/><Relationship Id="rId4" Type="http://schemas.openxmlformats.org/officeDocument/2006/relationships/hyperlink" Target="http://biblio.onf.fr/documentation/getfile.php?file=1/Doc_associe/56447/1/923502012153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zoomScale="90" zoomScaleNormal="90" workbookViewId="0">
      <selection activeCell="A3" sqref="A3:O35"/>
    </sheetView>
  </sheetViews>
  <sheetFormatPr baseColWidth="10" defaultColWidth="0" defaultRowHeight="15" zeroHeight="1" x14ac:dyDescent="0.25"/>
  <cols>
    <col min="1" max="15" width="11.5703125" customWidth="1"/>
    <col min="16" max="16384" width="11.5703125" hidden="1"/>
  </cols>
  <sheetData>
    <row r="1" spans="1:15" ht="14.45" customHeight="1" x14ac:dyDescent="0.25">
      <c r="A1" s="389" t="s">
        <v>3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</row>
    <row r="2" spans="1:15" ht="14.45" customHeight="1" x14ac:dyDescent="0.25">
      <c r="A2" s="389"/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</row>
    <row r="3" spans="1:15" x14ac:dyDescent="0.25">
      <c r="A3" s="390"/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</row>
    <row r="4" spans="1:15" x14ac:dyDescent="0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</row>
    <row r="5" spans="1:15" x14ac:dyDescent="0.25">
      <c r="A5" s="390"/>
      <c r="B5" s="390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</row>
    <row r="6" spans="1:15" x14ac:dyDescent="0.25">
      <c r="A6" s="390"/>
      <c r="B6" s="390"/>
      <c r="C6" s="390"/>
      <c r="D6" s="390"/>
      <c r="E6" s="390"/>
      <c r="F6" s="390"/>
      <c r="G6" s="390"/>
      <c r="H6" s="390"/>
      <c r="I6" s="390"/>
      <c r="J6" s="390"/>
      <c r="K6" s="390"/>
      <c r="L6" s="390"/>
      <c r="M6" s="390"/>
      <c r="N6" s="390"/>
      <c r="O6" s="390"/>
    </row>
    <row r="7" spans="1:15" x14ac:dyDescent="0.25">
      <c r="A7" s="390"/>
      <c r="B7" s="390"/>
      <c r="C7" s="390"/>
      <c r="D7" s="390"/>
      <c r="E7" s="390"/>
      <c r="F7" s="390"/>
      <c r="G7" s="390"/>
      <c r="H7" s="390"/>
      <c r="I7" s="390"/>
      <c r="J7" s="390"/>
      <c r="K7" s="390"/>
      <c r="L7" s="390"/>
      <c r="M7" s="390"/>
      <c r="N7" s="390"/>
      <c r="O7" s="390"/>
    </row>
    <row r="8" spans="1:15" x14ac:dyDescent="0.25">
      <c r="A8" s="390"/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</row>
    <row r="9" spans="1:15" x14ac:dyDescent="0.25">
      <c r="A9" s="390"/>
      <c r="B9" s="390"/>
      <c r="C9" s="390"/>
      <c r="D9" s="390"/>
      <c r="E9" s="390"/>
      <c r="F9" s="390"/>
      <c r="G9" s="390"/>
      <c r="H9" s="390"/>
      <c r="I9" s="390"/>
      <c r="J9" s="390"/>
      <c r="K9" s="390"/>
      <c r="L9" s="390"/>
      <c r="M9" s="390"/>
      <c r="N9" s="390"/>
      <c r="O9" s="390"/>
    </row>
    <row r="10" spans="1:15" x14ac:dyDescent="0.25">
      <c r="A10" s="390"/>
      <c r="B10" s="390"/>
      <c r="C10" s="390"/>
      <c r="D10" s="390"/>
      <c r="E10" s="390"/>
      <c r="F10" s="390"/>
      <c r="G10" s="390"/>
      <c r="H10" s="390"/>
      <c r="I10" s="390"/>
      <c r="J10" s="390"/>
      <c r="K10" s="390"/>
      <c r="L10" s="390"/>
      <c r="M10" s="390"/>
      <c r="N10" s="390"/>
      <c r="O10" s="390"/>
    </row>
    <row r="11" spans="1:15" x14ac:dyDescent="0.25">
      <c r="A11" s="390"/>
      <c r="B11" s="390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</row>
    <row r="12" spans="1:15" x14ac:dyDescent="0.25">
      <c r="A12" s="390"/>
      <c r="B12" s="390"/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</row>
    <row r="13" spans="1:15" x14ac:dyDescent="0.25">
      <c r="A13" s="390"/>
      <c r="B13" s="390"/>
      <c r="C13" s="390"/>
      <c r="D13" s="390"/>
      <c r="E13" s="390"/>
      <c r="F13" s="390"/>
      <c r="G13" s="390"/>
      <c r="H13" s="390"/>
      <c r="I13" s="390"/>
      <c r="J13" s="390"/>
      <c r="K13" s="390"/>
      <c r="L13" s="390"/>
      <c r="M13" s="390"/>
      <c r="N13" s="390"/>
      <c r="O13" s="390"/>
    </row>
    <row r="14" spans="1:15" x14ac:dyDescent="0.25">
      <c r="A14" s="390"/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  <c r="O14" s="390"/>
    </row>
    <row r="15" spans="1:15" x14ac:dyDescent="0.25">
      <c r="A15" s="390"/>
      <c r="B15" s="390"/>
      <c r="C15" s="390"/>
      <c r="D15" s="390"/>
      <c r="E15" s="390"/>
      <c r="F15" s="390"/>
      <c r="G15" s="390"/>
      <c r="H15" s="390"/>
      <c r="I15" s="390"/>
      <c r="J15" s="390"/>
      <c r="K15" s="390"/>
      <c r="L15" s="390"/>
      <c r="M15" s="390"/>
      <c r="N15" s="390"/>
      <c r="O15" s="390"/>
    </row>
    <row r="16" spans="1:15" x14ac:dyDescent="0.25">
      <c r="A16" s="390"/>
      <c r="B16" s="390"/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</row>
    <row r="17" spans="1:15" x14ac:dyDescent="0.25">
      <c r="A17" s="390"/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</row>
    <row r="18" spans="1:15" x14ac:dyDescent="0.25">
      <c r="A18" s="390"/>
      <c r="B18" s="390"/>
      <c r="C18" s="390"/>
      <c r="D18" s="390"/>
      <c r="E18" s="390"/>
      <c r="F18" s="390"/>
      <c r="G18" s="390"/>
      <c r="H18" s="390"/>
      <c r="I18" s="390"/>
      <c r="J18" s="390"/>
      <c r="K18" s="390"/>
      <c r="L18" s="390"/>
      <c r="M18" s="390"/>
      <c r="N18" s="390"/>
      <c r="O18" s="390"/>
    </row>
    <row r="19" spans="1:15" x14ac:dyDescent="0.25">
      <c r="A19" s="390"/>
      <c r="B19" s="390"/>
      <c r="C19" s="390"/>
      <c r="D19" s="390"/>
      <c r="E19" s="390"/>
      <c r="F19" s="390"/>
      <c r="G19" s="390"/>
      <c r="H19" s="390"/>
      <c r="I19" s="390"/>
      <c r="J19" s="390"/>
      <c r="K19" s="390"/>
      <c r="L19" s="390"/>
      <c r="M19" s="390"/>
      <c r="N19" s="390"/>
      <c r="O19" s="390"/>
    </row>
    <row r="20" spans="1:15" x14ac:dyDescent="0.25">
      <c r="A20" s="390"/>
      <c r="B20" s="390"/>
      <c r="C20" s="390"/>
      <c r="D20" s="390"/>
      <c r="E20" s="390"/>
      <c r="F20" s="390"/>
      <c r="G20" s="390"/>
      <c r="H20" s="390"/>
      <c r="I20" s="390"/>
      <c r="J20" s="390"/>
      <c r="K20" s="390"/>
      <c r="L20" s="390"/>
      <c r="M20" s="390"/>
      <c r="N20" s="390"/>
      <c r="O20" s="390"/>
    </row>
    <row r="21" spans="1:15" x14ac:dyDescent="0.25">
      <c r="A21" s="390"/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  <c r="O21" s="390"/>
    </row>
    <row r="22" spans="1:15" x14ac:dyDescent="0.25">
      <c r="A22" s="390"/>
      <c r="B22" s="390"/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</row>
    <row r="23" spans="1:15" x14ac:dyDescent="0.25">
      <c r="A23" s="390"/>
      <c r="B23" s="390"/>
      <c r="C23" s="390"/>
      <c r="D23" s="390"/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390"/>
    </row>
    <row r="24" spans="1:15" x14ac:dyDescent="0.25">
      <c r="A24" s="390"/>
      <c r="B24" s="390"/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</row>
    <row r="25" spans="1:15" x14ac:dyDescent="0.25">
      <c r="A25" s="390"/>
      <c r="B25" s="390"/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</row>
    <row r="26" spans="1:15" x14ac:dyDescent="0.25">
      <c r="A26" s="390"/>
      <c r="B26" s="390"/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</row>
    <row r="27" spans="1:15" x14ac:dyDescent="0.25">
      <c r="A27" s="390"/>
      <c r="B27" s="390"/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</row>
    <row r="28" spans="1:15" x14ac:dyDescent="0.25">
      <c r="A28" s="390"/>
      <c r="B28" s="390"/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</row>
    <row r="29" spans="1:15" x14ac:dyDescent="0.25">
      <c r="A29" s="390"/>
      <c r="B29" s="390"/>
      <c r="C29" s="390"/>
      <c r="D29" s="390"/>
      <c r="E29" s="390"/>
      <c r="F29" s="390"/>
      <c r="G29" s="390"/>
      <c r="H29" s="390"/>
      <c r="I29" s="390"/>
      <c r="J29" s="390"/>
      <c r="K29" s="390"/>
      <c r="L29" s="390"/>
      <c r="M29" s="390"/>
      <c r="N29" s="390"/>
      <c r="O29" s="390"/>
    </row>
    <row r="30" spans="1:15" x14ac:dyDescent="0.25">
      <c r="A30" s="390"/>
      <c r="B30" s="390"/>
      <c r="C30" s="390"/>
      <c r="D30" s="390"/>
      <c r="E30" s="390"/>
      <c r="F30" s="390"/>
      <c r="G30" s="390"/>
      <c r="H30" s="390"/>
      <c r="I30" s="390"/>
      <c r="J30" s="390"/>
      <c r="K30" s="390"/>
      <c r="L30" s="390"/>
      <c r="M30" s="390"/>
      <c r="N30" s="390"/>
      <c r="O30" s="390"/>
    </row>
    <row r="31" spans="1:15" x14ac:dyDescent="0.25">
      <c r="A31" s="390"/>
      <c r="B31" s="390"/>
      <c r="C31" s="390"/>
      <c r="D31" s="390"/>
      <c r="E31" s="390"/>
      <c r="F31" s="390"/>
      <c r="G31" s="390"/>
      <c r="H31" s="390"/>
      <c r="I31" s="390"/>
      <c r="J31" s="390"/>
      <c r="K31" s="390"/>
      <c r="L31" s="390"/>
      <c r="M31" s="390"/>
      <c r="N31" s="390"/>
      <c r="O31" s="390"/>
    </row>
    <row r="32" spans="1:15" x14ac:dyDescent="0.25">
      <c r="A32" s="390"/>
      <c r="B32" s="390"/>
      <c r="C32" s="390"/>
      <c r="D32" s="390"/>
      <c r="E32" s="390"/>
      <c r="F32" s="390"/>
      <c r="G32" s="390"/>
      <c r="H32" s="390"/>
      <c r="I32" s="390"/>
      <c r="J32" s="390"/>
      <c r="K32" s="390"/>
      <c r="L32" s="390"/>
      <c r="M32" s="390"/>
      <c r="N32" s="390"/>
      <c r="O32" s="390"/>
    </row>
    <row r="33" spans="1:15" x14ac:dyDescent="0.25">
      <c r="A33" s="390"/>
      <c r="B33" s="390"/>
      <c r="C33" s="390"/>
      <c r="D33" s="390"/>
      <c r="E33" s="390"/>
      <c r="F33" s="390"/>
      <c r="G33" s="390"/>
      <c r="H33" s="390"/>
      <c r="I33" s="390"/>
      <c r="J33" s="390"/>
      <c r="K33" s="390"/>
      <c r="L33" s="390"/>
      <c r="M33" s="390"/>
      <c r="N33" s="390"/>
      <c r="O33" s="390"/>
    </row>
    <row r="34" spans="1:15" x14ac:dyDescent="0.25">
      <c r="A34" s="390"/>
      <c r="B34" s="390"/>
      <c r="C34" s="390"/>
      <c r="D34" s="390"/>
      <c r="E34" s="390"/>
      <c r="F34" s="390"/>
      <c r="G34" s="390"/>
      <c r="H34" s="390"/>
      <c r="I34" s="390"/>
      <c r="J34" s="390"/>
      <c r="K34" s="390"/>
      <c r="L34" s="390"/>
      <c r="M34" s="390"/>
      <c r="N34" s="390"/>
      <c r="O34" s="390"/>
    </row>
    <row r="35" spans="1:15" x14ac:dyDescent="0.25">
      <c r="A35" s="390"/>
      <c r="B35" s="390"/>
      <c r="C35" s="390"/>
      <c r="D35" s="390"/>
      <c r="E35" s="390"/>
      <c r="F35" s="390"/>
      <c r="G35" s="390"/>
      <c r="H35" s="390"/>
      <c r="I35" s="390"/>
      <c r="J35" s="390"/>
      <c r="K35" s="390"/>
      <c r="L35" s="390"/>
      <c r="M35" s="390"/>
      <c r="N35" s="390"/>
      <c r="O35" s="390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F9E2-C007-4C71-8503-3B532D6946EE}">
  <sheetPr>
    <tabColor rgb="FFFFC000"/>
  </sheetPr>
  <dimension ref="A3:AG25"/>
  <sheetViews>
    <sheetView showGridLines="0" topLeftCell="E9" zoomScale="85" zoomScaleNormal="85" workbookViewId="0">
      <selection activeCell="Q23" sqref="Q23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18" width="10.85546875" style="264"/>
    <col min="19" max="19" width="19.140625" style="264" bestFit="1" customWidth="1"/>
    <col min="20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LBC!$B$152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sources3'!$A$8,'Coef Feuillus divers'!$G$2:$AA$228,10,FALSE)</f>
        <v>#N/A</v>
      </c>
      <c r="K8" s="268" t="e">
        <f>+VLOOKUP('Autres sources3'!$A$8,'Coef Feuillus divers'!$G$2:$AA$228,11,FALSE)</f>
        <v>#N/A</v>
      </c>
      <c r="L8" s="268" t="e">
        <f>+VLOOKUP('Autres sources3'!$A$8,'Coef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LBC!$B$152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sources3'!$A$8,'Coef Feuillus divers'!$G$2:$AA$228,10,FALSE)</f>
        <v>#N/A</v>
      </c>
      <c r="K9" s="268" t="e">
        <f>+VLOOKUP('Autres sources3'!$A$8,'Coef Feuillus divers'!$G$2:$AA$228,11,FALSE)</f>
        <v>#N/A</v>
      </c>
      <c r="L9" s="268" t="e">
        <f>+VLOOKUP('Autres sources3'!$A$8,'Coef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LBC!$B$152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sources3'!$A$8,'Coef Feuillus divers'!$G$2:$AA$228,10,FALSE)</f>
        <v>#N/A</v>
      </c>
      <c r="K10" s="268" t="e">
        <f>+VLOOKUP('Autres sources3'!$A$8,'Coef Feuillus divers'!$G$2:$AA$228,11,FALSE)</f>
        <v>#N/A</v>
      </c>
      <c r="L10" s="268" t="e">
        <f>+VLOOKUP('Autres sources3'!$A$8,'Coef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LBC!$B$152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sources3'!$A$8,'Coef Feuillus divers'!$G$2:$AA$228,10,FALSE)</f>
        <v>#N/A</v>
      </c>
      <c r="K11" s="268" t="e">
        <f>+VLOOKUP('Autres sources3'!$A$8,'Coef Feuillus divers'!$G$2:$AA$228,11,FALSE)</f>
        <v>#N/A</v>
      </c>
      <c r="L11" s="268" t="e">
        <f>+VLOOKUP('Autres sources3'!$A$8,'Coef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LBC!$B$152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sources3'!$A$8,'Coef Feuillus divers'!$G$2:$AA$228,10,FALSE)</f>
        <v>#N/A</v>
      </c>
      <c r="K12" s="268" t="e">
        <f>+VLOOKUP('Autres sources3'!$A$8,'Coef Feuillus divers'!$G$2:$AA$228,11,FALSE)</f>
        <v>#N/A</v>
      </c>
      <c r="L12" s="268" t="e">
        <f>+VLOOKUP('Autres sources3'!$A$8,'Coef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LBC!$B$152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sources3'!$A$8,'Coef Feuillus divers'!$G$2:$AA$228,10,FALSE)</f>
        <v>#N/A</v>
      </c>
      <c r="K13" s="268" t="e">
        <f>+VLOOKUP('Autres sources3'!$A$8,'Coef Feuillus divers'!$G$2:$AA$228,11,FALSE)</f>
        <v>#N/A</v>
      </c>
      <c r="L13" s="268" t="e">
        <f>+VLOOKUP('Autres sources3'!$A$8,'Coef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LBC!$B$152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sources3'!$A$8,'Coef Feuillus divers'!$G$2:$AA$228,10,FALSE)</f>
        <v>#N/A</v>
      </c>
      <c r="K14" s="268" t="e">
        <f>+VLOOKUP('Autres sources3'!$A$8,'Coef Feuillus divers'!$G$2:$AA$228,11,FALSE)</f>
        <v>#N/A</v>
      </c>
      <c r="L14" s="268" t="e">
        <f>+VLOOKUP('Autres sources3'!$A$8,'Coef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LBC!$B$152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sources3'!$A$8,'Coef Feuillus divers'!$G$2:$AA$228,10,FALSE)</f>
        <v>#N/A</v>
      </c>
      <c r="K15" s="268" t="e">
        <f>+VLOOKUP('Autres sources3'!$A$8,'Coef Feuillus divers'!$G$2:$AA$228,11,FALSE)</f>
        <v>#N/A</v>
      </c>
      <c r="L15" s="268" t="e">
        <f>+VLOOKUP('Autres sources3'!$A$8,'Coef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LBC!$B$152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sources3'!$A$8,'Coef Feuillus divers'!$G$2:$AA$228,10,FALSE)</f>
        <v>#N/A</v>
      </c>
      <c r="K16" s="268" t="e">
        <f>+VLOOKUP('Autres sources3'!$A$8,'Coef Feuillus divers'!$G$2:$AA$228,11,FALSE)</f>
        <v>#N/A</v>
      </c>
      <c r="L16" s="268" t="e">
        <f>+VLOOKUP('Autres sources3'!$A$8,'Coef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LBC!$B$152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sources3'!$A$8,'Coef Feuillus divers'!$G$2:$AA$228,10,FALSE)</f>
        <v>#N/A</v>
      </c>
      <c r="K17" s="268" t="e">
        <f>+VLOOKUP('Autres sources3'!$A$8,'Coef Feuillus divers'!$G$2:$AA$228,11,FALSE)</f>
        <v>#N/A</v>
      </c>
      <c r="L17" s="268" t="e">
        <f>+VLOOKUP('Autres sources3'!$A$8,'Coef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LBC!$B$152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sources3'!$A$8,'Coef Feuillus divers'!$G$2:$AA$228,10,FALSE)</f>
        <v>#N/A</v>
      </c>
      <c r="K18" s="268" t="e">
        <f>+VLOOKUP('Autres sources3'!$A$8,'Coef Feuillus divers'!$G$2:$AA$228,11,FALSE)</f>
        <v>#N/A</v>
      </c>
      <c r="L18" s="268" t="e">
        <f>+VLOOKUP('Autres sources3'!$A$8,'Coef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LBC!$B$152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sources3'!$A$8,'Coef Feuillus divers'!$G$2:$AA$228,10,FALSE)</f>
        <v>#N/A</v>
      </c>
      <c r="K19" s="268" t="e">
        <f>+VLOOKUP('Autres sources3'!$A$8,'Coef Feuillus divers'!$G$2:$AA$228,11,FALSE)</f>
        <v>#N/A</v>
      </c>
      <c r="L19" s="268" t="e">
        <f>+VLOOKUP('Autres sources3'!$A$8,'Coef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LBC!$B$152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sources3'!$A$8,'Coef Feuillus divers'!$G$2:$AA$228,10,FALSE)</f>
        <v>#N/A</v>
      </c>
      <c r="K20" s="268" t="e">
        <f>+VLOOKUP('Autres sources3'!$A$8,'Coef Feuillus divers'!$G$2:$AA$228,11,FALSE)</f>
        <v>#N/A</v>
      </c>
      <c r="L20" s="268" t="e">
        <f>+VLOOKUP('Autres sources3'!$A$8,'Coef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LBC!$B$152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sources3'!$A$8,'Coef Feuillus divers'!$G$2:$AA$228,10,FALSE)</f>
        <v>#N/A</v>
      </c>
      <c r="K21" s="268" t="e">
        <f>+VLOOKUP('Autres sources3'!$A$8,'Coef Feuillus divers'!$G$2:$AA$228,11,FALSE)</f>
        <v>#N/A</v>
      </c>
      <c r="L21" s="268" t="e">
        <f>+VLOOKUP('Autres sources3'!$A$8,'Coef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LBC!$B$152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sources3'!$A$8,'Coef Feuillus divers'!$G$2:$AA$228,10,FALSE)</f>
        <v>#N/A</v>
      </c>
      <c r="K22" s="268" t="e">
        <f>+VLOOKUP('Autres sources3'!$A$8,'Coef Feuillus divers'!$G$2:$AA$228,11,FALSE)</f>
        <v>#N/A</v>
      </c>
      <c r="L22" s="268" t="e">
        <f>+VLOOKUP('Autres sources3'!$A$8,'Coef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LBC!$B$152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sources3'!$A$8,'Coef Feuillus divers'!$G$2:$AA$228,10,FALSE)</f>
        <v>#N/A</v>
      </c>
      <c r="K23" s="268" t="e">
        <f>+VLOOKUP('Autres sources3'!$A$8,'Coef Feuillus divers'!$G$2:$AA$228,11,FALSE)</f>
        <v>#N/A</v>
      </c>
      <c r="L23" s="268" t="e">
        <f>+VLOOKUP('Autres sources3'!$A$8,'Coef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LBC!$B$152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sources3'!$A$8,'Coef Feuillus divers'!$G$2:$AA$228,10,FALSE)</f>
        <v>#N/A</v>
      </c>
      <c r="K24" s="268" t="e">
        <f>+VLOOKUP('Autres sources3'!$A$8,'Coef Feuillus divers'!$G$2:$AA$228,11,FALSE)</f>
        <v>#N/A</v>
      </c>
      <c r="L24" s="268" t="e">
        <f>+VLOOKUP('Autres sources3'!$A$8,'Coef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LBC!$B$152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sources3'!$A$8,'Coef Feuillus divers'!$G$2:$AA$228,10,FALSE)</f>
        <v>#N/A</v>
      </c>
      <c r="K25" s="268" t="e">
        <f>+VLOOKUP('Autres sources3'!$A$8,'Coef Feuillus divers'!$G$2:$AA$228,11,FALSE)</f>
        <v>#N/A</v>
      </c>
      <c r="L25" s="268" t="e">
        <f>+VLOOKUP('Autres sources3'!$A$8,'Coef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6722-06DC-44AF-AB5A-639BC818C122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LBC!$B$155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sources4'!$A$8,'Coef Feuillus divers'!$G$2:$AA$228,10,FALSE)</f>
        <v>#N/A</v>
      </c>
      <c r="K8" s="268" t="e">
        <f>+VLOOKUP('Autres sources4'!$A$8,'Coef Feuillus divers'!$G$2:$AA$228,11,FALSE)</f>
        <v>#N/A</v>
      </c>
      <c r="L8" s="268" t="e">
        <f>+VLOOKUP('Autres sources4'!$A$8,'Coef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LBC!$B$155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sources4'!$A$8,'Coef Feuillus divers'!$G$2:$AA$228,10,FALSE)</f>
        <v>#N/A</v>
      </c>
      <c r="K9" s="268" t="e">
        <f>+VLOOKUP('Autres sources4'!$A$8,'Coef Feuillus divers'!$G$2:$AA$228,11,FALSE)</f>
        <v>#N/A</v>
      </c>
      <c r="L9" s="268" t="e">
        <f>+VLOOKUP('Autres sources4'!$A$8,'Coef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LBC!$B$155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sources4'!$A$8,'Coef Feuillus divers'!$G$2:$AA$228,10,FALSE)</f>
        <v>#N/A</v>
      </c>
      <c r="K10" s="268" t="e">
        <f>+VLOOKUP('Autres sources4'!$A$8,'Coef Feuillus divers'!$G$2:$AA$228,11,FALSE)</f>
        <v>#N/A</v>
      </c>
      <c r="L10" s="268" t="e">
        <f>+VLOOKUP('Autres sources4'!$A$8,'Coef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LBC!$B$155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sources4'!$A$8,'Coef Feuillus divers'!$G$2:$AA$228,10,FALSE)</f>
        <v>#N/A</v>
      </c>
      <c r="K11" s="268" t="e">
        <f>+VLOOKUP('Autres sources4'!$A$8,'Coef Feuillus divers'!$G$2:$AA$228,11,FALSE)</f>
        <v>#N/A</v>
      </c>
      <c r="L11" s="268" t="e">
        <f>+VLOOKUP('Autres sources4'!$A$8,'Coef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LBC!$B$155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sources4'!$A$8,'Coef Feuillus divers'!$G$2:$AA$228,10,FALSE)</f>
        <v>#N/A</v>
      </c>
      <c r="K12" s="268" t="e">
        <f>+VLOOKUP('Autres sources4'!$A$8,'Coef Feuillus divers'!$G$2:$AA$228,11,FALSE)</f>
        <v>#N/A</v>
      </c>
      <c r="L12" s="268" t="e">
        <f>+VLOOKUP('Autres sources4'!$A$8,'Coef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LBC!$B$155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sources4'!$A$8,'Coef Feuillus divers'!$G$2:$AA$228,10,FALSE)</f>
        <v>#N/A</v>
      </c>
      <c r="K13" s="268" t="e">
        <f>+VLOOKUP('Autres sources4'!$A$8,'Coef Feuillus divers'!$G$2:$AA$228,11,FALSE)</f>
        <v>#N/A</v>
      </c>
      <c r="L13" s="268" t="e">
        <f>+VLOOKUP('Autres sources4'!$A$8,'Coef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LBC!$B$155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sources4'!$A$8,'Coef Feuillus divers'!$G$2:$AA$228,10,FALSE)</f>
        <v>#N/A</v>
      </c>
      <c r="K14" s="268" t="e">
        <f>+VLOOKUP('Autres sources4'!$A$8,'Coef Feuillus divers'!$G$2:$AA$228,11,FALSE)</f>
        <v>#N/A</v>
      </c>
      <c r="L14" s="268" t="e">
        <f>+VLOOKUP('Autres sources4'!$A$8,'Coef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LBC!$B$155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sources4'!$A$8,'Coef Feuillus divers'!$G$2:$AA$228,10,FALSE)</f>
        <v>#N/A</v>
      </c>
      <c r="K15" s="268" t="e">
        <f>+VLOOKUP('Autres sources4'!$A$8,'Coef Feuillus divers'!$G$2:$AA$228,11,FALSE)</f>
        <v>#N/A</v>
      </c>
      <c r="L15" s="268" t="e">
        <f>+VLOOKUP('Autres sources4'!$A$8,'Coef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LBC!$B$155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sources4'!$A$8,'Coef Feuillus divers'!$G$2:$AA$228,10,FALSE)</f>
        <v>#N/A</v>
      </c>
      <c r="K16" s="268" t="e">
        <f>+VLOOKUP('Autres sources4'!$A$8,'Coef Feuillus divers'!$G$2:$AA$228,11,FALSE)</f>
        <v>#N/A</v>
      </c>
      <c r="L16" s="268" t="e">
        <f>+VLOOKUP('Autres sources4'!$A$8,'Coef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LBC!$B$155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sources4'!$A$8,'Coef Feuillus divers'!$G$2:$AA$228,10,FALSE)</f>
        <v>#N/A</v>
      </c>
      <c r="K17" s="268" t="e">
        <f>+VLOOKUP('Autres sources4'!$A$8,'Coef Feuillus divers'!$G$2:$AA$228,11,FALSE)</f>
        <v>#N/A</v>
      </c>
      <c r="L17" s="268" t="e">
        <f>+VLOOKUP('Autres sources4'!$A$8,'Coef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LBC!$B$155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sources4'!$A$8,'Coef Feuillus divers'!$G$2:$AA$228,10,FALSE)</f>
        <v>#N/A</v>
      </c>
      <c r="K18" s="268" t="e">
        <f>+VLOOKUP('Autres sources4'!$A$8,'Coef Feuillus divers'!$G$2:$AA$228,11,FALSE)</f>
        <v>#N/A</v>
      </c>
      <c r="L18" s="268" t="e">
        <f>+VLOOKUP('Autres sources4'!$A$8,'Coef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LBC!$B$155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sources4'!$A$8,'Coef Feuillus divers'!$G$2:$AA$228,10,FALSE)</f>
        <v>#N/A</v>
      </c>
      <c r="K19" s="268" t="e">
        <f>+VLOOKUP('Autres sources4'!$A$8,'Coef Feuillus divers'!$G$2:$AA$228,11,FALSE)</f>
        <v>#N/A</v>
      </c>
      <c r="L19" s="268" t="e">
        <f>+VLOOKUP('Autres sources4'!$A$8,'Coef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LBC!$B$155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sources4'!$A$8,'Coef Feuillus divers'!$G$2:$AA$228,10,FALSE)</f>
        <v>#N/A</v>
      </c>
      <c r="K20" s="268" t="e">
        <f>+VLOOKUP('Autres sources4'!$A$8,'Coef Feuillus divers'!$G$2:$AA$228,11,FALSE)</f>
        <v>#N/A</v>
      </c>
      <c r="L20" s="268" t="e">
        <f>+VLOOKUP('Autres sources4'!$A$8,'Coef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LBC!$B$155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sources4'!$A$8,'Coef Feuillus divers'!$G$2:$AA$228,10,FALSE)</f>
        <v>#N/A</v>
      </c>
      <c r="K21" s="268" t="e">
        <f>+VLOOKUP('Autres sources4'!$A$8,'Coef Feuillus divers'!$G$2:$AA$228,11,FALSE)</f>
        <v>#N/A</v>
      </c>
      <c r="L21" s="268" t="e">
        <f>+VLOOKUP('Autres sources4'!$A$8,'Coef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LBC!$B$155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sources4'!$A$8,'Coef Feuillus divers'!$G$2:$AA$228,10,FALSE)</f>
        <v>#N/A</v>
      </c>
      <c r="K22" s="268" t="e">
        <f>+VLOOKUP('Autres sources4'!$A$8,'Coef Feuillus divers'!$G$2:$AA$228,11,FALSE)</f>
        <v>#N/A</v>
      </c>
      <c r="L22" s="268" t="e">
        <f>+VLOOKUP('Autres sources4'!$A$8,'Coef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LBC!$B$155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sources4'!$A$8,'Coef Feuillus divers'!$G$2:$AA$228,10,FALSE)</f>
        <v>#N/A</v>
      </c>
      <c r="K23" s="268" t="e">
        <f>+VLOOKUP('Autres sources4'!$A$8,'Coef Feuillus divers'!$G$2:$AA$228,11,FALSE)</f>
        <v>#N/A</v>
      </c>
      <c r="L23" s="268" t="e">
        <f>+VLOOKUP('Autres sources4'!$A$8,'Coef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LBC!$B$155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sources4'!$A$8,'Coef Feuillus divers'!$G$2:$AA$228,10,FALSE)</f>
        <v>#N/A</v>
      </c>
      <c r="K24" s="268" t="e">
        <f>+VLOOKUP('Autres sources4'!$A$8,'Coef Feuillus divers'!$G$2:$AA$228,11,FALSE)</f>
        <v>#N/A</v>
      </c>
      <c r="L24" s="268" t="e">
        <f>+VLOOKUP('Autres sources4'!$A$8,'Coef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LBC!$B$155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sources4'!$A$8,'Coef Feuillus divers'!$G$2:$AA$228,10,FALSE)</f>
        <v>#N/A</v>
      </c>
      <c r="K25" s="268" t="e">
        <f>+VLOOKUP('Autres sources4'!$A$8,'Coef Feuillus divers'!$G$2:$AA$228,11,FALSE)</f>
        <v>#N/A</v>
      </c>
      <c r="L25" s="268" t="e">
        <f>+VLOOKUP('Autres sources4'!$A$8,'Coef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D097-70E6-4EA3-9FB7-64582923DB42}">
  <sheetPr>
    <tabColor rgb="FFFFC000"/>
  </sheetPr>
  <dimension ref="A3:AG25"/>
  <sheetViews>
    <sheetView showGridLines="0" topLeftCell="A16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LBC!$B$158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sources5'!$A$8,'Coef Feuillus divers'!$G$2:$AA$228,10,FALSE)</f>
        <v>#N/A</v>
      </c>
      <c r="K8" s="268" t="e">
        <f>+VLOOKUP('Autres sources5'!$A$8,'Coef Feuillus divers'!$G$2:$AA$228,11,FALSE)</f>
        <v>#N/A</v>
      </c>
      <c r="L8" s="268" t="e">
        <f>+VLOOKUP('Autres sources5'!$A$8,'Coef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LBC!$B$158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sources5'!$A$8,'Coef Feuillus divers'!$G$2:$AA$228,10,FALSE)</f>
        <v>#N/A</v>
      </c>
      <c r="K9" s="268" t="e">
        <f>+VLOOKUP('Autres sources5'!$A$8,'Coef Feuillus divers'!$G$2:$AA$228,11,FALSE)</f>
        <v>#N/A</v>
      </c>
      <c r="L9" s="268" t="e">
        <f>+VLOOKUP('Autres sources5'!$A$8,'Coef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LBC!$B$158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sources5'!$A$8,'Coef Feuillus divers'!$G$2:$AA$228,10,FALSE)</f>
        <v>#N/A</v>
      </c>
      <c r="K10" s="268" t="e">
        <f>+VLOOKUP('Autres sources5'!$A$8,'Coef Feuillus divers'!$G$2:$AA$228,11,FALSE)</f>
        <v>#N/A</v>
      </c>
      <c r="L10" s="268" t="e">
        <f>+VLOOKUP('Autres sources5'!$A$8,'Coef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LBC!$B$158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sources5'!$A$8,'Coef Feuillus divers'!$G$2:$AA$228,10,FALSE)</f>
        <v>#N/A</v>
      </c>
      <c r="K11" s="268" t="e">
        <f>+VLOOKUP('Autres sources5'!$A$8,'Coef Feuillus divers'!$G$2:$AA$228,11,FALSE)</f>
        <v>#N/A</v>
      </c>
      <c r="L11" s="268" t="e">
        <f>+VLOOKUP('Autres sources5'!$A$8,'Coef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LBC!$B$158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sources5'!$A$8,'Coef Feuillus divers'!$G$2:$AA$228,10,FALSE)</f>
        <v>#N/A</v>
      </c>
      <c r="K12" s="268" t="e">
        <f>+VLOOKUP('Autres sources5'!$A$8,'Coef Feuillus divers'!$G$2:$AA$228,11,FALSE)</f>
        <v>#N/A</v>
      </c>
      <c r="L12" s="268" t="e">
        <f>+VLOOKUP('Autres sources5'!$A$8,'Coef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LBC!$B$158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sources5'!$A$8,'Coef Feuillus divers'!$G$2:$AA$228,10,FALSE)</f>
        <v>#N/A</v>
      </c>
      <c r="K13" s="268" t="e">
        <f>+VLOOKUP('Autres sources5'!$A$8,'Coef Feuillus divers'!$G$2:$AA$228,11,FALSE)</f>
        <v>#N/A</v>
      </c>
      <c r="L13" s="268" t="e">
        <f>+VLOOKUP('Autres sources5'!$A$8,'Coef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LBC!$B$158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sources5'!$A$8,'Coef Feuillus divers'!$G$2:$AA$228,10,FALSE)</f>
        <v>#N/A</v>
      </c>
      <c r="K14" s="268" t="e">
        <f>+VLOOKUP('Autres sources5'!$A$8,'Coef Feuillus divers'!$G$2:$AA$228,11,FALSE)</f>
        <v>#N/A</v>
      </c>
      <c r="L14" s="268" t="e">
        <f>+VLOOKUP('Autres sources5'!$A$8,'Coef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LBC!$B$158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sources5'!$A$8,'Coef Feuillus divers'!$G$2:$AA$228,10,FALSE)</f>
        <v>#N/A</v>
      </c>
      <c r="K15" s="268" t="e">
        <f>+VLOOKUP('Autres sources5'!$A$8,'Coef Feuillus divers'!$G$2:$AA$228,11,FALSE)</f>
        <v>#N/A</v>
      </c>
      <c r="L15" s="268" t="e">
        <f>+VLOOKUP('Autres sources5'!$A$8,'Coef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LBC!$B$158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sources5'!$A$8,'Coef Feuillus divers'!$G$2:$AA$228,10,FALSE)</f>
        <v>#N/A</v>
      </c>
      <c r="K16" s="268" t="e">
        <f>+VLOOKUP('Autres sources5'!$A$8,'Coef Feuillus divers'!$G$2:$AA$228,11,FALSE)</f>
        <v>#N/A</v>
      </c>
      <c r="L16" s="268" t="e">
        <f>+VLOOKUP('Autres sources5'!$A$8,'Coef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LBC!$B$158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sources5'!$A$8,'Coef Feuillus divers'!$G$2:$AA$228,10,FALSE)</f>
        <v>#N/A</v>
      </c>
      <c r="K17" s="268" t="e">
        <f>+VLOOKUP('Autres sources5'!$A$8,'Coef Feuillus divers'!$G$2:$AA$228,11,FALSE)</f>
        <v>#N/A</v>
      </c>
      <c r="L17" s="268" t="e">
        <f>+VLOOKUP('Autres sources5'!$A$8,'Coef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LBC!$B$158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sources5'!$A$8,'Coef Feuillus divers'!$G$2:$AA$228,10,FALSE)</f>
        <v>#N/A</v>
      </c>
      <c r="K18" s="268" t="e">
        <f>+VLOOKUP('Autres sources5'!$A$8,'Coef Feuillus divers'!$G$2:$AA$228,11,FALSE)</f>
        <v>#N/A</v>
      </c>
      <c r="L18" s="268" t="e">
        <f>+VLOOKUP('Autres sources5'!$A$8,'Coef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LBC!$B$158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sources5'!$A$8,'Coef Feuillus divers'!$G$2:$AA$228,10,FALSE)</f>
        <v>#N/A</v>
      </c>
      <c r="K19" s="268" t="e">
        <f>+VLOOKUP('Autres sources5'!$A$8,'Coef Feuillus divers'!$G$2:$AA$228,11,FALSE)</f>
        <v>#N/A</v>
      </c>
      <c r="L19" s="268" t="e">
        <f>+VLOOKUP('Autres sources5'!$A$8,'Coef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LBC!$B$158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sources5'!$A$8,'Coef Feuillus divers'!$G$2:$AA$228,10,FALSE)</f>
        <v>#N/A</v>
      </c>
      <c r="K20" s="268" t="e">
        <f>+VLOOKUP('Autres sources5'!$A$8,'Coef Feuillus divers'!$G$2:$AA$228,11,FALSE)</f>
        <v>#N/A</v>
      </c>
      <c r="L20" s="268" t="e">
        <f>+VLOOKUP('Autres sources5'!$A$8,'Coef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LBC!$B$158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sources5'!$A$8,'Coef Feuillus divers'!$G$2:$AA$228,10,FALSE)</f>
        <v>#N/A</v>
      </c>
      <c r="K21" s="268" t="e">
        <f>+VLOOKUP('Autres sources5'!$A$8,'Coef Feuillus divers'!$G$2:$AA$228,11,FALSE)</f>
        <v>#N/A</v>
      </c>
      <c r="L21" s="268" t="e">
        <f>+VLOOKUP('Autres sources5'!$A$8,'Coef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LBC!$B$158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sources5'!$A$8,'Coef Feuillus divers'!$G$2:$AA$228,10,FALSE)</f>
        <v>#N/A</v>
      </c>
      <c r="K22" s="268" t="e">
        <f>+VLOOKUP('Autres sources5'!$A$8,'Coef Feuillus divers'!$G$2:$AA$228,11,FALSE)</f>
        <v>#N/A</v>
      </c>
      <c r="L22" s="268" t="e">
        <f>+VLOOKUP('Autres sources5'!$A$8,'Coef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LBC!$B$158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sources5'!$A$8,'Coef Feuillus divers'!$G$2:$AA$228,10,FALSE)</f>
        <v>#N/A</v>
      </c>
      <c r="K23" s="268" t="e">
        <f>+VLOOKUP('Autres sources5'!$A$8,'Coef Feuillus divers'!$G$2:$AA$228,11,FALSE)</f>
        <v>#N/A</v>
      </c>
      <c r="L23" s="268" t="e">
        <f>+VLOOKUP('Autres sources5'!$A$8,'Coef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LBC!$B$158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sources5'!$A$8,'Coef Feuillus divers'!$G$2:$AA$228,10,FALSE)</f>
        <v>#N/A</v>
      </c>
      <c r="K24" s="268" t="e">
        <f>+VLOOKUP('Autres sources5'!$A$8,'Coef Feuillus divers'!$G$2:$AA$228,11,FALSE)</f>
        <v>#N/A</v>
      </c>
      <c r="L24" s="268" t="e">
        <f>+VLOOKUP('Autres sources5'!$A$8,'Coef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LBC!$B$158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sources5'!$A$8,'Coef Feuillus divers'!$G$2:$AA$228,10,FALSE)</f>
        <v>#N/A</v>
      </c>
      <c r="K25" s="268" t="e">
        <f>+VLOOKUP('Autres sources5'!$A$8,'Coef Feuillus divers'!$G$2:$AA$228,11,FALSE)</f>
        <v>#N/A</v>
      </c>
      <c r="L25" s="268" t="e">
        <f>+VLOOKUP('Autres sources5'!$A$8,'Coef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3CA2-0596-4D77-A522-714B33C7A65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LBC!$B$161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sources6'!$A$8,'Coef Feuillus divers'!$G$2:$AA$228,10,FALSE)</f>
        <v>#N/A</v>
      </c>
      <c r="K8" s="268" t="e">
        <f>+VLOOKUP('Autres sources6'!$A$8,'Coef Feuillus divers'!$G$2:$AA$228,11,FALSE)</f>
        <v>#N/A</v>
      </c>
      <c r="L8" s="268" t="e">
        <f>+VLOOKUP('Autres sources6'!$A$8,'Coef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LBC!$B$161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sources6'!$A$8,'Coef Feuillus divers'!$G$2:$AA$228,10,FALSE)</f>
        <v>#N/A</v>
      </c>
      <c r="K9" s="268" t="e">
        <f>+VLOOKUP('Autres sources6'!$A$8,'Coef Feuillus divers'!$G$2:$AA$228,11,FALSE)</f>
        <v>#N/A</v>
      </c>
      <c r="L9" s="268" t="e">
        <f>+VLOOKUP('Autres sources6'!$A$8,'Coef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LBC!$B$161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sources6'!$A$8,'Coef Feuillus divers'!$G$2:$AA$228,10,FALSE)</f>
        <v>#N/A</v>
      </c>
      <c r="K10" s="268" t="e">
        <f>+VLOOKUP('Autres sources6'!$A$8,'Coef Feuillus divers'!$G$2:$AA$228,11,FALSE)</f>
        <v>#N/A</v>
      </c>
      <c r="L10" s="268" t="e">
        <f>+VLOOKUP('Autres sources6'!$A$8,'Coef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LBC!$B$161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sources6'!$A$8,'Coef Feuillus divers'!$G$2:$AA$228,10,FALSE)</f>
        <v>#N/A</v>
      </c>
      <c r="K11" s="268" t="e">
        <f>+VLOOKUP('Autres sources6'!$A$8,'Coef Feuillus divers'!$G$2:$AA$228,11,FALSE)</f>
        <v>#N/A</v>
      </c>
      <c r="L11" s="268" t="e">
        <f>+VLOOKUP('Autres sources6'!$A$8,'Coef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LBC!$B$161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sources6'!$A$8,'Coef Feuillus divers'!$G$2:$AA$228,10,FALSE)</f>
        <v>#N/A</v>
      </c>
      <c r="K12" s="268" t="e">
        <f>+VLOOKUP('Autres sources6'!$A$8,'Coef Feuillus divers'!$G$2:$AA$228,11,FALSE)</f>
        <v>#N/A</v>
      </c>
      <c r="L12" s="268" t="e">
        <f>+VLOOKUP('Autres sources6'!$A$8,'Coef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LBC!$B$161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sources6'!$A$8,'Coef Feuillus divers'!$G$2:$AA$228,10,FALSE)</f>
        <v>#N/A</v>
      </c>
      <c r="K13" s="268" t="e">
        <f>+VLOOKUP('Autres sources6'!$A$8,'Coef Feuillus divers'!$G$2:$AA$228,11,FALSE)</f>
        <v>#N/A</v>
      </c>
      <c r="L13" s="268" t="e">
        <f>+VLOOKUP('Autres sources6'!$A$8,'Coef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LBC!$B$161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sources6'!$A$8,'Coef Feuillus divers'!$G$2:$AA$228,10,FALSE)</f>
        <v>#N/A</v>
      </c>
      <c r="K14" s="268" t="e">
        <f>+VLOOKUP('Autres sources6'!$A$8,'Coef Feuillus divers'!$G$2:$AA$228,11,FALSE)</f>
        <v>#N/A</v>
      </c>
      <c r="L14" s="268" t="e">
        <f>+VLOOKUP('Autres sources6'!$A$8,'Coef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LBC!$B$161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sources6'!$A$8,'Coef Feuillus divers'!$G$2:$AA$228,10,FALSE)</f>
        <v>#N/A</v>
      </c>
      <c r="K15" s="268" t="e">
        <f>+VLOOKUP('Autres sources6'!$A$8,'Coef Feuillus divers'!$G$2:$AA$228,11,FALSE)</f>
        <v>#N/A</v>
      </c>
      <c r="L15" s="268" t="e">
        <f>+VLOOKUP('Autres sources6'!$A$8,'Coef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LBC!$B$161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sources6'!$A$8,'Coef Feuillus divers'!$G$2:$AA$228,10,FALSE)</f>
        <v>#N/A</v>
      </c>
      <c r="K16" s="268" t="e">
        <f>+VLOOKUP('Autres sources6'!$A$8,'Coef Feuillus divers'!$G$2:$AA$228,11,FALSE)</f>
        <v>#N/A</v>
      </c>
      <c r="L16" s="268" t="e">
        <f>+VLOOKUP('Autres sources6'!$A$8,'Coef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LBC!$B$161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sources6'!$A$8,'Coef Feuillus divers'!$G$2:$AA$228,10,FALSE)</f>
        <v>#N/A</v>
      </c>
      <c r="K17" s="268" t="e">
        <f>+VLOOKUP('Autres sources6'!$A$8,'Coef Feuillus divers'!$G$2:$AA$228,11,FALSE)</f>
        <v>#N/A</v>
      </c>
      <c r="L17" s="268" t="e">
        <f>+VLOOKUP('Autres sources6'!$A$8,'Coef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LBC!$B$161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sources6'!$A$8,'Coef Feuillus divers'!$G$2:$AA$228,10,FALSE)</f>
        <v>#N/A</v>
      </c>
      <c r="K18" s="268" t="e">
        <f>+VLOOKUP('Autres sources6'!$A$8,'Coef Feuillus divers'!$G$2:$AA$228,11,FALSE)</f>
        <v>#N/A</v>
      </c>
      <c r="L18" s="268" t="e">
        <f>+VLOOKUP('Autres sources6'!$A$8,'Coef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LBC!$B$161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sources6'!$A$8,'Coef Feuillus divers'!$G$2:$AA$228,10,FALSE)</f>
        <v>#N/A</v>
      </c>
      <c r="K19" s="268" t="e">
        <f>+VLOOKUP('Autres sources6'!$A$8,'Coef Feuillus divers'!$G$2:$AA$228,11,FALSE)</f>
        <v>#N/A</v>
      </c>
      <c r="L19" s="268" t="e">
        <f>+VLOOKUP('Autres sources6'!$A$8,'Coef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LBC!$B$161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sources6'!$A$8,'Coef Feuillus divers'!$G$2:$AA$228,10,FALSE)</f>
        <v>#N/A</v>
      </c>
      <c r="K20" s="268" t="e">
        <f>+VLOOKUP('Autres sources6'!$A$8,'Coef Feuillus divers'!$G$2:$AA$228,11,FALSE)</f>
        <v>#N/A</v>
      </c>
      <c r="L20" s="268" t="e">
        <f>+VLOOKUP('Autres sources6'!$A$8,'Coef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LBC!$B$161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sources6'!$A$8,'Coef Feuillus divers'!$G$2:$AA$228,10,FALSE)</f>
        <v>#N/A</v>
      </c>
      <c r="K21" s="268" t="e">
        <f>+VLOOKUP('Autres sources6'!$A$8,'Coef Feuillus divers'!$G$2:$AA$228,11,FALSE)</f>
        <v>#N/A</v>
      </c>
      <c r="L21" s="268" t="e">
        <f>+VLOOKUP('Autres sources6'!$A$8,'Coef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LBC!$B$161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sources6'!$A$8,'Coef Feuillus divers'!$G$2:$AA$228,10,FALSE)</f>
        <v>#N/A</v>
      </c>
      <c r="K22" s="268" t="e">
        <f>+VLOOKUP('Autres sources6'!$A$8,'Coef Feuillus divers'!$G$2:$AA$228,11,FALSE)</f>
        <v>#N/A</v>
      </c>
      <c r="L22" s="268" t="e">
        <f>+VLOOKUP('Autres sources6'!$A$8,'Coef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LBC!$B$161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sources6'!$A$8,'Coef Feuillus divers'!$G$2:$AA$228,10,FALSE)</f>
        <v>#N/A</v>
      </c>
      <c r="K23" s="268" t="e">
        <f>+VLOOKUP('Autres sources6'!$A$8,'Coef Feuillus divers'!$G$2:$AA$228,11,FALSE)</f>
        <v>#N/A</v>
      </c>
      <c r="L23" s="268" t="e">
        <f>+VLOOKUP('Autres sources6'!$A$8,'Coef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LBC!$B$161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sources6'!$A$8,'Coef Feuillus divers'!$G$2:$AA$228,10,FALSE)</f>
        <v>#N/A</v>
      </c>
      <c r="K24" s="268" t="e">
        <f>+VLOOKUP('Autres sources6'!$A$8,'Coef Feuillus divers'!$G$2:$AA$228,11,FALSE)</f>
        <v>#N/A</v>
      </c>
      <c r="L24" s="268" t="e">
        <f>+VLOOKUP('Autres sources6'!$A$8,'Coef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LBC!$B$161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sources6'!$A$8,'Coef Feuillus divers'!$G$2:$AA$228,10,FALSE)</f>
        <v>#N/A</v>
      </c>
      <c r="K25" s="268" t="e">
        <f>+VLOOKUP('Autres sources6'!$A$8,'Coef Feuillus divers'!$G$2:$AA$228,11,FALSE)</f>
        <v>#N/A</v>
      </c>
      <c r="L25" s="268" t="e">
        <f>+VLOOKUP('Autres sources6'!$A$8,'Coef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005C-115E-4DA0-A855-DF9F1317DAE7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LBC!$B$164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sources7'!$A$8,'Coef Feuillus divers'!$G$2:$AA$228,10,FALSE)</f>
        <v>#N/A</v>
      </c>
      <c r="K8" s="268" t="e">
        <f>+VLOOKUP('Autres sources7'!$A$8,'Coef Feuillus divers'!$G$2:$AA$228,11,FALSE)</f>
        <v>#N/A</v>
      </c>
      <c r="L8" s="268" t="e">
        <f>+VLOOKUP('Autres sources7'!$A$8,'Coef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LBC!$B$164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sources7'!$A$8,'Coef Feuillus divers'!$G$2:$AA$228,10,FALSE)</f>
        <v>#N/A</v>
      </c>
      <c r="K9" s="268" t="e">
        <f>+VLOOKUP('Autres sources7'!$A$8,'Coef Feuillus divers'!$G$2:$AA$228,11,FALSE)</f>
        <v>#N/A</v>
      </c>
      <c r="L9" s="268" t="e">
        <f>+VLOOKUP('Autres sources7'!$A$8,'Coef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LBC!$B$164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sources7'!$A$8,'Coef Feuillus divers'!$G$2:$AA$228,10,FALSE)</f>
        <v>#N/A</v>
      </c>
      <c r="K10" s="268" t="e">
        <f>+VLOOKUP('Autres sources7'!$A$8,'Coef Feuillus divers'!$G$2:$AA$228,11,FALSE)</f>
        <v>#N/A</v>
      </c>
      <c r="L10" s="268" t="e">
        <f>+VLOOKUP('Autres sources7'!$A$8,'Coef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LBC!$B$164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sources7'!$A$8,'Coef Feuillus divers'!$G$2:$AA$228,10,FALSE)</f>
        <v>#N/A</v>
      </c>
      <c r="K11" s="268" t="e">
        <f>+VLOOKUP('Autres sources7'!$A$8,'Coef Feuillus divers'!$G$2:$AA$228,11,FALSE)</f>
        <v>#N/A</v>
      </c>
      <c r="L11" s="268" t="e">
        <f>+VLOOKUP('Autres sources7'!$A$8,'Coef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LBC!$B$164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sources7'!$A$8,'Coef Feuillus divers'!$G$2:$AA$228,10,FALSE)</f>
        <v>#N/A</v>
      </c>
      <c r="K12" s="268" t="e">
        <f>+VLOOKUP('Autres sources7'!$A$8,'Coef Feuillus divers'!$G$2:$AA$228,11,FALSE)</f>
        <v>#N/A</v>
      </c>
      <c r="L12" s="268" t="e">
        <f>+VLOOKUP('Autres sources7'!$A$8,'Coef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LBC!$B$164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sources7'!$A$8,'Coef Feuillus divers'!$G$2:$AA$228,10,FALSE)</f>
        <v>#N/A</v>
      </c>
      <c r="K13" s="268" t="e">
        <f>+VLOOKUP('Autres sources7'!$A$8,'Coef Feuillus divers'!$G$2:$AA$228,11,FALSE)</f>
        <v>#N/A</v>
      </c>
      <c r="L13" s="268" t="e">
        <f>+VLOOKUP('Autres sources7'!$A$8,'Coef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LBC!$B$164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sources7'!$A$8,'Coef Feuillus divers'!$G$2:$AA$228,10,FALSE)</f>
        <v>#N/A</v>
      </c>
      <c r="K14" s="268" t="e">
        <f>+VLOOKUP('Autres sources7'!$A$8,'Coef Feuillus divers'!$G$2:$AA$228,11,FALSE)</f>
        <v>#N/A</v>
      </c>
      <c r="L14" s="268" t="e">
        <f>+VLOOKUP('Autres sources7'!$A$8,'Coef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LBC!$B$164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sources7'!$A$8,'Coef Feuillus divers'!$G$2:$AA$228,10,FALSE)</f>
        <v>#N/A</v>
      </c>
      <c r="K15" s="268" t="e">
        <f>+VLOOKUP('Autres sources7'!$A$8,'Coef Feuillus divers'!$G$2:$AA$228,11,FALSE)</f>
        <v>#N/A</v>
      </c>
      <c r="L15" s="268" t="e">
        <f>+VLOOKUP('Autres sources7'!$A$8,'Coef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LBC!$B$164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sources7'!$A$8,'Coef Feuillus divers'!$G$2:$AA$228,10,FALSE)</f>
        <v>#N/A</v>
      </c>
      <c r="K16" s="268" t="e">
        <f>+VLOOKUP('Autres sources7'!$A$8,'Coef Feuillus divers'!$G$2:$AA$228,11,FALSE)</f>
        <v>#N/A</v>
      </c>
      <c r="L16" s="268" t="e">
        <f>+VLOOKUP('Autres sources7'!$A$8,'Coef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LBC!$B$164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sources7'!$A$8,'Coef Feuillus divers'!$G$2:$AA$228,10,FALSE)</f>
        <v>#N/A</v>
      </c>
      <c r="K17" s="268" t="e">
        <f>+VLOOKUP('Autres sources7'!$A$8,'Coef Feuillus divers'!$G$2:$AA$228,11,FALSE)</f>
        <v>#N/A</v>
      </c>
      <c r="L17" s="268" t="e">
        <f>+VLOOKUP('Autres sources7'!$A$8,'Coef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LBC!$B$164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sources7'!$A$8,'Coef Feuillus divers'!$G$2:$AA$228,10,FALSE)</f>
        <v>#N/A</v>
      </c>
      <c r="K18" s="268" t="e">
        <f>+VLOOKUP('Autres sources7'!$A$8,'Coef Feuillus divers'!$G$2:$AA$228,11,FALSE)</f>
        <v>#N/A</v>
      </c>
      <c r="L18" s="268" t="e">
        <f>+VLOOKUP('Autres sources7'!$A$8,'Coef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LBC!$B$164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sources7'!$A$8,'Coef Feuillus divers'!$G$2:$AA$228,10,FALSE)</f>
        <v>#N/A</v>
      </c>
      <c r="K19" s="268" t="e">
        <f>+VLOOKUP('Autres sources7'!$A$8,'Coef Feuillus divers'!$G$2:$AA$228,11,FALSE)</f>
        <v>#N/A</v>
      </c>
      <c r="L19" s="268" t="e">
        <f>+VLOOKUP('Autres sources7'!$A$8,'Coef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LBC!$B$164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sources7'!$A$8,'Coef Feuillus divers'!$G$2:$AA$228,10,FALSE)</f>
        <v>#N/A</v>
      </c>
      <c r="K20" s="268" t="e">
        <f>+VLOOKUP('Autres sources7'!$A$8,'Coef Feuillus divers'!$G$2:$AA$228,11,FALSE)</f>
        <v>#N/A</v>
      </c>
      <c r="L20" s="268" t="e">
        <f>+VLOOKUP('Autres sources7'!$A$8,'Coef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LBC!$B$164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sources7'!$A$8,'Coef Feuillus divers'!$G$2:$AA$228,10,FALSE)</f>
        <v>#N/A</v>
      </c>
      <c r="K21" s="268" t="e">
        <f>+VLOOKUP('Autres sources7'!$A$8,'Coef Feuillus divers'!$G$2:$AA$228,11,FALSE)</f>
        <v>#N/A</v>
      </c>
      <c r="L21" s="268" t="e">
        <f>+VLOOKUP('Autres sources7'!$A$8,'Coef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LBC!$B$164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sources7'!$A$8,'Coef Feuillus divers'!$G$2:$AA$228,10,FALSE)</f>
        <v>#N/A</v>
      </c>
      <c r="K22" s="268" t="e">
        <f>+VLOOKUP('Autres sources7'!$A$8,'Coef Feuillus divers'!$G$2:$AA$228,11,FALSE)</f>
        <v>#N/A</v>
      </c>
      <c r="L22" s="268" t="e">
        <f>+VLOOKUP('Autres sources7'!$A$8,'Coef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LBC!$B$164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sources7'!$A$8,'Coef Feuillus divers'!$G$2:$AA$228,10,FALSE)</f>
        <v>#N/A</v>
      </c>
      <c r="K23" s="268" t="e">
        <f>+VLOOKUP('Autres sources7'!$A$8,'Coef Feuillus divers'!$G$2:$AA$228,11,FALSE)</f>
        <v>#N/A</v>
      </c>
      <c r="L23" s="268" t="e">
        <f>+VLOOKUP('Autres sources7'!$A$8,'Coef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LBC!$B$164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sources7'!$A$8,'Coef Feuillus divers'!$G$2:$AA$228,10,FALSE)</f>
        <v>#N/A</v>
      </c>
      <c r="K24" s="268" t="e">
        <f>+VLOOKUP('Autres sources7'!$A$8,'Coef Feuillus divers'!$G$2:$AA$228,11,FALSE)</f>
        <v>#N/A</v>
      </c>
      <c r="L24" s="268" t="e">
        <f>+VLOOKUP('Autres sources7'!$A$8,'Coef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LBC!$B$164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sources7'!$A$8,'Coef Feuillus divers'!$G$2:$AA$228,10,FALSE)</f>
        <v>#N/A</v>
      </c>
      <c r="K25" s="268" t="e">
        <f>+VLOOKUP('Autres sources7'!$A$8,'Coef Feuillus divers'!$G$2:$AA$228,11,FALSE)</f>
        <v>#N/A</v>
      </c>
      <c r="L25" s="268" t="e">
        <f>+VLOOKUP('Autres sources7'!$A$8,'Coef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AA7E-A505-4563-8996-6C9FD8B58C29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LBC!$B$167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sources8'!$A$8,'Coef Feuillus divers'!$G$2:$AA$228,10,FALSE)</f>
        <v>#N/A</v>
      </c>
      <c r="K8" s="268" t="e">
        <f>+VLOOKUP('Autres sources8'!$A$8,'Coef Feuillus divers'!$G$2:$AA$228,11,FALSE)</f>
        <v>#N/A</v>
      </c>
      <c r="L8" s="268" t="e">
        <f>+VLOOKUP('Autres sources8'!$A$8,'Coef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LBC!$B$167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sources8'!$A$8,'Coef Feuillus divers'!$G$2:$AA$228,10,FALSE)</f>
        <v>#N/A</v>
      </c>
      <c r="K9" s="268" t="e">
        <f>+VLOOKUP('Autres sources8'!$A$8,'Coef Feuillus divers'!$G$2:$AA$228,11,FALSE)</f>
        <v>#N/A</v>
      </c>
      <c r="L9" s="268" t="e">
        <f>+VLOOKUP('Autres sources8'!$A$8,'Coef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LBC!$B$167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sources8'!$A$8,'Coef Feuillus divers'!$G$2:$AA$228,10,FALSE)</f>
        <v>#N/A</v>
      </c>
      <c r="K10" s="268" t="e">
        <f>+VLOOKUP('Autres sources8'!$A$8,'Coef Feuillus divers'!$G$2:$AA$228,11,FALSE)</f>
        <v>#N/A</v>
      </c>
      <c r="L10" s="268" t="e">
        <f>+VLOOKUP('Autres sources8'!$A$8,'Coef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LBC!$B$167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sources8'!$A$8,'Coef Feuillus divers'!$G$2:$AA$228,10,FALSE)</f>
        <v>#N/A</v>
      </c>
      <c r="K11" s="268" t="e">
        <f>+VLOOKUP('Autres sources8'!$A$8,'Coef Feuillus divers'!$G$2:$AA$228,11,FALSE)</f>
        <v>#N/A</v>
      </c>
      <c r="L11" s="268" t="e">
        <f>+VLOOKUP('Autres sources8'!$A$8,'Coef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LBC!$B$167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sources8'!$A$8,'Coef Feuillus divers'!$G$2:$AA$228,10,FALSE)</f>
        <v>#N/A</v>
      </c>
      <c r="K12" s="268" t="e">
        <f>+VLOOKUP('Autres sources8'!$A$8,'Coef Feuillus divers'!$G$2:$AA$228,11,FALSE)</f>
        <v>#N/A</v>
      </c>
      <c r="L12" s="268" t="e">
        <f>+VLOOKUP('Autres sources8'!$A$8,'Coef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LBC!$B$167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sources8'!$A$8,'Coef Feuillus divers'!$G$2:$AA$228,10,FALSE)</f>
        <v>#N/A</v>
      </c>
      <c r="K13" s="268" t="e">
        <f>+VLOOKUP('Autres sources8'!$A$8,'Coef Feuillus divers'!$G$2:$AA$228,11,FALSE)</f>
        <v>#N/A</v>
      </c>
      <c r="L13" s="268" t="e">
        <f>+VLOOKUP('Autres sources8'!$A$8,'Coef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LBC!$B$167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sources8'!$A$8,'Coef Feuillus divers'!$G$2:$AA$228,10,FALSE)</f>
        <v>#N/A</v>
      </c>
      <c r="K14" s="268" t="e">
        <f>+VLOOKUP('Autres sources8'!$A$8,'Coef Feuillus divers'!$G$2:$AA$228,11,FALSE)</f>
        <v>#N/A</v>
      </c>
      <c r="L14" s="268" t="e">
        <f>+VLOOKUP('Autres sources8'!$A$8,'Coef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LBC!$B$167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sources8'!$A$8,'Coef Feuillus divers'!$G$2:$AA$228,10,FALSE)</f>
        <v>#N/A</v>
      </c>
      <c r="K15" s="268" t="e">
        <f>+VLOOKUP('Autres sources8'!$A$8,'Coef Feuillus divers'!$G$2:$AA$228,11,FALSE)</f>
        <v>#N/A</v>
      </c>
      <c r="L15" s="268" t="e">
        <f>+VLOOKUP('Autres sources8'!$A$8,'Coef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LBC!$B$167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sources8'!$A$8,'Coef Feuillus divers'!$G$2:$AA$228,10,FALSE)</f>
        <v>#N/A</v>
      </c>
      <c r="K16" s="268" t="e">
        <f>+VLOOKUP('Autres sources8'!$A$8,'Coef Feuillus divers'!$G$2:$AA$228,11,FALSE)</f>
        <v>#N/A</v>
      </c>
      <c r="L16" s="268" t="e">
        <f>+VLOOKUP('Autres sources8'!$A$8,'Coef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LBC!$B$167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sources8'!$A$8,'Coef Feuillus divers'!$G$2:$AA$228,10,FALSE)</f>
        <v>#N/A</v>
      </c>
      <c r="K17" s="268" t="e">
        <f>+VLOOKUP('Autres sources8'!$A$8,'Coef Feuillus divers'!$G$2:$AA$228,11,FALSE)</f>
        <v>#N/A</v>
      </c>
      <c r="L17" s="268" t="e">
        <f>+VLOOKUP('Autres sources8'!$A$8,'Coef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LBC!$B$167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sources8'!$A$8,'Coef Feuillus divers'!$G$2:$AA$228,10,FALSE)</f>
        <v>#N/A</v>
      </c>
      <c r="K18" s="268" t="e">
        <f>+VLOOKUP('Autres sources8'!$A$8,'Coef Feuillus divers'!$G$2:$AA$228,11,FALSE)</f>
        <v>#N/A</v>
      </c>
      <c r="L18" s="268" t="e">
        <f>+VLOOKUP('Autres sources8'!$A$8,'Coef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LBC!$B$167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sources8'!$A$8,'Coef Feuillus divers'!$G$2:$AA$228,10,FALSE)</f>
        <v>#N/A</v>
      </c>
      <c r="K19" s="268" t="e">
        <f>+VLOOKUP('Autres sources8'!$A$8,'Coef Feuillus divers'!$G$2:$AA$228,11,FALSE)</f>
        <v>#N/A</v>
      </c>
      <c r="L19" s="268" t="e">
        <f>+VLOOKUP('Autres sources8'!$A$8,'Coef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LBC!$B$167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sources8'!$A$8,'Coef Feuillus divers'!$G$2:$AA$228,10,FALSE)</f>
        <v>#N/A</v>
      </c>
      <c r="K20" s="268" t="e">
        <f>+VLOOKUP('Autres sources8'!$A$8,'Coef Feuillus divers'!$G$2:$AA$228,11,FALSE)</f>
        <v>#N/A</v>
      </c>
      <c r="L20" s="268" t="e">
        <f>+VLOOKUP('Autres sources8'!$A$8,'Coef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LBC!$B$167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sources8'!$A$8,'Coef Feuillus divers'!$G$2:$AA$228,10,FALSE)</f>
        <v>#N/A</v>
      </c>
      <c r="K21" s="268" t="e">
        <f>+VLOOKUP('Autres sources8'!$A$8,'Coef Feuillus divers'!$G$2:$AA$228,11,FALSE)</f>
        <v>#N/A</v>
      </c>
      <c r="L21" s="268" t="e">
        <f>+VLOOKUP('Autres sources8'!$A$8,'Coef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LBC!$B$167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sources8'!$A$8,'Coef Feuillus divers'!$G$2:$AA$228,10,FALSE)</f>
        <v>#N/A</v>
      </c>
      <c r="K22" s="268" t="e">
        <f>+VLOOKUP('Autres sources8'!$A$8,'Coef Feuillus divers'!$G$2:$AA$228,11,FALSE)</f>
        <v>#N/A</v>
      </c>
      <c r="L22" s="268" t="e">
        <f>+VLOOKUP('Autres sources8'!$A$8,'Coef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LBC!$B$167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sources8'!$A$8,'Coef Feuillus divers'!$G$2:$AA$228,10,FALSE)</f>
        <v>#N/A</v>
      </c>
      <c r="K23" s="268" t="e">
        <f>+VLOOKUP('Autres sources8'!$A$8,'Coef Feuillus divers'!$G$2:$AA$228,11,FALSE)</f>
        <v>#N/A</v>
      </c>
      <c r="L23" s="268" t="e">
        <f>+VLOOKUP('Autres sources8'!$A$8,'Coef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LBC!$B$167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sources8'!$A$8,'Coef Feuillus divers'!$G$2:$AA$228,10,FALSE)</f>
        <v>#N/A</v>
      </c>
      <c r="K24" s="268" t="e">
        <f>+VLOOKUP('Autres sources8'!$A$8,'Coef Feuillus divers'!$G$2:$AA$228,11,FALSE)</f>
        <v>#N/A</v>
      </c>
      <c r="L24" s="268" t="e">
        <f>+VLOOKUP('Autres sources8'!$A$8,'Coef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LBC!$B$167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sources8'!$A$8,'Coef Feuillus divers'!$G$2:$AA$228,10,FALSE)</f>
        <v>#N/A</v>
      </c>
      <c r="K25" s="268" t="e">
        <f>+VLOOKUP('Autres sources8'!$A$8,'Coef Feuillus divers'!$G$2:$AA$228,11,FALSE)</f>
        <v>#N/A</v>
      </c>
      <c r="L25" s="268" t="e">
        <f>+VLOOKUP('Autres sources8'!$A$8,'Coef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1800-DB22-4A70-9A14-4E8F5E60E0BB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LBC!$B$170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sources9'!$A$8,'Coef Feuillus divers'!$G$2:$AA$228,10,FALSE)</f>
        <v>#N/A</v>
      </c>
      <c r="K8" s="268" t="e">
        <f>+VLOOKUP('Autres sources9'!$A$8,'Coef Feuillus divers'!$G$2:$AA$228,11,FALSE)</f>
        <v>#N/A</v>
      </c>
      <c r="L8" s="268" t="e">
        <f>+VLOOKUP('Autres sources9'!$A$8,'Coef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LBC!$B$170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sources9'!$A$8,'Coef Feuillus divers'!$G$2:$AA$228,10,FALSE)</f>
        <v>#N/A</v>
      </c>
      <c r="K9" s="268" t="e">
        <f>+VLOOKUP('Autres sources9'!$A$8,'Coef Feuillus divers'!$G$2:$AA$228,11,FALSE)</f>
        <v>#N/A</v>
      </c>
      <c r="L9" s="268" t="e">
        <f>+VLOOKUP('Autres sources9'!$A$8,'Coef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LBC!$B$170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sources9'!$A$8,'Coef Feuillus divers'!$G$2:$AA$228,10,FALSE)</f>
        <v>#N/A</v>
      </c>
      <c r="K10" s="268" t="e">
        <f>+VLOOKUP('Autres sources9'!$A$8,'Coef Feuillus divers'!$G$2:$AA$228,11,FALSE)</f>
        <v>#N/A</v>
      </c>
      <c r="L10" s="268" t="e">
        <f>+VLOOKUP('Autres sources9'!$A$8,'Coef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LBC!$B$170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sources9'!$A$8,'Coef Feuillus divers'!$G$2:$AA$228,10,FALSE)</f>
        <v>#N/A</v>
      </c>
      <c r="K11" s="268" t="e">
        <f>+VLOOKUP('Autres sources9'!$A$8,'Coef Feuillus divers'!$G$2:$AA$228,11,FALSE)</f>
        <v>#N/A</v>
      </c>
      <c r="L11" s="268" t="e">
        <f>+VLOOKUP('Autres sources9'!$A$8,'Coef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LBC!$B$170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sources9'!$A$8,'Coef Feuillus divers'!$G$2:$AA$228,10,FALSE)</f>
        <v>#N/A</v>
      </c>
      <c r="K12" s="268" t="e">
        <f>+VLOOKUP('Autres sources9'!$A$8,'Coef Feuillus divers'!$G$2:$AA$228,11,FALSE)</f>
        <v>#N/A</v>
      </c>
      <c r="L12" s="268" t="e">
        <f>+VLOOKUP('Autres sources9'!$A$8,'Coef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LBC!$B$170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sources9'!$A$8,'Coef Feuillus divers'!$G$2:$AA$228,10,FALSE)</f>
        <v>#N/A</v>
      </c>
      <c r="K13" s="268" t="e">
        <f>+VLOOKUP('Autres sources9'!$A$8,'Coef Feuillus divers'!$G$2:$AA$228,11,FALSE)</f>
        <v>#N/A</v>
      </c>
      <c r="L13" s="268" t="e">
        <f>+VLOOKUP('Autres sources9'!$A$8,'Coef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LBC!$B$170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sources9'!$A$8,'Coef Feuillus divers'!$G$2:$AA$228,10,FALSE)</f>
        <v>#N/A</v>
      </c>
      <c r="K14" s="268" t="e">
        <f>+VLOOKUP('Autres sources9'!$A$8,'Coef Feuillus divers'!$G$2:$AA$228,11,FALSE)</f>
        <v>#N/A</v>
      </c>
      <c r="L14" s="268" t="e">
        <f>+VLOOKUP('Autres sources9'!$A$8,'Coef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LBC!$B$170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sources9'!$A$8,'Coef Feuillus divers'!$G$2:$AA$228,10,FALSE)</f>
        <v>#N/A</v>
      </c>
      <c r="K15" s="268" t="e">
        <f>+VLOOKUP('Autres sources9'!$A$8,'Coef Feuillus divers'!$G$2:$AA$228,11,FALSE)</f>
        <v>#N/A</v>
      </c>
      <c r="L15" s="268" t="e">
        <f>+VLOOKUP('Autres sources9'!$A$8,'Coef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LBC!$B$170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sources9'!$A$8,'Coef Feuillus divers'!$G$2:$AA$228,10,FALSE)</f>
        <v>#N/A</v>
      </c>
      <c r="K16" s="268" t="e">
        <f>+VLOOKUP('Autres sources9'!$A$8,'Coef Feuillus divers'!$G$2:$AA$228,11,FALSE)</f>
        <v>#N/A</v>
      </c>
      <c r="L16" s="268" t="e">
        <f>+VLOOKUP('Autres sources9'!$A$8,'Coef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LBC!$B$170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sources9'!$A$8,'Coef Feuillus divers'!$G$2:$AA$228,10,FALSE)</f>
        <v>#N/A</v>
      </c>
      <c r="K17" s="268" t="e">
        <f>+VLOOKUP('Autres sources9'!$A$8,'Coef Feuillus divers'!$G$2:$AA$228,11,FALSE)</f>
        <v>#N/A</v>
      </c>
      <c r="L17" s="268" t="e">
        <f>+VLOOKUP('Autres sources9'!$A$8,'Coef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LBC!$B$170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sources9'!$A$8,'Coef Feuillus divers'!$G$2:$AA$228,10,FALSE)</f>
        <v>#N/A</v>
      </c>
      <c r="K18" s="268" t="e">
        <f>+VLOOKUP('Autres sources9'!$A$8,'Coef Feuillus divers'!$G$2:$AA$228,11,FALSE)</f>
        <v>#N/A</v>
      </c>
      <c r="L18" s="268" t="e">
        <f>+VLOOKUP('Autres sources9'!$A$8,'Coef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LBC!$B$170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sources9'!$A$8,'Coef Feuillus divers'!$G$2:$AA$228,10,FALSE)</f>
        <v>#N/A</v>
      </c>
      <c r="K19" s="268" t="e">
        <f>+VLOOKUP('Autres sources9'!$A$8,'Coef Feuillus divers'!$G$2:$AA$228,11,FALSE)</f>
        <v>#N/A</v>
      </c>
      <c r="L19" s="268" t="e">
        <f>+VLOOKUP('Autres sources9'!$A$8,'Coef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LBC!$B$170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sources9'!$A$8,'Coef Feuillus divers'!$G$2:$AA$228,10,FALSE)</f>
        <v>#N/A</v>
      </c>
      <c r="K20" s="268" t="e">
        <f>+VLOOKUP('Autres sources9'!$A$8,'Coef Feuillus divers'!$G$2:$AA$228,11,FALSE)</f>
        <v>#N/A</v>
      </c>
      <c r="L20" s="268" t="e">
        <f>+VLOOKUP('Autres sources9'!$A$8,'Coef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LBC!$B$170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sources9'!$A$8,'Coef Feuillus divers'!$G$2:$AA$228,10,FALSE)</f>
        <v>#N/A</v>
      </c>
      <c r="K21" s="268" t="e">
        <f>+VLOOKUP('Autres sources9'!$A$8,'Coef Feuillus divers'!$G$2:$AA$228,11,FALSE)</f>
        <v>#N/A</v>
      </c>
      <c r="L21" s="268" t="e">
        <f>+VLOOKUP('Autres sources9'!$A$8,'Coef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LBC!$B$170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sources9'!$A$8,'Coef Feuillus divers'!$G$2:$AA$228,10,FALSE)</f>
        <v>#N/A</v>
      </c>
      <c r="K22" s="268" t="e">
        <f>+VLOOKUP('Autres sources9'!$A$8,'Coef Feuillus divers'!$G$2:$AA$228,11,FALSE)</f>
        <v>#N/A</v>
      </c>
      <c r="L22" s="268" t="e">
        <f>+VLOOKUP('Autres sources9'!$A$8,'Coef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LBC!$B$170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sources9'!$A$8,'Coef Feuillus divers'!$G$2:$AA$228,10,FALSE)</f>
        <v>#N/A</v>
      </c>
      <c r="K23" s="268" t="e">
        <f>+VLOOKUP('Autres sources9'!$A$8,'Coef Feuillus divers'!$G$2:$AA$228,11,FALSE)</f>
        <v>#N/A</v>
      </c>
      <c r="L23" s="268" t="e">
        <f>+VLOOKUP('Autres sources9'!$A$8,'Coef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LBC!$B$170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sources9'!$A$8,'Coef Feuillus divers'!$G$2:$AA$228,10,FALSE)</f>
        <v>#N/A</v>
      </c>
      <c r="K24" s="268" t="e">
        <f>+VLOOKUP('Autres sources9'!$A$8,'Coef Feuillus divers'!$G$2:$AA$228,11,FALSE)</f>
        <v>#N/A</v>
      </c>
      <c r="L24" s="268" t="e">
        <f>+VLOOKUP('Autres sources9'!$A$8,'Coef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LBC!$B$170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sources9'!$A$8,'Coef Feuillus divers'!$G$2:$AA$228,10,FALSE)</f>
        <v>#N/A</v>
      </c>
      <c r="K25" s="268" t="e">
        <f>+VLOOKUP('Autres sources9'!$A$8,'Coef Feuillus divers'!$G$2:$AA$228,11,FALSE)</f>
        <v>#N/A</v>
      </c>
      <c r="L25" s="268" t="e">
        <f>+VLOOKUP('Autres sources9'!$A$8,'Coef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08AD-909F-4484-AF38-70E8D01B3D8F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LBC!$B$173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sources10'!$A$8,'Coef Feuillus divers'!$G$2:$AA$228,10,FALSE)</f>
        <v>#N/A</v>
      </c>
      <c r="K8" s="268" t="e">
        <f>+VLOOKUP('Autres sources10'!$A$8,'Coef Feuillus divers'!$G$2:$AA$228,11,FALSE)</f>
        <v>#N/A</v>
      </c>
      <c r="L8" s="268" t="e">
        <f>+VLOOKUP('Autres sources10'!$A$8,'Coef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LBC!$B$173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sources10'!$A$8,'Coef Feuillus divers'!$G$2:$AA$228,10,FALSE)</f>
        <v>#N/A</v>
      </c>
      <c r="K9" s="268" t="e">
        <f>+VLOOKUP('Autres sources10'!$A$8,'Coef Feuillus divers'!$G$2:$AA$228,11,FALSE)</f>
        <v>#N/A</v>
      </c>
      <c r="L9" s="268" t="e">
        <f>+VLOOKUP('Autres sources10'!$A$8,'Coef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LBC!$B$173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sources10'!$A$8,'Coef Feuillus divers'!$G$2:$AA$228,10,FALSE)</f>
        <v>#N/A</v>
      </c>
      <c r="K10" s="268" t="e">
        <f>+VLOOKUP('Autres sources10'!$A$8,'Coef Feuillus divers'!$G$2:$AA$228,11,FALSE)</f>
        <v>#N/A</v>
      </c>
      <c r="L10" s="268" t="e">
        <f>+VLOOKUP('Autres sources10'!$A$8,'Coef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LBC!$B$173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sources10'!$A$8,'Coef Feuillus divers'!$G$2:$AA$228,10,FALSE)</f>
        <v>#N/A</v>
      </c>
      <c r="K11" s="268" t="e">
        <f>+VLOOKUP('Autres sources10'!$A$8,'Coef Feuillus divers'!$G$2:$AA$228,11,FALSE)</f>
        <v>#N/A</v>
      </c>
      <c r="L11" s="268" t="e">
        <f>+VLOOKUP('Autres sources10'!$A$8,'Coef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LBC!$B$173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sources10'!$A$8,'Coef Feuillus divers'!$G$2:$AA$228,10,FALSE)</f>
        <v>#N/A</v>
      </c>
      <c r="K12" s="268" t="e">
        <f>+VLOOKUP('Autres sources10'!$A$8,'Coef Feuillus divers'!$G$2:$AA$228,11,FALSE)</f>
        <v>#N/A</v>
      </c>
      <c r="L12" s="268" t="e">
        <f>+VLOOKUP('Autres sources10'!$A$8,'Coef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LBC!$B$173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sources10'!$A$8,'Coef Feuillus divers'!$G$2:$AA$228,10,FALSE)</f>
        <v>#N/A</v>
      </c>
      <c r="K13" s="268" t="e">
        <f>+VLOOKUP('Autres sources10'!$A$8,'Coef Feuillus divers'!$G$2:$AA$228,11,FALSE)</f>
        <v>#N/A</v>
      </c>
      <c r="L13" s="268" t="e">
        <f>+VLOOKUP('Autres sources10'!$A$8,'Coef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LBC!$B$173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sources10'!$A$8,'Coef Feuillus divers'!$G$2:$AA$228,10,FALSE)</f>
        <v>#N/A</v>
      </c>
      <c r="K14" s="268" t="e">
        <f>+VLOOKUP('Autres sources10'!$A$8,'Coef Feuillus divers'!$G$2:$AA$228,11,FALSE)</f>
        <v>#N/A</v>
      </c>
      <c r="L14" s="268" t="e">
        <f>+VLOOKUP('Autres sources10'!$A$8,'Coef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LBC!$B$173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sources10'!$A$8,'Coef Feuillus divers'!$G$2:$AA$228,10,FALSE)</f>
        <v>#N/A</v>
      </c>
      <c r="K15" s="268" t="e">
        <f>+VLOOKUP('Autres sources10'!$A$8,'Coef Feuillus divers'!$G$2:$AA$228,11,FALSE)</f>
        <v>#N/A</v>
      </c>
      <c r="L15" s="268" t="e">
        <f>+VLOOKUP('Autres sources10'!$A$8,'Coef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LBC!$B$173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sources10'!$A$8,'Coef Feuillus divers'!$G$2:$AA$228,10,FALSE)</f>
        <v>#N/A</v>
      </c>
      <c r="K16" s="268" t="e">
        <f>+VLOOKUP('Autres sources10'!$A$8,'Coef Feuillus divers'!$G$2:$AA$228,11,FALSE)</f>
        <v>#N/A</v>
      </c>
      <c r="L16" s="268" t="e">
        <f>+VLOOKUP('Autres sources10'!$A$8,'Coef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LBC!$B$173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sources10'!$A$8,'Coef Feuillus divers'!$G$2:$AA$228,10,FALSE)</f>
        <v>#N/A</v>
      </c>
      <c r="K17" s="268" t="e">
        <f>+VLOOKUP('Autres sources10'!$A$8,'Coef Feuillus divers'!$G$2:$AA$228,11,FALSE)</f>
        <v>#N/A</v>
      </c>
      <c r="L17" s="268" t="e">
        <f>+VLOOKUP('Autres sources10'!$A$8,'Coef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LBC!$B$173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sources10'!$A$8,'Coef Feuillus divers'!$G$2:$AA$228,10,FALSE)</f>
        <v>#N/A</v>
      </c>
      <c r="K18" s="268" t="e">
        <f>+VLOOKUP('Autres sources10'!$A$8,'Coef Feuillus divers'!$G$2:$AA$228,11,FALSE)</f>
        <v>#N/A</v>
      </c>
      <c r="L18" s="268" t="e">
        <f>+VLOOKUP('Autres sources10'!$A$8,'Coef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LBC!$B$173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sources10'!$A$8,'Coef Feuillus divers'!$G$2:$AA$228,10,FALSE)</f>
        <v>#N/A</v>
      </c>
      <c r="K19" s="268" t="e">
        <f>+VLOOKUP('Autres sources10'!$A$8,'Coef Feuillus divers'!$G$2:$AA$228,11,FALSE)</f>
        <v>#N/A</v>
      </c>
      <c r="L19" s="268" t="e">
        <f>+VLOOKUP('Autres sources10'!$A$8,'Coef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LBC!$B$173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sources10'!$A$8,'Coef Feuillus divers'!$G$2:$AA$228,10,FALSE)</f>
        <v>#N/A</v>
      </c>
      <c r="K20" s="268" t="e">
        <f>+VLOOKUP('Autres sources10'!$A$8,'Coef Feuillus divers'!$G$2:$AA$228,11,FALSE)</f>
        <v>#N/A</v>
      </c>
      <c r="L20" s="268" t="e">
        <f>+VLOOKUP('Autres sources10'!$A$8,'Coef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LBC!$B$173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sources10'!$A$8,'Coef Feuillus divers'!$G$2:$AA$228,10,FALSE)</f>
        <v>#N/A</v>
      </c>
      <c r="K21" s="268" t="e">
        <f>+VLOOKUP('Autres sources10'!$A$8,'Coef Feuillus divers'!$G$2:$AA$228,11,FALSE)</f>
        <v>#N/A</v>
      </c>
      <c r="L21" s="268" t="e">
        <f>+VLOOKUP('Autres sources10'!$A$8,'Coef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LBC!$B$173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sources10'!$A$8,'Coef Feuillus divers'!$G$2:$AA$228,10,FALSE)</f>
        <v>#N/A</v>
      </c>
      <c r="K22" s="268" t="e">
        <f>+VLOOKUP('Autres sources10'!$A$8,'Coef Feuillus divers'!$G$2:$AA$228,11,FALSE)</f>
        <v>#N/A</v>
      </c>
      <c r="L22" s="268" t="e">
        <f>+VLOOKUP('Autres sources10'!$A$8,'Coef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LBC!$B$173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sources10'!$A$8,'Coef Feuillus divers'!$G$2:$AA$228,10,FALSE)</f>
        <v>#N/A</v>
      </c>
      <c r="K23" s="268" t="e">
        <f>+VLOOKUP('Autres sources10'!$A$8,'Coef Feuillus divers'!$G$2:$AA$228,11,FALSE)</f>
        <v>#N/A</v>
      </c>
      <c r="L23" s="268" t="e">
        <f>+VLOOKUP('Autres sources10'!$A$8,'Coef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LBC!$B$173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sources10'!$A$8,'Coef Feuillus divers'!$G$2:$AA$228,10,FALSE)</f>
        <v>#N/A</v>
      </c>
      <c r="K24" s="268" t="e">
        <f>+VLOOKUP('Autres sources10'!$A$8,'Coef Feuillus divers'!$G$2:$AA$228,11,FALSE)</f>
        <v>#N/A</v>
      </c>
      <c r="L24" s="268" t="e">
        <f>+VLOOKUP('Autres sources10'!$A$8,'Coef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LBC!$B$173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sources10'!$A$8,'Coef Feuillus divers'!$G$2:$AA$228,10,FALSE)</f>
        <v>#N/A</v>
      </c>
      <c r="K25" s="268" t="e">
        <f>+VLOOKUP('Autres sources10'!$A$8,'Coef Feuillus divers'!$G$2:$AA$228,11,FALSE)</f>
        <v>#N/A</v>
      </c>
      <c r="L25" s="268" t="e">
        <f>+VLOOKUP('Autres sources10'!$A$8,'Coef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F201-8FD3-4AB4-8348-946CC934ADF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LBC!$B$176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sources11'!$A$8,'Coef Feuillus divers'!$G$2:$AA$228,10,FALSE)</f>
        <v>#N/A</v>
      </c>
      <c r="K8" s="268" t="e">
        <f>+VLOOKUP('Autres sources11'!$A$8,'Coef Feuillus divers'!$G$2:$AA$228,11,FALSE)</f>
        <v>#N/A</v>
      </c>
      <c r="L8" s="268" t="e">
        <f>+VLOOKUP('Autres sources11'!$A$8,'Coef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LBC!$B$176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sources11'!$A$8,'Coef Feuillus divers'!$G$2:$AA$228,10,FALSE)</f>
        <v>#N/A</v>
      </c>
      <c r="K9" s="268" t="e">
        <f>+VLOOKUP('Autres sources11'!$A$8,'Coef Feuillus divers'!$G$2:$AA$228,11,FALSE)</f>
        <v>#N/A</v>
      </c>
      <c r="L9" s="268" t="e">
        <f>+VLOOKUP('Autres sources11'!$A$8,'Coef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LBC!$B$176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sources11'!$A$8,'Coef Feuillus divers'!$G$2:$AA$228,10,FALSE)</f>
        <v>#N/A</v>
      </c>
      <c r="K10" s="268" t="e">
        <f>+VLOOKUP('Autres sources11'!$A$8,'Coef Feuillus divers'!$G$2:$AA$228,11,FALSE)</f>
        <v>#N/A</v>
      </c>
      <c r="L10" s="268" t="e">
        <f>+VLOOKUP('Autres sources11'!$A$8,'Coef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LBC!$B$176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sources11'!$A$8,'Coef Feuillus divers'!$G$2:$AA$228,10,FALSE)</f>
        <v>#N/A</v>
      </c>
      <c r="K11" s="268" t="e">
        <f>+VLOOKUP('Autres sources11'!$A$8,'Coef Feuillus divers'!$G$2:$AA$228,11,FALSE)</f>
        <v>#N/A</v>
      </c>
      <c r="L11" s="268" t="e">
        <f>+VLOOKUP('Autres sources11'!$A$8,'Coef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LBC!$B$176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sources11'!$A$8,'Coef Feuillus divers'!$G$2:$AA$228,10,FALSE)</f>
        <v>#N/A</v>
      </c>
      <c r="K12" s="268" t="e">
        <f>+VLOOKUP('Autres sources11'!$A$8,'Coef Feuillus divers'!$G$2:$AA$228,11,FALSE)</f>
        <v>#N/A</v>
      </c>
      <c r="L12" s="268" t="e">
        <f>+VLOOKUP('Autres sources11'!$A$8,'Coef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LBC!$B$176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sources11'!$A$8,'Coef Feuillus divers'!$G$2:$AA$228,10,FALSE)</f>
        <v>#N/A</v>
      </c>
      <c r="K13" s="268" t="e">
        <f>+VLOOKUP('Autres sources11'!$A$8,'Coef Feuillus divers'!$G$2:$AA$228,11,FALSE)</f>
        <v>#N/A</v>
      </c>
      <c r="L13" s="268" t="e">
        <f>+VLOOKUP('Autres sources11'!$A$8,'Coef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LBC!$B$176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sources11'!$A$8,'Coef Feuillus divers'!$G$2:$AA$228,10,FALSE)</f>
        <v>#N/A</v>
      </c>
      <c r="K14" s="268" t="e">
        <f>+VLOOKUP('Autres sources11'!$A$8,'Coef Feuillus divers'!$G$2:$AA$228,11,FALSE)</f>
        <v>#N/A</v>
      </c>
      <c r="L14" s="268" t="e">
        <f>+VLOOKUP('Autres sources11'!$A$8,'Coef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LBC!$B$176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sources11'!$A$8,'Coef Feuillus divers'!$G$2:$AA$228,10,FALSE)</f>
        <v>#N/A</v>
      </c>
      <c r="K15" s="268" t="e">
        <f>+VLOOKUP('Autres sources11'!$A$8,'Coef Feuillus divers'!$G$2:$AA$228,11,FALSE)</f>
        <v>#N/A</v>
      </c>
      <c r="L15" s="268" t="e">
        <f>+VLOOKUP('Autres sources11'!$A$8,'Coef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LBC!$B$176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sources11'!$A$8,'Coef Feuillus divers'!$G$2:$AA$228,10,FALSE)</f>
        <v>#N/A</v>
      </c>
      <c r="K16" s="268" t="e">
        <f>+VLOOKUP('Autres sources11'!$A$8,'Coef Feuillus divers'!$G$2:$AA$228,11,FALSE)</f>
        <v>#N/A</v>
      </c>
      <c r="L16" s="268" t="e">
        <f>+VLOOKUP('Autres sources11'!$A$8,'Coef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LBC!$B$176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sources11'!$A$8,'Coef Feuillus divers'!$G$2:$AA$228,10,FALSE)</f>
        <v>#N/A</v>
      </c>
      <c r="K17" s="268" t="e">
        <f>+VLOOKUP('Autres sources11'!$A$8,'Coef Feuillus divers'!$G$2:$AA$228,11,FALSE)</f>
        <v>#N/A</v>
      </c>
      <c r="L17" s="268" t="e">
        <f>+VLOOKUP('Autres sources11'!$A$8,'Coef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LBC!$B$176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sources11'!$A$8,'Coef Feuillus divers'!$G$2:$AA$228,10,FALSE)</f>
        <v>#N/A</v>
      </c>
      <c r="K18" s="268" t="e">
        <f>+VLOOKUP('Autres sources11'!$A$8,'Coef Feuillus divers'!$G$2:$AA$228,11,FALSE)</f>
        <v>#N/A</v>
      </c>
      <c r="L18" s="268" t="e">
        <f>+VLOOKUP('Autres sources11'!$A$8,'Coef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LBC!$B$176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sources11'!$A$8,'Coef Feuillus divers'!$G$2:$AA$228,10,FALSE)</f>
        <v>#N/A</v>
      </c>
      <c r="K19" s="268" t="e">
        <f>+VLOOKUP('Autres sources11'!$A$8,'Coef Feuillus divers'!$G$2:$AA$228,11,FALSE)</f>
        <v>#N/A</v>
      </c>
      <c r="L19" s="268" t="e">
        <f>+VLOOKUP('Autres sources11'!$A$8,'Coef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LBC!$B$176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sources11'!$A$8,'Coef Feuillus divers'!$G$2:$AA$228,10,FALSE)</f>
        <v>#N/A</v>
      </c>
      <c r="K20" s="268" t="e">
        <f>+VLOOKUP('Autres sources11'!$A$8,'Coef Feuillus divers'!$G$2:$AA$228,11,FALSE)</f>
        <v>#N/A</v>
      </c>
      <c r="L20" s="268" t="e">
        <f>+VLOOKUP('Autres sources11'!$A$8,'Coef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LBC!$B$176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sources11'!$A$8,'Coef Feuillus divers'!$G$2:$AA$228,10,FALSE)</f>
        <v>#N/A</v>
      </c>
      <c r="K21" s="268" t="e">
        <f>+VLOOKUP('Autres sources11'!$A$8,'Coef Feuillus divers'!$G$2:$AA$228,11,FALSE)</f>
        <v>#N/A</v>
      </c>
      <c r="L21" s="268" t="e">
        <f>+VLOOKUP('Autres sources11'!$A$8,'Coef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LBC!$B$176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sources11'!$A$8,'Coef Feuillus divers'!$G$2:$AA$228,10,FALSE)</f>
        <v>#N/A</v>
      </c>
      <c r="K22" s="268" t="e">
        <f>+VLOOKUP('Autres sources11'!$A$8,'Coef Feuillus divers'!$G$2:$AA$228,11,FALSE)</f>
        <v>#N/A</v>
      </c>
      <c r="L22" s="268" t="e">
        <f>+VLOOKUP('Autres sources11'!$A$8,'Coef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LBC!$B$176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sources11'!$A$8,'Coef Feuillus divers'!$G$2:$AA$228,10,FALSE)</f>
        <v>#N/A</v>
      </c>
      <c r="K23" s="268" t="e">
        <f>+VLOOKUP('Autres sources11'!$A$8,'Coef Feuillus divers'!$G$2:$AA$228,11,FALSE)</f>
        <v>#N/A</v>
      </c>
      <c r="L23" s="268" t="e">
        <f>+VLOOKUP('Autres sources11'!$A$8,'Coef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LBC!$B$176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sources11'!$A$8,'Coef Feuillus divers'!$G$2:$AA$228,10,FALSE)</f>
        <v>#N/A</v>
      </c>
      <c r="K24" s="268" t="e">
        <f>+VLOOKUP('Autres sources11'!$A$8,'Coef Feuillus divers'!$G$2:$AA$228,11,FALSE)</f>
        <v>#N/A</v>
      </c>
      <c r="L24" s="268" t="e">
        <f>+VLOOKUP('Autres sources11'!$A$8,'Coef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LBC!$B$176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sources11'!$A$8,'Coef Feuillus divers'!$G$2:$AA$228,10,FALSE)</f>
        <v>#N/A</v>
      </c>
      <c r="K25" s="268" t="e">
        <f>+VLOOKUP('Autres sources11'!$A$8,'Coef Feuillus divers'!$G$2:$AA$228,11,FALSE)</f>
        <v>#N/A</v>
      </c>
      <c r="L25" s="268" t="e">
        <f>+VLOOKUP('Autres sources11'!$A$8,'Coef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26A92-4F9C-489A-B352-84232BEAAFE6}">
  <sheetPr>
    <tabColor rgb="FFFFC000"/>
  </sheetPr>
  <dimension ref="A3:AG25"/>
  <sheetViews>
    <sheetView showGridLines="0" topLeftCell="A4" zoomScale="85" zoomScaleNormal="85" workbookViewId="0">
      <selection activeCell="A13" sqref="A13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LBC!$B$179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sources12'!$A$8,'Coef Feuillus divers'!$G$2:$AA$228,10,FALSE)</f>
        <v>#N/A</v>
      </c>
      <c r="K8" s="268" t="e">
        <f>+VLOOKUP('Autres sources12'!$A$8,'Coef Feuillus divers'!$G$2:$AA$228,11,FALSE)</f>
        <v>#N/A</v>
      </c>
      <c r="L8" s="268" t="e">
        <f>+VLOOKUP('Autres sources12'!$A$8,'Coef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LBC!$B$179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sources12'!$A$8,'Coef Feuillus divers'!$G$2:$AA$228,10,FALSE)</f>
        <v>#N/A</v>
      </c>
      <c r="K9" s="268" t="e">
        <f>+VLOOKUP('Autres sources12'!$A$8,'Coef Feuillus divers'!$G$2:$AA$228,11,FALSE)</f>
        <v>#N/A</v>
      </c>
      <c r="L9" s="268" t="e">
        <f>+VLOOKUP('Autres sources12'!$A$8,'Coef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LBC!$B$179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sources12'!$A$8,'Coef Feuillus divers'!$G$2:$AA$228,10,FALSE)</f>
        <v>#N/A</v>
      </c>
      <c r="K10" s="268" t="e">
        <f>+VLOOKUP('Autres sources12'!$A$8,'Coef Feuillus divers'!$G$2:$AA$228,11,FALSE)</f>
        <v>#N/A</v>
      </c>
      <c r="L10" s="268" t="e">
        <f>+VLOOKUP('Autres sources12'!$A$8,'Coef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LBC!$B$179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sources12'!$A$8,'Coef Feuillus divers'!$G$2:$AA$228,10,FALSE)</f>
        <v>#N/A</v>
      </c>
      <c r="K11" s="268" t="e">
        <f>+VLOOKUP('Autres sources12'!$A$8,'Coef Feuillus divers'!$G$2:$AA$228,11,FALSE)</f>
        <v>#N/A</v>
      </c>
      <c r="L11" s="268" t="e">
        <f>+VLOOKUP('Autres sources12'!$A$8,'Coef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LBC!$B$179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sources12'!$A$8,'Coef Feuillus divers'!$G$2:$AA$228,10,FALSE)</f>
        <v>#N/A</v>
      </c>
      <c r="K12" s="268" t="e">
        <f>+VLOOKUP('Autres sources12'!$A$8,'Coef Feuillus divers'!$G$2:$AA$228,11,FALSE)</f>
        <v>#N/A</v>
      </c>
      <c r="L12" s="268" t="e">
        <f>+VLOOKUP('Autres sources12'!$A$8,'Coef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LBC!$B$179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sources12'!$A$8,'Coef Feuillus divers'!$G$2:$AA$228,10,FALSE)</f>
        <v>#N/A</v>
      </c>
      <c r="K13" s="268" t="e">
        <f>+VLOOKUP('Autres sources12'!$A$8,'Coef Feuillus divers'!$G$2:$AA$228,11,FALSE)</f>
        <v>#N/A</v>
      </c>
      <c r="L13" s="268" t="e">
        <f>+VLOOKUP('Autres sources12'!$A$8,'Coef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LBC!$B$179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sources12'!$A$8,'Coef Feuillus divers'!$G$2:$AA$228,10,FALSE)</f>
        <v>#N/A</v>
      </c>
      <c r="K14" s="268" t="e">
        <f>+VLOOKUP('Autres sources12'!$A$8,'Coef Feuillus divers'!$G$2:$AA$228,11,FALSE)</f>
        <v>#N/A</v>
      </c>
      <c r="L14" s="268" t="e">
        <f>+VLOOKUP('Autres sources12'!$A$8,'Coef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LBC!$B$179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sources12'!$A$8,'Coef Feuillus divers'!$G$2:$AA$228,10,FALSE)</f>
        <v>#N/A</v>
      </c>
      <c r="K15" s="268" t="e">
        <f>+VLOOKUP('Autres sources12'!$A$8,'Coef Feuillus divers'!$G$2:$AA$228,11,FALSE)</f>
        <v>#N/A</v>
      </c>
      <c r="L15" s="268" t="e">
        <f>+VLOOKUP('Autres sources12'!$A$8,'Coef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LBC!$B$179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sources12'!$A$8,'Coef Feuillus divers'!$G$2:$AA$228,10,FALSE)</f>
        <v>#N/A</v>
      </c>
      <c r="K16" s="268" t="e">
        <f>+VLOOKUP('Autres sources12'!$A$8,'Coef Feuillus divers'!$G$2:$AA$228,11,FALSE)</f>
        <v>#N/A</v>
      </c>
      <c r="L16" s="268" t="e">
        <f>+VLOOKUP('Autres sources12'!$A$8,'Coef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LBC!$B$179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sources12'!$A$8,'Coef Feuillus divers'!$G$2:$AA$228,10,FALSE)</f>
        <v>#N/A</v>
      </c>
      <c r="K17" s="268" t="e">
        <f>+VLOOKUP('Autres sources12'!$A$8,'Coef Feuillus divers'!$G$2:$AA$228,11,FALSE)</f>
        <v>#N/A</v>
      </c>
      <c r="L17" s="268" t="e">
        <f>+VLOOKUP('Autres sources12'!$A$8,'Coef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LBC!$B$179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sources12'!$A$8,'Coef Feuillus divers'!$G$2:$AA$228,10,FALSE)</f>
        <v>#N/A</v>
      </c>
      <c r="K18" s="268" t="e">
        <f>+VLOOKUP('Autres sources12'!$A$8,'Coef Feuillus divers'!$G$2:$AA$228,11,FALSE)</f>
        <v>#N/A</v>
      </c>
      <c r="L18" s="268" t="e">
        <f>+VLOOKUP('Autres sources12'!$A$8,'Coef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LBC!$B$179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sources12'!$A$8,'Coef Feuillus divers'!$G$2:$AA$228,10,FALSE)</f>
        <v>#N/A</v>
      </c>
      <c r="K19" s="268" t="e">
        <f>+VLOOKUP('Autres sources12'!$A$8,'Coef Feuillus divers'!$G$2:$AA$228,11,FALSE)</f>
        <v>#N/A</v>
      </c>
      <c r="L19" s="268" t="e">
        <f>+VLOOKUP('Autres sources12'!$A$8,'Coef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LBC!$B$179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sources12'!$A$8,'Coef Feuillus divers'!$G$2:$AA$228,10,FALSE)</f>
        <v>#N/A</v>
      </c>
      <c r="K20" s="268" t="e">
        <f>+VLOOKUP('Autres sources12'!$A$8,'Coef Feuillus divers'!$G$2:$AA$228,11,FALSE)</f>
        <v>#N/A</v>
      </c>
      <c r="L20" s="268" t="e">
        <f>+VLOOKUP('Autres sources12'!$A$8,'Coef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LBC!$B$179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sources12'!$A$8,'Coef Feuillus divers'!$G$2:$AA$228,10,FALSE)</f>
        <v>#N/A</v>
      </c>
      <c r="K21" s="268" t="e">
        <f>+VLOOKUP('Autres sources12'!$A$8,'Coef Feuillus divers'!$G$2:$AA$228,11,FALSE)</f>
        <v>#N/A</v>
      </c>
      <c r="L21" s="268" t="e">
        <f>+VLOOKUP('Autres sources12'!$A$8,'Coef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LBC!$B$179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sources12'!$A$8,'Coef Feuillus divers'!$G$2:$AA$228,10,FALSE)</f>
        <v>#N/A</v>
      </c>
      <c r="K22" s="268" t="e">
        <f>+VLOOKUP('Autres sources12'!$A$8,'Coef Feuillus divers'!$G$2:$AA$228,11,FALSE)</f>
        <v>#N/A</v>
      </c>
      <c r="L22" s="268" t="e">
        <f>+VLOOKUP('Autres sources12'!$A$8,'Coef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LBC!$B$179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sources12'!$A$8,'Coef Feuillus divers'!$G$2:$AA$228,10,FALSE)</f>
        <v>#N/A</v>
      </c>
      <c r="K23" s="268" t="e">
        <f>+VLOOKUP('Autres sources12'!$A$8,'Coef Feuillus divers'!$G$2:$AA$228,11,FALSE)</f>
        <v>#N/A</v>
      </c>
      <c r="L23" s="268" t="e">
        <f>+VLOOKUP('Autres sources12'!$A$8,'Coef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LBC!$B$179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sources12'!$A$8,'Coef Feuillus divers'!$G$2:$AA$228,10,FALSE)</f>
        <v>#N/A</v>
      </c>
      <c r="K24" s="268" t="e">
        <f>+VLOOKUP('Autres sources12'!$A$8,'Coef Feuillus divers'!$G$2:$AA$228,11,FALSE)</f>
        <v>#N/A</v>
      </c>
      <c r="L24" s="268" t="e">
        <f>+VLOOKUP('Autres sources12'!$A$8,'Coef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LBC!$B$179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sources12'!$A$8,'Coef Feuillus divers'!$G$2:$AA$228,10,FALSE)</f>
        <v>#N/A</v>
      </c>
      <c r="K25" s="268" t="e">
        <f>+VLOOKUP('Autres sources12'!$A$8,'Coef Feuillus divers'!$G$2:$AA$228,11,FALSE)</f>
        <v>#N/A</v>
      </c>
      <c r="L25" s="268" t="e">
        <f>+VLOOKUP('Autres sources12'!$A$8,'Coef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05"/>
  <sheetViews>
    <sheetView showGridLines="0" tabSelected="1" topLeftCell="B190" zoomScaleNormal="100" workbookViewId="0">
      <selection activeCell="J197" sqref="J197"/>
    </sheetView>
  </sheetViews>
  <sheetFormatPr baseColWidth="10" defaultRowHeight="15" x14ac:dyDescent="0.25"/>
  <cols>
    <col min="1" max="1" width="30.5703125" customWidth="1"/>
    <col min="2" max="2" width="29.42578125" style="112" customWidth="1"/>
    <col min="3" max="3" width="13.7109375" style="1" customWidth="1"/>
    <col min="4" max="4" width="38.140625" style="77" bestFit="1" customWidth="1"/>
    <col min="5" max="5" width="23" bestFit="1" customWidth="1"/>
    <col min="6" max="6" width="25.140625" bestFit="1" customWidth="1"/>
    <col min="7" max="7" width="22.140625" bestFit="1" customWidth="1"/>
    <col min="8" max="9" width="12.85546875" customWidth="1"/>
    <col min="10" max="12" width="13.85546875" customWidth="1"/>
  </cols>
  <sheetData>
    <row r="1" spans="1:7" ht="23.25" x14ac:dyDescent="0.35">
      <c r="B1" s="283" t="s">
        <v>1533</v>
      </c>
    </row>
    <row r="2" spans="1:7" x14ac:dyDescent="0.25">
      <c r="F2" s="324"/>
      <c r="G2" s="324"/>
    </row>
    <row r="3" spans="1:7" x14ac:dyDescent="0.25">
      <c r="B3" s="391" t="s">
        <v>391</v>
      </c>
      <c r="C3" s="392"/>
      <c r="D3" s="99" t="s">
        <v>403</v>
      </c>
      <c r="E3" s="99" t="s">
        <v>407</v>
      </c>
      <c r="F3" s="325"/>
      <c r="G3" s="325"/>
    </row>
    <row r="4" spans="1:7" x14ac:dyDescent="0.25">
      <c r="B4" s="393" t="s">
        <v>395</v>
      </c>
      <c r="C4" s="394"/>
      <c r="D4" s="119">
        <f>+VLOOKUP($B$4,'Sc de ref'!$A$2:$C$5,2,FALSE)</f>
        <v>60.144956194481033</v>
      </c>
      <c r="E4" s="119">
        <f>+VLOOKUP($B$4,'Sc de ref'!$A$2:$C$5,3,FALSE)</f>
        <v>79.217652778403618</v>
      </c>
      <c r="F4" s="326"/>
      <c r="G4" s="326"/>
    </row>
    <row r="6" spans="1:7" ht="23.25" x14ac:dyDescent="0.35">
      <c r="B6" s="283" t="s">
        <v>1422</v>
      </c>
    </row>
    <row r="7" spans="1:7" x14ac:dyDescent="0.25">
      <c r="B7" s="125"/>
      <c r="D7"/>
    </row>
    <row r="8" spans="1:7" ht="30" x14ac:dyDescent="0.25">
      <c r="B8" s="126" t="s">
        <v>410</v>
      </c>
      <c r="C8" s="79" t="s">
        <v>321</v>
      </c>
      <c r="D8" s="79" t="s">
        <v>322</v>
      </c>
      <c r="E8" s="79" t="s">
        <v>412</v>
      </c>
      <c r="F8" s="79" t="s">
        <v>1450</v>
      </c>
      <c r="G8" s="79" t="s">
        <v>1451</v>
      </c>
    </row>
    <row r="9" spans="1:7" s="1" customFormat="1" ht="45" x14ac:dyDescent="0.25">
      <c r="A9" s="281" t="s">
        <v>200</v>
      </c>
      <c r="B9" s="282" t="s">
        <v>1549</v>
      </c>
      <c r="C9" s="81">
        <v>30</v>
      </c>
      <c r="D9" s="81" t="str">
        <f>+CONCATENATE(B9,C9,"_")</f>
        <v>Chene_pedoncule_F1_Dynamique_Guide chênaie continentale_30_</v>
      </c>
      <c r="E9" s="82">
        <f>+MIN(C24:C25)</f>
        <v>181.97344347470295</v>
      </c>
      <c r="F9" s="82">
        <f>+IF(ISNA(F16),F12,F16)</f>
        <v>0</v>
      </c>
      <c r="G9" s="82">
        <f>+IF(ISNA(G16),G12,G16)</f>
        <v>0</v>
      </c>
    </row>
    <row r="10" spans="1:7" x14ac:dyDescent="0.25">
      <c r="D10"/>
    </row>
    <row r="11" spans="1:7" hidden="1" x14ac:dyDescent="0.25">
      <c r="B11" s="128" t="s">
        <v>415</v>
      </c>
      <c r="C11" s="294"/>
      <c r="D11" s="121"/>
      <c r="E11" s="121"/>
      <c r="F11" s="121" t="s">
        <v>1450</v>
      </c>
      <c r="G11" s="121" t="s">
        <v>1451</v>
      </c>
    </row>
    <row r="12" spans="1:7" hidden="1" x14ac:dyDescent="0.25">
      <c r="B12" s="129" t="s">
        <v>323</v>
      </c>
      <c r="C12" s="122" t="e">
        <f>+VLOOKUP(D9,'BDD-Guides'!$AA$3:$AE$708,3,FALSE)</f>
        <v>#N/A</v>
      </c>
      <c r="D12" s="101" t="s">
        <v>324</v>
      </c>
      <c r="E12" s="101"/>
      <c r="F12" s="101">
        <v>0</v>
      </c>
      <c r="G12" s="101">
        <v>0</v>
      </c>
    </row>
    <row r="13" spans="1:7" ht="30" hidden="1" x14ac:dyDescent="0.25">
      <c r="B13" s="129" t="s">
        <v>325</v>
      </c>
      <c r="C13" s="122" t="e">
        <f>VLOOKUP(D9,'BDD-Guides'!$AA$3:$AE$708,5,FALSE)</f>
        <v>#N/A</v>
      </c>
      <c r="D13" s="101" t="s">
        <v>324</v>
      </c>
      <c r="E13" s="101"/>
      <c r="F13" s="101"/>
      <c r="G13" s="101"/>
    </row>
    <row r="14" spans="1:7" hidden="1" x14ac:dyDescent="0.25">
      <c r="C14" s="95"/>
    </row>
    <row r="15" spans="1:7" hidden="1" x14ac:dyDescent="0.25">
      <c r="B15" s="128" t="s">
        <v>413</v>
      </c>
      <c r="C15" s="123"/>
      <c r="D15" s="121"/>
      <c r="E15" s="121" t="s">
        <v>411</v>
      </c>
      <c r="F15" s="121" t="s">
        <v>1450</v>
      </c>
      <c r="G15" s="121" t="s">
        <v>1451</v>
      </c>
    </row>
    <row r="16" spans="1:7" hidden="1" x14ac:dyDescent="0.25">
      <c r="B16" s="129" t="s">
        <v>323</v>
      </c>
      <c r="C16" s="122">
        <f>+VLOOKUP(D9,'BDD-Modèles'!$BK$3:$BP$2000,4,FALSE)</f>
        <v>242.11839966918399</v>
      </c>
      <c r="D16" s="101" t="s">
        <v>324</v>
      </c>
      <c r="E16" s="101">
        <f>IF(ISNA(C16),"KO",C16)</f>
        <v>242.11839966918399</v>
      </c>
      <c r="F16" s="101">
        <f>+VLOOKUP(D9,'BDD-Modèles'!$BK$3:$BZ$1454,16,FALSE)</f>
        <v>0</v>
      </c>
      <c r="G16" s="101">
        <f>+VLOOKUP(D9,'BDD-Modèles'!$BK$2:$CO$1454,31,FALSE)</f>
        <v>0</v>
      </c>
    </row>
    <row r="17" spans="1:7" ht="30" hidden="1" x14ac:dyDescent="0.25">
      <c r="B17" s="129" t="s">
        <v>325</v>
      </c>
      <c r="C17" s="122">
        <f>+VLOOKUP(D9,'BDD-Modèles'!$BK$3:$BP$2000,6,FALSE)</f>
        <v>307.101589782742</v>
      </c>
      <c r="D17" s="101" t="s">
        <v>324</v>
      </c>
      <c r="E17" s="101">
        <f>IF(ISNA(C17),"KO",C17)</f>
        <v>307.101589782742</v>
      </c>
      <c r="F17" s="101"/>
      <c r="G17" s="101"/>
    </row>
    <row r="18" spans="1:7" hidden="1" x14ac:dyDescent="0.25">
      <c r="C18" s="95"/>
      <c r="D18" s="78"/>
    </row>
    <row r="19" spans="1:7" hidden="1" x14ac:dyDescent="0.25">
      <c r="B19" s="128" t="s">
        <v>414</v>
      </c>
      <c r="C19" s="123"/>
      <c r="D19" s="121"/>
    </row>
    <row r="20" spans="1:7" hidden="1" x14ac:dyDescent="0.25">
      <c r="B20" s="129" t="s">
        <v>323</v>
      </c>
      <c r="C20" s="122">
        <f>+IF(E16="KO",C12,C16)</f>
        <v>242.11839966918399</v>
      </c>
      <c r="D20" s="101" t="s">
        <v>324</v>
      </c>
    </row>
    <row r="21" spans="1:7" ht="30" hidden="1" x14ac:dyDescent="0.25">
      <c r="B21" s="129" t="s">
        <v>325</v>
      </c>
      <c r="C21" s="122">
        <f>+IF(E17="KO",C13,C17)</f>
        <v>307.101589782742</v>
      </c>
      <c r="D21" s="101" t="s">
        <v>324</v>
      </c>
    </row>
    <row r="22" spans="1:7" hidden="1" x14ac:dyDescent="0.25">
      <c r="D22" s="78"/>
    </row>
    <row r="23" spans="1:7" ht="30" hidden="1" x14ac:dyDescent="0.25">
      <c r="B23" s="132" t="s">
        <v>404</v>
      </c>
      <c r="C23" s="295"/>
      <c r="D23" s="121"/>
    </row>
    <row r="24" spans="1:7" ht="45" hidden="1" x14ac:dyDescent="0.25">
      <c r="B24" s="133" t="s">
        <v>405</v>
      </c>
      <c r="C24" s="296">
        <f>+C20-$D$4</f>
        <v>181.97344347470295</v>
      </c>
      <c r="D24" s="134" t="s">
        <v>324</v>
      </c>
    </row>
    <row r="25" spans="1:7" hidden="1" x14ac:dyDescent="0.25">
      <c r="B25" s="133" t="s">
        <v>406</v>
      </c>
      <c r="C25" s="296">
        <f>+C21-$E$4</f>
        <v>227.88393700433838</v>
      </c>
      <c r="D25" s="134" t="s">
        <v>324</v>
      </c>
    </row>
    <row r="26" spans="1:7" x14ac:dyDescent="0.25">
      <c r="D26"/>
    </row>
    <row r="27" spans="1:7" ht="30" x14ac:dyDescent="0.25">
      <c r="B27" s="126" t="s">
        <v>410</v>
      </c>
      <c r="C27" s="79" t="s">
        <v>321</v>
      </c>
      <c r="D27" s="79" t="s">
        <v>322</v>
      </c>
      <c r="E27" s="79" t="s">
        <v>412</v>
      </c>
      <c r="F27" s="79" t="s">
        <v>1450</v>
      </c>
      <c r="G27" s="79" t="s">
        <v>1451</v>
      </c>
    </row>
    <row r="28" spans="1:7" x14ac:dyDescent="0.25">
      <c r="A28" s="281" t="s">
        <v>200</v>
      </c>
      <c r="B28" s="282"/>
      <c r="C28" s="81">
        <v>30</v>
      </c>
      <c r="D28" s="81" t="str">
        <f>+CONCATENATE(B28,C28,"_")</f>
        <v>30_</v>
      </c>
      <c r="E28" s="82" t="e">
        <f>+MIN(C43:C44)</f>
        <v>#N/A</v>
      </c>
      <c r="F28" s="82">
        <f>+IF(ISNA(F35),F31,F35)</f>
        <v>0</v>
      </c>
      <c r="G28" s="82">
        <f>+IF(ISNA(G35),G31,G35)</f>
        <v>0</v>
      </c>
    </row>
    <row r="29" spans="1:7" x14ac:dyDescent="0.25">
      <c r="D29"/>
    </row>
    <row r="30" spans="1:7" hidden="1" x14ac:dyDescent="0.25">
      <c r="B30" s="128" t="s">
        <v>415</v>
      </c>
      <c r="C30" s="294"/>
      <c r="D30" s="121"/>
      <c r="E30" s="121"/>
      <c r="F30" s="121" t="s">
        <v>1450</v>
      </c>
      <c r="G30" s="121" t="s">
        <v>1451</v>
      </c>
    </row>
    <row r="31" spans="1:7" hidden="1" x14ac:dyDescent="0.25">
      <c r="B31" s="129" t="s">
        <v>323</v>
      </c>
      <c r="C31" s="122" t="e">
        <f>+VLOOKUP(D28,'BDD-Guides'!$AA$3:$AE$708,3,FALSE)</f>
        <v>#N/A</v>
      </c>
      <c r="D31" s="101" t="s">
        <v>324</v>
      </c>
      <c r="E31" s="101"/>
      <c r="F31" s="101">
        <v>0</v>
      </c>
      <c r="G31" s="101">
        <v>0</v>
      </c>
    </row>
    <row r="32" spans="1:7" ht="30" hidden="1" x14ac:dyDescent="0.25">
      <c r="B32" s="129" t="s">
        <v>325</v>
      </c>
      <c r="C32" s="122" t="e">
        <f>VLOOKUP(D28,'BDD-Guides'!$AA$3:$AE$708,5,FALSE)</f>
        <v>#N/A</v>
      </c>
      <c r="D32" s="101" t="s">
        <v>324</v>
      </c>
      <c r="E32" s="101"/>
      <c r="F32" s="101"/>
      <c r="G32" s="101"/>
    </row>
    <row r="33" spans="1:7" hidden="1" x14ac:dyDescent="0.25">
      <c r="C33" s="95"/>
      <c r="D33" s="349"/>
    </row>
    <row r="34" spans="1:7" hidden="1" x14ac:dyDescent="0.25">
      <c r="B34" s="128" t="s">
        <v>413</v>
      </c>
      <c r="C34" s="123"/>
      <c r="D34" s="121"/>
      <c r="E34" s="121" t="s">
        <v>411</v>
      </c>
      <c r="F34" s="121" t="s">
        <v>1450</v>
      </c>
      <c r="G34" s="121" t="s">
        <v>1451</v>
      </c>
    </row>
    <row r="35" spans="1:7" hidden="1" x14ac:dyDescent="0.25">
      <c r="B35" s="129" t="s">
        <v>323</v>
      </c>
      <c r="C35" s="122" t="e">
        <f>+VLOOKUP(D28,'BDD-Modèles'!$BK$3:$BP$2000,4,FALSE)</f>
        <v>#N/A</v>
      </c>
      <c r="D35" s="101" t="s">
        <v>324</v>
      </c>
      <c r="E35" s="101" t="str">
        <f>IF(ISNA(C35),"KO",C35)</f>
        <v>KO</v>
      </c>
      <c r="F35" s="101" t="e">
        <f>+VLOOKUP(D28,'BDD-Modèles'!$BK$3:$BZ$1454,16,FALSE)</f>
        <v>#N/A</v>
      </c>
      <c r="G35" s="101" t="e">
        <f>+VLOOKUP(D28,'BDD-Modèles'!$BK$2:$CO$1454,31,FALSE)</f>
        <v>#N/A</v>
      </c>
    </row>
    <row r="36" spans="1:7" ht="30" hidden="1" x14ac:dyDescent="0.25">
      <c r="B36" s="129" t="s">
        <v>325</v>
      </c>
      <c r="C36" s="122" t="e">
        <f>+VLOOKUP(D28,'BDD-Modèles'!$BK$3:$BP$2000,6,FALSE)</f>
        <v>#N/A</v>
      </c>
      <c r="D36" s="101" t="s">
        <v>324</v>
      </c>
      <c r="E36" s="101" t="str">
        <f>IF(ISNA(C36),"KO",C36)</f>
        <v>KO</v>
      </c>
      <c r="F36" s="101"/>
      <c r="G36" s="101"/>
    </row>
    <row r="37" spans="1:7" hidden="1" x14ac:dyDescent="0.25">
      <c r="C37" s="95"/>
      <c r="D37" s="349"/>
    </row>
    <row r="38" spans="1:7" hidden="1" x14ac:dyDescent="0.25">
      <c r="B38" s="128" t="s">
        <v>414</v>
      </c>
      <c r="C38" s="123"/>
      <c r="D38" s="121"/>
    </row>
    <row r="39" spans="1:7" hidden="1" x14ac:dyDescent="0.25">
      <c r="B39" s="129" t="s">
        <v>323</v>
      </c>
      <c r="C39" s="122" t="e">
        <f>+IF(E35="KO",C31,C35)</f>
        <v>#N/A</v>
      </c>
      <c r="D39" s="101" t="s">
        <v>324</v>
      </c>
    </row>
    <row r="40" spans="1:7" ht="30" hidden="1" x14ac:dyDescent="0.25">
      <c r="B40" s="129" t="s">
        <v>325</v>
      </c>
      <c r="C40" s="122" t="e">
        <f>+IF(E36="KO",C32,C36)</f>
        <v>#N/A</v>
      </c>
      <c r="D40" s="101" t="s">
        <v>324</v>
      </c>
    </row>
    <row r="41" spans="1:7" hidden="1" x14ac:dyDescent="0.25">
      <c r="D41" s="349"/>
    </row>
    <row r="42" spans="1:7" ht="30" hidden="1" x14ac:dyDescent="0.25">
      <c r="B42" s="132" t="s">
        <v>404</v>
      </c>
      <c r="C42" s="295"/>
      <c r="D42" s="121"/>
    </row>
    <row r="43" spans="1:7" ht="45" hidden="1" x14ac:dyDescent="0.25">
      <c r="B43" s="133" t="s">
        <v>405</v>
      </c>
      <c r="C43" s="296" t="e">
        <f>+C39-$D$4</f>
        <v>#N/A</v>
      </c>
      <c r="D43" s="134" t="s">
        <v>324</v>
      </c>
    </row>
    <row r="44" spans="1:7" hidden="1" x14ac:dyDescent="0.25">
      <c r="B44" s="133" t="s">
        <v>406</v>
      </c>
      <c r="C44" s="296" t="e">
        <f>+C40-$E$4</f>
        <v>#N/A</v>
      </c>
      <c r="D44" s="134" t="s">
        <v>324</v>
      </c>
    </row>
    <row r="45" spans="1:7" hidden="1" x14ac:dyDescent="0.25">
      <c r="D45"/>
    </row>
    <row r="46" spans="1:7" hidden="1" x14ac:dyDescent="0.25">
      <c r="D46"/>
    </row>
    <row r="47" spans="1:7" ht="30" x14ac:dyDescent="0.25">
      <c r="B47" s="126" t="s">
        <v>410</v>
      </c>
      <c r="C47" s="79" t="s">
        <v>321</v>
      </c>
      <c r="D47" s="79" t="s">
        <v>322</v>
      </c>
      <c r="E47" s="79" t="s">
        <v>412</v>
      </c>
      <c r="F47" s="79" t="s">
        <v>1450</v>
      </c>
      <c r="G47" s="79" t="s">
        <v>1451</v>
      </c>
    </row>
    <row r="48" spans="1:7" x14ac:dyDescent="0.25">
      <c r="A48" s="281" t="s">
        <v>200</v>
      </c>
      <c r="B48" s="282"/>
      <c r="C48" s="81">
        <v>30</v>
      </c>
      <c r="D48" s="81" t="str">
        <f>+CONCATENATE(B48,C48,"_")</f>
        <v>30_</v>
      </c>
      <c r="E48" s="82" t="e">
        <f>+MIN(C63:C64)</f>
        <v>#N/A</v>
      </c>
      <c r="F48" s="82">
        <f>+IF(ISNA(F55),F51,F55)</f>
        <v>0</v>
      </c>
      <c r="G48" s="82">
        <f>+IF(ISNA(G55),G51,G55)</f>
        <v>0</v>
      </c>
    </row>
    <row r="49" spans="2:7" hidden="1" x14ac:dyDescent="0.25">
      <c r="D49"/>
    </row>
    <row r="50" spans="2:7" hidden="1" x14ac:dyDescent="0.25">
      <c r="B50" s="128" t="s">
        <v>415</v>
      </c>
      <c r="C50" s="294"/>
      <c r="D50" s="121"/>
      <c r="E50" s="121"/>
      <c r="F50" s="121" t="s">
        <v>1450</v>
      </c>
      <c r="G50" s="121" t="s">
        <v>1451</v>
      </c>
    </row>
    <row r="51" spans="2:7" hidden="1" x14ac:dyDescent="0.25">
      <c r="B51" s="129" t="s">
        <v>323</v>
      </c>
      <c r="C51" s="122" t="e">
        <f>+VLOOKUP(D48,'BDD-Guides'!$AA$3:$AE$708,3,FALSE)</f>
        <v>#N/A</v>
      </c>
      <c r="D51" s="101" t="s">
        <v>324</v>
      </c>
      <c r="E51" s="101"/>
      <c r="F51" s="101">
        <v>0</v>
      </c>
      <c r="G51" s="101">
        <v>0</v>
      </c>
    </row>
    <row r="52" spans="2:7" ht="30" hidden="1" x14ac:dyDescent="0.25">
      <c r="B52" s="129" t="s">
        <v>325</v>
      </c>
      <c r="C52" s="122" t="e">
        <f>VLOOKUP(D48,'BDD-Guides'!$AA$3:$AE$708,5,FALSE)</f>
        <v>#N/A</v>
      </c>
      <c r="D52" s="101" t="s">
        <v>324</v>
      </c>
      <c r="E52" s="101"/>
      <c r="F52" s="101"/>
      <c r="G52" s="101"/>
    </row>
    <row r="53" spans="2:7" hidden="1" x14ac:dyDescent="0.25">
      <c r="C53" s="95"/>
      <c r="D53" s="358"/>
    </row>
    <row r="54" spans="2:7" hidden="1" x14ac:dyDescent="0.25">
      <c r="B54" s="128" t="s">
        <v>413</v>
      </c>
      <c r="C54" s="123"/>
      <c r="D54" s="121"/>
      <c r="E54" s="121" t="s">
        <v>411</v>
      </c>
      <c r="F54" s="121" t="s">
        <v>1450</v>
      </c>
      <c r="G54" s="121" t="s">
        <v>1451</v>
      </c>
    </row>
    <row r="55" spans="2:7" hidden="1" x14ac:dyDescent="0.25">
      <c r="B55" s="129" t="s">
        <v>323</v>
      </c>
      <c r="C55" s="122" t="e">
        <f>+VLOOKUP(D48,'BDD-Modèles'!$BK$3:$BP$2000,4,FALSE)</f>
        <v>#N/A</v>
      </c>
      <c r="D55" s="101" t="s">
        <v>324</v>
      </c>
      <c r="E55" s="101" t="str">
        <f>IF(ISNA(C55),"KO",C55)</f>
        <v>KO</v>
      </c>
      <c r="F55" s="101" t="e">
        <f>+VLOOKUP(D48,'BDD-Modèles'!$BK$3:$BZ$1454,16,FALSE)</f>
        <v>#N/A</v>
      </c>
      <c r="G55" s="101" t="e">
        <f>+VLOOKUP(D48,'BDD-Modèles'!$BK$2:$CO$1454,31,FALSE)</f>
        <v>#N/A</v>
      </c>
    </row>
    <row r="56" spans="2:7" ht="30" hidden="1" x14ac:dyDescent="0.25">
      <c r="B56" s="129" t="s">
        <v>325</v>
      </c>
      <c r="C56" s="122" t="e">
        <f>+VLOOKUP(D48,'BDD-Modèles'!$BK$3:$BP$2000,6,FALSE)</f>
        <v>#N/A</v>
      </c>
      <c r="D56" s="101" t="s">
        <v>324</v>
      </c>
      <c r="E56" s="101" t="str">
        <f>IF(ISNA(C56),"KO",C56)</f>
        <v>KO</v>
      </c>
      <c r="F56" s="101"/>
      <c r="G56" s="101"/>
    </row>
    <row r="57" spans="2:7" hidden="1" x14ac:dyDescent="0.25">
      <c r="C57" s="95"/>
      <c r="D57" s="358"/>
    </row>
    <row r="58" spans="2:7" hidden="1" x14ac:dyDescent="0.25">
      <c r="B58" s="128" t="s">
        <v>414</v>
      </c>
      <c r="C58" s="123"/>
      <c r="D58" s="121"/>
    </row>
    <row r="59" spans="2:7" hidden="1" x14ac:dyDescent="0.25">
      <c r="B59" s="129" t="s">
        <v>323</v>
      </c>
      <c r="C59" s="122" t="e">
        <f>+IF(E55="KO",C51,C55)</f>
        <v>#N/A</v>
      </c>
      <c r="D59" s="101" t="s">
        <v>324</v>
      </c>
    </row>
    <row r="60" spans="2:7" ht="30" hidden="1" x14ac:dyDescent="0.25">
      <c r="B60" s="129" t="s">
        <v>325</v>
      </c>
      <c r="C60" s="122" t="e">
        <f>+IF(E56="KO",C52,C56)</f>
        <v>#N/A</v>
      </c>
      <c r="D60" s="101" t="s">
        <v>324</v>
      </c>
    </row>
    <row r="61" spans="2:7" hidden="1" x14ac:dyDescent="0.25">
      <c r="D61" s="358"/>
    </row>
    <row r="62" spans="2:7" ht="30" hidden="1" x14ac:dyDescent="0.25">
      <c r="B62" s="132" t="s">
        <v>404</v>
      </c>
      <c r="C62" s="295"/>
      <c r="D62" s="121"/>
    </row>
    <row r="63" spans="2:7" ht="45" hidden="1" x14ac:dyDescent="0.25">
      <c r="B63" s="133" t="s">
        <v>405</v>
      </c>
      <c r="C63" s="296" t="e">
        <f>+C59-$D$4</f>
        <v>#N/A</v>
      </c>
      <c r="D63" s="134" t="s">
        <v>324</v>
      </c>
    </row>
    <row r="64" spans="2:7" hidden="1" x14ac:dyDescent="0.25">
      <c r="B64" s="133" t="s">
        <v>406</v>
      </c>
      <c r="C64" s="296" t="e">
        <f>+C60-$E$4</f>
        <v>#N/A</v>
      </c>
      <c r="D64" s="134" t="s">
        <v>324</v>
      </c>
    </row>
    <row r="65" spans="1:7" hidden="1" x14ac:dyDescent="0.25">
      <c r="D65"/>
    </row>
    <row r="66" spans="1:7" x14ac:dyDescent="0.25">
      <c r="D66"/>
    </row>
    <row r="67" spans="1:7" ht="30" x14ac:dyDescent="0.25">
      <c r="B67" s="126" t="s">
        <v>410</v>
      </c>
      <c r="C67" s="79" t="s">
        <v>321</v>
      </c>
      <c r="D67" s="79" t="s">
        <v>322</v>
      </c>
      <c r="E67" s="79" t="s">
        <v>412</v>
      </c>
      <c r="F67" s="79" t="s">
        <v>1450</v>
      </c>
      <c r="G67" s="79" t="s">
        <v>1451</v>
      </c>
    </row>
    <row r="68" spans="1:7" x14ac:dyDescent="0.25">
      <c r="A68" s="281" t="s">
        <v>200</v>
      </c>
      <c r="B68" s="282"/>
      <c r="C68" s="81">
        <v>30</v>
      </c>
      <c r="D68" s="81" t="str">
        <f>+CONCATENATE(B68,C68,"_")</f>
        <v>30_</v>
      </c>
      <c r="E68" s="82" t="e">
        <f>+MIN(C83:C84)</f>
        <v>#N/A</v>
      </c>
      <c r="F68" s="82">
        <f>+IF(ISNA(F75),F71,F75)</f>
        <v>0</v>
      </c>
      <c r="G68" s="82">
        <f>+IF(ISNA(G75),G71,G75)</f>
        <v>0</v>
      </c>
    </row>
    <row r="69" spans="1:7" x14ac:dyDescent="0.25">
      <c r="D69"/>
    </row>
    <row r="70" spans="1:7" hidden="1" x14ac:dyDescent="0.25">
      <c r="B70" s="128" t="s">
        <v>415</v>
      </c>
      <c r="C70" s="294"/>
      <c r="D70" s="121"/>
      <c r="E70" s="121"/>
      <c r="F70" s="121" t="s">
        <v>1450</v>
      </c>
      <c r="G70" s="121" t="s">
        <v>1451</v>
      </c>
    </row>
    <row r="71" spans="1:7" hidden="1" x14ac:dyDescent="0.25">
      <c r="B71" s="129" t="s">
        <v>323</v>
      </c>
      <c r="C71" s="122" t="e">
        <f>+VLOOKUP(D68,'BDD-Guides'!$AA$3:$AE$708,3,FALSE)</f>
        <v>#N/A</v>
      </c>
      <c r="D71" s="101" t="s">
        <v>324</v>
      </c>
      <c r="E71" s="101"/>
      <c r="F71" s="101">
        <v>0</v>
      </c>
      <c r="G71" s="101">
        <v>0</v>
      </c>
    </row>
    <row r="72" spans="1:7" ht="30" hidden="1" x14ac:dyDescent="0.25">
      <c r="B72" s="129" t="s">
        <v>325</v>
      </c>
      <c r="C72" s="122" t="e">
        <f>VLOOKUP(D68,'BDD-Guides'!$AA$3:$AE$708,5,FALSE)</f>
        <v>#N/A</v>
      </c>
      <c r="D72" s="101" t="s">
        <v>324</v>
      </c>
      <c r="E72" s="101"/>
      <c r="F72" s="101"/>
      <c r="G72" s="101"/>
    </row>
    <row r="73" spans="1:7" hidden="1" x14ac:dyDescent="0.25">
      <c r="C73" s="95"/>
      <c r="D73" s="358"/>
    </row>
    <row r="74" spans="1:7" hidden="1" x14ac:dyDescent="0.25">
      <c r="B74" s="128" t="s">
        <v>413</v>
      </c>
      <c r="C74" s="123"/>
      <c r="D74" s="121"/>
      <c r="E74" s="121" t="s">
        <v>411</v>
      </c>
      <c r="F74" s="121" t="s">
        <v>1450</v>
      </c>
      <c r="G74" s="121" t="s">
        <v>1451</v>
      </c>
    </row>
    <row r="75" spans="1:7" hidden="1" x14ac:dyDescent="0.25">
      <c r="B75" s="129" t="s">
        <v>323</v>
      </c>
      <c r="C75" s="122" t="e">
        <f>+VLOOKUP(D68,'BDD-Modèles'!$BK$3:$BP$2000,4,FALSE)</f>
        <v>#N/A</v>
      </c>
      <c r="D75" s="101" t="s">
        <v>324</v>
      </c>
      <c r="E75" s="101" t="str">
        <f>IF(ISNA(C75),"KO",C75)</f>
        <v>KO</v>
      </c>
      <c r="F75" s="101" t="e">
        <f>+VLOOKUP(D68,'BDD-Modèles'!$BK$3:$BZ$1454,16,FALSE)</f>
        <v>#N/A</v>
      </c>
      <c r="G75" s="101" t="e">
        <f>+VLOOKUP(D68,'BDD-Modèles'!$BK$2:$CO$1454,31,FALSE)</f>
        <v>#N/A</v>
      </c>
    </row>
    <row r="76" spans="1:7" ht="30" hidden="1" x14ac:dyDescent="0.25">
      <c r="B76" s="129" t="s">
        <v>325</v>
      </c>
      <c r="C76" s="122" t="e">
        <f>+VLOOKUP(D68,'BDD-Modèles'!$BK$3:$BP$2000,6,FALSE)</f>
        <v>#N/A</v>
      </c>
      <c r="D76" s="101" t="s">
        <v>324</v>
      </c>
      <c r="E76" s="101" t="str">
        <f>IF(ISNA(C76),"KO",C76)</f>
        <v>KO</v>
      </c>
      <c r="F76" s="101"/>
      <c r="G76" s="101"/>
    </row>
    <row r="77" spans="1:7" hidden="1" x14ac:dyDescent="0.25">
      <c r="C77" s="95"/>
      <c r="D77" s="358"/>
    </row>
    <row r="78" spans="1:7" hidden="1" x14ac:dyDescent="0.25">
      <c r="B78" s="128" t="s">
        <v>414</v>
      </c>
      <c r="C78" s="123"/>
      <c r="D78" s="121"/>
    </row>
    <row r="79" spans="1:7" hidden="1" x14ac:dyDescent="0.25">
      <c r="B79" s="129" t="s">
        <v>323</v>
      </c>
      <c r="C79" s="122" t="e">
        <f>+IF(E75="KO",C71,C75)</f>
        <v>#N/A</v>
      </c>
      <c r="D79" s="101" t="s">
        <v>324</v>
      </c>
    </row>
    <row r="80" spans="1:7" ht="30" hidden="1" x14ac:dyDescent="0.25">
      <c r="B80" s="129" t="s">
        <v>325</v>
      </c>
      <c r="C80" s="122" t="e">
        <f>+IF(E76="KO",C72,C76)</f>
        <v>#N/A</v>
      </c>
      <c r="D80" s="101" t="s">
        <v>324</v>
      </c>
    </row>
    <row r="81" spans="1:7" hidden="1" x14ac:dyDescent="0.25">
      <c r="D81" s="358"/>
    </row>
    <row r="82" spans="1:7" ht="30" hidden="1" x14ac:dyDescent="0.25">
      <c r="B82" s="132" t="s">
        <v>404</v>
      </c>
      <c r="C82" s="295"/>
      <c r="D82" s="121"/>
    </row>
    <row r="83" spans="1:7" ht="45" hidden="1" x14ac:dyDescent="0.25">
      <c r="B83" s="133" t="s">
        <v>405</v>
      </c>
      <c r="C83" s="296" t="e">
        <f>+C79-$D$4</f>
        <v>#N/A</v>
      </c>
      <c r="D83" s="134" t="s">
        <v>324</v>
      </c>
    </row>
    <row r="84" spans="1:7" hidden="1" x14ac:dyDescent="0.25">
      <c r="B84" s="133" t="s">
        <v>406</v>
      </c>
      <c r="C84" s="296" t="e">
        <f>+C80-$E$4</f>
        <v>#N/A</v>
      </c>
      <c r="D84" s="134" t="s">
        <v>324</v>
      </c>
    </row>
    <row r="85" spans="1:7" ht="30" x14ac:dyDescent="0.25">
      <c r="B85" s="126" t="s">
        <v>410</v>
      </c>
      <c r="C85" s="79" t="s">
        <v>321</v>
      </c>
      <c r="D85" s="79" t="s">
        <v>322</v>
      </c>
      <c r="E85" s="79" t="s">
        <v>412</v>
      </c>
      <c r="F85" s="79" t="s">
        <v>1450</v>
      </c>
      <c r="G85" s="79" t="s">
        <v>1451</v>
      </c>
    </row>
    <row r="86" spans="1:7" x14ac:dyDescent="0.25">
      <c r="A86" s="281" t="s">
        <v>200</v>
      </c>
      <c r="B86" s="282"/>
      <c r="C86" s="81">
        <v>30</v>
      </c>
      <c r="D86" s="81" t="str">
        <f>+CONCATENATE(B86,C86,"_")</f>
        <v>30_</v>
      </c>
      <c r="E86" s="82" t="e">
        <f>+MIN(C101:C102)</f>
        <v>#N/A</v>
      </c>
      <c r="F86" s="82">
        <f>+IF(ISNA(F93),F89,F93)</f>
        <v>0</v>
      </c>
      <c r="G86" s="82">
        <f>+IF(ISNA(G93),G89,G93)</f>
        <v>0</v>
      </c>
    </row>
    <row r="87" spans="1:7" x14ac:dyDescent="0.25">
      <c r="D87"/>
    </row>
    <row r="88" spans="1:7" hidden="1" x14ac:dyDescent="0.25">
      <c r="B88" s="128" t="s">
        <v>415</v>
      </c>
      <c r="C88" s="294"/>
      <c r="D88" s="121"/>
      <c r="E88" s="121"/>
      <c r="F88" s="121" t="s">
        <v>1450</v>
      </c>
      <c r="G88" s="121" t="s">
        <v>1451</v>
      </c>
    </row>
    <row r="89" spans="1:7" hidden="1" x14ac:dyDescent="0.25">
      <c r="B89" s="129" t="s">
        <v>323</v>
      </c>
      <c r="C89" s="122" t="e">
        <f>+VLOOKUP(D86,'BDD-Guides'!$AA$3:$AE$708,3,FALSE)</f>
        <v>#N/A</v>
      </c>
      <c r="D89" s="101" t="s">
        <v>324</v>
      </c>
      <c r="E89" s="101"/>
      <c r="F89" s="101">
        <v>0</v>
      </c>
      <c r="G89" s="101">
        <v>0</v>
      </c>
    </row>
    <row r="90" spans="1:7" ht="30" hidden="1" x14ac:dyDescent="0.25">
      <c r="B90" s="129" t="s">
        <v>325</v>
      </c>
      <c r="C90" s="122" t="e">
        <f>VLOOKUP(D86,'BDD-Guides'!$AA$3:$AE$708,5,FALSE)</f>
        <v>#N/A</v>
      </c>
      <c r="D90" s="101" t="s">
        <v>324</v>
      </c>
      <c r="E90" s="101"/>
      <c r="F90" s="101"/>
      <c r="G90" s="101"/>
    </row>
    <row r="91" spans="1:7" hidden="1" x14ac:dyDescent="0.25">
      <c r="C91" s="95"/>
      <c r="D91" s="360"/>
    </row>
    <row r="92" spans="1:7" hidden="1" x14ac:dyDescent="0.25">
      <c r="B92" s="128" t="s">
        <v>413</v>
      </c>
      <c r="C92" s="123"/>
      <c r="D92" s="121"/>
      <c r="E92" s="121" t="s">
        <v>411</v>
      </c>
      <c r="F92" s="121" t="s">
        <v>1450</v>
      </c>
      <c r="G92" s="121" t="s">
        <v>1451</v>
      </c>
    </row>
    <row r="93" spans="1:7" hidden="1" x14ac:dyDescent="0.25">
      <c r="B93" s="129" t="s">
        <v>323</v>
      </c>
      <c r="C93" s="122" t="e">
        <f>+VLOOKUP(D86,'BDD-Modèles'!$BK$3:$BP$2000,4,FALSE)</f>
        <v>#N/A</v>
      </c>
      <c r="D93" s="101" t="s">
        <v>324</v>
      </c>
      <c r="E93" s="101" t="str">
        <f>IF(ISNA(C93),"KO",C93)</f>
        <v>KO</v>
      </c>
      <c r="F93" s="101" t="e">
        <f>+VLOOKUP(D86,'BDD-Modèles'!$BK$3:$BZ$1454,16,FALSE)</f>
        <v>#N/A</v>
      </c>
      <c r="G93" s="101" t="e">
        <f>+VLOOKUP(D86,'BDD-Modèles'!$BK$2:$CO$1454,31,FALSE)</f>
        <v>#N/A</v>
      </c>
    </row>
    <row r="94" spans="1:7" ht="30" hidden="1" x14ac:dyDescent="0.25">
      <c r="B94" s="129" t="s">
        <v>325</v>
      </c>
      <c r="C94" s="122" t="e">
        <f>+VLOOKUP(D86,'BDD-Modèles'!$BK$3:$BP$2000,6,FALSE)</f>
        <v>#N/A</v>
      </c>
      <c r="D94" s="101" t="s">
        <v>324</v>
      </c>
      <c r="E94" s="101" t="str">
        <f>IF(ISNA(C94),"KO",C94)</f>
        <v>KO</v>
      </c>
      <c r="F94" s="101"/>
      <c r="G94" s="101"/>
    </row>
    <row r="95" spans="1:7" hidden="1" x14ac:dyDescent="0.25">
      <c r="C95" s="95"/>
      <c r="D95" s="360"/>
    </row>
    <row r="96" spans="1:7" hidden="1" x14ac:dyDescent="0.25">
      <c r="B96" s="128" t="s">
        <v>414</v>
      </c>
      <c r="C96" s="123"/>
      <c r="D96" s="121"/>
    </row>
    <row r="97" spans="1:7" hidden="1" x14ac:dyDescent="0.25">
      <c r="B97" s="129" t="s">
        <v>323</v>
      </c>
      <c r="C97" s="122" t="e">
        <f>+IF(E93="KO",C89,C93)</f>
        <v>#N/A</v>
      </c>
      <c r="D97" s="101" t="s">
        <v>324</v>
      </c>
    </row>
    <row r="98" spans="1:7" ht="30" hidden="1" x14ac:dyDescent="0.25">
      <c r="B98" s="129" t="s">
        <v>325</v>
      </c>
      <c r="C98" s="122" t="e">
        <f>+IF(E94="KO",C90,C94)</f>
        <v>#N/A</v>
      </c>
      <c r="D98" s="101" t="s">
        <v>324</v>
      </c>
    </row>
    <row r="99" spans="1:7" hidden="1" x14ac:dyDescent="0.25">
      <c r="D99" s="360"/>
    </row>
    <row r="100" spans="1:7" ht="30" hidden="1" x14ac:dyDescent="0.25">
      <c r="B100" s="132" t="s">
        <v>404</v>
      </c>
      <c r="C100" s="295"/>
      <c r="D100" s="121"/>
    </row>
    <row r="101" spans="1:7" ht="45" hidden="1" x14ac:dyDescent="0.25">
      <c r="B101" s="133" t="s">
        <v>405</v>
      </c>
      <c r="C101" s="296" t="e">
        <f>+C97-$D$4</f>
        <v>#N/A</v>
      </c>
      <c r="D101" s="134" t="s">
        <v>324</v>
      </c>
    </row>
    <row r="102" spans="1:7" hidden="1" x14ac:dyDescent="0.25">
      <c r="B102" s="133" t="s">
        <v>406</v>
      </c>
      <c r="C102" s="296" t="e">
        <f>+C98-$E$4</f>
        <v>#N/A</v>
      </c>
      <c r="D102" s="134" t="s">
        <v>324</v>
      </c>
    </row>
    <row r="103" spans="1:7" hidden="1" x14ac:dyDescent="0.25">
      <c r="D103" s="360"/>
    </row>
    <row r="104" spans="1:7" hidden="1" x14ac:dyDescent="0.25">
      <c r="D104" s="360"/>
    </row>
    <row r="105" spans="1:7" hidden="1" x14ac:dyDescent="0.25">
      <c r="D105" s="360"/>
    </row>
    <row r="106" spans="1:7" hidden="1" x14ac:dyDescent="0.25">
      <c r="D106" s="360"/>
    </row>
    <row r="107" spans="1:7" hidden="1" x14ac:dyDescent="0.25">
      <c r="D107" s="360"/>
    </row>
    <row r="108" spans="1:7" hidden="1" x14ac:dyDescent="0.25">
      <c r="D108" s="360"/>
    </row>
    <row r="109" spans="1:7" hidden="1" x14ac:dyDescent="0.25">
      <c r="D109" s="360"/>
    </row>
    <row r="110" spans="1:7" hidden="1" x14ac:dyDescent="0.25">
      <c r="D110" s="360"/>
    </row>
    <row r="111" spans="1:7" ht="30" x14ac:dyDescent="0.25">
      <c r="B111" s="126" t="s">
        <v>410</v>
      </c>
      <c r="C111" s="79" t="s">
        <v>321</v>
      </c>
      <c r="D111" s="79" t="s">
        <v>322</v>
      </c>
      <c r="E111" s="79" t="s">
        <v>412</v>
      </c>
      <c r="F111" s="79" t="s">
        <v>1450</v>
      </c>
      <c r="G111" s="79" t="s">
        <v>1451</v>
      </c>
    </row>
    <row r="112" spans="1:7" x14ac:dyDescent="0.25">
      <c r="A112" s="281" t="s">
        <v>200</v>
      </c>
      <c r="B112" s="282"/>
      <c r="C112" s="81">
        <v>30</v>
      </c>
      <c r="D112" s="81" t="str">
        <f>+CONCATENATE(B112,C112,"_")</f>
        <v>30_</v>
      </c>
      <c r="E112" s="82" t="e">
        <f>+MIN(C127:C128)</f>
        <v>#N/A</v>
      </c>
      <c r="F112" s="82">
        <f>+IF(ISNA(F119),F115,F119)</f>
        <v>0</v>
      </c>
      <c r="G112" s="82">
        <f>+IF(ISNA(G119),G115,G119)</f>
        <v>0</v>
      </c>
    </row>
    <row r="113" spans="2:7" x14ac:dyDescent="0.25">
      <c r="D113"/>
    </row>
    <row r="114" spans="2:7" hidden="1" x14ac:dyDescent="0.25">
      <c r="B114" s="128" t="s">
        <v>415</v>
      </c>
      <c r="C114" s="294"/>
      <c r="D114" s="121"/>
      <c r="E114" s="121"/>
      <c r="F114" s="121" t="s">
        <v>1450</v>
      </c>
      <c r="G114" s="121" t="s">
        <v>1451</v>
      </c>
    </row>
    <row r="115" spans="2:7" hidden="1" x14ac:dyDescent="0.25">
      <c r="B115" s="129" t="s">
        <v>323</v>
      </c>
      <c r="C115" s="122" t="e">
        <f>+VLOOKUP(D112,'BDD-Guides'!$AA$3:$AE$708,3,FALSE)</f>
        <v>#N/A</v>
      </c>
      <c r="D115" s="101" t="s">
        <v>324</v>
      </c>
      <c r="E115" s="101"/>
      <c r="F115" s="101">
        <v>0</v>
      </c>
      <c r="G115" s="101">
        <v>0</v>
      </c>
    </row>
    <row r="116" spans="2:7" ht="30" hidden="1" x14ac:dyDescent="0.25">
      <c r="B116" s="129" t="s">
        <v>325</v>
      </c>
      <c r="C116" s="122" t="e">
        <f>VLOOKUP(D112,'BDD-Guides'!$AA$3:$AE$708,5,FALSE)</f>
        <v>#N/A</v>
      </c>
      <c r="D116" s="101" t="s">
        <v>324</v>
      </c>
      <c r="E116" s="101"/>
      <c r="F116" s="101"/>
      <c r="G116" s="101"/>
    </row>
    <row r="117" spans="2:7" hidden="1" x14ac:dyDescent="0.25">
      <c r="C117" s="95"/>
      <c r="D117" s="379"/>
    </row>
    <row r="118" spans="2:7" hidden="1" x14ac:dyDescent="0.25">
      <c r="B118" s="128" t="s">
        <v>413</v>
      </c>
      <c r="C118" s="123"/>
      <c r="D118" s="121"/>
      <c r="E118" s="121" t="s">
        <v>411</v>
      </c>
      <c r="F118" s="121" t="s">
        <v>1450</v>
      </c>
      <c r="G118" s="121" t="s">
        <v>1451</v>
      </c>
    </row>
    <row r="119" spans="2:7" hidden="1" x14ac:dyDescent="0.25">
      <c r="B119" s="129" t="s">
        <v>323</v>
      </c>
      <c r="C119" s="122" t="e">
        <f>+VLOOKUP(D112,'BDD-Modèles'!$BK$3:$BP$2000,4,FALSE)</f>
        <v>#N/A</v>
      </c>
      <c r="D119" s="101" t="s">
        <v>324</v>
      </c>
      <c r="E119" s="101" t="str">
        <f>IF(ISNA(C119),"KO",C119)</f>
        <v>KO</v>
      </c>
      <c r="F119" s="101" t="e">
        <f>+VLOOKUP(D112,'BDD-Modèles'!$BK$3:$BZ$1454,16,FALSE)</f>
        <v>#N/A</v>
      </c>
      <c r="G119" s="101" t="e">
        <f>+VLOOKUP(D112,'BDD-Modèles'!$BK$2:$CO$1454,31,FALSE)</f>
        <v>#N/A</v>
      </c>
    </row>
    <row r="120" spans="2:7" ht="30" hidden="1" x14ac:dyDescent="0.25">
      <c r="B120" s="129" t="s">
        <v>325</v>
      </c>
      <c r="C120" s="122" t="e">
        <f>+VLOOKUP(D112,'BDD-Modèles'!$BK$3:$BP$2000,6,FALSE)</f>
        <v>#N/A</v>
      </c>
      <c r="D120" s="101" t="s">
        <v>324</v>
      </c>
      <c r="E120" s="101" t="str">
        <f>IF(ISNA(C120),"KO",C120)</f>
        <v>KO</v>
      </c>
      <c r="F120" s="101"/>
      <c r="G120" s="101"/>
    </row>
    <row r="121" spans="2:7" hidden="1" x14ac:dyDescent="0.25">
      <c r="C121" s="95"/>
      <c r="D121" s="379"/>
    </row>
    <row r="122" spans="2:7" hidden="1" x14ac:dyDescent="0.25">
      <c r="B122" s="128" t="s">
        <v>414</v>
      </c>
      <c r="C122" s="123"/>
      <c r="D122" s="121"/>
    </row>
    <row r="123" spans="2:7" hidden="1" x14ac:dyDescent="0.25">
      <c r="B123" s="129" t="s">
        <v>323</v>
      </c>
      <c r="C123" s="122" t="e">
        <f>+IF(E119="KO",C115,C119)</f>
        <v>#N/A</v>
      </c>
      <c r="D123" s="101" t="s">
        <v>324</v>
      </c>
    </row>
    <row r="124" spans="2:7" ht="30" hidden="1" x14ac:dyDescent="0.25">
      <c r="B124" s="129" t="s">
        <v>325</v>
      </c>
      <c r="C124" s="122" t="e">
        <f>+IF(E120="KO",C116,C120)</f>
        <v>#N/A</v>
      </c>
      <c r="D124" s="101" t="s">
        <v>324</v>
      </c>
    </row>
    <row r="125" spans="2:7" hidden="1" x14ac:dyDescent="0.25">
      <c r="D125" s="379"/>
    </row>
    <row r="126" spans="2:7" ht="30" hidden="1" x14ac:dyDescent="0.25">
      <c r="B126" s="132" t="s">
        <v>404</v>
      </c>
      <c r="C126" s="295"/>
      <c r="D126" s="121"/>
    </row>
    <row r="127" spans="2:7" ht="45" hidden="1" x14ac:dyDescent="0.25">
      <c r="B127" s="133" t="s">
        <v>405</v>
      </c>
      <c r="C127" s="296" t="e">
        <f>+C123-$D$4</f>
        <v>#N/A</v>
      </c>
      <c r="D127" s="134" t="s">
        <v>324</v>
      </c>
    </row>
    <row r="128" spans="2:7" hidden="1" x14ac:dyDescent="0.25">
      <c r="B128" s="133" t="s">
        <v>406</v>
      </c>
      <c r="C128" s="296" t="e">
        <f>+C124-$E$4</f>
        <v>#N/A</v>
      </c>
      <c r="D128" s="134" t="s">
        <v>324</v>
      </c>
    </row>
    <row r="129" spans="2:8" x14ac:dyDescent="0.25">
      <c r="D129" s="379"/>
    </row>
    <row r="130" spans="2:8" hidden="1" x14ac:dyDescent="0.25">
      <c r="D130" s="379"/>
    </row>
    <row r="131" spans="2:8" hidden="1" x14ac:dyDescent="0.25">
      <c r="D131" s="379"/>
    </row>
    <row r="132" spans="2:8" hidden="1" x14ac:dyDescent="0.25">
      <c r="D132" s="379"/>
    </row>
    <row r="133" spans="2:8" hidden="1" x14ac:dyDescent="0.25">
      <c r="D133" s="379"/>
    </row>
    <row r="134" spans="2:8" hidden="1" x14ac:dyDescent="0.25">
      <c r="D134" s="379"/>
    </row>
    <row r="135" spans="2:8" hidden="1" x14ac:dyDescent="0.25">
      <c r="D135" s="379"/>
    </row>
    <row r="136" spans="2:8" hidden="1" x14ac:dyDescent="0.25">
      <c r="D136" s="379"/>
    </row>
    <row r="137" spans="2:8" hidden="1" x14ac:dyDescent="0.25">
      <c r="D137" s="379"/>
    </row>
    <row r="138" spans="2:8" hidden="1" x14ac:dyDescent="0.25">
      <c r="D138" s="379"/>
    </row>
    <row r="139" spans="2:8" hidden="1" x14ac:dyDescent="0.25">
      <c r="D139" s="379"/>
    </row>
    <row r="140" spans="2:8" hidden="1" x14ac:dyDescent="0.25">
      <c r="D140" s="379"/>
    </row>
    <row r="141" spans="2:8" hidden="1" x14ac:dyDescent="0.25">
      <c r="D141" s="379"/>
    </row>
    <row r="143" spans="2:8" ht="23.25" x14ac:dyDescent="0.35">
      <c r="B143" s="283" t="s">
        <v>1443</v>
      </c>
    </row>
    <row r="144" spans="2:8" x14ac:dyDescent="0.25">
      <c r="F144" s="376"/>
      <c r="G144" s="376"/>
      <c r="H144" s="376"/>
    </row>
    <row r="145" spans="1:8" x14ac:dyDescent="0.25">
      <c r="B145" s="79" t="s">
        <v>200</v>
      </c>
      <c r="C145" s="79" t="s">
        <v>321</v>
      </c>
      <c r="D145" s="375" t="s">
        <v>322</v>
      </c>
      <c r="E145" s="79" t="s">
        <v>412</v>
      </c>
      <c r="F145" s="317"/>
      <c r="G145" s="317"/>
      <c r="H145" s="376"/>
    </row>
    <row r="146" spans="1:8" x14ac:dyDescent="0.25">
      <c r="A146" s="281" t="s">
        <v>200</v>
      </c>
      <c r="B146" s="278"/>
      <c r="C146" s="81" t="s">
        <v>1408</v>
      </c>
      <c r="D146" s="378" t="str">
        <f>+CONCATENATE(B146,C146)</f>
        <v>30ap</v>
      </c>
      <c r="E146" s="119" t="e">
        <f>+VLOOKUP(D146,'Autre source1'!S7:$T$25,2,FALSE)</f>
        <v>#N/A</v>
      </c>
      <c r="F146" s="377"/>
      <c r="G146" s="377"/>
      <c r="H146" s="376"/>
    </row>
    <row r="147" spans="1:8" x14ac:dyDescent="0.25">
      <c r="A147" s="281"/>
      <c r="F147" s="376"/>
      <c r="G147" s="376"/>
      <c r="H147" s="376"/>
    </row>
    <row r="148" spans="1:8" x14ac:dyDescent="0.25">
      <c r="A148" s="281"/>
      <c r="B148" s="79" t="s">
        <v>200</v>
      </c>
      <c r="C148" s="79" t="s">
        <v>321</v>
      </c>
      <c r="D148" s="375" t="s">
        <v>322</v>
      </c>
      <c r="E148" s="79" t="s">
        <v>412</v>
      </c>
      <c r="F148" s="317"/>
      <c r="G148" s="317"/>
      <c r="H148" s="376"/>
    </row>
    <row r="149" spans="1:8" x14ac:dyDescent="0.25">
      <c r="A149" s="281" t="s">
        <v>200</v>
      </c>
      <c r="B149" s="278"/>
      <c r="C149" s="81" t="s">
        <v>1408</v>
      </c>
      <c r="D149" s="378" t="str">
        <f>+CONCATENATE(B149,C149)</f>
        <v>30ap</v>
      </c>
      <c r="E149" s="119" t="e">
        <f>+VLOOKUP(D149,'Autres sources2'!S7:$T$25,2,FALSE)</f>
        <v>#N/A</v>
      </c>
      <c r="F149" s="377"/>
      <c r="G149" s="377"/>
      <c r="H149" s="376"/>
    </row>
    <row r="150" spans="1:8" x14ac:dyDescent="0.25">
      <c r="F150" s="376"/>
      <c r="G150" s="376"/>
      <c r="H150" s="376"/>
    </row>
    <row r="151" spans="1:8" x14ac:dyDescent="0.25">
      <c r="A151" s="281"/>
      <c r="B151" s="79" t="s">
        <v>200</v>
      </c>
      <c r="C151" s="79" t="s">
        <v>321</v>
      </c>
      <c r="D151" s="375" t="s">
        <v>322</v>
      </c>
      <c r="E151" s="79" t="s">
        <v>412</v>
      </c>
      <c r="F151" s="317"/>
      <c r="G151" s="317"/>
      <c r="H151" s="376"/>
    </row>
    <row r="152" spans="1:8" x14ac:dyDescent="0.25">
      <c r="A152" s="281" t="s">
        <v>200</v>
      </c>
      <c r="B152" s="278"/>
      <c r="C152" s="81" t="s">
        <v>1408</v>
      </c>
      <c r="D152" s="378" t="str">
        <f>+CONCATENATE(B152,C152)</f>
        <v>30ap</v>
      </c>
      <c r="E152" s="119" t="e">
        <f>+VLOOKUP(D152,'Autres sources3'!S7:$T$25,2,FALSE)</f>
        <v>#N/A</v>
      </c>
      <c r="F152" s="377"/>
      <c r="G152" s="377"/>
      <c r="H152" s="376"/>
    </row>
    <row r="153" spans="1:8" x14ac:dyDescent="0.25">
      <c r="F153" s="376"/>
      <c r="G153" s="376"/>
      <c r="H153" s="376"/>
    </row>
    <row r="154" spans="1:8" x14ac:dyDescent="0.25">
      <c r="A154" s="281"/>
      <c r="B154" s="79" t="s">
        <v>200</v>
      </c>
      <c r="C154" s="79" t="s">
        <v>321</v>
      </c>
      <c r="D154" s="375" t="s">
        <v>322</v>
      </c>
      <c r="E154" s="79" t="s">
        <v>412</v>
      </c>
      <c r="F154" s="317"/>
      <c r="G154" s="317"/>
      <c r="H154" s="376"/>
    </row>
    <row r="155" spans="1:8" x14ac:dyDescent="0.25">
      <c r="A155" s="281" t="s">
        <v>200</v>
      </c>
      <c r="B155" s="278"/>
      <c r="C155" s="81" t="s">
        <v>1408</v>
      </c>
      <c r="D155" s="378" t="str">
        <f>+CONCATENATE(B155,C155)</f>
        <v>30ap</v>
      </c>
      <c r="E155" s="119" t="e">
        <f>+VLOOKUP(D155,'Autres sources4'!S7:$T$25,2,FALSE)</f>
        <v>#N/A</v>
      </c>
      <c r="F155" s="377"/>
      <c r="G155" s="377"/>
      <c r="H155" s="376"/>
    </row>
    <row r="156" spans="1:8" x14ac:dyDescent="0.25">
      <c r="F156" s="376"/>
      <c r="G156" s="376"/>
      <c r="H156" s="376"/>
    </row>
    <row r="157" spans="1:8" x14ac:dyDescent="0.25">
      <c r="A157" s="281"/>
      <c r="B157" s="79" t="s">
        <v>200</v>
      </c>
      <c r="C157" s="79" t="s">
        <v>321</v>
      </c>
      <c r="D157" s="375" t="s">
        <v>322</v>
      </c>
      <c r="E157" s="79" t="s">
        <v>412</v>
      </c>
      <c r="F157" s="317"/>
      <c r="G157" s="317"/>
      <c r="H157" s="376"/>
    </row>
    <row r="158" spans="1:8" x14ac:dyDescent="0.25">
      <c r="A158" s="281" t="s">
        <v>200</v>
      </c>
      <c r="B158" s="278"/>
      <c r="C158" s="81" t="s">
        <v>1408</v>
      </c>
      <c r="D158" s="378" t="str">
        <f>+CONCATENATE(B158,C158)</f>
        <v>30ap</v>
      </c>
      <c r="E158" s="119" t="e">
        <f>+VLOOKUP(D158,'Autres sources5'!S7:$T$25,2,FALSE)</f>
        <v>#N/A</v>
      </c>
      <c r="F158" s="377"/>
      <c r="G158" s="377"/>
      <c r="H158" s="376"/>
    </row>
    <row r="159" spans="1:8" x14ac:dyDescent="0.25">
      <c r="D159" s="360"/>
      <c r="F159" s="376"/>
      <c r="G159" s="376"/>
      <c r="H159" s="376"/>
    </row>
    <row r="160" spans="1:8" x14ac:dyDescent="0.25">
      <c r="A160" s="281"/>
      <c r="B160" s="79" t="s">
        <v>200</v>
      </c>
      <c r="C160" s="79" t="s">
        <v>321</v>
      </c>
      <c r="D160" s="375" t="s">
        <v>322</v>
      </c>
      <c r="E160" s="79" t="s">
        <v>412</v>
      </c>
      <c r="F160" s="317"/>
      <c r="G160" s="317"/>
      <c r="H160" s="376"/>
    </row>
    <row r="161" spans="1:8" x14ac:dyDescent="0.25">
      <c r="A161" s="281" t="s">
        <v>200</v>
      </c>
      <c r="B161" s="278"/>
      <c r="C161" s="81" t="s">
        <v>1408</v>
      </c>
      <c r="D161" s="378" t="str">
        <f>+CONCATENATE(B161,C161)</f>
        <v>30ap</v>
      </c>
      <c r="E161" s="119" t="e">
        <f>+VLOOKUP(D161,'Autres sources6'!S7:$T$25,2,FALSE)</f>
        <v>#N/A</v>
      </c>
      <c r="F161" s="377"/>
      <c r="G161" s="377"/>
      <c r="H161" s="376"/>
    </row>
    <row r="162" spans="1:8" x14ac:dyDescent="0.25">
      <c r="D162" s="361"/>
      <c r="F162" s="376"/>
      <c r="G162" s="376"/>
      <c r="H162" s="376"/>
    </row>
    <row r="163" spans="1:8" x14ac:dyDescent="0.25">
      <c r="A163" s="281"/>
      <c r="B163" s="79" t="s">
        <v>200</v>
      </c>
      <c r="C163" s="79" t="s">
        <v>321</v>
      </c>
      <c r="D163" s="375" t="s">
        <v>322</v>
      </c>
      <c r="E163" s="79" t="s">
        <v>412</v>
      </c>
      <c r="F163" s="317"/>
      <c r="G163" s="317"/>
      <c r="H163" s="376"/>
    </row>
    <row r="164" spans="1:8" x14ac:dyDescent="0.25">
      <c r="A164" s="281" t="s">
        <v>200</v>
      </c>
      <c r="B164" s="278"/>
      <c r="C164" s="81" t="s">
        <v>1408</v>
      </c>
      <c r="D164" s="378" t="str">
        <f>+CONCATENATE(B164,C164)</f>
        <v>30ap</v>
      </c>
      <c r="E164" s="119" t="e">
        <f>+VLOOKUP(D164,'Autres sources7'!S7:$T$25,2,FALSE)</f>
        <v>#N/A</v>
      </c>
      <c r="F164" s="377"/>
      <c r="G164" s="377"/>
      <c r="H164" s="376"/>
    </row>
    <row r="165" spans="1:8" x14ac:dyDescent="0.25">
      <c r="D165" s="361"/>
      <c r="F165" s="376"/>
      <c r="G165" s="376"/>
      <c r="H165" s="376"/>
    </row>
    <row r="166" spans="1:8" x14ac:dyDescent="0.25">
      <c r="A166" s="281"/>
      <c r="B166" s="79" t="s">
        <v>200</v>
      </c>
      <c r="C166" s="79" t="s">
        <v>321</v>
      </c>
      <c r="D166" s="375" t="s">
        <v>322</v>
      </c>
      <c r="E166" s="79" t="s">
        <v>412</v>
      </c>
      <c r="F166" s="317"/>
      <c r="G166" s="317"/>
      <c r="H166" s="376"/>
    </row>
    <row r="167" spans="1:8" x14ac:dyDescent="0.25">
      <c r="A167" s="281" t="s">
        <v>200</v>
      </c>
      <c r="B167" s="278"/>
      <c r="C167" s="81" t="s">
        <v>1408</v>
      </c>
      <c r="D167" s="378" t="str">
        <f>+CONCATENATE(B167,C167)</f>
        <v>30ap</v>
      </c>
      <c r="E167" s="119" t="e">
        <f>+VLOOKUP(D167,'Autres sources8'!S7:$T$25,2,FALSE)</f>
        <v>#N/A</v>
      </c>
      <c r="F167" s="377"/>
      <c r="G167" s="377"/>
      <c r="H167" s="376"/>
    </row>
    <row r="168" spans="1:8" x14ac:dyDescent="0.25">
      <c r="D168" s="361"/>
      <c r="F168" s="376"/>
      <c r="G168" s="376"/>
      <c r="H168" s="376"/>
    </row>
    <row r="169" spans="1:8" x14ac:dyDescent="0.25">
      <c r="A169" s="281"/>
      <c r="B169" s="79" t="s">
        <v>200</v>
      </c>
      <c r="C169" s="79" t="s">
        <v>321</v>
      </c>
      <c r="D169" s="375" t="s">
        <v>322</v>
      </c>
      <c r="E169" s="79" t="s">
        <v>412</v>
      </c>
      <c r="F169" s="317"/>
      <c r="G169" s="317"/>
      <c r="H169" s="376"/>
    </row>
    <row r="170" spans="1:8" x14ac:dyDescent="0.25">
      <c r="A170" s="281" t="s">
        <v>200</v>
      </c>
      <c r="B170" s="278"/>
      <c r="C170" s="81" t="s">
        <v>1408</v>
      </c>
      <c r="D170" s="378" t="str">
        <f>+CONCATENATE(B170,C170)</f>
        <v>30ap</v>
      </c>
      <c r="E170" s="119" t="e">
        <f>+VLOOKUP(D170,'Autres sources9'!S7:$T$25,2,FALSE)</f>
        <v>#N/A</v>
      </c>
      <c r="F170" s="377"/>
      <c r="G170" s="377"/>
      <c r="H170" s="376"/>
    </row>
    <row r="171" spans="1:8" x14ac:dyDescent="0.25">
      <c r="D171" s="361"/>
      <c r="E171" s="378"/>
      <c r="F171" s="376"/>
      <c r="G171" s="376"/>
      <c r="H171" s="376"/>
    </row>
    <row r="172" spans="1:8" x14ac:dyDescent="0.25">
      <c r="A172" s="281"/>
      <c r="B172" s="79" t="s">
        <v>200</v>
      </c>
      <c r="C172" s="79" t="s">
        <v>321</v>
      </c>
      <c r="D172" s="375" t="s">
        <v>322</v>
      </c>
      <c r="E172" s="79" t="s">
        <v>412</v>
      </c>
      <c r="F172" s="317"/>
      <c r="G172" s="317"/>
      <c r="H172" s="376"/>
    </row>
    <row r="173" spans="1:8" x14ac:dyDescent="0.25">
      <c r="A173" s="281" t="s">
        <v>200</v>
      </c>
      <c r="B173" s="278"/>
      <c r="C173" s="81" t="s">
        <v>1408</v>
      </c>
      <c r="D173" s="100" t="str">
        <f>+CONCATENATE(B173,C173)</f>
        <v>30ap</v>
      </c>
      <c r="E173" s="119" t="e">
        <f>+VLOOKUP(D173,'Autres sources10'!S7:$T$25,2,FALSE)</f>
        <v>#N/A</v>
      </c>
      <c r="F173" s="377"/>
      <c r="G173" s="377"/>
      <c r="H173" s="376"/>
    </row>
    <row r="174" spans="1:8" x14ac:dyDescent="0.25">
      <c r="A174" s="111"/>
      <c r="B174" s="372"/>
      <c r="C174" s="373"/>
      <c r="D174" s="374"/>
      <c r="E174" s="111"/>
      <c r="F174" s="376"/>
      <c r="G174" s="376"/>
      <c r="H174" s="376"/>
    </row>
    <row r="175" spans="1:8" x14ac:dyDescent="0.25">
      <c r="A175" s="281"/>
      <c r="B175" s="79" t="s">
        <v>200</v>
      </c>
      <c r="C175" s="79" t="s">
        <v>321</v>
      </c>
      <c r="D175" s="375" t="s">
        <v>322</v>
      </c>
      <c r="E175" s="79" t="s">
        <v>412</v>
      </c>
      <c r="F175" s="317"/>
      <c r="G175" s="317"/>
      <c r="H175" s="376"/>
    </row>
    <row r="176" spans="1:8" x14ac:dyDescent="0.25">
      <c r="A176" s="281" t="s">
        <v>200</v>
      </c>
      <c r="B176" s="278"/>
      <c r="C176" s="81" t="s">
        <v>1408</v>
      </c>
      <c r="D176" s="378" t="str">
        <f>+CONCATENATE(B176,C176)</f>
        <v>30ap</v>
      </c>
      <c r="E176" s="119" t="e">
        <f>+VLOOKUP(D176,'Autres sources11'!S7:$T$25,2,FALSE)</f>
        <v>#N/A</v>
      </c>
      <c r="F176" s="377"/>
      <c r="G176" s="377"/>
      <c r="H176" s="376"/>
    </row>
    <row r="177" spans="1:8" x14ac:dyDescent="0.25">
      <c r="A177" s="111"/>
      <c r="B177" s="372"/>
      <c r="C177" s="373"/>
      <c r="D177" s="374"/>
      <c r="E177" s="111"/>
      <c r="F177" s="376"/>
      <c r="G177" s="376"/>
      <c r="H177" s="376"/>
    </row>
    <row r="178" spans="1:8" x14ac:dyDescent="0.25">
      <c r="A178" s="281"/>
      <c r="B178" s="79" t="s">
        <v>200</v>
      </c>
      <c r="C178" s="79" t="s">
        <v>321</v>
      </c>
      <c r="D178" s="375" t="s">
        <v>322</v>
      </c>
      <c r="E178" s="79" t="s">
        <v>412</v>
      </c>
      <c r="F178" s="317"/>
      <c r="G178" s="317"/>
      <c r="H178" s="376"/>
    </row>
    <row r="179" spans="1:8" x14ac:dyDescent="0.25">
      <c r="A179" s="281" t="s">
        <v>200</v>
      </c>
      <c r="B179" s="278"/>
      <c r="C179" s="81" t="s">
        <v>1408</v>
      </c>
      <c r="D179" s="378" t="str">
        <f>+CONCATENATE(B179,C179)</f>
        <v>30ap</v>
      </c>
      <c r="E179" s="119" t="e">
        <f>+VLOOKUP(D179,'Autres sources12'!S7:$T$25,2,FALSE)</f>
        <v>#N/A</v>
      </c>
      <c r="F179" s="377"/>
      <c r="G179" s="377"/>
      <c r="H179" s="376"/>
    </row>
    <row r="180" spans="1:8" x14ac:dyDescent="0.25">
      <c r="A180" s="111"/>
      <c r="B180" s="372"/>
      <c r="C180" s="373"/>
      <c r="D180" s="374"/>
      <c r="E180" s="111"/>
      <c r="F180" s="111"/>
      <c r="G180" s="111"/>
      <c r="H180" s="111"/>
    </row>
    <row r="181" spans="1:8" x14ac:dyDescent="0.25">
      <c r="A181" s="111"/>
      <c r="B181" s="372"/>
      <c r="C181" s="373"/>
      <c r="D181" s="374"/>
      <c r="E181" s="111"/>
      <c r="F181" s="111"/>
      <c r="G181" s="111"/>
      <c r="H181" s="111"/>
    </row>
    <row r="182" spans="1:8" ht="23.25" x14ac:dyDescent="0.35">
      <c r="B182" s="283" t="s">
        <v>1442</v>
      </c>
    </row>
    <row r="184" spans="1:8" ht="30" x14ac:dyDescent="0.25">
      <c r="B184" s="284" t="s">
        <v>1423</v>
      </c>
      <c r="C184" s="284" t="s">
        <v>1529</v>
      </c>
      <c r="D184" s="284" t="s">
        <v>1424</v>
      </c>
    </row>
    <row r="185" spans="1:8" ht="30" x14ac:dyDescent="0.25">
      <c r="B185" s="285" t="s">
        <v>1425</v>
      </c>
      <c r="C185" s="291" t="s">
        <v>1435</v>
      </c>
      <c r="D185" s="286">
        <f>+IF(C185="non",-20%,0%)</f>
        <v>0</v>
      </c>
    </row>
    <row r="186" spans="1:8" ht="30" x14ac:dyDescent="0.25">
      <c r="B186" s="285" t="s">
        <v>1530</v>
      </c>
      <c r="C186" s="291" t="s">
        <v>1435</v>
      </c>
      <c r="D186" s="286">
        <f>+IF(C186="non",-10%,0%)</f>
        <v>0</v>
      </c>
    </row>
    <row r="187" spans="1:8" ht="45" x14ac:dyDescent="0.25">
      <c r="B187" s="285" t="s">
        <v>1428</v>
      </c>
      <c r="C187" s="284"/>
      <c r="D187" s="286" t="s">
        <v>1429</v>
      </c>
    </row>
    <row r="188" spans="1:8" x14ac:dyDescent="0.25">
      <c r="B188" s="287" t="s">
        <v>1430</v>
      </c>
      <c r="C188" s="291" t="s">
        <v>1441</v>
      </c>
      <c r="D188" s="286">
        <f>IF(C188="Fort ou très fort",-15%,IF(C188="Moyen",-10%,IF(OR(C188="Très faible ou faible",C188="Classement non clair par commune"),-5%,0%)))</f>
        <v>0</v>
      </c>
    </row>
    <row r="189" spans="1:8" ht="30" x14ac:dyDescent="0.25">
      <c r="B189" s="285" t="s">
        <v>1431</v>
      </c>
      <c r="C189" s="284" t="s">
        <v>1432</v>
      </c>
      <c r="D189" s="292">
        <v>-0.1</v>
      </c>
    </row>
    <row r="190" spans="1:8" ht="30" x14ac:dyDescent="0.25">
      <c r="B190"/>
      <c r="C190" s="288" t="s">
        <v>1531</v>
      </c>
      <c r="D190" s="293">
        <f>+(1+D185)*(D186+1)*(1+D188)*(1+D189)</f>
        <v>0.9</v>
      </c>
    </row>
    <row r="193" spans="1:12" ht="23.25" x14ac:dyDescent="0.35">
      <c r="B193" s="283" t="s">
        <v>1473</v>
      </c>
    </row>
    <row r="194" spans="1:12" ht="23.25" x14ac:dyDescent="0.35">
      <c r="B194" s="283"/>
      <c r="D194" s="360"/>
    </row>
    <row r="195" spans="1:12" s="385" customFormat="1" ht="47.1" customHeight="1" x14ac:dyDescent="0.25">
      <c r="B195" s="386"/>
      <c r="C195" s="1"/>
      <c r="D195" s="1"/>
      <c r="E195" s="387" t="s">
        <v>1537</v>
      </c>
      <c r="F195" s="395" t="s">
        <v>1536</v>
      </c>
      <c r="G195" s="395"/>
      <c r="H195" s="395"/>
      <c r="I195" s="395"/>
      <c r="J195" s="396" t="s">
        <v>1540</v>
      </c>
      <c r="K195" s="397"/>
      <c r="L195" s="397"/>
    </row>
    <row r="196" spans="1:12" s="112" customFormat="1" ht="60" x14ac:dyDescent="0.25">
      <c r="B196" s="284" t="s">
        <v>1469</v>
      </c>
      <c r="C196" s="284" t="s">
        <v>1470</v>
      </c>
      <c r="D196" s="364" t="s">
        <v>1471</v>
      </c>
      <c r="E196" s="363" t="s">
        <v>1472</v>
      </c>
      <c r="F196" s="359" t="s">
        <v>1532</v>
      </c>
      <c r="G196" s="359" t="s">
        <v>1534</v>
      </c>
      <c r="H196" s="359" t="s">
        <v>1538</v>
      </c>
      <c r="I196" s="359" t="s">
        <v>1535</v>
      </c>
      <c r="J196" s="383" t="s">
        <v>1546</v>
      </c>
      <c r="K196" s="383" t="s">
        <v>1547</v>
      </c>
      <c r="L196" s="383" t="s">
        <v>1548</v>
      </c>
    </row>
    <row r="197" spans="1:12" x14ac:dyDescent="0.25">
      <c r="A197" s="281" t="s">
        <v>133</v>
      </c>
      <c r="B197" s="305">
        <f>+E9+F9+G9</f>
        <v>181.97344347470295</v>
      </c>
      <c r="C197" s="306">
        <f>+B197*$D$190</f>
        <v>163.77609912723267</v>
      </c>
      <c r="D197" s="366">
        <v>6.25</v>
      </c>
      <c r="E197" s="368">
        <f>+C197*D197</f>
        <v>1023.6006195452042</v>
      </c>
      <c r="F197" s="369">
        <f>+D197*B197</f>
        <v>1137.3340217168934</v>
      </c>
      <c r="G197" s="369">
        <f>+E9*$D$197</f>
        <v>1137.3340217168934</v>
      </c>
      <c r="H197" s="369">
        <f>+F9*$D$197</f>
        <v>0</v>
      </c>
      <c r="I197" s="369">
        <f>+G9*$D$197</f>
        <v>0</v>
      </c>
      <c r="J197" s="384">
        <f>+G197*$D$190</f>
        <v>1023.600619545204</v>
      </c>
      <c r="K197" s="384">
        <f>+H197*$D$190</f>
        <v>0</v>
      </c>
      <c r="L197" s="384">
        <f>+I197*$D$190</f>
        <v>0</v>
      </c>
    </row>
    <row r="198" spans="1:12" x14ac:dyDescent="0.25">
      <c r="A198" s="355"/>
      <c r="B198" s="356"/>
      <c r="C198" s="357"/>
      <c r="D198" s="367" t="s">
        <v>1513</v>
      </c>
      <c r="E198" s="370">
        <f t="shared" ref="E198:L198" si="0">+SUM(E197:E197)</f>
        <v>1023.6006195452042</v>
      </c>
      <c r="F198" s="370">
        <f t="shared" si="0"/>
        <v>1137.3340217168934</v>
      </c>
      <c r="G198" s="370">
        <f t="shared" si="0"/>
        <v>1137.3340217168934</v>
      </c>
      <c r="H198" s="370">
        <f t="shared" si="0"/>
        <v>0</v>
      </c>
      <c r="I198" s="370">
        <f t="shared" si="0"/>
        <v>0</v>
      </c>
      <c r="J198" s="370">
        <f t="shared" si="0"/>
        <v>1023.600619545204</v>
      </c>
      <c r="K198" s="370">
        <f t="shared" si="0"/>
        <v>0</v>
      </c>
      <c r="L198" s="370">
        <f t="shared" si="0"/>
        <v>0</v>
      </c>
    </row>
    <row r="199" spans="1:12" x14ac:dyDescent="0.25">
      <c r="D199" s="365" t="s">
        <v>1514</v>
      </c>
      <c r="E199" s="368">
        <f>+SUM(E197:E197)/SUM(D197:D197)</f>
        <v>163.77609912723267</v>
      </c>
      <c r="F199" s="371"/>
      <c r="G199" s="371"/>
      <c r="H199" s="371"/>
      <c r="I199" s="371"/>
    </row>
    <row r="204" spans="1:12" x14ac:dyDescent="0.25">
      <c r="E204" s="362"/>
    </row>
    <row r="205" spans="1:12" x14ac:dyDescent="0.25">
      <c r="E205" s="362"/>
    </row>
  </sheetData>
  <mergeCells count="4">
    <mergeCell ref="B3:C3"/>
    <mergeCell ref="B4:C4"/>
    <mergeCell ref="F195:I195"/>
    <mergeCell ref="J195:L195"/>
  </mergeCells>
  <phoneticPr fontId="21" type="noConversion"/>
  <conditionalFormatting sqref="D8">
    <cfRule type="duplicateValues" dxfId="108" priority="230"/>
  </conditionalFormatting>
  <conditionalFormatting sqref="B3 D3">
    <cfRule type="duplicateValues" dxfId="107" priority="223"/>
  </conditionalFormatting>
  <conditionalFormatting sqref="E3">
    <cfRule type="duplicateValues" dxfId="106" priority="222"/>
  </conditionalFormatting>
  <conditionalFormatting sqref="B8:C8">
    <cfRule type="duplicateValues" dxfId="105" priority="232"/>
  </conditionalFormatting>
  <conditionalFormatting sqref="E8">
    <cfRule type="duplicateValues" dxfId="104" priority="207"/>
  </conditionalFormatting>
  <conditionalFormatting sqref="D145">
    <cfRule type="duplicateValues" dxfId="103" priority="193"/>
  </conditionalFormatting>
  <conditionalFormatting sqref="E145">
    <cfRule type="duplicateValues" dxfId="102" priority="192"/>
  </conditionalFormatting>
  <conditionalFormatting sqref="C145">
    <cfRule type="duplicateValues" dxfId="101" priority="191"/>
  </conditionalFormatting>
  <conditionalFormatting sqref="B145">
    <cfRule type="duplicateValues" dxfId="100" priority="233"/>
  </conditionalFormatting>
  <conditionalFormatting sqref="D148">
    <cfRule type="duplicateValues" dxfId="99" priority="180"/>
  </conditionalFormatting>
  <conditionalFormatting sqref="E148">
    <cfRule type="duplicateValues" dxfId="98" priority="179"/>
  </conditionalFormatting>
  <conditionalFormatting sqref="C148">
    <cfRule type="duplicateValues" dxfId="97" priority="178"/>
  </conditionalFormatting>
  <conditionalFormatting sqref="B148">
    <cfRule type="duplicateValues" dxfId="96" priority="181"/>
  </conditionalFormatting>
  <conditionalFormatting sqref="D151">
    <cfRule type="duplicateValues" dxfId="95" priority="176"/>
  </conditionalFormatting>
  <conditionalFormatting sqref="E151">
    <cfRule type="duplicateValues" dxfId="94" priority="175"/>
  </conditionalFormatting>
  <conditionalFormatting sqref="C151">
    <cfRule type="duplicateValues" dxfId="93" priority="174"/>
  </conditionalFormatting>
  <conditionalFormatting sqref="B151">
    <cfRule type="duplicateValues" dxfId="92" priority="177"/>
  </conditionalFormatting>
  <conditionalFormatting sqref="F3">
    <cfRule type="duplicateValues" dxfId="91" priority="173"/>
  </conditionalFormatting>
  <conditionalFormatting sqref="F8">
    <cfRule type="duplicateValues" dxfId="90" priority="172"/>
  </conditionalFormatting>
  <conditionalFormatting sqref="F145">
    <cfRule type="duplicateValues" dxfId="89" priority="171"/>
  </conditionalFormatting>
  <conditionalFormatting sqref="F148">
    <cfRule type="duplicateValues" dxfId="88" priority="167"/>
  </conditionalFormatting>
  <conditionalFormatting sqref="F151">
    <cfRule type="duplicateValues" dxfId="87" priority="166"/>
  </conditionalFormatting>
  <conditionalFormatting sqref="G3">
    <cfRule type="duplicateValues" dxfId="86" priority="147"/>
  </conditionalFormatting>
  <conditionalFormatting sqref="G8">
    <cfRule type="duplicateValues" dxfId="85" priority="146"/>
  </conditionalFormatting>
  <conditionalFormatting sqref="G145">
    <cfRule type="duplicateValues" dxfId="84" priority="145"/>
  </conditionalFormatting>
  <conditionalFormatting sqref="G148">
    <cfRule type="duplicateValues" dxfId="83" priority="144"/>
  </conditionalFormatting>
  <conditionalFormatting sqref="G151">
    <cfRule type="duplicateValues" dxfId="82" priority="143"/>
  </conditionalFormatting>
  <conditionalFormatting sqref="D27">
    <cfRule type="duplicateValues" dxfId="81" priority="94"/>
  </conditionalFormatting>
  <conditionalFormatting sqref="B27:C27">
    <cfRule type="duplicateValues" dxfId="80" priority="95"/>
  </conditionalFormatting>
  <conditionalFormatting sqref="E27">
    <cfRule type="duplicateValues" dxfId="79" priority="93"/>
  </conditionalFormatting>
  <conditionalFormatting sqref="F27">
    <cfRule type="duplicateValues" dxfId="78" priority="92"/>
  </conditionalFormatting>
  <conditionalFormatting sqref="G27">
    <cfRule type="duplicateValues" dxfId="77" priority="91"/>
  </conditionalFormatting>
  <conditionalFormatting sqref="D154">
    <cfRule type="duplicateValues" dxfId="76" priority="79"/>
  </conditionalFormatting>
  <conditionalFormatting sqref="E154">
    <cfRule type="duplicateValues" dxfId="75" priority="78"/>
  </conditionalFormatting>
  <conditionalFormatting sqref="C154">
    <cfRule type="duplicateValues" dxfId="74" priority="77"/>
  </conditionalFormatting>
  <conditionalFormatting sqref="B154">
    <cfRule type="duplicateValues" dxfId="73" priority="80"/>
  </conditionalFormatting>
  <conditionalFormatting sqref="F154">
    <cfRule type="duplicateValues" dxfId="72" priority="76"/>
  </conditionalFormatting>
  <conditionalFormatting sqref="G154">
    <cfRule type="duplicateValues" dxfId="71" priority="75"/>
  </conditionalFormatting>
  <conditionalFormatting sqref="D47">
    <cfRule type="duplicateValues" dxfId="70" priority="73"/>
  </conditionalFormatting>
  <conditionalFormatting sqref="B47:C47">
    <cfRule type="duplicateValues" dxfId="69" priority="74"/>
  </conditionalFormatting>
  <conditionalFormatting sqref="E47">
    <cfRule type="duplicateValues" dxfId="68" priority="72"/>
  </conditionalFormatting>
  <conditionalFormatting sqref="F47">
    <cfRule type="duplicateValues" dxfId="67" priority="71"/>
  </conditionalFormatting>
  <conditionalFormatting sqref="G47">
    <cfRule type="duplicateValues" dxfId="66" priority="70"/>
  </conditionalFormatting>
  <conditionalFormatting sqref="D67">
    <cfRule type="duplicateValues" dxfId="65" priority="68"/>
  </conditionalFormatting>
  <conditionalFormatting sqref="B67:C67">
    <cfRule type="duplicateValues" dxfId="64" priority="69"/>
  </conditionalFormatting>
  <conditionalFormatting sqref="E67">
    <cfRule type="duplicateValues" dxfId="63" priority="67"/>
  </conditionalFormatting>
  <conditionalFormatting sqref="F67">
    <cfRule type="duplicateValues" dxfId="62" priority="66"/>
  </conditionalFormatting>
  <conditionalFormatting sqref="G67">
    <cfRule type="duplicateValues" dxfId="61" priority="65"/>
  </conditionalFormatting>
  <conditionalFormatting sqref="D157">
    <cfRule type="duplicateValues" dxfId="60" priority="63"/>
  </conditionalFormatting>
  <conditionalFormatting sqref="E157">
    <cfRule type="duplicateValues" dxfId="59" priority="62"/>
  </conditionalFormatting>
  <conditionalFormatting sqref="C157">
    <cfRule type="duplicateValues" dxfId="58" priority="61"/>
  </conditionalFormatting>
  <conditionalFormatting sqref="B157">
    <cfRule type="duplicateValues" dxfId="57" priority="64"/>
  </conditionalFormatting>
  <conditionalFormatting sqref="F157">
    <cfRule type="duplicateValues" dxfId="56" priority="60"/>
  </conditionalFormatting>
  <conditionalFormatting sqref="G157">
    <cfRule type="duplicateValues" dxfId="55" priority="59"/>
  </conditionalFormatting>
  <conditionalFormatting sqref="D85">
    <cfRule type="duplicateValues" dxfId="54" priority="57"/>
  </conditionalFormatting>
  <conditionalFormatting sqref="B85:C85">
    <cfRule type="duplicateValues" dxfId="53" priority="58"/>
  </conditionalFormatting>
  <conditionalFormatting sqref="E85">
    <cfRule type="duplicateValues" dxfId="52" priority="56"/>
  </conditionalFormatting>
  <conditionalFormatting sqref="F85">
    <cfRule type="duplicateValues" dxfId="51" priority="55"/>
  </conditionalFormatting>
  <conditionalFormatting sqref="G85">
    <cfRule type="duplicateValues" dxfId="50" priority="54"/>
  </conditionalFormatting>
  <conditionalFormatting sqref="D160">
    <cfRule type="duplicateValues" dxfId="49" priority="52"/>
  </conditionalFormatting>
  <conditionalFormatting sqref="E160">
    <cfRule type="duplicateValues" dxfId="48" priority="51"/>
  </conditionalFormatting>
  <conditionalFormatting sqref="C160">
    <cfRule type="duplicateValues" dxfId="47" priority="50"/>
  </conditionalFormatting>
  <conditionalFormatting sqref="B160">
    <cfRule type="duplicateValues" dxfId="46" priority="53"/>
  </conditionalFormatting>
  <conditionalFormatting sqref="F160">
    <cfRule type="duplicateValues" dxfId="45" priority="49"/>
  </conditionalFormatting>
  <conditionalFormatting sqref="G160">
    <cfRule type="duplicateValues" dxfId="44" priority="48"/>
  </conditionalFormatting>
  <conditionalFormatting sqref="D163">
    <cfRule type="duplicateValues" dxfId="43" priority="46"/>
  </conditionalFormatting>
  <conditionalFormatting sqref="E163">
    <cfRule type="duplicateValues" dxfId="42" priority="45"/>
  </conditionalFormatting>
  <conditionalFormatting sqref="C163">
    <cfRule type="duplicateValues" dxfId="41" priority="44"/>
  </conditionalFormatting>
  <conditionalFormatting sqref="B163">
    <cfRule type="duplicateValues" dxfId="40" priority="47"/>
  </conditionalFormatting>
  <conditionalFormatting sqref="F163">
    <cfRule type="duplicateValues" dxfId="39" priority="43"/>
  </conditionalFormatting>
  <conditionalFormatting sqref="G163">
    <cfRule type="duplicateValues" dxfId="38" priority="42"/>
  </conditionalFormatting>
  <conditionalFormatting sqref="D166">
    <cfRule type="duplicateValues" dxfId="37" priority="40"/>
  </conditionalFormatting>
  <conditionalFormatting sqref="E166">
    <cfRule type="duplicateValues" dxfId="36" priority="39"/>
  </conditionalFormatting>
  <conditionalFormatting sqref="C166">
    <cfRule type="duplicateValues" dxfId="35" priority="38"/>
  </conditionalFormatting>
  <conditionalFormatting sqref="B166">
    <cfRule type="duplicateValues" dxfId="34" priority="41"/>
  </conditionalFormatting>
  <conditionalFormatting sqref="F166">
    <cfRule type="duplicateValues" dxfId="33" priority="37"/>
  </conditionalFormatting>
  <conditionalFormatting sqref="G166">
    <cfRule type="duplicateValues" dxfId="32" priority="36"/>
  </conditionalFormatting>
  <conditionalFormatting sqref="D169">
    <cfRule type="duplicateValues" dxfId="31" priority="34"/>
  </conditionalFormatting>
  <conditionalFormatting sqref="E169">
    <cfRule type="duplicateValues" dxfId="30" priority="33"/>
  </conditionalFormatting>
  <conditionalFormatting sqref="C169">
    <cfRule type="duplicateValues" dxfId="29" priority="32"/>
  </conditionalFormatting>
  <conditionalFormatting sqref="B169">
    <cfRule type="duplicateValues" dxfId="28" priority="35"/>
  </conditionalFormatting>
  <conditionalFormatting sqref="F169">
    <cfRule type="duplicateValues" dxfId="27" priority="31"/>
  </conditionalFormatting>
  <conditionalFormatting sqref="G169">
    <cfRule type="duplicateValues" dxfId="26" priority="30"/>
  </conditionalFormatting>
  <conditionalFormatting sqref="D172">
    <cfRule type="duplicateValues" dxfId="25" priority="22"/>
  </conditionalFormatting>
  <conditionalFormatting sqref="E172">
    <cfRule type="duplicateValues" dxfId="24" priority="21"/>
  </conditionalFormatting>
  <conditionalFormatting sqref="C172">
    <cfRule type="duplicateValues" dxfId="23" priority="20"/>
  </conditionalFormatting>
  <conditionalFormatting sqref="B172">
    <cfRule type="duplicateValues" dxfId="22" priority="23"/>
  </conditionalFormatting>
  <conditionalFormatting sqref="F172">
    <cfRule type="duplicateValues" dxfId="21" priority="19"/>
  </conditionalFormatting>
  <conditionalFormatting sqref="G172">
    <cfRule type="duplicateValues" dxfId="20" priority="18"/>
  </conditionalFormatting>
  <conditionalFormatting sqref="D175">
    <cfRule type="duplicateValues" dxfId="19" priority="16"/>
  </conditionalFormatting>
  <conditionalFormatting sqref="E175">
    <cfRule type="duplicateValues" dxfId="18" priority="15"/>
  </conditionalFormatting>
  <conditionalFormatting sqref="C175">
    <cfRule type="duplicateValues" dxfId="17" priority="14"/>
  </conditionalFormatting>
  <conditionalFormatting sqref="B175">
    <cfRule type="duplicateValues" dxfId="16" priority="17"/>
  </conditionalFormatting>
  <conditionalFormatting sqref="F175">
    <cfRule type="duplicateValues" dxfId="15" priority="13"/>
  </conditionalFormatting>
  <conditionalFormatting sqref="G175">
    <cfRule type="duplicateValues" dxfId="14" priority="12"/>
  </conditionalFormatting>
  <conditionalFormatting sqref="D178">
    <cfRule type="duplicateValues" dxfId="13" priority="10"/>
  </conditionalFormatting>
  <conditionalFormatting sqref="E178">
    <cfRule type="duplicateValues" dxfId="12" priority="9"/>
  </conditionalFormatting>
  <conditionalFormatting sqref="C178">
    <cfRule type="duplicateValues" dxfId="11" priority="8"/>
  </conditionalFormatting>
  <conditionalFormatting sqref="B178">
    <cfRule type="duplicateValues" dxfId="10" priority="11"/>
  </conditionalFormatting>
  <conditionalFormatting sqref="F178">
    <cfRule type="duplicateValues" dxfId="9" priority="7"/>
  </conditionalFormatting>
  <conditionalFormatting sqref="G178">
    <cfRule type="duplicateValues" dxfId="8" priority="6"/>
  </conditionalFormatting>
  <conditionalFormatting sqref="D111">
    <cfRule type="duplicateValues" dxfId="7" priority="4"/>
  </conditionalFormatting>
  <conditionalFormatting sqref="B111:C111">
    <cfRule type="duplicateValues" dxfId="6" priority="5"/>
  </conditionalFormatting>
  <conditionalFormatting sqref="E111">
    <cfRule type="duplicateValues" dxfId="5" priority="3"/>
  </conditionalFormatting>
  <conditionalFormatting sqref="F111">
    <cfRule type="duplicateValues" dxfId="4" priority="2"/>
  </conditionalFormatting>
  <conditionalFormatting sqref="G111">
    <cfRule type="duplicateValues" dxfId="3" priority="1"/>
  </conditionalFormatting>
  <pageMargins left="0.7" right="0.7" top="0.75" bottom="0.75" header="0.3" footer="0.3"/>
  <pageSetup paperSize="9" scale="35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200-000002000000}">
          <x14:formula1>
            <xm:f>Liste!$C$81:$C$307</xm:f>
          </x14:formula1>
          <xm:sqref>B146 B152 B149 B155 B158 B161 B164 B167 B170 B173 B176 B179</xm:sqref>
        </x14:dataValidation>
        <x14:dataValidation type="list" allowBlank="1" showInputMessage="1" showErrorMessage="1" xr:uid="{83A14D71-799B-4676-A8EE-BDF0E5927650}">
          <x14:formula1>
            <xm:f>Liste!$C$318:$C$323</xm:f>
          </x14:formula1>
          <xm:sqref>C188</xm:sqref>
        </x14:dataValidation>
        <x14:dataValidation type="list" allowBlank="1" showInputMessage="1" showErrorMessage="1" xr:uid="{0A11629A-CE27-4A11-9B26-5D45813F9489}">
          <x14:formula1>
            <xm:f>Liste!$C$313:$C$315</xm:f>
          </x14:formula1>
          <xm:sqref>C185:C186</xm:sqref>
        </x14:dataValidation>
        <x14:dataValidation type="list" allowBlank="1" showInputMessage="1" showErrorMessage="1" xr:uid="{D3B7B4F8-F173-4A02-9525-00324BF8C46F}">
          <x14:formula1>
            <xm:f>Liste!$G$8:$G$45</xm:f>
          </x14:formula1>
          <xm:sqref>B9 B28 B48 B68 B86 B112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90"/>
  <sheetViews>
    <sheetView showGridLines="0" workbookViewId="0">
      <selection activeCell="E6" sqref="E6"/>
    </sheetView>
  </sheetViews>
  <sheetFormatPr baseColWidth="10" defaultRowHeight="15" x14ac:dyDescent="0.25"/>
  <cols>
    <col min="1" max="1" width="21.42578125" bestFit="1" customWidth="1"/>
    <col min="2" max="7" width="16" customWidth="1"/>
    <col min="8" max="11" width="11.85546875" customWidth="1"/>
  </cols>
  <sheetData>
    <row r="1" spans="1:11" x14ac:dyDescent="0.25">
      <c r="A1" s="114" t="s">
        <v>391</v>
      </c>
      <c r="B1" s="114" t="s">
        <v>396</v>
      </c>
      <c r="C1" s="114" t="s">
        <v>397</v>
      </c>
      <c r="D1" s="388"/>
    </row>
    <row r="2" spans="1:11" x14ac:dyDescent="0.25">
      <c r="A2" s="100" t="s">
        <v>392</v>
      </c>
      <c r="B2" s="116">
        <f>+H40</f>
        <v>9.4581318119312758</v>
      </c>
      <c r="C2" s="116">
        <f>+AVERAGE(H10:H90)</f>
        <v>12.445009232951989</v>
      </c>
      <c r="D2" s="388"/>
    </row>
    <row r="3" spans="1:11" x14ac:dyDescent="0.25">
      <c r="A3" s="100" t="s">
        <v>393</v>
      </c>
      <c r="B3" s="116">
        <f>+I40</f>
        <v>15.323699022388421</v>
      </c>
      <c r="C3" s="116">
        <f>+AVERAGE(I10:I90)</f>
        <v>20.167198635628889</v>
      </c>
      <c r="D3" s="388"/>
    </row>
    <row r="4" spans="1:11" x14ac:dyDescent="0.25">
      <c r="A4" s="100" t="s">
        <v>394</v>
      </c>
      <c r="B4" s="116">
        <f>+J40</f>
        <v>37.111341295464008</v>
      </c>
      <c r="C4" s="116">
        <f>+AVERAGE(J10:J90)</f>
        <v>48.869872778083945</v>
      </c>
      <c r="D4" s="388"/>
    </row>
    <row r="5" spans="1:11" x14ac:dyDescent="0.25">
      <c r="A5" s="100" t="s">
        <v>395</v>
      </c>
      <c r="B5" s="116">
        <f>+K40</f>
        <v>60.144956194481033</v>
      </c>
      <c r="C5" s="116">
        <f>+AVERAGE(K10:K90)</f>
        <v>79.217652778403618</v>
      </c>
      <c r="D5" s="388"/>
    </row>
    <row r="9" spans="1:11" s="112" customFormat="1" ht="60" x14ac:dyDescent="0.25">
      <c r="A9" s="113" t="s">
        <v>390</v>
      </c>
      <c r="B9" s="113" t="s">
        <v>398</v>
      </c>
      <c r="C9" s="113" t="s">
        <v>1541</v>
      </c>
      <c r="D9" s="113" t="s">
        <v>1542</v>
      </c>
      <c r="E9" s="113" t="s">
        <v>1543</v>
      </c>
      <c r="F9" s="113" t="s">
        <v>1544</v>
      </c>
      <c r="G9" s="113" t="s">
        <v>1545</v>
      </c>
      <c r="H9" s="113" t="s">
        <v>399</v>
      </c>
      <c r="I9" s="113" t="s">
        <v>400</v>
      </c>
      <c r="J9" s="113" t="s">
        <v>401</v>
      </c>
      <c r="K9" s="113" t="s">
        <v>402</v>
      </c>
    </row>
    <row r="10" spans="1:11" x14ac:dyDescent="0.25">
      <c r="A10" s="115">
        <v>0</v>
      </c>
      <c r="B10" s="115">
        <v>0</v>
      </c>
      <c r="C10" s="82">
        <f>+B10*0.5</f>
        <v>0</v>
      </c>
      <c r="D10" s="82">
        <v>0</v>
      </c>
      <c r="E10" s="82">
        <v>0</v>
      </c>
      <c r="F10" s="82">
        <v>0</v>
      </c>
      <c r="G10" s="82">
        <v>0</v>
      </c>
      <c r="H10" s="82">
        <f>+(B10+F10)*0.475*44/12*0.5*0.42</f>
        <v>0</v>
      </c>
      <c r="I10" s="82">
        <f>+(F10+B10)*0.475*44/12*0.5*0.57</f>
        <v>0</v>
      </c>
      <c r="J10" s="82">
        <f>+(B10+F10)*0.475*44/12*0.42</f>
        <v>0</v>
      </c>
      <c r="K10" s="82">
        <f>+(F10+B10)*0.475*44/12*0.57</f>
        <v>0</v>
      </c>
    </row>
    <row r="11" spans="1:11" x14ac:dyDescent="0.25">
      <c r="A11" s="115">
        <v>1</v>
      </c>
      <c r="B11" s="115">
        <v>1</v>
      </c>
      <c r="C11" s="82">
        <f t="shared" ref="C11:C74" si="0">+B11*0.5</f>
        <v>0.5</v>
      </c>
      <c r="D11" s="82">
        <f>+EXP(-1.0587+0.8836*LN(C11*1.56)+0.284)</f>
        <v>0.37000437204488423</v>
      </c>
      <c r="E11" s="82">
        <f>+EXP(-1.0587+0.8836*LN(C11*1.3)+0.284)</f>
        <v>0.31495050337078506</v>
      </c>
      <c r="F11" s="82">
        <f>+EXP(-1.0587+0.8836*LN(B11*1.56)+0.284)</f>
        <v>0.68264821659148534</v>
      </c>
      <c r="G11" s="82">
        <f>+EXP(-1.0587+0.8836*LN(B11*1.3)+0.284)</f>
        <v>0.5810752944686175</v>
      </c>
      <c r="H11" s="82">
        <f>+(C11*1.3+E11)*0.475*44/12*0.5*0.42</f>
        <v>0.35293064660786461</v>
      </c>
      <c r="I11" s="82">
        <f>+(C11*1.56+D11)*0.475*44/12*0.5*0.57</f>
        <v>0.57083342017377936</v>
      </c>
      <c r="J11" s="82">
        <f>+(B11*1.3+G11)*0.475*44/12*0.42</f>
        <v>1.3760065779037938</v>
      </c>
      <c r="K11" s="82">
        <f>+(B11*1.56+F11)*0.475*44/12*0.57</f>
        <v>2.2263890170211966</v>
      </c>
    </row>
    <row r="12" spans="1:11" x14ac:dyDescent="0.25">
      <c r="A12" s="115">
        <v>2</v>
      </c>
      <c r="B12" s="115">
        <v>2</v>
      </c>
      <c r="C12" s="82">
        <f t="shared" si="0"/>
        <v>1</v>
      </c>
      <c r="D12" s="82">
        <f t="shared" ref="D12:D75" si="1">+EXP(-1.0587+0.8836*LN(C12*1.56)+0.284)</f>
        <v>0.68264821659148534</v>
      </c>
      <c r="E12" s="82">
        <f t="shared" ref="E12:E75" si="2">+EXP(-1.0587+0.8836*LN(C12*1.3)+0.284)</f>
        <v>0.5810752944686175</v>
      </c>
      <c r="F12" s="82">
        <f t="shared" ref="F12:F75" si="3">+EXP(-1.0587+0.8836*LN(B12*1.56)+0.284)</f>
        <v>1.2594677869347046</v>
      </c>
      <c r="G12" s="82">
        <f t="shared" ref="G12:G75" si="4">+EXP(-1.0587+0.8836*LN(B12*1.3)+0.284)</f>
        <v>1.0720684495756576</v>
      </c>
      <c r="H12" s="82">
        <f t="shared" ref="H12:H75" si="5">+(C12*1.3+E12)*0.475*44/12*0.5*0.42</f>
        <v>0.68800328895189689</v>
      </c>
      <c r="I12" s="82">
        <f t="shared" ref="I12:I75" si="6">+(C12*1.56+D12)*0.475*44/12*0.5*0.57</f>
        <v>1.1131945085105983</v>
      </c>
      <c r="J12" s="82">
        <f t="shared" ref="J12:J75" si="7">+(B12*1.3+G12)*0.475*44/12*0.42</f>
        <v>2.6861180708645933</v>
      </c>
      <c r="K12" s="82">
        <f t="shared" ref="K12:K75" si="8">+(B12*1.56+F12)*0.475*44/12*0.57</f>
        <v>4.3477166454794283</v>
      </c>
    </row>
    <row r="13" spans="1:11" x14ac:dyDescent="0.25">
      <c r="A13" s="115">
        <v>3</v>
      </c>
      <c r="B13" s="115">
        <v>3</v>
      </c>
      <c r="C13" s="82">
        <f t="shared" si="0"/>
        <v>1.5</v>
      </c>
      <c r="D13" s="82">
        <f t="shared" si="1"/>
        <v>0.97676749007450259</v>
      </c>
      <c r="E13" s="82">
        <f t="shared" si="2"/>
        <v>0.83143183139972388</v>
      </c>
      <c r="F13" s="82">
        <f t="shared" si="3"/>
        <v>1.8021100168054613</v>
      </c>
      <c r="G13" s="82">
        <f t="shared" si="4"/>
        <v>1.5339695955094361</v>
      </c>
      <c r="H13" s="82">
        <f t="shared" si="5"/>
        <v>1.0173086923344492</v>
      </c>
      <c r="I13" s="82">
        <f t="shared" si="6"/>
        <v>1.6463604628857309</v>
      </c>
      <c r="J13" s="82">
        <f t="shared" si="7"/>
        <v>3.9749487591151529</v>
      </c>
      <c r="K13" s="82">
        <f t="shared" si="8"/>
        <v>6.4351147191836207</v>
      </c>
    </row>
    <row r="14" spans="1:11" x14ac:dyDescent="0.25">
      <c r="A14" s="115">
        <v>4</v>
      </c>
      <c r="B14" s="115">
        <v>4</v>
      </c>
      <c r="C14" s="82">
        <f t="shared" si="0"/>
        <v>2</v>
      </c>
      <c r="D14" s="82">
        <f t="shared" si="1"/>
        <v>1.2594677869347046</v>
      </c>
      <c r="E14" s="82">
        <f t="shared" si="2"/>
        <v>1.0720684495756576</v>
      </c>
      <c r="F14" s="82">
        <f t="shared" si="3"/>
        <v>2.3236845387900016</v>
      </c>
      <c r="G14" s="82">
        <f t="shared" si="4"/>
        <v>1.9779377500924316</v>
      </c>
      <c r="H14" s="82">
        <f t="shared" si="5"/>
        <v>1.3430590354322967</v>
      </c>
      <c r="I14" s="82">
        <f t="shared" si="6"/>
        <v>2.1738583227397141</v>
      </c>
      <c r="J14" s="82">
        <f t="shared" si="7"/>
        <v>5.2506614641926133</v>
      </c>
      <c r="K14" s="82">
        <f t="shared" si="8"/>
        <v>8.5015978258837741</v>
      </c>
    </row>
    <row r="15" spans="1:11" x14ac:dyDescent="0.25">
      <c r="A15" s="115">
        <v>5</v>
      </c>
      <c r="B15" s="115">
        <v>5</v>
      </c>
      <c r="C15" s="82">
        <f t="shared" si="0"/>
        <v>2.5</v>
      </c>
      <c r="D15" s="82">
        <f t="shared" si="1"/>
        <v>1.5339695955094361</v>
      </c>
      <c r="E15" s="82">
        <f t="shared" si="2"/>
        <v>1.3057264528824806</v>
      </c>
      <c r="F15" s="82">
        <f t="shared" si="3"/>
        <v>2.830133068138585</v>
      </c>
      <c r="G15" s="82">
        <f t="shared" si="4"/>
        <v>2.4090305460185859</v>
      </c>
      <c r="H15" s="82">
        <f t="shared" si="5"/>
        <v>1.6662569501417672</v>
      </c>
      <c r="I15" s="82">
        <f t="shared" si="6"/>
        <v>2.6972866579709964</v>
      </c>
      <c r="J15" s="82">
        <f t="shared" si="7"/>
        <v>6.5169558444125952</v>
      </c>
      <c r="K15" s="82">
        <f t="shared" si="8"/>
        <v>10.55306460339458</v>
      </c>
    </row>
    <row r="16" spans="1:11" x14ac:dyDescent="0.25">
      <c r="A16" s="115">
        <v>6</v>
      </c>
      <c r="B16" s="115">
        <v>6</v>
      </c>
      <c r="C16" s="82">
        <f t="shared" si="0"/>
        <v>3</v>
      </c>
      <c r="D16" s="82">
        <f t="shared" si="1"/>
        <v>1.8021100168054613</v>
      </c>
      <c r="E16" s="82">
        <f t="shared" si="2"/>
        <v>1.5339695955094361</v>
      </c>
      <c r="F16" s="82">
        <f t="shared" si="3"/>
        <v>3.3248450073034994</v>
      </c>
      <c r="G16" s="82">
        <f t="shared" si="4"/>
        <v>2.830133068138585</v>
      </c>
      <c r="H16" s="82">
        <f t="shared" si="5"/>
        <v>1.9874743795575764</v>
      </c>
      <c r="I16" s="82">
        <f t="shared" si="6"/>
        <v>3.2175573595918103</v>
      </c>
      <c r="J16" s="82">
        <f t="shared" si="7"/>
        <v>7.7759423393433744</v>
      </c>
      <c r="K16" s="82">
        <f t="shared" si="8"/>
        <v>12.592879881000547</v>
      </c>
    </row>
    <row r="17" spans="1:11" x14ac:dyDescent="0.25">
      <c r="A17" s="115">
        <v>7</v>
      </c>
      <c r="B17" s="115">
        <v>7</v>
      </c>
      <c r="C17" s="82">
        <f t="shared" si="0"/>
        <v>3.5</v>
      </c>
      <c r="D17" s="82">
        <f t="shared" si="1"/>
        <v>2.0650733588092969</v>
      </c>
      <c r="E17" s="82">
        <f t="shared" si="2"/>
        <v>1.7578059693188923</v>
      </c>
      <c r="F17" s="82">
        <f t="shared" si="3"/>
        <v>3.810005372992582</v>
      </c>
      <c r="G17" s="82">
        <f t="shared" si="4"/>
        <v>3.2431052191022336</v>
      </c>
      <c r="H17" s="82">
        <f t="shared" si="5"/>
        <v>2.3070800332783845</v>
      </c>
      <c r="I17" s="82">
        <f t="shared" si="6"/>
        <v>3.7352582884789642</v>
      </c>
      <c r="J17" s="82">
        <f t="shared" si="7"/>
        <v>9.0289814677732814</v>
      </c>
      <c r="K17" s="82">
        <f t="shared" si="8"/>
        <v>14.623212834038384</v>
      </c>
    </row>
    <row r="18" spans="1:11" x14ac:dyDescent="0.25">
      <c r="A18" s="115">
        <v>8</v>
      </c>
      <c r="B18" s="115">
        <v>8</v>
      </c>
      <c r="C18" s="82">
        <f t="shared" si="0"/>
        <v>4</v>
      </c>
      <c r="D18" s="82">
        <f t="shared" si="1"/>
        <v>2.3236845387900016</v>
      </c>
      <c r="E18" s="82">
        <f t="shared" si="2"/>
        <v>1.9779377500924316</v>
      </c>
      <c r="F18" s="82">
        <f t="shared" si="3"/>
        <v>4.2871361156072432</v>
      </c>
      <c r="G18" s="82">
        <f t="shared" si="4"/>
        <v>3.6492424945340383</v>
      </c>
      <c r="H18" s="82">
        <f t="shared" si="5"/>
        <v>2.6253307320963066</v>
      </c>
      <c r="I18" s="82">
        <f t="shared" si="6"/>
        <v>4.2507989129418871</v>
      </c>
      <c r="J18" s="82">
        <f t="shared" si="7"/>
        <v>10.277020884751648</v>
      </c>
      <c r="K18" s="82">
        <f t="shared" si="8"/>
        <v>16.645574378769087</v>
      </c>
    </row>
    <row r="19" spans="1:11" x14ac:dyDescent="0.25">
      <c r="A19" s="115">
        <v>9</v>
      </c>
      <c r="B19" s="115">
        <v>9</v>
      </c>
      <c r="C19" s="82">
        <f t="shared" si="0"/>
        <v>4.5</v>
      </c>
      <c r="D19" s="82">
        <f t="shared" si="1"/>
        <v>2.5785498814341241</v>
      </c>
      <c r="E19" s="82">
        <f t="shared" si="2"/>
        <v>2.1948810459619104</v>
      </c>
      <c r="F19" s="82">
        <f t="shared" si="3"/>
        <v>4.7573558880532927</v>
      </c>
      <c r="G19" s="82">
        <f t="shared" si="4"/>
        <v>4.0494971001980291</v>
      </c>
      <c r="H19" s="82">
        <f t="shared" si="5"/>
        <v>2.9424152425605685</v>
      </c>
      <c r="I19" s="82">
        <f t="shared" si="6"/>
        <v>4.7644801973968631</v>
      </c>
      <c r="J19" s="82">
        <f t="shared" si="7"/>
        <v>11.520757128794861</v>
      </c>
      <c r="K19" s="82">
        <f t="shared" si="8"/>
        <v>18.661075057864906</v>
      </c>
    </row>
    <row r="20" spans="1:11" x14ac:dyDescent="0.25">
      <c r="A20" s="115">
        <v>10</v>
      </c>
      <c r="B20" s="115">
        <v>10</v>
      </c>
      <c r="C20" s="82">
        <f t="shared" si="0"/>
        <v>5</v>
      </c>
      <c r="D20" s="82">
        <f t="shared" si="1"/>
        <v>2.830133068138585</v>
      </c>
      <c r="E20" s="82">
        <f t="shared" si="2"/>
        <v>2.4090305460185859</v>
      </c>
      <c r="F20" s="82">
        <f t="shared" si="3"/>
        <v>5.2215201701644496</v>
      </c>
      <c r="G20" s="82">
        <f t="shared" si="4"/>
        <v>4.4445972269606235</v>
      </c>
      <c r="H20" s="82">
        <f t="shared" si="5"/>
        <v>3.2584779222062976</v>
      </c>
      <c r="I20" s="82">
        <f t="shared" si="6"/>
        <v>5.2765323016972898</v>
      </c>
      <c r="J20" s="82">
        <f t="shared" si="7"/>
        <v>12.760722871521695</v>
      </c>
      <c r="K20" s="82">
        <f t="shared" si="8"/>
        <v>20.670564148930755</v>
      </c>
    </row>
    <row r="21" spans="1:11" x14ac:dyDescent="0.25">
      <c r="A21" s="115">
        <v>11</v>
      </c>
      <c r="B21" s="115">
        <v>11</v>
      </c>
      <c r="C21" s="82">
        <f t="shared" si="0"/>
        <v>5.5</v>
      </c>
      <c r="D21" s="82">
        <f t="shared" si="1"/>
        <v>3.0787996776202875</v>
      </c>
      <c r="E21" s="82">
        <f t="shared" si="2"/>
        <v>2.6206974336148989</v>
      </c>
      <c r="F21" s="82">
        <f t="shared" si="3"/>
        <v>5.6803034449413845</v>
      </c>
      <c r="G21" s="82">
        <f t="shared" si="4"/>
        <v>4.8351169998231063</v>
      </c>
      <c r="H21" s="82">
        <f t="shared" si="5"/>
        <v>3.5736325863446492</v>
      </c>
      <c r="I21" s="82">
        <f t="shared" si="6"/>
        <v>5.7871366899787695</v>
      </c>
      <c r="J21" s="82">
        <f t="shared" si="7"/>
        <v>13.997338085370602</v>
      </c>
      <c r="K21" s="82">
        <f t="shared" si="8"/>
        <v>22.674711244965554</v>
      </c>
    </row>
    <row r="22" spans="1:11" x14ac:dyDescent="0.25">
      <c r="A22" s="115">
        <v>12</v>
      </c>
      <c r="B22" s="115">
        <v>12</v>
      </c>
      <c r="C22" s="82">
        <f t="shared" si="0"/>
        <v>6</v>
      </c>
      <c r="D22" s="82">
        <f t="shared" si="1"/>
        <v>3.3248450073034994</v>
      </c>
      <c r="E22" s="82">
        <f t="shared" si="2"/>
        <v>2.830133068138585</v>
      </c>
      <c r="F22" s="82">
        <f t="shared" si="3"/>
        <v>6.1342505282708037</v>
      </c>
      <c r="G22" s="82">
        <f t="shared" si="4"/>
        <v>5.2215201701644496</v>
      </c>
      <c r="H22" s="82">
        <f t="shared" si="5"/>
        <v>3.8879711696716872</v>
      </c>
      <c r="I22" s="82">
        <f t="shared" si="6"/>
        <v>6.2964399405002736</v>
      </c>
      <c r="J22" s="82">
        <f t="shared" si="7"/>
        <v>15.230942004475294</v>
      </c>
      <c r="K22" s="82">
        <f t="shared" si="8"/>
        <v>24.674057211940838</v>
      </c>
    </row>
    <row r="23" spans="1:11" x14ac:dyDescent="0.25">
      <c r="A23" s="115">
        <v>13</v>
      </c>
      <c r="B23" s="115">
        <v>13</v>
      </c>
      <c r="C23" s="82">
        <f t="shared" si="0"/>
        <v>6.5</v>
      </c>
      <c r="D23" s="82">
        <f t="shared" si="1"/>
        <v>3.5685123318575989</v>
      </c>
      <c r="E23" s="82">
        <f t="shared" si="2"/>
        <v>3.0375445268172854</v>
      </c>
      <c r="F23" s="82">
        <f t="shared" si="3"/>
        <v>6.5838102554415308</v>
      </c>
      <c r="G23" s="82">
        <f t="shared" si="4"/>
        <v>5.6041887899570755</v>
      </c>
      <c r="H23" s="82">
        <f t="shared" si="5"/>
        <v>4.2015694106834216</v>
      </c>
      <c r="I23" s="82">
        <f t="shared" si="6"/>
        <v>6.8045628087258159</v>
      </c>
      <c r="J23" s="82">
        <f t="shared" si="7"/>
        <v>16.461814099853601</v>
      </c>
      <c r="K23" s="82">
        <f t="shared" si="8"/>
        <v>26.669047631089576</v>
      </c>
    </row>
    <row r="24" spans="1:11" x14ac:dyDescent="0.25">
      <c r="A24" s="115">
        <v>14</v>
      </c>
      <c r="B24" s="115">
        <v>14</v>
      </c>
      <c r="C24" s="82">
        <f t="shared" si="0"/>
        <v>7</v>
      </c>
      <c r="D24" s="82">
        <f t="shared" si="1"/>
        <v>3.810005372992582</v>
      </c>
      <c r="E24" s="82">
        <f t="shared" si="2"/>
        <v>3.2431052191022336</v>
      </c>
      <c r="F24" s="82">
        <f t="shared" si="3"/>
        <v>7.0293584875852613</v>
      </c>
      <c r="G24" s="82">
        <f t="shared" si="4"/>
        <v>5.9834427950222064</v>
      </c>
      <c r="H24" s="82">
        <f t="shared" si="5"/>
        <v>4.5144907338866407</v>
      </c>
      <c r="I24" s="82">
        <f t="shared" si="6"/>
        <v>7.3116064170191919</v>
      </c>
      <c r="J24" s="82">
        <f t="shared" si="7"/>
        <v>17.690188404558743</v>
      </c>
      <c r="K24" s="82">
        <f t="shared" si="8"/>
        <v>28.660055638550265</v>
      </c>
    </row>
    <row r="25" spans="1:11" x14ac:dyDescent="0.25">
      <c r="A25" s="115">
        <v>15</v>
      </c>
      <c r="B25" s="115">
        <v>15</v>
      </c>
      <c r="C25" s="82">
        <f t="shared" si="0"/>
        <v>7.5</v>
      </c>
      <c r="D25" s="82">
        <f t="shared" si="1"/>
        <v>4.0494971001980291</v>
      </c>
      <c r="E25" s="82">
        <f t="shared" si="2"/>
        <v>3.4469623779234415</v>
      </c>
      <c r="F25" s="82">
        <f t="shared" si="3"/>
        <v>7.4712143488056828</v>
      </c>
      <c r="G25" s="82">
        <f t="shared" si="4"/>
        <v>6.359553826196243</v>
      </c>
      <c r="H25" s="82">
        <f t="shared" si="5"/>
        <v>4.8267889897254985</v>
      </c>
      <c r="I25" s="82">
        <f t="shared" si="6"/>
        <v>7.8176566231107971</v>
      </c>
      <c r="J25" s="82">
        <f t="shared" si="7"/>
        <v>18.916263623862552</v>
      </c>
      <c r="K25" s="82">
        <f t="shared" si="8"/>
        <v>30.647398044776843</v>
      </c>
    </row>
    <row r="26" spans="1:11" x14ac:dyDescent="0.25">
      <c r="A26" s="115">
        <v>16</v>
      </c>
      <c r="B26" s="115">
        <v>16</v>
      </c>
      <c r="C26" s="82">
        <f t="shared" si="0"/>
        <v>8</v>
      </c>
      <c r="D26" s="82">
        <f t="shared" si="1"/>
        <v>4.2871361156072432</v>
      </c>
      <c r="E26" s="82">
        <f t="shared" si="2"/>
        <v>3.6492424945340383</v>
      </c>
      <c r="F26" s="82">
        <f t="shared" si="3"/>
        <v>7.9096520060828182</v>
      </c>
      <c r="G26" s="82">
        <f t="shared" si="4"/>
        <v>6.732755256473915</v>
      </c>
      <c r="H26" s="82">
        <f t="shared" si="5"/>
        <v>5.1385104423758241</v>
      </c>
      <c r="I26" s="82">
        <f t="shared" si="6"/>
        <v>8.3227871893845435</v>
      </c>
      <c r="J26" s="82">
        <f t="shared" si="7"/>
        <v>20.140210470110667</v>
      </c>
      <c r="K26" s="82">
        <f t="shared" si="8"/>
        <v>32.631347029038714</v>
      </c>
    </row>
    <row r="27" spans="1:11" x14ac:dyDescent="0.25">
      <c r="A27" s="115">
        <v>17</v>
      </c>
      <c r="B27" s="115">
        <v>17</v>
      </c>
      <c r="C27" s="82">
        <f t="shared" si="0"/>
        <v>8.5</v>
      </c>
      <c r="D27" s="82">
        <f t="shared" si="1"/>
        <v>4.523051396209401</v>
      </c>
      <c r="E27" s="82">
        <f t="shared" si="2"/>
        <v>3.8500553551169299</v>
      </c>
      <c r="F27" s="82">
        <f t="shared" si="3"/>
        <v>8.3449094185282213</v>
      </c>
      <c r="G27" s="82">
        <f t="shared" si="4"/>
        <v>7.1032496384400687</v>
      </c>
      <c r="H27" s="82">
        <f t="shared" si="5"/>
        <v>5.4496952461340165</v>
      </c>
      <c r="I27" s="82">
        <f t="shared" si="6"/>
        <v>8.8270621367934403</v>
      </c>
      <c r="J27" s="82">
        <f t="shared" si="7"/>
        <v>21.36217711051891</v>
      </c>
      <c r="K27" s="82">
        <f t="shared" si="8"/>
        <v>34.612138825243882</v>
      </c>
    </row>
    <row r="28" spans="1:11" x14ac:dyDescent="0.25">
      <c r="A28" s="115">
        <v>18</v>
      </c>
      <c r="B28" s="115">
        <v>18</v>
      </c>
      <c r="C28" s="82">
        <f t="shared" si="0"/>
        <v>9</v>
      </c>
      <c r="D28" s="82">
        <f t="shared" si="1"/>
        <v>4.7573558880532927</v>
      </c>
      <c r="E28" s="82">
        <f t="shared" si="2"/>
        <v>4.0494971001980291</v>
      </c>
      <c r="F28" s="82">
        <f t="shared" si="3"/>
        <v>8.7771949685951878</v>
      </c>
      <c r="G28" s="82">
        <f t="shared" si="4"/>
        <v>7.4712143488056828</v>
      </c>
      <c r="H28" s="82">
        <f t="shared" si="5"/>
        <v>5.7603785643974303</v>
      </c>
      <c r="I28" s="82">
        <f t="shared" si="6"/>
        <v>9.330537528932453</v>
      </c>
      <c r="J28" s="82">
        <f t="shared" si="7"/>
        <v>22.582293296151359</v>
      </c>
      <c r="K28" s="82">
        <f t="shared" si="8"/>
        <v>36.589980305072871</v>
      </c>
    </row>
    <row r="29" spans="1:11" x14ac:dyDescent="0.25">
      <c r="A29" s="115">
        <v>19</v>
      </c>
      <c r="B29" s="115">
        <v>19</v>
      </c>
      <c r="C29" s="82">
        <f t="shared" si="0"/>
        <v>9.5</v>
      </c>
      <c r="D29" s="82">
        <f t="shared" si="1"/>
        <v>4.9901492788407484</v>
      </c>
      <c r="E29" s="82">
        <f t="shared" si="2"/>
        <v>4.2476525846986481</v>
      </c>
      <c r="F29" s="82">
        <f t="shared" si="3"/>
        <v>9.2066925774398314</v>
      </c>
      <c r="G29" s="82">
        <f t="shared" si="4"/>
        <v>7.8368059426416634</v>
      </c>
      <c r="H29" s="82">
        <f t="shared" si="5"/>
        <v>6.0705914328535293</v>
      </c>
      <c r="I29" s="82">
        <f t="shared" si="6"/>
        <v>9.8332628482845745</v>
      </c>
      <c r="J29" s="82">
        <f t="shared" si="7"/>
        <v>23.800673547042376</v>
      </c>
      <c r="K29" s="82">
        <f t="shared" si="8"/>
        <v>38.565054056253388</v>
      </c>
    </row>
    <row r="30" spans="1:11" x14ac:dyDescent="0.25">
      <c r="A30" s="115">
        <v>20</v>
      </c>
      <c r="B30" s="115">
        <v>20</v>
      </c>
      <c r="C30" s="82">
        <f t="shared" si="0"/>
        <v>10</v>
      </c>
      <c r="D30" s="82">
        <f t="shared" si="1"/>
        <v>5.2215201701644496</v>
      </c>
      <c r="E30" s="82">
        <f t="shared" si="2"/>
        <v>4.4445972269606235</v>
      </c>
      <c r="F30" s="82">
        <f t="shared" si="3"/>
        <v>9.6335657126419925</v>
      </c>
      <c r="G30" s="82">
        <f t="shared" si="4"/>
        <v>8.2001635647809952</v>
      </c>
      <c r="H30" s="82">
        <f t="shared" si="5"/>
        <v>6.3803614357608476</v>
      </c>
      <c r="I30" s="82">
        <f t="shared" si="6"/>
        <v>10.335282074465377</v>
      </c>
      <c r="J30" s="82">
        <f t="shared" si="7"/>
        <v>25.017419647637297</v>
      </c>
      <c r="K30" s="82">
        <f t="shared" si="8"/>
        <v>40.537522361225335</v>
      </c>
    </row>
    <row r="31" spans="1:11" x14ac:dyDescent="0.25">
      <c r="A31" s="115">
        <v>21</v>
      </c>
      <c r="B31" s="115">
        <v>21</v>
      </c>
      <c r="C31" s="82">
        <f t="shared" si="0"/>
        <v>10.5</v>
      </c>
      <c r="D31" s="82">
        <f t="shared" si="1"/>
        <v>5.4515478029518825</v>
      </c>
      <c r="E31" s="82">
        <f t="shared" si="2"/>
        <v>4.6403984774572109</v>
      </c>
      <c r="F31" s="82">
        <f t="shared" si="3"/>
        <v>10.057960571603429</v>
      </c>
      <c r="G31" s="82">
        <f t="shared" si="4"/>
        <v>8.5614116595512471</v>
      </c>
      <c r="H31" s="82">
        <f t="shared" si="5"/>
        <v>6.6897132431299733</v>
      </c>
      <c r="I31" s="82">
        <f t="shared" si="6"/>
        <v>10.836634540690239</v>
      </c>
      <c r="J31" s="82">
        <f t="shared" si="7"/>
        <v>26.232622628961739</v>
      </c>
      <c r="K31" s="82">
        <f t="shared" si="8"/>
        <v>42.507530357459295</v>
      </c>
    </row>
    <row r="32" spans="1:11" x14ac:dyDescent="0.25">
      <c r="A32" s="115">
        <v>22</v>
      </c>
      <c r="B32" s="115">
        <v>22</v>
      </c>
      <c r="C32" s="82">
        <f t="shared" si="0"/>
        <v>11</v>
      </c>
      <c r="D32" s="82">
        <f t="shared" si="1"/>
        <v>5.6803034449413845</v>
      </c>
      <c r="E32" s="82">
        <f t="shared" si="2"/>
        <v>4.8351169998231063</v>
      </c>
      <c r="F32" s="82">
        <f t="shared" si="3"/>
        <v>10.480008641404153</v>
      </c>
      <c r="G32" s="82">
        <f t="shared" si="4"/>
        <v>8.9206621497435137</v>
      </c>
      <c r="H32" s="82">
        <f t="shared" si="5"/>
        <v>6.9986690426853011</v>
      </c>
      <c r="I32" s="82">
        <f t="shared" si="6"/>
        <v>11.337355622482777</v>
      </c>
      <c r="J32" s="82">
        <f t="shared" si="7"/>
        <v>27.446364362537381</v>
      </c>
      <c r="K32" s="82">
        <f t="shared" si="8"/>
        <v>44.475208578753964</v>
      </c>
    </row>
    <row r="33" spans="1:11" x14ac:dyDescent="0.25">
      <c r="A33" s="115">
        <v>23</v>
      </c>
      <c r="B33" s="115">
        <v>23</v>
      </c>
      <c r="C33" s="82">
        <f t="shared" si="0"/>
        <v>11.5</v>
      </c>
      <c r="D33" s="82">
        <f t="shared" si="1"/>
        <v>5.907851518758747</v>
      </c>
      <c r="E33" s="82">
        <f t="shared" si="2"/>
        <v>5.0288076310817473</v>
      </c>
      <c r="F33" s="82">
        <f t="shared" si="3"/>
        <v>10.899828780073781</v>
      </c>
      <c r="G33" s="82">
        <f t="shared" si="4"/>
        <v>9.2780162082062354</v>
      </c>
      <c r="H33" s="82">
        <f t="shared" si="5"/>
        <v>7.3072488910681486</v>
      </c>
      <c r="I33" s="82">
        <f t="shared" si="6"/>
        <v>11.837477297623874</v>
      </c>
      <c r="J33" s="82">
        <f t="shared" si="7"/>
        <v>28.658718856302858</v>
      </c>
      <c r="K33" s="82">
        <f t="shared" si="8"/>
        <v>46.440675021418244</v>
      </c>
    </row>
    <row r="34" spans="1:11" x14ac:dyDescent="0.25">
      <c r="A34" s="115">
        <v>24</v>
      </c>
      <c r="B34" s="115">
        <v>24</v>
      </c>
      <c r="C34" s="82">
        <f t="shared" si="0"/>
        <v>12</v>
      </c>
      <c r="D34" s="82">
        <f t="shared" si="1"/>
        <v>6.1342505282708037</v>
      </c>
      <c r="E34" s="82">
        <f t="shared" si="2"/>
        <v>5.2215201701644496</v>
      </c>
      <c r="F34" s="82">
        <f t="shared" si="3"/>
        <v>11.31752892568918</v>
      </c>
      <c r="G34" s="82">
        <f t="shared" si="4"/>
        <v>9.6335657126419925</v>
      </c>
      <c r="H34" s="82">
        <f t="shared" si="5"/>
        <v>7.6154710022376468</v>
      </c>
      <c r="I34" s="82">
        <f t="shared" si="6"/>
        <v>12.337028605970419</v>
      </c>
      <c r="J34" s="82">
        <f t="shared" si="7"/>
        <v>29.869753318797617</v>
      </c>
      <c r="K34" s="82">
        <f t="shared" si="8"/>
        <v>48.404036840977923</v>
      </c>
    </row>
    <row r="35" spans="1:11" x14ac:dyDescent="0.25">
      <c r="A35" s="115">
        <v>25</v>
      </c>
      <c r="B35" s="115">
        <v>25</v>
      </c>
      <c r="C35" s="82">
        <f t="shared" si="0"/>
        <v>12.5</v>
      </c>
      <c r="D35" s="82">
        <f t="shared" si="1"/>
        <v>6.359553826196243</v>
      </c>
      <c r="E35" s="82">
        <f t="shared" si="2"/>
        <v>5.4133000313064876</v>
      </c>
      <c r="F35" s="82">
        <f t="shared" si="3"/>
        <v>11.733207512596055</v>
      </c>
      <c r="G35" s="82">
        <f t="shared" si="4"/>
        <v>9.9873944511059136</v>
      </c>
      <c r="H35" s="82">
        <f t="shared" si="5"/>
        <v>7.9233519864503466</v>
      </c>
      <c r="I35" s="82">
        <f t="shared" si="6"/>
        <v>12.83603603047816</v>
      </c>
      <c r="J35" s="82">
        <f t="shared" si="7"/>
        <v>31.079529040983971</v>
      </c>
      <c r="K35" s="82">
        <f t="shared" si="8"/>
        <v>50.365391758129725</v>
      </c>
    </row>
    <row r="36" spans="1:11" x14ac:dyDescent="0.25">
      <c r="A36" s="115">
        <v>26</v>
      </c>
      <c r="B36" s="115">
        <v>26</v>
      </c>
      <c r="C36" s="82">
        <f t="shared" si="0"/>
        <v>13</v>
      </c>
      <c r="D36" s="82">
        <f t="shared" si="1"/>
        <v>6.5838102554415308</v>
      </c>
      <c r="E36" s="82">
        <f t="shared" si="2"/>
        <v>5.6041887899570755</v>
      </c>
      <c r="F36" s="82">
        <f t="shared" si="3"/>
        <v>12.146954654656581</v>
      </c>
      <c r="G36" s="82">
        <f t="shared" si="4"/>
        <v>10.339579129195011</v>
      </c>
      <c r="H36" s="82">
        <f t="shared" si="5"/>
        <v>8.2309070499268007</v>
      </c>
      <c r="I36" s="82">
        <f t="shared" si="6"/>
        <v>13.334523815544788</v>
      </c>
      <c r="J36" s="82">
        <f t="shared" si="7"/>
        <v>32.288102133006149</v>
      </c>
      <c r="K36" s="82">
        <f t="shared" si="8"/>
        <v>52.324829233410313</v>
      </c>
    </row>
    <row r="37" spans="1:11" x14ac:dyDescent="0.25">
      <c r="A37" s="115">
        <v>27</v>
      </c>
      <c r="B37" s="115">
        <v>27</v>
      </c>
      <c r="C37" s="82">
        <f t="shared" si="0"/>
        <v>13.5</v>
      </c>
      <c r="D37" s="82">
        <f t="shared" si="1"/>
        <v>6.8070646889944983</v>
      </c>
      <c r="E37" s="82">
        <f t="shared" si="2"/>
        <v>5.7942246423408337</v>
      </c>
      <c r="F37" s="82">
        <f t="shared" si="3"/>
        <v>12.558853141338753</v>
      </c>
      <c r="G37" s="82">
        <f t="shared" si="4"/>
        <v>10.690190217926894</v>
      </c>
      <c r="H37" s="82">
        <f t="shared" si="5"/>
        <v>8.5381501629361587</v>
      </c>
      <c r="I37" s="82">
        <f t="shared" si="6"/>
        <v>13.832514234999641</v>
      </c>
      <c r="J37" s="82">
        <f t="shared" si="7"/>
        <v>33.495524144413523</v>
      </c>
      <c r="K37" s="82">
        <f t="shared" si="8"/>
        <v>54.282431456064046</v>
      </c>
    </row>
    <row r="38" spans="1:11" x14ac:dyDescent="0.25">
      <c r="A38" s="115">
        <v>28</v>
      </c>
      <c r="B38" s="115">
        <v>28</v>
      </c>
      <c r="C38" s="82">
        <f t="shared" si="0"/>
        <v>14</v>
      </c>
      <c r="D38" s="82">
        <f t="shared" si="1"/>
        <v>7.0293584875852613</v>
      </c>
      <c r="E38" s="82">
        <f t="shared" si="2"/>
        <v>5.9834427950222064</v>
      </c>
      <c r="F38" s="82">
        <f t="shared" si="3"/>
        <v>12.968979282088577</v>
      </c>
      <c r="G38" s="82">
        <f t="shared" si="4"/>
        <v>11.039292672475748</v>
      </c>
      <c r="H38" s="82">
        <f t="shared" si="5"/>
        <v>8.8450942022793715</v>
      </c>
      <c r="I38" s="82">
        <f t="shared" si="6"/>
        <v>14.330027819275132</v>
      </c>
      <c r="J38" s="82">
        <f t="shared" si="7"/>
        <v>34.701842589916005</v>
      </c>
      <c r="K38" s="82">
        <f t="shared" si="8"/>
        <v>56.238274182293424</v>
      </c>
    </row>
    <row r="39" spans="1:11" x14ac:dyDescent="0.25">
      <c r="A39" s="115">
        <v>29</v>
      </c>
      <c r="B39" s="115">
        <v>29</v>
      </c>
      <c r="C39" s="82">
        <f t="shared" si="0"/>
        <v>14.5</v>
      </c>
      <c r="D39" s="82">
        <f t="shared" si="1"/>
        <v>7.2507298901297004</v>
      </c>
      <c r="E39" s="82">
        <f t="shared" si="2"/>
        <v>6.1718757972538949</v>
      </c>
      <c r="F39" s="82">
        <f t="shared" si="3"/>
        <v>13.377403626687906</v>
      </c>
      <c r="G39" s="82">
        <f t="shared" si="4"/>
        <v>11.386946545346296</v>
      </c>
      <c r="H39" s="82">
        <f t="shared" si="5"/>
        <v>9.1517510728456131</v>
      </c>
      <c r="I39" s="82">
        <f t="shared" si="6"/>
        <v>14.82708354921313</v>
      </c>
      <c r="J39" s="82">
        <f t="shared" si="7"/>
        <v>35.907101397920819</v>
      </c>
      <c r="K39" s="82">
        <f t="shared" si="8"/>
        <v>58.192427450394419</v>
      </c>
    </row>
    <row r="40" spans="1:11" x14ac:dyDescent="0.25">
      <c r="A40" s="117">
        <v>30</v>
      </c>
      <c r="B40" s="117">
        <v>30</v>
      </c>
      <c r="C40" s="118">
        <f t="shared" si="0"/>
        <v>15</v>
      </c>
      <c r="D40" s="118">
        <f t="shared" si="1"/>
        <v>7.4712143488056828</v>
      </c>
      <c r="E40" s="118">
        <f t="shared" si="2"/>
        <v>6.359553826196243</v>
      </c>
      <c r="F40" s="118">
        <f t="shared" si="3"/>
        <v>13.784191583461139</v>
      </c>
      <c r="G40" s="118">
        <f t="shared" si="4"/>
        <v>11.733207512596055</v>
      </c>
      <c r="H40" s="118">
        <f t="shared" si="5"/>
        <v>9.4581318119312758</v>
      </c>
      <c r="I40" s="118">
        <f t="shared" si="6"/>
        <v>15.323699022388421</v>
      </c>
      <c r="J40" s="118">
        <f t="shared" si="7"/>
        <v>37.111341295464008</v>
      </c>
      <c r="K40" s="118">
        <f t="shared" si="8"/>
        <v>60.144956194481033</v>
      </c>
    </row>
    <row r="41" spans="1:11" x14ac:dyDescent="0.25">
      <c r="A41" s="115">
        <v>31</v>
      </c>
      <c r="B41" s="115">
        <v>31</v>
      </c>
      <c r="C41" s="82">
        <f t="shared" si="0"/>
        <v>15.5</v>
      </c>
      <c r="D41" s="82">
        <f t="shared" si="1"/>
        <v>7.6908448181974203</v>
      </c>
      <c r="E41" s="82">
        <f t="shared" si="2"/>
        <v>6.5465049330391087</v>
      </c>
      <c r="F41" s="82">
        <f t="shared" si="3"/>
        <v>14.189403952738854</v>
      </c>
      <c r="G41" s="82">
        <f t="shared" si="4"/>
        <v>12.078127327923548</v>
      </c>
      <c r="H41" s="82">
        <f t="shared" si="5"/>
        <v>9.7642466792590561</v>
      </c>
      <c r="I41" s="82">
        <f t="shared" si="6"/>
        <v>15.819890596632742</v>
      </c>
      <c r="J41" s="82">
        <f t="shared" si="7"/>
        <v>38.314600140376072</v>
      </c>
      <c r="K41" s="82">
        <f t="shared" si="8"/>
        <v>62.095920774081492</v>
      </c>
    </row>
    <row r="42" spans="1:11" x14ac:dyDescent="0.25">
      <c r="A42" s="115">
        <v>32</v>
      </c>
      <c r="B42" s="115">
        <v>32</v>
      </c>
      <c r="C42" s="82">
        <f t="shared" si="0"/>
        <v>16</v>
      </c>
      <c r="D42" s="82">
        <f t="shared" si="1"/>
        <v>7.9096520060828182</v>
      </c>
      <c r="E42" s="82">
        <f t="shared" si="2"/>
        <v>6.732755256473915</v>
      </c>
      <c r="F42" s="82">
        <f t="shared" si="3"/>
        <v>14.593097389553819</v>
      </c>
      <c r="G42" s="82">
        <f t="shared" si="4"/>
        <v>12.42175421651862</v>
      </c>
      <c r="H42" s="82">
        <f t="shared" si="5"/>
        <v>10.070105235055333</v>
      </c>
      <c r="I42" s="82">
        <f t="shared" si="6"/>
        <v>16.315673514519357</v>
      </c>
      <c r="J42" s="82">
        <f t="shared" si="7"/>
        <v>39.516913209383368</v>
      </c>
      <c r="K42" s="82">
        <f t="shared" si="8"/>
        <v>64.045377433479544</v>
      </c>
    </row>
    <row r="43" spans="1:11" x14ac:dyDescent="0.25">
      <c r="A43" s="115">
        <v>33</v>
      </c>
      <c r="B43" s="115">
        <v>33</v>
      </c>
      <c r="C43" s="82">
        <f t="shared" si="0"/>
        <v>16.5</v>
      </c>
      <c r="D43" s="82">
        <f t="shared" si="1"/>
        <v>8.1276645919917723</v>
      </c>
      <c r="E43" s="82">
        <f t="shared" si="2"/>
        <v>6.9183292087321355</v>
      </c>
      <c r="F43" s="82">
        <f t="shared" si="3"/>
        <v>14.995324806875232</v>
      </c>
      <c r="G43" s="82">
        <f t="shared" si="4"/>
        <v>12.764133218298472</v>
      </c>
      <c r="H43" s="82">
        <f t="shared" si="5"/>
        <v>10.375716408093778</v>
      </c>
      <c r="I43" s="82">
        <f t="shared" si="6"/>
        <v>16.811062011849916</v>
      </c>
      <c r="J43" s="82">
        <f t="shared" si="7"/>
        <v>40.718313449185331</v>
      </c>
      <c r="K43" s="82">
        <f t="shared" si="8"/>
        <v>65.993378702025367</v>
      </c>
    </row>
    <row r="44" spans="1:11" x14ac:dyDescent="0.25">
      <c r="A44" s="115">
        <v>34</v>
      </c>
      <c r="B44" s="115">
        <v>34</v>
      </c>
      <c r="C44" s="82">
        <f t="shared" si="0"/>
        <v>17</v>
      </c>
      <c r="D44" s="82">
        <f t="shared" si="1"/>
        <v>8.3449094185282213</v>
      </c>
      <c r="E44" s="82">
        <f t="shared" si="2"/>
        <v>7.1032496384400687</v>
      </c>
      <c r="F44" s="82">
        <f t="shared" si="3"/>
        <v>15.396135728592785</v>
      </c>
      <c r="G44" s="82">
        <f t="shared" si="4"/>
        <v>13.105306488370367</v>
      </c>
      <c r="H44" s="82">
        <f t="shared" si="5"/>
        <v>10.681088555259455</v>
      </c>
      <c r="I44" s="82">
        <f t="shared" si="6"/>
        <v>17.306069412621941</v>
      </c>
      <c r="J44" s="82">
        <f t="shared" si="7"/>
        <v>41.918831696242918</v>
      </c>
      <c r="K44" s="82">
        <f t="shared" si="8"/>
        <v>67.93997374456049</v>
      </c>
    </row>
    <row r="45" spans="1:11" x14ac:dyDescent="0.25">
      <c r="A45" s="115">
        <v>35</v>
      </c>
      <c r="B45" s="115">
        <v>35</v>
      </c>
      <c r="C45" s="82">
        <f t="shared" si="0"/>
        <v>17.5</v>
      </c>
      <c r="D45" s="82">
        <f t="shared" si="1"/>
        <v>8.5614116595512471</v>
      </c>
      <c r="E45" s="82">
        <f t="shared" si="2"/>
        <v>7.2875379737758257</v>
      </c>
      <c r="F45" s="82">
        <f t="shared" si="3"/>
        <v>15.795576599806321</v>
      </c>
      <c r="G45" s="82">
        <f t="shared" si="4"/>
        <v>13.445313561152494</v>
      </c>
      <c r="H45" s="82">
        <f t="shared" si="5"/>
        <v>10.986229513908508</v>
      </c>
      <c r="I45" s="82">
        <f t="shared" si="6"/>
        <v>17.80070821250975</v>
      </c>
      <c r="J45" s="82">
        <f t="shared" si="7"/>
        <v>43.118496869983055</v>
      </c>
      <c r="K45" s="82">
        <f t="shared" si="8"/>
        <v>69.885208669457725</v>
      </c>
    </row>
    <row r="46" spans="1:11" x14ac:dyDescent="0.25">
      <c r="A46" s="115">
        <v>36</v>
      </c>
      <c r="B46" s="115">
        <v>36</v>
      </c>
      <c r="C46" s="82">
        <f t="shared" si="0"/>
        <v>18</v>
      </c>
      <c r="D46" s="82">
        <f t="shared" si="1"/>
        <v>8.7771949685951878</v>
      </c>
      <c r="E46" s="82">
        <f t="shared" si="2"/>
        <v>7.4712143488056828</v>
      </c>
      <c r="F46" s="82">
        <f t="shared" si="3"/>
        <v>16.193691060657045</v>
      </c>
      <c r="G46" s="82">
        <f t="shared" si="4"/>
        <v>13.784191583461139</v>
      </c>
      <c r="H46" s="82">
        <f t="shared" si="5"/>
        <v>11.29114664807568</v>
      </c>
      <c r="I46" s="82">
        <f t="shared" si="6"/>
        <v>18.294990152536435</v>
      </c>
      <c r="J46" s="82">
        <f t="shared" si="7"/>
        <v>44.317336143301816</v>
      </c>
      <c r="K46" s="82">
        <f t="shared" si="8"/>
        <v>71.829126800467265</v>
      </c>
    </row>
    <row r="47" spans="1:11" x14ac:dyDescent="0.25">
      <c r="A47" s="115">
        <v>37</v>
      </c>
      <c r="B47" s="115">
        <v>37</v>
      </c>
      <c r="C47" s="82">
        <f t="shared" si="0"/>
        <v>18.5</v>
      </c>
      <c r="D47" s="82">
        <f t="shared" si="1"/>
        <v>8.9922816103350698</v>
      </c>
      <c r="E47" s="82">
        <f t="shared" si="2"/>
        <v>7.6542977153884202</v>
      </c>
      <c r="F47" s="82">
        <f t="shared" si="3"/>
        <v>16.59052018887764</v>
      </c>
      <c r="G47" s="82">
        <f t="shared" si="4"/>
        <v>14.121975520971226</v>
      </c>
      <c r="H47" s="82">
        <f t="shared" si="5"/>
        <v>11.595846889403314</v>
      </c>
      <c r="I47" s="82">
        <f t="shared" si="6"/>
        <v>18.788926284330067</v>
      </c>
      <c r="J47" s="82">
        <f t="shared" si="7"/>
        <v>45.51537509359045</v>
      </c>
      <c r="K47" s="82">
        <f t="shared" si="8"/>
        <v>73.771768917508254</v>
      </c>
    </row>
    <row r="48" spans="1:11" x14ac:dyDescent="0.25">
      <c r="A48" s="115">
        <v>38</v>
      </c>
      <c r="B48" s="115">
        <v>38</v>
      </c>
      <c r="C48" s="82">
        <f t="shared" si="0"/>
        <v>19</v>
      </c>
      <c r="D48" s="82">
        <f t="shared" si="1"/>
        <v>9.2066925774398314</v>
      </c>
      <c r="E48" s="82">
        <f t="shared" si="2"/>
        <v>7.8368059426416634</v>
      </c>
      <c r="F48" s="82">
        <f t="shared" si="3"/>
        <v>16.986102715383485</v>
      </c>
      <c r="G48" s="82">
        <f t="shared" si="4"/>
        <v>14.458698341729102</v>
      </c>
      <c r="H48" s="82">
        <f t="shared" si="5"/>
        <v>11.900336773521188</v>
      </c>
      <c r="I48" s="82">
        <f t="shared" si="6"/>
        <v>19.282527028126694</v>
      </c>
      <c r="J48" s="82">
        <f t="shared" si="7"/>
        <v>46.712637836974835</v>
      </c>
      <c r="K48" s="82">
        <f t="shared" si="8"/>
        <v>75.71317347069693</v>
      </c>
    </row>
    <row r="49" spans="1:11" x14ac:dyDescent="0.25">
      <c r="A49" s="115">
        <v>39</v>
      </c>
      <c r="B49" s="115">
        <v>39</v>
      </c>
      <c r="C49" s="82">
        <f t="shared" si="0"/>
        <v>19.5</v>
      </c>
      <c r="D49" s="82">
        <f t="shared" si="1"/>
        <v>9.4204476947792024</v>
      </c>
      <c r="E49" s="82">
        <f t="shared" si="2"/>
        <v>8.0187559056435855</v>
      </c>
      <c r="F49" s="82">
        <f t="shared" si="3"/>
        <v>17.380475216531455</v>
      </c>
      <c r="G49" s="82">
        <f t="shared" si="4"/>
        <v>14.79439117980476</v>
      </c>
      <c r="H49" s="82">
        <f t="shared" si="5"/>
        <v>12.204622472489142</v>
      </c>
      <c r="I49" s="82">
        <f t="shared" si="6"/>
        <v>19.775802224496026</v>
      </c>
      <c r="J49" s="82">
        <f t="shared" si="7"/>
        <v>47.909147148027181</v>
      </c>
      <c r="K49" s="82">
        <f t="shared" si="8"/>
        <v>77.653376771211583</v>
      </c>
    </row>
    <row r="50" spans="1:11" x14ac:dyDescent="0.25">
      <c r="A50" s="115">
        <v>40</v>
      </c>
      <c r="B50" s="115">
        <v>40</v>
      </c>
      <c r="C50" s="82">
        <f t="shared" si="0"/>
        <v>20</v>
      </c>
      <c r="D50" s="82">
        <f t="shared" si="1"/>
        <v>9.6335657126419925</v>
      </c>
      <c r="E50" s="82">
        <f t="shared" si="2"/>
        <v>8.2001635647809952</v>
      </c>
      <c r="F50" s="82">
        <f t="shared" si="3"/>
        <v>17.773672286105256</v>
      </c>
      <c r="G50" s="82">
        <f t="shared" si="4"/>
        <v>15.129083481686983</v>
      </c>
      <c r="H50" s="82">
        <f t="shared" si="5"/>
        <v>12.508709823818648</v>
      </c>
      <c r="I50" s="82">
        <f t="shared" si="6"/>
        <v>20.268761180612668</v>
      </c>
      <c r="J50" s="82">
        <f t="shared" si="7"/>
        <v>49.104924566854024</v>
      </c>
      <c r="K50" s="82">
        <f t="shared" si="8"/>
        <v>79.592413162030979</v>
      </c>
    </row>
    <row r="51" spans="1:11" x14ac:dyDescent="0.25">
      <c r="A51" s="115">
        <v>41</v>
      </c>
      <c r="B51" s="115">
        <v>41</v>
      </c>
      <c r="C51" s="82">
        <f t="shared" si="0"/>
        <v>20.5</v>
      </c>
      <c r="D51" s="82">
        <f t="shared" si="1"/>
        <v>9.8460643903701044</v>
      </c>
      <c r="E51" s="82">
        <f t="shared" si="2"/>
        <v>8.3810440369392456</v>
      </c>
      <c r="F51" s="82">
        <f t="shared" si="3"/>
        <v>18.165726689617941</v>
      </c>
      <c r="G51" s="82">
        <f t="shared" si="4"/>
        <v>15.462803137626816</v>
      </c>
      <c r="H51" s="82">
        <f t="shared" si="5"/>
        <v>12.81260435651053</v>
      </c>
      <c r="I51" s="82">
        <f t="shared" si="6"/>
        <v>20.76141271176996</v>
      </c>
      <c r="J51" s="82">
        <f t="shared" si="7"/>
        <v>50.299990495174015</v>
      </c>
      <c r="K51" s="82">
        <f t="shared" si="8"/>
        <v>81.530315171118218</v>
      </c>
    </row>
    <row r="52" spans="1:11" x14ac:dyDescent="0.25">
      <c r="A52" s="115">
        <v>42</v>
      </c>
      <c r="B52" s="115">
        <v>42</v>
      </c>
      <c r="C52" s="82">
        <f t="shared" si="0"/>
        <v>21</v>
      </c>
      <c r="D52" s="82">
        <f t="shared" si="1"/>
        <v>10.057960571603429</v>
      </c>
      <c r="E52" s="82">
        <f t="shared" si="2"/>
        <v>8.5614116595512471</v>
      </c>
      <c r="F52" s="82">
        <f t="shared" si="3"/>
        <v>18.556669503136725</v>
      </c>
      <c r="G52" s="82">
        <f t="shared" si="4"/>
        <v>15.795576599806321</v>
      </c>
      <c r="H52" s="82">
        <f t="shared" si="5"/>
        <v>13.116311314480869</v>
      </c>
      <c r="I52" s="82">
        <f t="shared" si="6"/>
        <v>21.253765178729648</v>
      </c>
      <c r="J52" s="82">
        <f t="shared" si="7"/>
        <v>51.494364282758326</v>
      </c>
      <c r="K52" s="82">
        <f t="shared" si="8"/>
        <v>83.467113649238954</v>
      </c>
    </row>
    <row r="53" spans="1:11" x14ac:dyDescent="0.25">
      <c r="A53" s="115">
        <v>43</v>
      </c>
      <c r="B53" s="115">
        <v>43</v>
      </c>
      <c r="C53" s="82">
        <f t="shared" si="0"/>
        <v>21.5</v>
      </c>
      <c r="D53" s="82">
        <f t="shared" si="1"/>
        <v>10.269270252156668</v>
      </c>
      <c r="E53" s="82">
        <f t="shared" si="2"/>
        <v>8.7412800483747422</v>
      </c>
      <c r="F53" s="82">
        <f t="shared" si="3"/>
        <v>18.946530238513894</v>
      </c>
      <c r="G53" s="82">
        <f t="shared" si="4"/>
        <v>16.127428988936053</v>
      </c>
      <c r="H53" s="82">
        <f t="shared" si="5"/>
        <v>13.419835677693063</v>
      </c>
      <c r="I53" s="82">
        <f t="shared" si="6"/>
        <v>21.745826521414262</v>
      </c>
      <c r="J53" s="82">
        <f t="shared" si="7"/>
        <v>52.688064305406726</v>
      </c>
      <c r="K53" s="82">
        <f t="shared" si="8"/>
        <v>85.402837894284659</v>
      </c>
    </row>
    <row r="54" spans="1:11" x14ac:dyDescent="0.25">
      <c r="A54" s="115">
        <v>44</v>
      </c>
      <c r="B54" s="115">
        <v>44</v>
      </c>
      <c r="C54" s="82">
        <f t="shared" si="0"/>
        <v>22</v>
      </c>
      <c r="D54" s="82">
        <f t="shared" si="1"/>
        <v>10.480008641404153</v>
      </c>
      <c r="E54" s="82">
        <f t="shared" si="2"/>
        <v>8.9206621497435137</v>
      </c>
      <c r="F54" s="82">
        <f t="shared" si="3"/>
        <v>19.335336956640202</v>
      </c>
      <c r="G54" s="82">
        <f t="shared" si="4"/>
        <v>16.458384190657213</v>
      </c>
      <c r="H54" s="82">
        <f t="shared" si="5"/>
        <v>13.72318218126869</v>
      </c>
      <c r="I54" s="82">
        <f t="shared" si="6"/>
        <v>22.237604289376982</v>
      </c>
      <c r="J54" s="82">
        <f t="shared" si="7"/>
        <v>53.881108035465743</v>
      </c>
      <c r="K54" s="82">
        <f t="shared" si="8"/>
        <v>87.337515763704559</v>
      </c>
    </row>
    <row r="55" spans="1:11" x14ac:dyDescent="0.25">
      <c r="A55" s="115">
        <v>45</v>
      </c>
      <c r="B55" s="115">
        <v>45</v>
      </c>
      <c r="C55" s="82">
        <f t="shared" si="0"/>
        <v>22.5</v>
      </c>
      <c r="D55" s="82">
        <f t="shared" si="1"/>
        <v>10.690190217926894</v>
      </c>
      <c r="E55" s="82">
        <f t="shared" si="2"/>
        <v>9.0995702879345721</v>
      </c>
      <c r="F55" s="82">
        <f t="shared" si="3"/>
        <v>19.723116370112194</v>
      </c>
      <c r="G55" s="82">
        <f t="shared" si="4"/>
        <v>16.788464942932801</v>
      </c>
      <c r="H55" s="82">
        <f t="shared" si="5"/>
        <v>14.02635533281207</v>
      </c>
      <c r="I55" s="82">
        <f t="shared" si="6"/>
        <v>22.729105669423458</v>
      </c>
      <c r="J55" s="82">
        <f t="shared" si="7"/>
        <v>55.073512105755341</v>
      </c>
      <c r="K55" s="82">
        <f t="shared" si="8"/>
        <v>89.271173776428867</v>
      </c>
    </row>
    <row r="56" spans="1:11" x14ac:dyDescent="0.25">
      <c r="A56" s="115">
        <v>46</v>
      </c>
      <c r="B56" s="115">
        <v>46</v>
      </c>
      <c r="C56" s="82">
        <f t="shared" si="0"/>
        <v>23</v>
      </c>
      <c r="D56" s="82">
        <f t="shared" si="1"/>
        <v>10.899828780073781</v>
      </c>
      <c r="E56" s="82">
        <f t="shared" si="2"/>
        <v>9.2780162082062354</v>
      </c>
      <c r="F56" s="82">
        <f t="shared" si="3"/>
        <v>20.109893936516215</v>
      </c>
      <c r="G56" s="82">
        <f t="shared" si="4"/>
        <v>17.117692915451741</v>
      </c>
      <c r="H56" s="82">
        <f t="shared" si="5"/>
        <v>14.329359428151429</v>
      </c>
      <c r="I56" s="82">
        <f t="shared" si="6"/>
        <v>23.220337510709122</v>
      </c>
      <c r="J56" s="82">
        <f t="shared" si="7"/>
        <v>56.26529236765294</v>
      </c>
      <c r="K56" s="82">
        <f t="shared" si="8"/>
        <v>91.203837205476461</v>
      </c>
    </row>
    <row r="57" spans="1:11" x14ac:dyDescent="0.25">
      <c r="A57" s="115">
        <v>47</v>
      </c>
      <c r="B57" s="115">
        <v>47</v>
      </c>
      <c r="C57" s="82">
        <f t="shared" si="0"/>
        <v>23.5</v>
      </c>
      <c r="D57" s="82">
        <f t="shared" si="1"/>
        <v>11.108937492002095</v>
      </c>
      <c r="E57" s="82">
        <f t="shared" si="2"/>
        <v>9.4560111159881632</v>
      </c>
      <c r="F57" s="82">
        <f t="shared" si="3"/>
        <v>20.495693943372068</v>
      </c>
      <c r="G57" s="82">
        <f t="shared" si="4"/>
        <v>17.446088781933437</v>
      </c>
      <c r="H57" s="82">
        <f t="shared" si="5"/>
        <v>14.632198565672669</v>
      </c>
      <c r="I57" s="82">
        <f t="shared" si="6"/>
        <v>23.71130634759254</v>
      </c>
      <c r="J57" s="82">
        <f t="shared" si="7"/>
        <v>57.456463943984303</v>
      </c>
      <c r="K57" s="82">
        <f t="shared" si="8"/>
        <v>93.13553016228262</v>
      </c>
    </row>
    <row r="58" spans="1:11" x14ac:dyDescent="0.25">
      <c r="A58" s="115">
        <v>48</v>
      </c>
      <c r="B58" s="115">
        <v>48</v>
      </c>
      <c r="C58" s="82">
        <f t="shared" si="0"/>
        <v>24</v>
      </c>
      <c r="D58" s="82">
        <f t="shared" si="1"/>
        <v>11.31752892568918</v>
      </c>
      <c r="E58" s="82">
        <f t="shared" si="2"/>
        <v>9.6335657126419925</v>
      </c>
      <c r="F58" s="82">
        <f t="shared" si="3"/>
        <v>20.880539585643231</v>
      </c>
      <c r="G58" s="82">
        <f t="shared" si="4"/>
        <v>17.773672286105256</v>
      </c>
      <c r="H58" s="82">
        <f t="shared" si="5"/>
        <v>14.934876659398808</v>
      </c>
      <c r="I58" s="82">
        <f t="shared" si="6"/>
        <v>24.202018420488962</v>
      </c>
      <c r="J58" s="82">
        <f t="shared" si="7"/>
        <v>58.647041277285986</v>
      </c>
      <c r="K58" s="82">
        <f t="shared" si="8"/>
        <v>95.066275673647311</v>
      </c>
    </row>
    <row r="59" spans="1:11" x14ac:dyDescent="0.25">
      <c r="A59" s="115">
        <v>49</v>
      </c>
      <c r="B59" s="115">
        <v>49</v>
      </c>
      <c r="C59" s="82">
        <f t="shared" si="0"/>
        <v>24.5</v>
      </c>
      <c r="D59" s="82">
        <f t="shared" si="1"/>
        <v>11.525615099344257</v>
      </c>
      <c r="E59" s="82">
        <f t="shared" si="2"/>
        <v>9.8106902281577639</v>
      </c>
      <c r="F59" s="82">
        <f t="shared" si="3"/>
        <v>21.264453036605779</v>
      </c>
      <c r="G59" s="82">
        <f t="shared" si="4"/>
        <v>18.100462302026479</v>
      </c>
      <c r="H59" s="82">
        <f t="shared" si="5"/>
        <v>15.237397450948702</v>
      </c>
      <c r="I59" s="82">
        <f t="shared" si="6"/>
        <v>24.692479694936999</v>
      </c>
      <c r="J59" s="82">
        <f t="shared" si="7"/>
        <v>59.837038173932363</v>
      </c>
      <c r="K59" s="82">
        <f t="shared" si="8"/>
        <v>96.996095752090369</v>
      </c>
    </row>
    <row r="60" spans="1:11" x14ac:dyDescent="0.25">
      <c r="A60" s="115">
        <v>50</v>
      </c>
      <c r="B60" s="115">
        <v>50</v>
      </c>
      <c r="C60" s="82">
        <f t="shared" si="0"/>
        <v>25</v>
      </c>
      <c r="D60" s="82">
        <f t="shared" si="1"/>
        <v>11.733207512596055</v>
      </c>
      <c r="E60" s="82">
        <f t="shared" si="2"/>
        <v>9.9873944511059136</v>
      </c>
      <c r="F60" s="82">
        <f t="shared" si="3"/>
        <v>21.647455512768612</v>
      </c>
      <c r="G60" s="82">
        <f t="shared" si="4"/>
        <v>18.42647688934899</v>
      </c>
      <c r="H60" s="82">
        <f t="shared" si="5"/>
        <v>15.539764520491985</v>
      </c>
      <c r="I60" s="82">
        <f t="shared" si="6"/>
        <v>25.182695879064863</v>
      </c>
      <c r="J60" s="82">
        <f t="shared" si="7"/>
        <v>61.02646784455878</v>
      </c>
      <c r="K60" s="82">
        <f t="shared" si="8"/>
        <v>98.925011460301036</v>
      </c>
    </row>
    <row r="61" spans="1:11" x14ac:dyDescent="0.25">
      <c r="A61" s="115">
        <v>51</v>
      </c>
      <c r="B61" s="115">
        <v>51</v>
      </c>
      <c r="C61" s="82">
        <f t="shared" si="0"/>
        <v>25.5</v>
      </c>
      <c r="D61" s="82">
        <f t="shared" si="1"/>
        <v>11.940317178785925</v>
      </c>
      <c r="E61" s="82">
        <f t="shared" si="2"/>
        <v>10.163687756125407</v>
      </c>
      <c r="F61" s="82">
        <f t="shared" si="3"/>
        <v>22.029567333453311</v>
      </c>
      <c r="G61" s="82">
        <f t="shared" si="4"/>
        <v>18.751733344032118</v>
      </c>
      <c r="H61" s="82">
        <f t="shared" si="5"/>
        <v>15.841981296802865</v>
      </c>
      <c r="I61" s="82">
        <f t="shared" si="6"/>
        <v>25.672672439619863</v>
      </c>
      <c r="J61" s="82">
        <f t="shared" si="7"/>
        <v>62.215342941159477</v>
      </c>
      <c r="K61" s="82">
        <f t="shared" si="8"/>
        <v>100.85304297028577</v>
      </c>
    </row>
    <row r="62" spans="1:11" x14ac:dyDescent="0.25">
      <c r="A62" s="115">
        <v>52</v>
      </c>
      <c r="B62" s="115">
        <v>52</v>
      </c>
      <c r="C62" s="82">
        <f t="shared" si="0"/>
        <v>26</v>
      </c>
      <c r="D62" s="82">
        <f t="shared" si="1"/>
        <v>12.146954654656581</v>
      </c>
      <c r="E62" s="82">
        <f t="shared" si="2"/>
        <v>10.339579129195011</v>
      </c>
      <c r="F62" s="82">
        <f t="shared" si="3"/>
        <v>22.410807975569174</v>
      </c>
      <c r="G62" s="82">
        <f t="shared" si="4"/>
        <v>19.07624824496747</v>
      </c>
      <c r="H62" s="82">
        <f t="shared" si="5"/>
        <v>16.144051066503074</v>
      </c>
      <c r="I62" s="82">
        <f t="shared" si="6"/>
        <v>26.162414616705156</v>
      </c>
      <c r="J62" s="82">
        <f t="shared" si="7"/>
        <v>63.403675591193718</v>
      </c>
      <c r="K62" s="82">
        <f t="shared" si="8"/>
        <v>102.78020961774629</v>
      </c>
    </row>
    <row r="63" spans="1:11" x14ac:dyDescent="0.25">
      <c r="A63" s="115">
        <v>53</v>
      </c>
      <c r="B63" s="115">
        <v>53</v>
      </c>
      <c r="C63" s="82">
        <f t="shared" si="0"/>
        <v>26.5</v>
      </c>
      <c r="D63" s="82">
        <f t="shared" si="1"/>
        <v>12.353130067692531</v>
      </c>
      <c r="E63" s="82">
        <f t="shared" si="2"/>
        <v>10.515077190905684</v>
      </c>
      <c r="F63" s="82">
        <f t="shared" si="3"/>
        <v>22.791196124055514</v>
      </c>
      <c r="G63" s="82">
        <f t="shared" si="4"/>
        <v>19.400037496915878</v>
      </c>
      <c r="H63" s="82">
        <f t="shared" si="5"/>
        <v>16.445976982573757</v>
      </c>
      <c r="I63" s="82">
        <f t="shared" si="6"/>
        <v>26.651927437350878</v>
      </c>
      <c r="J63" s="82">
        <f t="shared" si="7"/>
        <v>64.591477428993954</v>
      </c>
      <c r="K63" s="82">
        <f t="shared" si="8"/>
        <v>104.70652995215612</v>
      </c>
    </row>
    <row r="64" spans="1:11" x14ac:dyDescent="0.25">
      <c r="A64" s="115">
        <v>54</v>
      </c>
      <c r="B64" s="115">
        <v>54</v>
      </c>
      <c r="C64" s="82">
        <f t="shared" si="0"/>
        <v>27</v>
      </c>
      <c r="D64" s="82">
        <f t="shared" si="1"/>
        <v>12.558853141338753</v>
      </c>
      <c r="E64" s="82">
        <f t="shared" si="2"/>
        <v>10.690190217926894</v>
      </c>
      <c r="F64" s="82">
        <f t="shared" si="3"/>
        <v>23.170749718409468</v>
      </c>
      <c r="G64" s="82">
        <f t="shared" si="4"/>
        <v>19.723116370112194</v>
      </c>
      <c r="H64" s="82">
        <f t="shared" si="5"/>
        <v>16.747762072206761</v>
      </c>
      <c r="I64" s="82">
        <f t="shared" si="6"/>
        <v>27.141215728032023</v>
      </c>
      <c r="J64" s="82">
        <f t="shared" si="7"/>
        <v>65.778759624737063</v>
      </c>
      <c r="K64" s="82">
        <f t="shared" si="8"/>
        <v>106.63202178295099</v>
      </c>
    </row>
    <row r="65" spans="1:11" x14ac:dyDescent="0.25">
      <c r="A65" s="115">
        <v>55</v>
      </c>
      <c r="B65" s="115">
        <v>55</v>
      </c>
      <c r="C65" s="82">
        <f t="shared" si="0"/>
        <v>27.5</v>
      </c>
      <c r="D65" s="82">
        <f t="shared" si="1"/>
        <v>12.764133218298472</v>
      </c>
      <c r="E65" s="82">
        <f t="shared" si="2"/>
        <v>10.864926162837873</v>
      </c>
      <c r="F65" s="82">
        <f t="shared" si="3"/>
        <v>23.549485995669766</v>
      </c>
      <c r="G65" s="82">
        <f t="shared" si="4"/>
        <v>20.045499536853356</v>
      </c>
      <c r="H65" s="82">
        <f t="shared" si="5"/>
        <v>17.049409244057948</v>
      </c>
      <c r="I65" s="82">
        <f t="shared" si="6"/>
        <v>27.630284126232901</v>
      </c>
      <c r="J65" s="82">
        <f t="shared" si="7"/>
        <v>66.965532911208228</v>
      </c>
      <c r="K65" s="82">
        <f t="shared" si="8"/>
        <v>108.55670222220115</v>
      </c>
    </row>
    <row r="66" spans="1:11" x14ac:dyDescent="0.25">
      <c r="A66" s="115">
        <v>56</v>
      </c>
      <c r="B66" s="115">
        <v>56</v>
      </c>
      <c r="C66" s="82">
        <f t="shared" si="0"/>
        <v>28</v>
      </c>
      <c r="D66" s="82">
        <f t="shared" si="1"/>
        <v>12.968979282088577</v>
      </c>
      <c r="E66" s="82">
        <f t="shared" si="2"/>
        <v>11.039292672475748</v>
      </c>
      <c r="F66" s="82">
        <f t="shared" si="3"/>
        <v>23.927421530185931</v>
      </c>
      <c r="G66" s="82">
        <f t="shared" si="4"/>
        <v>20.367201105350322</v>
      </c>
      <c r="H66" s="82">
        <f t="shared" si="5"/>
        <v>17.350921294958003</v>
      </c>
      <c r="I66" s="82">
        <f t="shared" si="6"/>
        <v>28.119137091146712</v>
      </c>
      <c r="J66" s="82">
        <f t="shared" si="7"/>
        <v>68.151807608563757</v>
      </c>
      <c r="K66" s="82">
        <f t="shared" si="8"/>
        <v>110.48058772409206</v>
      </c>
    </row>
    <row r="67" spans="1:11" x14ac:dyDescent="0.25">
      <c r="A67" s="115">
        <v>57</v>
      </c>
      <c r="B67" s="115">
        <v>57</v>
      </c>
      <c r="C67" s="82">
        <f t="shared" si="0"/>
        <v>28.5</v>
      </c>
      <c r="D67" s="82">
        <f t="shared" si="1"/>
        <v>13.17339997701186</v>
      </c>
      <c r="E67" s="82">
        <f t="shared" si="2"/>
        <v>11.213297104936025</v>
      </c>
      <c r="F67" s="82">
        <f t="shared" si="3"/>
        <v>24.30457227046648</v>
      </c>
      <c r="G67" s="82">
        <f t="shared" si="4"/>
        <v>20.688234651093438</v>
      </c>
      <c r="H67" s="82">
        <f t="shared" si="5"/>
        <v>17.652300916130351</v>
      </c>
      <c r="I67" s="82">
        <f t="shared" si="6"/>
        <v>28.607778913589261</v>
      </c>
      <c r="J67" s="82">
        <f t="shared" si="7"/>
        <v>69.337593647274858</v>
      </c>
      <c r="K67" s="82">
        <f t="shared" si="8"/>
        <v>112.40369412150557</v>
      </c>
    </row>
    <row r="68" spans="1:11" x14ac:dyDescent="0.25">
      <c r="A68" s="115">
        <v>58</v>
      </c>
      <c r="B68" s="115">
        <v>58</v>
      </c>
      <c r="C68" s="82">
        <f t="shared" si="0"/>
        <v>29</v>
      </c>
      <c r="D68" s="82">
        <f t="shared" si="1"/>
        <v>13.377403626687906</v>
      </c>
      <c r="E68" s="82">
        <f t="shared" si="2"/>
        <v>11.386946545346296</v>
      </c>
      <c r="F68" s="82">
        <f t="shared" si="3"/>
        <v>24.680953573367994</v>
      </c>
      <c r="G68" s="82">
        <f t="shared" si="4"/>
        <v>21.008613245954479</v>
      </c>
      <c r="H68" s="82">
        <f t="shared" si="5"/>
        <v>17.953550698960409</v>
      </c>
      <c r="I68" s="82">
        <f t="shared" si="6"/>
        <v>29.096213725197209</v>
      </c>
      <c r="J68" s="82">
        <f t="shared" si="7"/>
        <v>70.522900589415698</v>
      </c>
      <c r="K68" s="82">
        <f t="shared" si="8"/>
        <v>114.32603665996108</v>
      </c>
    </row>
    <row r="69" spans="1:11" x14ac:dyDescent="0.25">
      <c r="A69" s="115">
        <v>59</v>
      </c>
      <c r="B69" s="115">
        <v>59</v>
      </c>
      <c r="C69" s="82">
        <f t="shared" si="0"/>
        <v>29.5</v>
      </c>
      <c r="D69" s="82">
        <f t="shared" si="1"/>
        <v>13.580998251269925</v>
      </c>
      <c r="E69" s="82">
        <f t="shared" si="2"/>
        <v>11.560247820521267</v>
      </c>
      <c r="F69" s="82">
        <f t="shared" si="3"/>
        <v>25.056580235859606</v>
      </c>
      <c r="G69" s="82">
        <f t="shared" si="4"/>
        <v>21.328349485224834</v>
      </c>
      <c r="H69" s="82">
        <f t="shared" si="5"/>
        <v>18.254673140355653</v>
      </c>
      <c r="I69" s="82">
        <f t="shared" si="6"/>
        <v>29.584445506974106</v>
      </c>
      <c r="J69" s="82">
        <f t="shared" si="7"/>
        <v>71.707737648441963</v>
      </c>
      <c r="K69" s="82">
        <f t="shared" si="8"/>
        <v>116.24763002914962</v>
      </c>
    </row>
    <row r="70" spans="1:11" x14ac:dyDescent="0.25">
      <c r="A70" s="115">
        <v>60</v>
      </c>
      <c r="B70" s="115">
        <v>60</v>
      </c>
      <c r="C70" s="82">
        <f t="shared" si="0"/>
        <v>30</v>
      </c>
      <c r="D70" s="82">
        <f t="shared" si="1"/>
        <v>13.784191583461139</v>
      </c>
      <c r="E70" s="82">
        <f t="shared" si="2"/>
        <v>11.733207512596055</v>
      </c>
      <c r="F70" s="82">
        <f t="shared" si="3"/>
        <v>25.431466524572937</v>
      </c>
      <c r="G70" s="82">
        <f t="shared" si="4"/>
        <v>21.647455512768612</v>
      </c>
      <c r="H70" s="82">
        <f t="shared" si="5"/>
        <v>18.555670647732004</v>
      </c>
      <c r="I70" s="82">
        <f t="shared" si="6"/>
        <v>30.072478097240516</v>
      </c>
      <c r="J70" s="82">
        <f t="shared" si="7"/>
        <v>72.892113707590241</v>
      </c>
      <c r="K70" s="82">
        <f t="shared" si="8"/>
        <v>118.16848839226979</v>
      </c>
    </row>
    <row r="71" spans="1:11" x14ac:dyDescent="0.25">
      <c r="A71" s="115">
        <v>61</v>
      </c>
      <c r="B71" s="115">
        <v>61</v>
      </c>
      <c r="C71" s="82">
        <f t="shared" si="0"/>
        <v>30.5</v>
      </c>
      <c r="D71" s="82">
        <f t="shared" si="1"/>
        <v>13.986991083433242</v>
      </c>
      <c r="E71" s="82">
        <f t="shared" si="2"/>
        <v>11.905831971724908</v>
      </c>
      <c r="F71" s="82">
        <f t="shared" si="3"/>
        <v>25.80562620332617</v>
      </c>
      <c r="G71" s="82">
        <f t="shared" si="4"/>
        <v>21.965943044451311</v>
      </c>
      <c r="H71" s="82">
        <f t="shared" si="5"/>
        <v>18.856545543658388</v>
      </c>
      <c r="I71" s="82">
        <f t="shared" si="6"/>
        <v>30.560315199039167</v>
      </c>
      <c r="J71" s="82">
        <f t="shared" si="7"/>
        <v>74.076037337016118</v>
      </c>
      <c r="K71" s="82">
        <f t="shared" si="8"/>
        <v>120.08862541335202</v>
      </c>
    </row>
    <row r="72" spans="1:11" x14ac:dyDescent="0.25">
      <c r="A72" s="115">
        <v>62</v>
      </c>
      <c r="B72" s="115">
        <v>62</v>
      </c>
      <c r="C72" s="82">
        <f t="shared" si="0"/>
        <v>31</v>
      </c>
      <c r="D72" s="82">
        <f t="shared" si="1"/>
        <v>14.189403952738854</v>
      </c>
      <c r="E72" s="82">
        <f t="shared" si="2"/>
        <v>12.078127327923548</v>
      </c>
      <c r="F72" s="82">
        <f t="shared" si="3"/>
        <v>26.179072558792139</v>
      </c>
      <c r="G72" s="82">
        <f t="shared" si="4"/>
        <v>22.283823389988751</v>
      </c>
      <c r="H72" s="82">
        <f t="shared" si="5"/>
        <v>19.157300070188036</v>
      </c>
      <c r="I72" s="82">
        <f t="shared" si="6"/>
        <v>31.047960387040746</v>
      </c>
      <c r="J72" s="82">
        <f t="shared" si="7"/>
        <v>75.259516809776784</v>
      </c>
      <c r="K72" s="82">
        <f t="shared" si="8"/>
        <v>122.00805428274089</v>
      </c>
    </row>
    <row r="73" spans="1:11" x14ac:dyDescent="0.25">
      <c r="A73" s="115">
        <v>63</v>
      </c>
      <c r="B73" s="115">
        <v>63</v>
      </c>
      <c r="C73" s="82">
        <f t="shared" si="0"/>
        <v>31.5</v>
      </c>
      <c r="D73" s="82">
        <f t="shared" si="1"/>
        <v>14.391437147300868</v>
      </c>
      <c r="E73" s="82">
        <f t="shared" si="2"/>
        <v>12.250099502125844</v>
      </c>
      <c r="F73" s="82">
        <f t="shared" si="3"/>
        <v>26.551818424463473</v>
      </c>
      <c r="G73" s="82">
        <f t="shared" si="4"/>
        <v>22.601107473346342</v>
      </c>
      <c r="H73" s="82">
        <f t="shared" si="5"/>
        <v>19.457936392902525</v>
      </c>
      <c r="I73" s="82">
        <f t="shared" si="6"/>
        <v>31.535417113991461</v>
      </c>
      <c r="J73" s="82">
        <f t="shared" si="7"/>
        <v>76.442560116752844</v>
      </c>
      <c r="K73" s="82">
        <f t="shared" si="8"/>
        <v>123.9267877408861</v>
      </c>
    </row>
    <row r="74" spans="1:11" x14ac:dyDescent="0.25">
      <c r="A74" s="115">
        <v>64</v>
      </c>
      <c r="B74" s="115">
        <v>64</v>
      </c>
      <c r="C74" s="82">
        <f t="shared" si="0"/>
        <v>32</v>
      </c>
      <c r="D74" s="82">
        <f t="shared" si="1"/>
        <v>14.593097389553819</v>
      </c>
      <c r="E74" s="82">
        <f t="shared" si="2"/>
        <v>12.42175421651862</v>
      </c>
      <c r="F74" s="82">
        <f t="shared" si="3"/>
        <v>26.923876203052867</v>
      </c>
      <c r="G74" s="82">
        <f t="shared" si="4"/>
        <v>22.917805851806389</v>
      </c>
      <c r="H74" s="82">
        <f t="shared" si="5"/>
        <v>19.758456604691684</v>
      </c>
      <c r="I74" s="82">
        <f t="shared" si="6"/>
        <v>32.022688716739772</v>
      </c>
      <c r="J74" s="82">
        <f t="shared" si="7"/>
        <v>77.62517498059637</v>
      </c>
      <c r="K74" s="82">
        <f t="shared" si="8"/>
        <v>125.84483810058074</v>
      </c>
    </row>
    <row r="75" spans="1:11" x14ac:dyDescent="0.25">
      <c r="A75" s="115">
        <v>65</v>
      </c>
      <c r="B75" s="115">
        <v>65</v>
      </c>
      <c r="C75" s="82">
        <f t="shared" ref="C75:C90" si="9">+B75*0.5</f>
        <v>32.5</v>
      </c>
      <c r="D75" s="82">
        <f t="shared" si="1"/>
        <v>14.79439117980476</v>
      </c>
      <c r="E75" s="82">
        <f t="shared" si="2"/>
        <v>12.593097004212099</v>
      </c>
      <c r="F75" s="82">
        <f t="shared" si="3"/>
        <v>27.295257887453797</v>
      </c>
      <c r="G75" s="82">
        <f t="shared" si="4"/>
        <v>23.233928733810014</v>
      </c>
      <c r="H75" s="82">
        <f t="shared" si="5"/>
        <v>20.058862729290571</v>
      </c>
      <c r="I75" s="82">
        <f t="shared" si="6"/>
        <v>32.509778421875588</v>
      </c>
      <c r="J75" s="82">
        <f t="shared" si="7"/>
        <v>78.807368868782021</v>
      </c>
      <c r="K75" s="82">
        <f t="shared" si="8"/>
        <v>127.76221726776976</v>
      </c>
    </row>
    <row r="76" spans="1:11" x14ac:dyDescent="0.25">
      <c r="A76" s="115">
        <v>66</v>
      </c>
      <c r="B76" s="115">
        <v>66</v>
      </c>
      <c r="C76" s="82">
        <f t="shared" si="9"/>
        <v>33</v>
      </c>
      <c r="D76" s="82">
        <f t="shared" ref="D76:D90" si="10">+EXP(-1.0587+0.8836*LN(C76*1.56)+0.284)</f>
        <v>14.995324806875232</v>
      </c>
      <c r="E76" s="82">
        <f t="shared" ref="E76:E90" si="11">+EXP(-1.0587+0.8836*LN(C76*1.3)+0.284)</f>
        <v>12.764133218298472</v>
      </c>
      <c r="F76" s="82">
        <f t="shared" ref="F76:F90" si="12">+EXP(-1.0587+0.8836*LN(B76*1.56)+0.284)</f>
        <v>27.665975080374633</v>
      </c>
      <c r="G76" s="82">
        <f t="shared" ref="G76:G90" si="13">+EXP(-1.0587+0.8836*LN(B76*1.3)+0.284)</f>
        <v>23.549485995669766</v>
      </c>
      <c r="H76" s="82">
        <f t="shared" ref="H76:H90" si="14">+(C76*1.3+E76)*0.475*44/12*0.5*0.42</f>
        <v>20.359156724592665</v>
      </c>
      <c r="I76" s="82">
        <f t="shared" ref="I76:I90" si="15">+(C76*1.56+D76)*0.475*44/12*0.5*0.57</f>
        <v>32.996689351012684</v>
      </c>
      <c r="J76" s="82">
        <f t="shared" ref="J76:J90" si="16">+(B76*1.3+G76)*0.475*44/12*0.42</f>
        <v>79.989149005832431</v>
      </c>
      <c r="K76" s="82">
        <f t="shared" ref="K76:K90" si="17">+(B76*1.56+F76)*0.475*44/12*0.57</f>
        <v>129.67893676104191</v>
      </c>
    </row>
    <row r="77" spans="1:11" x14ac:dyDescent="0.25">
      <c r="A77" s="115">
        <v>67</v>
      </c>
      <c r="B77" s="115">
        <v>67</v>
      </c>
      <c r="C77" s="82">
        <f t="shared" si="9"/>
        <v>33.5</v>
      </c>
      <c r="D77" s="82">
        <f t="shared" si="10"/>
        <v>15.19590435807994</v>
      </c>
      <c r="E77" s="82">
        <f t="shared" si="11"/>
        <v>12.934868040345785</v>
      </c>
      <c r="F77" s="82">
        <f t="shared" si="12"/>
        <v>28.036039012748962</v>
      </c>
      <c r="G77" s="82">
        <f t="shared" si="13"/>
        <v>23.864487197240759</v>
      </c>
      <c r="H77" s="82">
        <f t="shared" si="14"/>
        <v>20.659340485756466</v>
      </c>
      <c r="I77" s="82">
        <f t="shared" si="15"/>
        <v>33.483424525741931</v>
      </c>
      <c r="J77" s="82">
        <f t="shared" si="16"/>
        <v>81.170522384781606</v>
      </c>
      <c r="K77" s="82">
        <f t="shared" si="17"/>
        <v>131.59500772990654</v>
      </c>
    </row>
    <row r="78" spans="1:11" x14ac:dyDescent="0.25">
      <c r="A78" s="115">
        <v>68</v>
      </c>
      <c r="B78" s="115">
        <v>68</v>
      </c>
      <c r="C78" s="82">
        <f t="shared" si="9"/>
        <v>34</v>
      </c>
      <c r="D78" s="82">
        <f t="shared" si="10"/>
        <v>15.396135728592785</v>
      </c>
      <c r="E78" s="82">
        <f t="shared" si="11"/>
        <v>13.105306488370367</v>
      </c>
      <c r="F78" s="82">
        <f t="shared" si="12"/>
        <v>28.405460561015616</v>
      </c>
      <c r="G78" s="82">
        <f t="shared" si="13"/>
        <v>24.178941596629574</v>
      </c>
      <c r="H78" s="82">
        <f t="shared" si="14"/>
        <v>20.959415848121459</v>
      </c>
      <c r="I78" s="82">
        <f t="shared" si="15"/>
        <v>33.969986872280245</v>
      </c>
      <c r="J78" s="82">
        <f t="shared" si="16"/>
        <v>82.351495777934517</v>
      </c>
      <c r="K78" s="82">
        <f t="shared" si="17"/>
        <v>133.51044097194821</v>
      </c>
    </row>
    <row r="79" spans="1:11" x14ac:dyDescent="0.25">
      <c r="A79" s="115">
        <v>69</v>
      </c>
      <c r="B79" s="115">
        <v>69</v>
      </c>
      <c r="C79" s="82">
        <f t="shared" si="9"/>
        <v>34.5</v>
      </c>
      <c r="D79" s="82">
        <f t="shared" si="10"/>
        <v>15.596024630246266</v>
      </c>
      <c r="E79" s="82">
        <f t="shared" si="11"/>
        <v>13.275453424327006</v>
      </c>
      <c r="F79" s="82">
        <f t="shared" si="12"/>
        <v>28.774250263353583</v>
      </c>
      <c r="G79" s="82">
        <f t="shared" si="13"/>
        <v>24.492858164013299</v>
      </c>
      <c r="H79" s="82">
        <f t="shared" si="14"/>
        <v>21.259384589947601</v>
      </c>
      <c r="I79" s="82">
        <f t="shared" si="15"/>
        <v>34.456379225838489</v>
      </c>
      <c r="J79" s="82">
        <f t="shared" si="16"/>
        <v>83.532075746975735</v>
      </c>
      <c r="K79" s="82">
        <f t="shared" si="17"/>
        <v>135.42524694894425</v>
      </c>
    </row>
    <row r="80" spans="1:11" x14ac:dyDescent="0.25">
      <c r="A80" s="115">
        <v>70</v>
      </c>
      <c r="B80" s="115">
        <v>70</v>
      </c>
      <c r="C80" s="82">
        <f t="shared" si="9"/>
        <v>35</v>
      </c>
      <c r="D80" s="82">
        <f t="shared" si="10"/>
        <v>15.795576599806321</v>
      </c>
      <c r="E80" s="82">
        <f t="shared" si="11"/>
        <v>13.445313561152494</v>
      </c>
      <c r="F80" s="82">
        <f t="shared" si="12"/>
        <v>29.142418334948612</v>
      </c>
      <c r="G80" s="82">
        <f t="shared" si="13"/>
        <v>24.806245594634891</v>
      </c>
      <c r="H80" s="82">
        <f t="shared" si="14"/>
        <v>21.559248434991527</v>
      </c>
      <c r="I80" s="82">
        <f t="shared" si="15"/>
        <v>34.942604334728863</v>
      </c>
      <c r="J80" s="82">
        <f t="shared" si="16"/>
        <v>84.712268652475416</v>
      </c>
      <c r="K80" s="82">
        <f t="shared" si="17"/>
        <v>137.3394358020202</v>
      </c>
    </row>
    <row r="81" spans="1:11" x14ac:dyDescent="0.25">
      <c r="A81" s="115">
        <v>71</v>
      </c>
      <c r="B81" s="115">
        <v>71</v>
      </c>
      <c r="C81" s="82">
        <f t="shared" si="9"/>
        <v>35.5</v>
      </c>
      <c r="D81" s="82">
        <f t="shared" si="10"/>
        <v>15.994797006760864</v>
      </c>
      <c r="E81" s="82">
        <f t="shared" si="11"/>
        <v>13.614891469395298</v>
      </c>
      <c r="F81" s="82">
        <f t="shared" si="12"/>
        <v>29.509974682362923</v>
      </c>
      <c r="G81" s="82">
        <f t="shared" si="13"/>
        <v>25.119112321034617</v>
      </c>
      <c r="H81" s="82">
        <f t="shared" si="14"/>
        <v>21.859009054931327</v>
      </c>
      <c r="I81" s="82">
        <f t="shared" si="15"/>
        <v>35.428664864230925</v>
      </c>
      <c r="J81" s="82">
        <f t="shared" si="16"/>
        <v>85.892080662836818</v>
      </c>
      <c r="K81" s="82">
        <f t="shared" si="17"/>
        <v>139.25301736591581</v>
      </c>
    </row>
    <row r="82" spans="1:11" x14ac:dyDescent="0.25">
      <c r="A82" s="115">
        <v>72</v>
      </c>
      <c r="B82" s="115">
        <v>72</v>
      </c>
      <c r="C82" s="82">
        <f t="shared" si="9"/>
        <v>36</v>
      </c>
      <c r="D82" s="82">
        <f t="shared" si="10"/>
        <v>16.193691060657045</v>
      </c>
      <c r="E82" s="82">
        <f t="shared" si="11"/>
        <v>13.784191583461139</v>
      </c>
      <c r="F82" s="82">
        <f t="shared" si="12"/>
        <v>29.87692891707237</v>
      </c>
      <c r="G82" s="82">
        <f t="shared" si="13"/>
        <v>25.431466524572937</v>
      </c>
      <c r="H82" s="82">
        <f t="shared" si="14"/>
        <v>22.158668071650908</v>
      </c>
      <c r="I82" s="82">
        <f t="shared" si="15"/>
        <v>35.914563400233632</v>
      </c>
      <c r="J82" s="82">
        <f t="shared" si="16"/>
        <v>87.071517762725108</v>
      </c>
      <c r="K82" s="82">
        <f t="shared" si="17"/>
        <v>141.16600118242357</v>
      </c>
    </row>
    <row r="83" spans="1:11" x14ac:dyDescent="0.25">
      <c r="A83" s="115">
        <v>73</v>
      </c>
      <c r="B83" s="115">
        <v>73</v>
      </c>
      <c r="C83" s="82">
        <f t="shared" si="9"/>
        <v>36.5</v>
      </c>
      <c r="D83" s="82">
        <f t="shared" si="10"/>
        <v>16.392263818019313</v>
      </c>
      <c r="E83" s="82">
        <f t="shared" si="11"/>
        <v>13.953218207501635</v>
      </c>
      <c r="F83" s="82">
        <f t="shared" si="12"/>
        <v>30.243290368229957</v>
      </c>
      <c r="G83" s="82">
        <f t="shared" si="13"/>
        <v>25.743316146295072</v>
      </c>
      <c r="H83" s="82">
        <f t="shared" si="14"/>
        <v>22.458227059393721</v>
      </c>
      <c r="I83" s="82">
        <f t="shared" si="15"/>
        <v>36.40030245266933</v>
      </c>
      <c r="J83" s="82">
        <f t="shared" si="16"/>
        <v>88.250585761014847</v>
      </c>
      <c r="K83" s="82">
        <f t="shared" si="17"/>
        <v>143.07839651306028</v>
      </c>
    </row>
    <row r="84" spans="1:11" x14ac:dyDescent="0.25">
      <c r="A84" s="115">
        <v>74</v>
      </c>
      <c r="B84" s="115">
        <v>74</v>
      </c>
      <c r="C84" s="82">
        <f t="shared" si="9"/>
        <v>37</v>
      </c>
      <c r="D84" s="82">
        <f t="shared" si="10"/>
        <v>16.59052018887764</v>
      </c>
      <c r="E84" s="82">
        <f t="shared" si="11"/>
        <v>14.121975520971226</v>
      </c>
      <c r="F84" s="82">
        <f t="shared" si="12"/>
        <v>30.60906809471021</v>
      </c>
      <c r="G84" s="82">
        <f t="shared" si="13"/>
        <v>26.054668897183113</v>
      </c>
      <c r="H84" s="82">
        <f t="shared" si="14"/>
        <v>22.757687546795225</v>
      </c>
      <c r="I84" s="82">
        <f t="shared" si="15"/>
        <v>36.885884458754127</v>
      </c>
      <c r="J84" s="82">
        <f t="shared" si="16"/>
        <v>89.42929029828943</v>
      </c>
      <c r="K84" s="82">
        <f t="shared" si="17"/>
        <v>144.9902123510235</v>
      </c>
    </row>
    <row r="85" spans="1:11" x14ac:dyDescent="0.25">
      <c r="A85" s="115">
        <v>75</v>
      </c>
      <c r="B85" s="115">
        <v>75</v>
      </c>
      <c r="C85" s="82">
        <f t="shared" si="9"/>
        <v>37.5</v>
      </c>
      <c r="D85" s="82">
        <f t="shared" si="10"/>
        <v>16.788464942932801</v>
      </c>
      <c r="E85" s="82">
        <f t="shared" si="11"/>
        <v>14.290467583875053</v>
      </c>
      <c r="F85" s="82">
        <f t="shared" si="12"/>
        <v>30.974270896484146</v>
      </c>
      <c r="G85" s="82">
        <f t="shared" si="13"/>
        <v>26.365532267838553</v>
      </c>
      <c r="H85" s="82">
        <f t="shared" si="14"/>
        <v>23.057051018802298</v>
      </c>
      <c r="I85" s="82">
        <f t="shared" si="15"/>
        <v>37.371311786048267</v>
      </c>
      <c r="J85" s="82">
        <f t="shared" si="16"/>
        <v>90.607636853923893</v>
      </c>
      <c r="K85" s="82">
        <f t="shared" si="17"/>
        <v>146.90145743248462</v>
      </c>
    </row>
    <row r="86" spans="1:11" x14ac:dyDescent="0.25">
      <c r="A86" s="115">
        <v>76</v>
      </c>
      <c r="B86" s="115">
        <v>76</v>
      </c>
      <c r="C86" s="82">
        <f t="shared" si="9"/>
        <v>38</v>
      </c>
      <c r="D86" s="82">
        <f t="shared" si="10"/>
        <v>16.986102715383485</v>
      </c>
      <c r="E86" s="82">
        <f t="shared" si="11"/>
        <v>14.458698341729102</v>
      </c>
      <c r="F86" s="82">
        <f t="shared" si="12"/>
        <v>31.33890732536991</v>
      </c>
      <c r="G86" s="82">
        <f t="shared" si="13"/>
        <v>26.675913537633292</v>
      </c>
      <c r="H86" s="82">
        <f t="shared" si="14"/>
        <v>23.356318918487418</v>
      </c>
      <c r="I86" s="82">
        <f t="shared" si="15"/>
        <v>37.856586735348465</v>
      </c>
      <c r="J86" s="82">
        <f t="shared" si="16"/>
        <v>91.785630752778744</v>
      </c>
      <c r="K86" s="82">
        <f t="shared" si="17"/>
        <v>148.81214024726097</v>
      </c>
    </row>
    <row r="87" spans="1:11" x14ac:dyDescent="0.25">
      <c r="A87" s="115">
        <v>77</v>
      </c>
      <c r="B87" s="115">
        <v>77</v>
      </c>
      <c r="C87" s="82">
        <f t="shared" si="9"/>
        <v>38.5</v>
      </c>
      <c r="D87" s="82">
        <f t="shared" si="10"/>
        <v>17.183438012437968</v>
      </c>
      <c r="E87" s="82">
        <f t="shared" si="11"/>
        <v>14.626671630251748</v>
      </c>
      <c r="F87" s="82">
        <f t="shared" si="12"/>
        <v>31.702985695201871</v>
      </c>
      <c r="G87" s="82">
        <f t="shared" si="13"/>
        <v>26.985819783365685</v>
      </c>
      <c r="H87" s="82">
        <f t="shared" si="14"/>
        <v>23.655492648764575</v>
      </c>
      <c r="I87" s="82">
        <f t="shared" si="15"/>
        <v>38.341711543423891</v>
      </c>
      <c r="J87" s="82">
        <f t="shared" si="16"/>
        <v>92.963277171531999</v>
      </c>
      <c r="K87" s="82">
        <f t="shared" si="17"/>
        <v>150.72226904891167</v>
      </c>
    </row>
    <row r="88" spans="1:11" x14ac:dyDescent="0.25">
      <c r="A88" s="115">
        <v>78</v>
      </c>
      <c r="B88" s="115">
        <v>78</v>
      </c>
      <c r="C88" s="82">
        <f t="shared" si="9"/>
        <v>39</v>
      </c>
      <c r="D88" s="82">
        <f t="shared" si="10"/>
        <v>17.380475216531455</v>
      </c>
      <c r="E88" s="82">
        <f t="shared" si="11"/>
        <v>14.79439117980476</v>
      </c>
      <c r="F88" s="82">
        <f t="shared" si="12"/>
        <v>32.066514091456284</v>
      </c>
      <c r="G88" s="82">
        <f t="shared" si="13"/>
        <v>27.295257887453797</v>
      </c>
      <c r="H88" s="82">
        <f t="shared" si="14"/>
        <v>23.95457357401359</v>
      </c>
      <c r="I88" s="82">
        <f t="shared" si="15"/>
        <v>38.826688385605792</v>
      </c>
      <c r="J88" s="82">
        <f t="shared" si="16"/>
        <v>94.140581144672453</v>
      </c>
      <c r="K88" s="82">
        <f t="shared" si="17"/>
        <v>152.6318518642932</v>
      </c>
    </row>
    <row r="89" spans="1:11" x14ac:dyDescent="0.25">
      <c r="A89" s="115">
        <v>79</v>
      </c>
      <c r="B89" s="115">
        <v>79</v>
      </c>
      <c r="C89" s="82">
        <f t="shared" si="9"/>
        <v>39.5</v>
      </c>
      <c r="D89" s="82">
        <f t="shared" si="10"/>
        <v>17.577218591267989</v>
      </c>
      <c r="E89" s="82">
        <f t="shared" si="11"/>
        <v>14.961860619599978</v>
      </c>
      <c r="F89" s="82">
        <f t="shared" si="12"/>
        <v>32.429500380369085</v>
      </c>
      <c r="G89" s="82">
        <f t="shared" si="13"/>
        <v>27.60423454569694</v>
      </c>
      <c r="H89" s="82">
        <f t="shared" si="14"/>
        <v>24.253563021618689</v>
      </c>
      <c r="I89" s="82">
        <f t="shared" si="15"/>
        <v>39.311519378240646</v>
      </c>
      <c r="J89" s="82">
        <f t="shared" si="16"/>
        <v>95.317547570177311</v>
      </c>
      <c r="K89" s="82">
        <f t="shared" si="17"/>
        <v>154.54089650261142</v>
      </c>
    </row>
    <row r="90" spans="1:11" x14ac:dyDescent="0.25">
      <c r="A90" s="115">
        <v>80</v>
      </c>
      <c r="B90" s="115">
        <v>80</v>
      </c>
      <c r="C90" s="82">
        <f t="shared" si="9"/>
        <v>40</v>
      </c>
      <c r="D90" s="82">
        <f t="shared" si="10"/>
        <v>17.773672286105256</v>
      </c>
      <c r="E90" s="82">
        <f t="shared" si="11"/>
        <v>15.129083481686983</v>
      </c>
      <c r="F90" s="82">
        <f t="shared" si="12"/>
        <v>32.791952217579265</v>
      </c>
      <c r="G90" s="82">
        <f t="shared" si="13"/>
        <v>27.912756274632525</v>
      </c>
      <c r="H90" s="82">
        <f t="shared" si="14"/>
        <v>24.552462283427012</v>
      </c>
      <c r="I90" s="82">
        <f t="shared" si="15"/>
        <v>39.79620658101549</v>
      </c>
      <c r="J90" s="82">
        <f t="shared" si="16"/>
        <v>96.494181214893686</v>
      </c>
      <c r="K90" s="82">
        <f t="shared" si="17"/>
        <v>156.44941056400179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28"/>
  <sheetViews>
    <sheetView workbookViewId="0">
      <selection activeCell="AA1" sqref="AA1:AA1048576"/>
    </sheetView>
  </sheetViews>
  <sheetFormatPr baseColWidth="10" defaultRowHeight="15" x14ac:dyDescent="0.25"/>
  <cols>
    <col min="7" max="7" width="32.85546875" customWidth="1"/>
  </cols>
  <sheetData>
    <row r="1" spans="1:27" x14ac:dyDescent="0.25">
      <c r="A1" s="136" t="s">
        <v>1361</v>
      </c>
      <c r="B1" s="258" t="s">
        <v>1362</v>
      </c>
      <c r="C1" s="258" t="s">
        <v>1363</v>
      </c>
      <c r="D1" s="258" t="s">
        <v>1364</v>
      </c>
      <c r="E1" s="259" t="s">
        <v>1365</v>
      </c>
      <c r="F1" s="259" t="s">
        <v>1366</v>
      </c>
      <c r="G1" s="259" t="s">
        <v>1367</v>
      </c>
      <c r="H1" s="259" t="s">
        <v>1368</v>
      </c>
      <c r="I1" s="259" t="s">
        <v>1369</v>
      </c>
      <c r="J1" s="259" t="s">
        <v>1370</v>
      </c>
      <c r="K1" s="259" t="s">
        <v>1371</v>
      </c>
      <c r="L1" s="259" t="s">
        <v>1372</v>
      </c>
      <c r="M1" s="259" t="s">
        <v>1373</v>
      </c>
      <c r="N1" s="259" t="s">
        <v>1374</v>
      </c>
      <c r="O1" s="260" t="s">
        <v>1375</v>
      </c>
      <c r="P1" s="258" t="s">
        <v>1376</v>
      </c>
      <c r="Q1" s="258" t="s">
        <v>1377</v>
      </c>
      <c r="R1" s="258" t="s">
        <v>1378</v>
      </c>
      <c r="S1" s="259" t="s">
        <v>1379</v>
      </c>
      <c r="T1" s="258" t="s">
        <v>1380</v>
      </c>
      <c r="U1" s="258" t="s">
        <v>1381</v>
      </c>
      <c r="V1" s="258" t="s">
        <v>1382</v>
      </c>
      <c r="W1" s="258" t="s">
        <v>1383</v>
      </c>
      <c r="X1" s="258" t="s">
        <v>1384</v>
      </c>
      <c r="Y1" s="258" t="s">
        <v>1385</v>
      </c>
      <c r="Z1" s="259" t="s">
        <v>1386</v>
      </c>
      <c r="AA1" s="259" t="s">
        <v>1387</v>
      </c>
    </row>
    <row r="2" spans="1:27" x14ac:dyDescent="0.25">
      <c r="A2" s="136">
        <v>1</v>
      </c>
      <c r="B2" s="171" t="s">
        <v>710</v>
      </c>
      <c r="C2" s="171" t="s">
        <v>711</v>
      </c>
      <c r="D2" s="171" t="s">
        <v>434</v>
      </c>
      <c r="E2" s="172">
        <v>159</v>
      </c>
      <c r="F2" s="172">
        <v>568</v>
      </c>
      <c r="G2" s="172" t="s">
        <v>131</v>
      </c>
      <c r="H2" s="172">
        <v>116216</v>
      </c>
      <c r="I2" s="172" t="s">
        <v>712</v>
      </c>
      <c r="J2" s="172">
        <v>4797</v>
      </c>
      <c r="K2" s="173">
        <v>64</v>
      </c>
      <c r="L2" s="173" t="s">
        <v>8</v>
      </c>
      <c r="M2" s="173" t="s">
        <v>713</v>
      </c>
      <c r="N2" s="172">
        <v>428</v>
      </c>
      <c r="O2" s="174">
        <v>0.44666169372806502</v>
      </c>
      <c r="P2" s="172">
        <v>0.235014406668826</v>
      </c>
      <c r="Q2" s="172">
        <v>1.7559231923802499</v>
      </c>
      <c r="R2" s="172">
        <v>3.8935302974583289E-3</v>
      </c>
      <c r="S2" s="175">
        <v>15144</v>
      </c>
      <c r="T2" s="175">
        <v>0.7107437030491297</v>
      </c>
      <c r="U2" s="175">
        <v>0.18144349997639</v>
      </c>
      <c r="V2" s="175">
        <v>-3.0694272452292801</v>
      </c>
      <c r="W2" s="175">
        <v>0.100534597565308</v>
      </c>
      <c r="X2" s="172">
        <v>2.9490980000000002</v>
      </c>
      <c r="Y2" s="172">
        <v>4.0176899999999988E-2</v>
      </c>
      <c r="Z2" s="176">
        <v>0.45333333333333337</v>
      </c>
      <c r="AA2" s="176">
        <v>0.43</v>
      </c>
    </row>
    <row r="3" spans="1:27" x14ac:dyDescent="0.25">
      <c r="A3" s="136">
        <v>2</v>
      </c>
      <c r="B3" s="177" t="s">
        <v>710</v>
      </c>
      <c r="C3" s="177" t="s">
        <v>711</v>
      </c>
      <c r="D3" s="177"/>
      <c r="E3" s="172">
        <v>163</v>
      </c>
      <c r="F3" s="172">
        <v>516</v>
      </c>
      <c r="G3" s="172" t="s">
        <v>714</v>
      </c>
      <c r="H3" s="172">
        <v>93570</v>
      </c>
      <c r="I3" s="172" t="s">
        <v>715</v>
      </c>
      <c r="J3" s="172">
        <v>4798</v>
      </c>
      <c r="K3" s="173" t="s">
        <v>716</v>
      </c>
      <c r="L3" s="173" t="s">
        <v>717</v>
      </c>
      <c r="M3" s="173" t="s">
        <v>718</v>
      </c>
      <c r="N3" s="178"/>
      <c r="O3" s="179">
        <v>0.49608570000000002</v>
      </c>
      <c r="P3" s="178">
        <v>0.35638887800000002</v>
      </c>
      <c r="Q3" s="178">
        <v>1.7559231923802501</v>
      </c>
      <c r="R3" s="178">
        <v>1.73453652052958E-3</v>
      </c>
      <c r="S3" s="146"/>
      <c r="T3" s="146">
        <v>0.83890902321327565</v>
      </c>
      <c r="U3" s="146">
        <v>0.15456500000000001</v>
      </c>
      <c r="V3" s="146">
        <v>-3.624676</v>
      </c>
      <c r="W3" s="146">
        <v>7.7122999999999997E-2</v>
      </c>
      <c r="X3" s="144">
        <v>2.9490980000000002</v>
      </c>
      <c r="Y3" s="178">
        <v>4.0176899999999988E-2</v>
      </c>
      <c r="Z3" s="176">
        <v>0.43111111111111117</v>
      </c>
      <c r="AA3" s="176">
        <v>0.38999999999999996</v>
      </c>
    </row>
    <row r="4" spans="1:27" x14ac:dyDescent="0.25">
      <c r="A4" s="136">
        <v>3</v>
      </c>
      <c r="B4" s="177" t="s">
        <v>710</v>
      </c>
      <c r="C4" s="177" t="s">
        <v>711</v>
      </c>
      <c r="D4" s="177"/>
      <c r="E4" s="172">
        <v>165</v>
      </c>
      <c r="F4" s="172">
        <v>514</v>
      </c>
      <c r="G4" s="172" t="s">
        <v>719</v>
      </c>
      <c r="H4" s="172">
        <v>125811</v>
      </c>
      <c r="I4" s="172" t="s">
        <v>720</v>
      </c>
      <c r="J4" s="172">
        <v>4825</v>
      </c>
      <c r="K4" s="173" t="s">
        <v>721</v>
      </c>
      <c r="L4" s="173" t="s">
        <v>722</v>
      </c>
      <c r="M4" s="173" t="s">
        <v>723</v>
      </c>
      <c r="N4" s="178"/>
      <c r="O4" s="179">
        <v>0.49608570000000002</v>
      </c>
      <c r="P4" s="178">
        <v>0.35638887800000002</v>
      </c>
      <c r="Q4" s="178">
        <v>1.7559231923802501</v>
      </c>
      <c r="R4" s="178">
        <v>1.73453652052958E-3</v>
      </c>
      <c r="S4" s="146"/>
      <c r="T4" s="146">
        <v>0.83890902321327565</v>
      </c>
      <c r="U4" s="146">
        <v>0.15456500000000001</v>
      </c>
      <c r="V4" s="146">
        <v>-3.624676</v>
      </c>
      <c r="W4" s="146">
        <v>7.7122999999999997E-2</v>
      </c>
      <c r="X4" s="144">
        <v>2.9490980000000002</v>
      </c>
      <c r="Y4" s="178">
        <v>4.0176899999999988E-2</v>
      </c>
      <c r="Z4" s="176">
        <v>0.43111111111111117</v>
      </c>
      <c r="AA4" s="176">
        <v>0.38999999999999996</v>
      </c>
    </row>
    <row r="5" spans="1:27" x14ac:dyDescent="0.25">
      <c r="A5" s="136">
        <v>4</v>
      </c>
      <c r="B5" s="177" t="s">
        <v>710</v>
      </c>
      <c r="C5" s="177" t="s">
        <v>711</v>
      </c>
      <c r="D5" s="177"/>
      <c r="E5" s="172">
        <v>166</v>
      </c>
      <c r="F5" s="172">
        <v>157</v>
      </c>
      <c r="G5" s="172" t="s">
        <v>724</v>
      </c>
      <c r="H5" s="172"/>
      <c r="I5" s="172"/>
      <c r="J5" s="172">
        <v>4900</v>
      </c>
      <c r="K5" s="173" t="s">
        <v>725</v>
      </c>
      <c r="L5" s="173"/>
      <c r="M5" s="173"/>
      <c r="N5" s="178"/>
      <c r="O5" s="179">
        <v>0.49608570000000002</v>
      </c>
      <c r="P5" s="178">
        <v>0.35638887800000002</v>
      </c>
      <c r="Q5" s="178">
        <v>1.7559231923802501</v>
      </c>
      <c r="R5" s="178">
        <v>1.73453652052958E-3</v>
      </c>
      <c r="S5" s="146"/>
      <c r="T5" s="146">
        <v>0.83890902321327565</v>
      </c>
      <c r="U5" s="146">
        <v>0.15456500000000001</v>
      </c>
      <c r="V5" s="146">
        <v>-3.624676</v>
      </c>
      <c r="W5" s="146">
        <v>7.7122999999999997E-2</v>
      </c>
      <c r="X5" s="144">
        <v>2.9490980000000002</v>
      </c>
      <c r="Y5" s="178">
        <v>4.0176899999999988E-2</v>
      </c>
      <c r="Z5" s="176">
        <v>0.43111111111111117</v>
      </c>
      <c r="AA5" s="176">
        <v>0.38999999999999996</v>
      </c>
    </row>
    <row r="6" spans="1:27" x14ac:dyDescent="0.25">
      <c r="A6" s="136">
        <v>5</v>
      </c>
      <c r="B6" s="180" t="s">
        <v>710</v>
      </c>
      <c r="C6" s="180" t="s">
        <v>711</v>
      </c>
      <c r="D6" s="180" t="s">
        <v>434</v>
      </c>
      <c r="E6" s="172">
        <v>168</v>
      </c>
      <c r="F6" s="172">
        <v>503</v>
      </c>
      <c r="G6" s="172" t="s">
        <v>726</v>
      </c>
      <c r="H6" s="172">
        <v>93471</v>
      </c>
      <c r="I6" s="172" t="s">
        <v>727</v>
      </c>
      <c r="J6" s="172">
        <v>4828</v>
      </c>
      <c r="K6" s="173" t="s">
        <v>728</v>
      </c>
      <c r="L6" s="173" t="s">
        <v>729</v>
      </c>
      <c r="M6" s="173" t="s">
        <v>730</v>
      </c>
      <c r="N6" s="178"/>
      <c r="O6" s="179">
        <v>0.49608570000000002</v>
      </c>
      <c r="P6" s="178">
        <v>0.35638887800000002</v>
      </c>
      <c r="Q6" s="178">
        <v>1.7559231923802501</v>
      </c>
      <c r="R6" s="178">
        <v>1.73453652052958E-3</v>
      </c>
      <c r="S6" s="146"/>
      <c r="T6" s="146">
        <v>0.83890902321327565</v>
      </c>
      <c r="U6" s="146">
        <v>0.15456500000000001</v>
      </c>
      <c r="V6" s="146">
        <v>-3.624676</v>
      </c>
      <c r="W6" s="146">
        <v>7.7122999999999997E-2</v>
      </c>
      <c r="X6" s="144">
        <v>2.9490980000000002</v>
      </c>
      <c r="Y6" s="178">
        <v>4.0176899999999988E-2</v>
      </c>
      <c r="Z6" s="176">
        <v>0.46</v>
      </c>
      <c r="AA6" s="176">
        <v>0.36</v>
      </c>
    </row>
    <row r="7" spans="1:27" x14ac:dyDescent="0.25">
      <c r="A7" s="136">
        <v>6</v>
      </c>
      <c r="B7" s="177" t="s">
        <v>710</v>
      </c>
      <c r="C7" s="177" t="s">
        <v>711</v>
      </c>
      <c r="D7" s="177"/>
      <c r="E7" s="172">
        <v>169</v>
      </c>
      <c r="F7" s="172">
        <v>517</v>
      </c>
      <c r="G7" s="172" t="s">
        <v>731</v>
      </c>
      <c r="H7" s="172">
        <v>90411</v>
      </c>
      <c r="I7" s="172" t="s">
        <v>732</v>
      </c>
      <c r="J7" s="172">
        <v>4806</v>
      </c>
      <c r="K7" s="173" t="s">
        <v>733</v>
      </c>
      <c r="L7" s="173" t="s">
        <v>734</v>
      </c>
      <c r="M7" s="173" t="s">
        <v>735</v>
      </c>
      <c r="N7" s="178"/>
      <c r="O7" s="179">
        <v>0.49608570000000002</v>
      </c>
      <c r="P7" s="178">
        <v>0.35638887800000002</v>
      </c>
      <c r="Q7" s="178">
        <v>1.7559231923802501</v>
      </c>
      <c r="R7" s="178">
        <v>1.73453652052958E-3</v>
      </c>
      <c r="S7" s="146"/>
      <c r="T7" s="146">
        <v>0.83890902321327565</v>
      </c>
      <c r="U7" s="146">
        <v>0.15456500000000001</v>
      </c>
      <c r="V7" s="146">
        <v>-3.624676</v>
      </c>
      <c r="W7" s="146">
        <v>7.7122999999999997E-2</v>
      </c>
      <c r="X7" s="144">
        <v>2.9490980000000002</v>
      </c>
      <c r="Y7" s="178">
        <v>4.0176899999999988E-2</v>
      </c>
      <c r="Z7" s="176">
        <v>0.43111111111111117</v>
      </c>
      <c r="AA7" s="176">
        <v>0.38999999999999996</v>
      </c>
    </row>
    <row r="8" spans="1:27" x14ac:dyDescent="0.25">
      <c r="A8" s="136">
        <v>7</v>
      </c>
      <c r="B8" s="177" t="s">
        <v>710</v>
      </c>
      <c r="C8" s="177" t="s">
        <v>711</v>
      </c>
      <c r="D8" s="177"/>
      <c r="E8" s="172">
        <v>170</v>
      </c>
      <c r="F8" s="172">
        <v>515</v>
      </c>
      <c r="G8" s="172" t="s">
        <v>736</v>
      </c>
      <c r="H8" s="172">
        <v>93585</v>
      </c>
      <c r="I8" s="172" t="s">
        <v>737</v>
      </c>
      <c r="J8" s="172">
        <v>4787</v>
      </c>
      <c r="K8" s="173" t="s">
        <v>738</v>
      </c>
      <c r="L8" s="173" t="s">
        <v>739</v>
      </c>
      <c r="M8" s="173" t="s">
        <v>740</v>
      </c>
      <c r="N8" s="178"/>
      <c r="O8" s="179">
        <v>0.49608570000000002</v>
      </c>
      <c r="P8" s="178">
        <v>0.35638887800000002</v>
      </c>
      <c r="Q8" s="178">
        <v>1.7559231923802501</v>
      </c>
      <c r="R8" s="178">
        <v>1.73453652052958E-3</v>
      </c>
      <c r="S8" s="146"/>
      <c r="T8" s="146">
        <v>0.83890902321327565</v>
      </c>
      <c r="U8" s="146">
        <v>0.15456500000000001</v>
      </c>
      <c r="V8" s="146">
        <v>-3.624676</v>
      </c>
      <c r="W8" s="146">
        <v>7.7122999999999997E-2</v>
      </c>
      <c r="X8" s="144">
        <v>2.9490980000000002</v>
      </c>
      <c r="Y8" s="178">
        <v>4.0176899999999988E-2</v>
      </c>
      <c r="Z8" s="176">
        <v>0.43111111111111117</v>
      </c>
      <c r="AA8" s="176">
        <v>0.38999999999999996</v>
      </c>
    </row>
    <row r="9" spans="1:27" x14ac:dyDescent="0.25">
      <c r="A9" s="136">
        <v>8</v>
      </c>
      <c r="B9" s="177" t="s">
        <v>710</v>
      </c>
      <c r="C9" s="177" t="s">
        <v>711</v>
      </c>
      <c r="D9" s="177"/>
      <c r="E9" s="172">
        <v>175</v>
      </c>
      <c r="F9" s="172">
        <v>1832</v>
      </c>
      <c r="G9" s="172" t="s">
        <v>741</v>
      </c>
      <c r="H9" s="172">
        <v>122788</v>
      </c>
      <c r="I9" s="172" t="s">
        <v>742</v>
      </c>
      <c r="J9" s="172">
        <v>4824</v>
      </c>
      <c r="K9" s="173" t="s">
        <v>743</v>
      </c>
      <c r="L9" s="173" t="s">
        <v>744</v>
      </c>
      <c r="M9" s="173" t="s">
        <v>745</v>
      </c>
      <c r="N9" s="178"/>
      <c r="O9" s="179">
        <v>0.49608570000000002</v>
      </c>
      <c r="P9" s="178">
        <v>0.35638887800000002</v>
      </c>
      <c r="Q9" s="178">
        <v>1.7559231923802501</v>
      </c>
      <c r="R9" s="178">
        <v>1.73453652052958E-3</v>
      </c>
      <c r="S9" s="146"/>
      <c r="T9" s="146">
        <v>0.83890902321327565</v>
      </c>
      <c r="U9" s="146">
        <v>0.15456500000000001</v>
      </c>
      <c r="V9" s="146">
        <v>-3.624676</v>
      </c>
      <c r="W9" s="146">
        <v>7.7122999999999997E-2</v>
      </c>
      <c r="X9" s="144">
        <v>2.9490980000000002</v>
      </c>
      <c r="Y9" s="178">
        <v>4.0176899999999988E-2</v>
      </c>
      <c r="Z9" s="176">
        <v>0.43111111111111117</v>
      </c>
      <c r="AA9" s="176">
        <v>0.38999999999999996</v>
      </c>
    </row>
    <row r="10" spans="1:27" x14ac:dyDescent="0.25">
      <c r="A10" s="136">
        <v>9</v>
      </c>
      <c r="B10" s="180" t="s">
        <v>710</v>
      </c>
      <c r="C10" s="180" t="s">
        <v>711</v>
      </c>
      <c r="D10" s="180" t="s">
        <v>434</v>
      </c>
      <c r="E10" s="172">
        <v>177</v>
      </c>
      <c r="F10" s="172">
        <v>1834</v>
      </c>
      <c r="G10" s="172" t="s">
        <v>746</v>
      </c>
      <c r="H10" s="172">
        <v>122785</v>
      </c>
      <c r="I10" s="172" t="s">
        <v>747</v>
      </c>
      <c r="J10" s="172">
        <v>4823</v>
      </c>
      <c r="K10" s="173" t="s">
        <v>748</v>
      </c>
      <c r="L10" s="173" t="s">
        <v>749</v>
      </c>
      <c r="M10" s="173" t="s">
        <v>750</v>
      </c>
      <c r="N10" s="178"/>
      <c r="O10" s="179">
        <v>0.49608570000000002</v>
      </c>
      <c r="P10" s="178">
        <v>0.35638887800000002</v>
      </c>
      <c r="Q10" s="178">
        <v>1.7559231923802501</v>
      </c>
      <c r="R10" s="178">
        <v>1.73453652052958E-3</v>
      </c>
      <c r="S10" s="146"/>
      <c r="T10" s="146">
        <v>0.83890902321327565</v>
      </c>
      <c r="U10" s="146">
        <v>0.15456500000000001</v>
      </c>
      <c r="V10" s="146">
        <v>-3.624676</v>
      </c>
      <c r="W10" s="146">
        <v>7.7122999999999997E-2</v>
      </c>
      <c r="X10" s="144">
        <v>2.9490980000000002</v>
      </c>
      <c r="Y10" s="178">
        <v>4.0176899999999988E-2</v>
      </c>
      <c r="Z10" s="176">
        <v>0.38</v>
      </c>
      <c r="AA10" s="176">
        <v>0.38</v>
      </c>
    </row>
    <row r="11" spans="1:27" x14ac:dyDescent="0.25">
      <c r="A11" s="136">
        <v>10</v>
      </c>
      <c r="B11" s="181" t="s">
        <v>710</v>
      </c>
      <c r="C11" s="181" t="s">
        <v>711</v>
      </c>
      <c r="D11" s="181" t="s">
        <v>610</v>
      </c>
      <c r="E11" s="172"/>
      <c r="F11" s="172"/>
      <c r="G11" s="172" t="s">
        <v>751</v>
      </c>
      <c r="H11" s="172"/>
      <c r="I11" s="172" t="s">
        <v>752</v>
      </c>
      <c r="J11" s="172"/>
      <c r="K11" s="173"/>
      <c r="L11" s="173"/>
      <c r="M11" s="173"/>
      <c r="N11" s="178"/>
      <c r="O11" s="179">
        <v>0.49608570000000002</v>
      </c>
      <c r="P11" s="178">
        <v>0.35638887800000002</v>
      </c>
      <c r="Q11" s="178">
        <v>1.7559231923802501</v>
      </c>
      <c r="R11" s="178">
        <v>1.73453652052958E-3</v>
      </c>
      <c r="S11" s="146"/>
      <c r="T11" s="146">
        <v>0.83890902321327565</v>
      </c>
      <c r="U11" s="146">
        <v>0.15456500000000001</v>
      </c>
      <c r="V11" s="146">
        <v>-3.624676</v>
      </c>
      <c r="W11" s="146">
        <v>7.7122999999999997E-2</v>
      </c>
      <c r="X11" s="144">
        <v>2.9490980000000002</v>
      </c>
      <c r="Y11" s="178">
        <v>4.0176899999999988E-2</v>
      </c>
      <c r="Z11" s="176">
        <v>0.43111111111111117</v>
      </c>
      <c r="AA11" s="176">
        <v>0.38999999999999996</v>
      </c>
    </row>
    <row r="12" spans="1:27" x14ac:dyDescent="0.25">
      <c r="A12" s="136">
        <v>11</v>
      </c>
      <c r="B12" s="182" t="s">
        <v>710</v>
      </c>
      <c r="C12" s="182" t="s">
        <v>753</v>
      </c>
      <c r="D12" s="182" t="s">
        <v>434</v>
      </c>
      <c r="E12" s="183">
        <v>161</v>
      </c>
      <c r="F12" s="183">
        <v>518</v>
      </c>
      <c r="G12" s="183" t="s">
        <v>754</v>
      </c>
      <c r="H12" s="183">
        <v>93590</v>
      </c>
      <c r="I12" s="183" t="s">
        <v>755</v>
      </c>
      <c r="J12" s="183">
        <v>1317</v>
      </c>
      <c r="K12" s="184">
        <v>66</v>
      </c>
      <c r="L12" s="184" t="s">
        <v>756</v>
      </c>
      <c r="M12" s="184" t="s">
        <v>757</v>
      </c>
      <c r="N12" s="178"/>
      <c r="O12" s="179">
        <v>0.49608570000000002</v>
      </c>
      <c r="P12" s="178">
        <v>0.35638887800000002</v>
      </c>
      <c r="Q12" s="178">
        <v>1.7559231923802501</v>
      </c>
      <c r="R12" s="178">
        <v>1.73453652052958E-3</v>
      </c>
      <c r="S12" s="144"/>
      <c r="T12" s="146">
        <v>0.83890902321327565</v>
      </c>
      <c r="U12" s="146">
        <v>7.1251034341434108E-2</v>
      </c>
      <c r="V12" s="146">
        <v>-3.624676</v>
      </c>
      <c r="W12" s="146">
        <v>4.6598784483310299E-2</v>
      </c>
      <c r="X12" s="144">
        <v>2.9490980000000002</v>
      </c>
      <c r="Y12" s="178">
        <v>4.0176899999999988E-2</v>
      </c>
      <c r="Z12" s="185">
        <v>0.38</v>
      </c>
      <c r="AA12" s="185">
        <v>0.37</v>
      </c>
    </row>
    <row r="13" spans="1:27" x14ac:dyDescent="0.25">
      <c r="A13" s="136">
        <v>12</v>
      </c>
      <c r="B13" s="186" t="s">
        <v>710</v>
      </c>
      <c r="C13" s="186" t="s">
        <v>753</v>
      </c>
      <c r="D13" s="186"/>
      <c r="E13" s="183">
        <v>182</v>
      </c>
      <c r="F13" s="183">
        <v>794</v>
      </c>
      <c r="G13" s="183" t="s">
        <v>758</v>
      </c>
      <c r="H13" s="183">
        <v>104419</v>
      </c>
      <c r="I13" s="183" t="s">
        <v>759</v>
      </c>
      <c r="J13" s="183">
        <v>2316</v>
      </c>
      <c r="K13" s="184">
        <v>69</v>
      </c>
      <c r="L13" s="184" t="s">
        <v>760</v>
      </c>
      <c r="M13" s="184" t="s">
        <v>761</v>
      </c>
      <c r="N13" s="178"/>
      <c r="O13" s="179">
        <v>0.49608570000000002</v>
      </c>
      <c r="P13" s="178">
        <v>0.35638887800000002</v>
      </c>
      <c r="Q13" s="178">
        <v>1.7559231923802501</v>
      </c>
      <c r="R13" s="178">
        <v>1.73453652052958E-3</v>
      </c>
      <c r="S13" s="144"/>
      <c r="T13" s="146">
        <v>0.83890902321327565</v>
      </c>
      <c r="U13" s="146">
        <v>7.1251034341434108E-2</v>
      </c>
      <c r="V13" s="146">
        <v>-3.624676</v>
      </c>
      <c r="W13" s="146">
        <v>4.6598784483310299E-2</v>
      </c>
      <c r="X13" s="144">
        <v>2.9490980000000002</v>
      </c>
      <c r="Y13" s="178">
        <v>4.0176899999999988E-2</v>
      </c>
      <c r="Z13" s="148">
        <v>0.38</v>
      </c>
      <c r="AA13" s="148">
        <v>0.41000000000000003</v>
      </c>
    </row>
    <row r="14" spans="1:27" x14ac:dyDescent="0.25">
      <c r="A14" s="136">
        <v>13</v>
      </c>
      <c r="B14" s="186" t="s">
        <v>710</v>
      </c>
      <c r="C14" s="186" t="s">
        <v>753</v>
      </c>
      <c r="D14" s="186"/>
      <c r="E14" s="183">
        <v>183</v>
      </c>
      <c r="F14" s="183">
        <v>788</v>
      </c>
      <c r="G14" s="183" t="s">
        <v>762</v>
      </c>
      <c r="H14" s="183">
        <v>136969</v>
      </c>
      <c r="I14" s="183" t="s">
        <v>763</v>
      </c>
      <c r="J14" s="183">
        <v>2312</v>
      </c>
      <c r="K14" s="184" t="s">
        <v>764</v>
      </c>
      <c r="L14" s="184" t="s">
        <v>765</v>
      </c>
      <c r="M14" s="184" t="s">
        <v>766</v>
      </c>
      <c r="N14" s="178"/>
      <c r="O14" s="179">
        <v>0.49608570000000002</v>
      </c>
      <c r="P14" s="178">
        <v>0.35638887800000002</v>
      </c>
      <c r="Q14" s="178">
        <v>1.7559231923802501</v>
      </c>
      <c r="R14" s="178">
        <v>1.73453652052958E-3</v>
      </c>
      <c r="S14" s="144"/>
      <c r="T14" s="146">
        <v>0.83890902321327565</v>
      </c>
      <c r="U14" s="146">
        <v>7.1251034341434108E-2</v>
      </c>
      <c r="V14" s="146">
        <v>-3.624676</v>
      </c>
      <c r="W14" s="146">
        <v>4.6598784483310299E-2</v>
      </c>
      <c r="X14" s="144">
        <v>2.9490980000000002</v>
      </c>
      <c r="Y14" s="178">
        <v>4.0176899999999988E-2</v>
      </c>
      <c r="Z14" s="148">
        <v>0.38</v>
      </c>
      <c r="AA14" s="148">
        <v>0.41000000000000003</v>
      </c>
    </row>
    <row r="15" spans="1:27" x14ac:dyDescent="0.25">
      <c r="A15" s="136">
        <v>14</v>
      </c>
      <c r="B15" s="186" t="s">
        <v>710</v>
      </c>
      <c r="C15" s="186" t="s">
        <v>753</v>
      </c>
      <c r="D15" s="186"/>
      <c r="E15" s="183">
        <v>184</v>
      </c>
      <c r="F15" s="183">
        <v>792</v>
      </c>
      <c r="G15" s="183" t="s">
        <v>767</v>
      </c>
      <c r="H15" s="183">
        <v>104409</v>
      </c>
      <c r="I15" s="183" t="s">
        <v>768</v>
      </c>
      <c r="J15" s="183">
        <v>2313</v>
      </c>
      <c r="K15" s="184" t="s">
        <v>769</v>
      </c>
      <c r="L15" s="184" t="s">
        <v>770</v>
      </c>
      <c r="M15" s="184" t="s">
        <v>771</v>
      </c>
      <c r="N15" s="178"/>
      <c r="O15" s="179">
        <v>0.49608570000000002</v>
      </c>
      <c r="P15" s="178">
        <v>0.35638887800000002</v>
      </c>
      <c r="Q15" s="178">
        <v>1.7559231923802501</v>
      </c>
      <c r="R15" s="178">
        <v>1.73453652052958E-3</v>
      </c>
      <c r="S15" s="144"/>
      <c r="T15" s="146">
        <v>0.83890902321327565</v>
      </c>
      <c r="U15" s="146">
        <v>7.1251034341434108E-2</v>
      </c>
      <c r="V15" s="146">
        <v>-3.624676</v>
      </c>
      <c r="W15" s="146">
        <v>4.6598784483310299E-2</v>
      </c>
      <c r="X15" s="144">
        <v>2.9490980000000002</v>
      </c>
      <c r="Y15" s="178">
        <v>4.0176899999999988E-2</v>
      </c>
      <c r="Z15" s="148">
        <v>0.38</v>
      </c>
      <c r="AA15" s="148">
        <v>0.41000000000000003</v>
      </c>
    </row>
    <row r="16" spans="1:27" x14ac:dyDescent="0.25">
      <c r="A16" s="136">
        <v>15</v>
      </c>
      <c r="B16" s="187" t="s">
        <v>710</v>
      </c>
      <c r="C16" s="187" t="s">
        <v>753</v>
      </c>
      <c r="D16" s="187" t="s">
        <v>610</v>
      </c>
      <c r="E16" s="183"/>
      <c r="F16" s="183"/>
      <c r="G16" s="183" t="s">
        <v>772</v>
      </c>
      <c r="H16" s="183"/>
      <c r="I16" s="183" t="s">
        <v>773</v>
      </c>
      <c r="J16" s="183"/>
      <c r="K16" s="184"/>
      <c r="L16" s="184"/>
      <c r="M16" s="184"/>
      <c r="N16" s="178"/>
      <c r="O16" s="179">
        <v>0.49608570000000002</v>
      </c>
      <c r="P16" s="178">
        <v>0.35638887800000002</v>
      </c>
      <c r="Q16" s="178">
        <v>1.7559231923802501</v>
      </c>
      <c r="R16" s="178">
        <v>1.73453652052958E-3</v>
      </c>
      <c r="S16" s="144"/>
      <c r="T16" s="146">
        <v>0.83890902321327565</v>
      </c>
      <c r="U16" s="146">
        <v>7.1251034341434108E-2</v>
      </c>
      <c r="V16" s="146">
        <v>-3.624676</v>
      </c>
      <c r="W16" s="146">
        <v>4.6598784483310299E-2</v>
      </c>
      <c r="X16" s="144">
        <v>2.9490980000000002</v>
      </c>
      <c r="Y16" s="178">
        <v>4.0176899999999988E-2</v>
      </c>
      <c r="Z16" s="148">
        <v>0.38</v>
      </c>
      <c r="AA16" s="148">
        <v>0.41000000000000003</v>
      </c>
    </row>
    <row r="17" spans="1:27" x14ac:dyDescent="0.25">
      <c r="A17" s="136">
        <v>16</v>
      </c>
      <c r="B17" s="188" t="s">
        <v>710</v>
      </c>
      <c r="C17" s="188" t="s">
        <v>753</v>
      </c>
      <c r="D17" s="188" t="s">
        <v>434</v>
      </c>
      <c r="E17" s="183"/>
      <c r="F17" s="183"/>
      <c r="G17" s="189" t="s">
        <v>774</v>
      </c>
      <c r="H17" s="183">
        <v>130222</v>
      </c>
      <c r="I17" s="189" t="s">
        <v>775</v>
      </c>
      <c r="J17" s="183"/>
      <c r="K17" s="184"/>
      <c r="L17" s="184" t="s">
        <v>776</v>
      </c>
      <c r="M17" s="184" t="s">
        <v>777</v>
      </c>
      <c r="N17" s="178"/>
      <c r="O17" s="179">
        <v>0.49608570000000002</v>
      </c>
      <c r="P17" s="178">
        <v>0.35638887800000002</v>
      </c>
      <c r="Q17" s="190">
        <v>1.7559231923802501</v>
      </c>
      <c r="R17" s="178">
        <v>1.73453652052958E-3</v>
      </c>
      <c r="S17" s="146"/>
      <c r="T17" s="146">
        <v>0.83890902321327565</v>
      </c>
      <c r="U17" s="146">
        <v>7.1251034341434108E-2</v>
      </c>
      <c r="V17" s="146">
        <v>-3.624676</v>
      </c>
      <c r="W17" s="146">
        <v>4.6598784483310299E-2</v>
      </c>
      <c r="X17" s="144">
        <v>2.9490980000000002</v>
      </c>
      <c r="Y17" s="178">
        <v>4.0176899999999988E-2</v>
      </c>
      <c r="Z17" s="148">
        <v>0.38</v>
      </c>
      <c r="AA17" s="191">
        <v>0.45</v>
      </c>
    </row>
    <row r="18" spans="1:27" x14ac:dyDescent="0.25">
      <c r="A18" s="136">
        <v>17</v>
      </c>
      <c r="B18" s="187" t="s">
        <v>710</v>
      </c>
      <c r="C18" s="187" t="s">
        <v>753</v>
      </c>
      <c r="D18" s="187" t="s">
        <v>614</v>
      </c>
      <c r="E18" s="183"/>
      <c r="F18" s="183"/>
      <c r="G18" s="183" t="s">
        <v>778</v>
      </c>
      <c r="H18" s="183">
        <v>191364</v>
      </c>
      <c r="I18" s="183" t="s">
        <v>779</v>
      </c>
      <c r="J18" s="183"/>
      <c r="K18" s="184"/>
      <c r="L18" s="184"/>
      <c r="M18" s="184"/>
      <c r="N18" s="178"/>
      <c r="O18" s="179">
        <v>0.49608570000000002</v>
      </c>
      <c r="P18" s="178">
        <v>0.35638887800000002</v>
      </c>
      <c r="Q18" s="178">
        <v>1.7559231923802501</v>
      </c>
      <c r="R18" s="178">
        <v>1.73453652052958E-3</v>
      </c>
      <c r="S18" s="192">
        <v>52</v>
      </c>
      <c r="T18" s="192">
        <v>0.84723007496408576</v>
      </c>
      <c r="U18" s="192">
        <v>7.5178756440452091E-2</v>
      </c>
      <c r="V18" s="192">
        <v>-3.8118780274880599</v>
      </c>
      <c r="W18" s="192">
        <v>4.8180529975253503E-2</v>
      </c>
      <c r="X18" s="144">
        <v>2.9490980000000002</v>
      </c>
      <c r="Y18" s="178">
        <v>4.0176899999999988E-2</v>
      </c>
      <c r="Z18" s="148">
        <v>0.38</v>
      </c>
      <c r="AA18" s="148">
        <v>0.41000000000000003</v>
      </c>
    </row>
    <row r="19" spans="1:27" x14ac:dyDescent="0.25">
      <c r="A19" s="136">
        <v>18</v>
      </c>
      <c r="B19" s="187" t="s">
        <v>710</v>
      </c>
      <c r="C19" s="187" t="s">
        <v>753</v>
      </c>
      <c r="D19" s="187"/>
      <c r="E19" s="183"/>
      <c r="F19" s="183"/>
      <c r="G19" s="183" t="s">
        <v>780</v>
      </c>
      <c r="H19" s="183"/>
      <c r="I19" s="183" t="s">
        <v>780</v>
      </c>
      <c r="J19" s="183"/>
      <c r="K19" s="184"/>
      <c r="L19" s="184" t="s">
        <v>781</v>
      </c>
      <c r="M19" s="184"/>
      <c r="N19" s="178"/>
      <c r="O19" s="179">
        <v>0.49608570000000002</v>
      </c>
      <c r="P19" s="178">
        <v>0.35638887800000002</v>
      </c>
      <c r="Q19" s="178">
        <v>1.7559231923802501</v>
      </c>
      <c r="R19" s="178">
        <v>1.73453652052958E-3</v>
      </c>
      <c r="S19" s="192">
        <v>433</v>
      </c>
      <c r="T19" s="192">
        <v>0.73795889296197981</v>
      </c>
      <c r="U19" s="192">
        <v>7.128278247442911E-2</v>
      </c>
      <c r="V19" s="192">
        <v>-2.4646754691699999</v>
      </c>
      <c r="W19" s="192">
        <v>4.4620522713425204E-2</v>
      </c>
      <c r="X19" s="144">
        <v>2.9490980000000002</v>
      </c>
      <c r="Y19" s="178">
        <v>4.0176899999999988E-2</v>
      </c>
      <c r="Z19" s="148">
        <v>0.38</v>
      </c>
      <c r="AA19" s="148">
        <v>0.41000000000000003</v>
      </c>
    </row>
    <row r="20" spans="1:27" x14ac:dyDescent="0.25">
      <c r="A20" s="136">
        <v>19</v>
      </c>
      <c r="B20" s="193" t="s">
        <v>710</v>
      </c>
      <c r="C20" s="193" t="s">
        <v>782</v>
      </c>
      <c r="D20" s="193" t="s">
        <v>434</v>
      </c>
      <c r="E20" s="194">
        <v>156</v>
      </c>
      <c r="F20" s="194">
        <v>1729</v>
      </c>
      <c r="G20" s="194" t="s">
        <v>221</v>
      </c>
      <c r="H20" s="194">
        <v>130692</v>
      </c>
      <c r="I20" s="194" t="s">
        <v>783</v>
      </c>
      <c r="J20" s="194">
        <v>1</v>
      </c>
      <c r="K20" s="195">
        <v>61</v>
      </c>
      <c r="L20" s="195" t="s">
        <v>784</v>
      </c>
      <c r="M20" s="195" t="s">
        <v>785</v>
      </c>
      <c r="N20" s="194">
        <v>1688</v>
      </c>
      <c r="O20" s="196">
        <v>0.52022966444296204</v>
      </c>
      <c r="P20" s="194">
        <v>0.39789782897042197</v>
      </c>
      <c r="Q20" s="194">
        <v>1.7559231923802499</v>
      </c>
      <c r="R20" s="194">
        <v>1.67846493354806E-3</v>
      </c>
      <c r="S20" s="197">
        <v>88610</v>
      </c>
      <c r="T20" s="197">
        <v>0.88412082279526061</v>
      </c>
      <c r="U20" s="197">
        <v>5.6713843228780092E-2</v>
      </c>
      <c r="V20" s="197">
        <v>-4.0307876685203601</v>
      </c>
      <c r="W20" s="197">
        <v>3.2434276212649008E-2</v>
      </c>
      <c r="X20" s="194">
        <v>2.9490980000000002</v>
      </c>
      <c r="Y20" s="194">
        <v>4.0176899999999988E-2</v>
      </c>
      <c r="Z20" s="198">
        <v>0.35300999999999999</v>
      </c>
      <c r="AA20" s="198">
        <v>0.38</v>
      </c>
    </row>
    <row r="21" spans="1:27" x14ac:dyDescent="0.25">
      <c r="A21" s="136">
        <v>20</v>
      </c>
      <c r="B21" s="193" t="s">
        <v>710</v>
      </c>
      <c r="C21" s="193" t="s">
        <v>782</v>
      </c>
      <c r="D21" s="193" t="s">
        <v>434</v>
      </c>
      <c r="E21" s="194">
        <v>157</v>
      </c>
      <c r="F21" s="194">
        <v>602</v>
      </c>
      <c r="G21" s="194" t="s">
        <v>786</v>
      </c>
      <c r="H21" s="194">
        <v>138781</v>
      </c>
      <c r="I21" s="194" t="s">
        <v>787</v>
      </c>
      <c r="J21" s="194">
        <v>3256</v>
      </c>
      <c r="K21" s="195">
        <v>62</v>
      </c>
      <c r="L21" s="195" t="s">
        <v>182</v>
      </c>
      <c r="M21" s="195" t="s">
        <v>788</v>
      </c>
      <c r="N21" s="194">
        <v>404</v>
      </c>
      <c r="O21" s="196">
        <v>0.48602986519277602</v>
      </c>
      <c r="P21" s="194">
        <v>0.30342317438037902</v>
      </c>
      <c r="Q21" s="194">
        <v>1.7559231923802499</v>
      </c>
      <c r="R21" s="194">
        <v>3.8966335250498847E-3</v>
      </c>
      <c r="S21" s="197">
        <v>85188</v>
      </c>
      <c r="T21" s="197">
        <v>0.80828163953619669</v>
      </c>
      <c r="U21" s="197">
        <v>8.9018304116432106E-2</v>
      </c>
      <c r="V21" s="197">
        <v>-3.3962618812620402</v>
      </c>
      <c r="W21" s="197">
        <v>4.7329175919294905E-2</v>
      </c>
      <c r="X21" s="194">
        <v>2.9490980000000002</v>
      </c>
      <c r="Y21" s="194">
        <v>4.0176899999999988E-2</v>
      </c>
      <c r="Z21" s="198">
        <v>0.37023</v>
      </c>
      <c r="AA21" s="198">
        <v>0.37</v>
      </c>
    </row>
    <row r="22" spans="1:27" x14ac:dyDescent="0.25">
      <c r="A22" s="136">
        <v>21</v>
      </c>
      <c r="B22" s="199" t="s">
        <v>710</v>
      </c>
      <c r="C22" s="199" t="s">
        <v>782</v>
      </c>
      <c r="D22" s="200" t="s">
        <v>434</v>
      </c>
      <c r="E22" s="194">
        <v>188</v>
      </c>
      <c r="F22" s="194">
        <v>1723</v>
      </c>
      <c r="G22" s="194" t="s">
        <v>789</v>
      </c>
      <c r="H22" s="194">
        <v>79345</v>
      </c>
      <c r="I22" s="194" t="s">
        <v>790</v>
      </c>
      <c r="J22" s="194">
        <v>4799</v>
      </c>
      <c r="K22" s="195">
        <v>71</v>
      </c>
      <c r="L22" s="195" t="s">
        <v>791</v>
      </c>
      <c r="M22" s="195" t="s">
        <v>792</v>
      </c>
      <c r="N22" s="194">
        <v>47</v>
      </c>
      <c r="O22" s="196">
        <v>0.53250582393337997</v>
      </c>
      <c r="P22" s="194">
        <v>0.37495832544058699</v>
      </c>
      <c r="Q22" s="194">
        <v>1.7559231923802499</v>
      </c>
      <c r="R22" s="194">
        <v>2.2320541954419697E-3</v>
      </c>
      <c r="S22" s="197">
        <v>252</v>
      </c>
      <c r="T22" s="197">
        <v>0.76029070600760473</v>
      </c>
      <c r="U22" s="197">
        <v>9.7030734021207099E-2</v>
      </c>
      <c r="V22" s="197">
        <v>-3.8723592896577701</v>
      </c>
      <c r="W22" s="197">
        <v>5.8293034258853807E-2</v>
      </c>
      <c r="X22" s="194">
        <v>2.9490980000000002</v>
      </c>
      <c r="Y22" s="194">
        <v>4.0176899999999988E-2</v>
      </c>
      <c r="Z22" s="148">
        <v>0.36212285714285714</v>
      </c>
      <c r="AA22" s="198">
        <v>0.35</v>
      </c>
    </row>
    <row r="23" spans="1:27" x14ac:dyDescent="0.25">
      <c r="A23" s="136">
        <v>22</v>
      </c>
      <c r="B23" s="199" t="s">
        <v>710</v>
      </c>
      <c r="C23" s="199" t="s">
        <v>782</v>
      </c>
      <c r="D23" s="200" t="s">
        <v>434</v>
      </c>
      <c r="E23" s="194">
        <v>191</v>
      </c>
      <c r="F23" s="194">
        <v>603</v>
      </c>
      <c r="G23" s="194" t="s">
        <v>793</v>
      </c>
      <c r="H23" s="194">
        <v>113444</v>
      </c>
      <c r="I23" s="194" t="s">
        <v>794</v>
      </c>
      <c r="J23" s="194">
        <v>4802</v>
      </c>
      <c r="K23" s="195">
        <v>73</v>
      </c>
      <c r="L23" s="195" t="s">
        <v>795</v>
      </c>
      <c r="M23" s="195" t="s">
        <v>796</v>
      </c>
      <c r="N23" s="194">
        <v>12</v>
      </c>
      <c r="O23" s="196">
        <v>0.49413068751096401</v>
      </c>
      <c r="P23" s="194">
        <v>0.35056416089638404</v>
      </c>
      <c r="Q23" s="194">
        <v>1.7559231923802499</v>
      </c>
      <c r="R23" s="194">
        <v>1.7292259223598999E-3</v>
      </c>
      <c r="S23" s="197">
        <v>2305</v>
      </c>
      <c r="T23" s="197">
        <v>0.58310969155546166</v>
      </c>
      <c r="U23" s="197">
        <v>0.1909795187241741</v>
      </c>
      <c r="V23" s="197">
        <v>-3.6950478361090502</v>
      </c>
      <c r="W23" s="197">
        <v>0.12679286317797878</v>
      </c>
      <c r="X23" s="194">
        <v>2.9490980000000002</v>
      </c>
      <c r="Y23" s="194">
        <v>4.0176899999999988E-2</v>
      </c>
      <c r="Z23" s="198">
        <v>0.36162</v>
      </c>
      <c r="AA23" s="198">
        <v>0.36</v>
      </c>
    </row>
    <row r="24" spans="1:27" x14ac:dyDescent="0.25">
      <c r="A24" s="136">
        <v>23</v>
      </c>
      <c r="B24" s="201" t="s">
        <v>710</v>
      </c>
      <c r="C24" s="201" t="s">
        <v>782</v>
      </c>
      <c r="D24" s="201"/>
      <c r="E24" s="194">
        <v>171</v>
      </c>
      <c r="F24" s="194">
        <v>605</v>
      </c>
      <c r="G24" s="194" t="s">
        <v>797</v>
      </c>
      <c r="H24" s="194">
        <v>113439</v>
      </c>
      <c r="I24" s="194" t="s">
        <v>798</v>
      </c>
      <c r="J24" s="194">
        <v>4803</v>
      </c>
      <c r="K24" s="195" t="s">
        <v>799</v>
      </c>
      <c r="L24" s="195"/>
      <c r="M24" s="195"/>
      <c r="N24" s="190"/>
      <c r="O24" s="179">
        <v>0.49608570000000002</v>
      </c>
      <c r="P24" s="178">
        <v>0.35638887800000002</v>
      </c>
      <c r="Q24" s="178">
        <v>1.7559231923802501</v>
      </c>
      <c r="R24" s="178">
        <v>1.73453652052958E-3</v>
      </c>
      <c r="S24" s="146"/>
      <c r="T24" s="146">
        <v>0.83890902321327565</v>
      </c>
      <c r="U24" s="146">
        <v>7.8517767686096113E-2</v>
      </c>
      <c r="V24" s="146">
        <v>-3.624676</v>
      </c>
      <c r="W24" s="146">
        <v>3.5381712098484799E-2</v>
      </c>
      <c r="X24" s="144">
        <v>2.9490980000000002</v>
      </c>
      <c r="Y24" s="178">
        <v>4.0176899999999988E-2</v>
      </c>
      <c r="Z24" s="198">
        <v>0.36212285714285714</v>
      </c>
      <c r="AA24" s="198">
        <v>0.36000000000000004</v>
      </c>
    </row>
    <row r="25" spans="1:27" x14ac:dyDescent="0.25">
      <c r="A25" s="136">
        <v>24</v>
      </c>
      <c r="B25" s="199" t="s">
        <v>710</v>
      </c>
      <c r="C25" s="201" t="s">
        <v>782</v>
      </c>
      <c r="D25" s="201"/>
      <c r="E25" s="194">
        <v>174</v>
      </c>
      <c r="F25" s="194">
        <v>1726</v>
      </c>
      <c r="G25" s="194" t="s">
        <v>800</v>
      </c>
      <c r="H25" s="194">
        <v>79327</v>
      </c>
      <c r="I25" s="194" t="s">
        <v>801</v>
      </c>
      <c r="J25" s="194">
        <v>4810</v>
      </c>
      <c r="K25" s="195" t="s">
        <v>802</v>
      </c>
      <c r="L25" s="195" t="s">
        <v>803</v>
      </c>
      <c r="M25" s="195" t="s">
        <v>804</v>
      </c>
      <c r="N25" s="178"/>
      <c r="O25" s="179">
        <v>0.49608570000000002</v>
      </c>
      <c r="P25" s="178">
        <v>0.35954963246839106</v>
      </c>
      <c r="Q25" s="178">
        <v>1.7559231923802499</v>
      </c>
      <c r="R25" s="178">
        <v>3.04477888629251E-3</v>
      </c>
      <c r="S25" s="146"/>
      <c r="T25" s="146">
        <v>0.83890902321327565</v>
      </c>
      <c r="U25" s="146">
        <v>7.8517767686096113E-2</v>
      </c>
      <c r="V25" s="146">
        <v>-3.624676</v>
      </c>
      <c r="W25" s="146">
        <v>3.5381712098484799E-2</v>
      </c>
      <c r="X25" s="144">
        <v>2.9490980000000002</v>
      </c>
      <c r="Y25" s="178">
        <v>4.0176899999999988E-2</v>
      </c>
      <c r="Z25" s="198">
        <v>0.37</v>
      </c>
      <c r="AA25" s="198">
        <v>0.37</v>
      </c>
    </row>
    <row r="26" spans="1:27" x14ac:dyDescent="0.25">
      <c r="A26" s="136">
        <v>25</v>
      </c>
      <c r="B26" s="199" t="s">
        <v>710</v>
      </c>
      <c r="C26" s="201" t="s">
        <v>782</v>
      </c>
      <c r="D26" s="201"/>
      <c r="E26" s="194">
        <v>176</v>
      </c>
      <c r="F26" s="194">
        <v>1722</v>
      </c>
      <c r="G26" s="194" t="s">
        <v>805</v>
      </c>
      <c r="H26" s="194"/>
      <c r="I26" s="194"/>
      <c r="J26" s="194">
        <v>4811</v>
      </c>
      <c r="K26" s="195" t="s">
        <v>806</v>
      </c>
      <c r="L26" s="195" t="s">
        <v>807</v>
      </c>
      <c r="M26" s="195" t="s">
        <v>808</v>
      </c>
      <c r="N26" s="190"/>
      <c r="O26" s="179">
        <v>0.49608570000000002</v>
      </c>
      <c r="P26" s="178">
        <v>0.35638887800000002</v>
      </c>
      <c r="Q26" s="178">
        <v>1.7559231923802501</v>
      </c>
      <c r="R26" s="178">
        <v>1.73453652052958E-3</v>
      </c>
      <c r="S26" s="146"/>
      <c r="T26" s="146">
        <v>0.83890902321327565</v>
      </c>
      <c r="U26" s="146">
        <v>7.8517767686096113E-2</v>
      </c>
      <c r="V26" s="146">
        <v>-3.624676</v>
      </c>
      <c r="W26" s="146">
        <v>3.5381712098484799E-2</v>
      </c>
      <c r="X26" s="144">
        <v>2.9490980000000002</v>
      </c>
      <c r="Y26" s="178">
        <v>4.0176899999999988E-2</v>
      </c>
      <c r="Z26" s="198">
        <v>0.36212285714285714</v>
      </c>
      <c r="AA26" s="198">
        <v>0.36000000000000004</v>
      </c>
    </row>
    <row r="27" spans="1:27" x14ac:dyDescent="0.25">
      <c r="A27" s="136">
        <v>26</v>
      </c>
      <c r="B27" s="199" t="s">
        <v>710</v>
      </c>
      <c r="C27" s="201" t="s">
        <v>782</v>
      </c>
      <c r="D27" s="201"/>
      <c r="E27" s="194">
        <v>178</v>
      </c>
      <c r="F27" s="194">
        <v>1932</v>
      </c>
      <c r="G27" s="194" t="s">
        <v>809</v>
      </c>
      <c r="H27" s="194">
        <v>126449</v>
      </c>
      <c r="I27" s="194" t="s">
        <v>810</v>
      </c>
      <c r="J27" s="194">
        <v>4401</v>
      </c>
      <c r="K27" s="195" t="s">
        <v>811</v>
      </c>
      <c r="L27" s="195"/>
      <c r="M27" s="195"/>
      <c r="N27" s="190"/>
      <c r="O27" s="179">
        <v>0.49608570000000002</v>
      </c>
      <c r="P27" s="178">
        <v>0.35638887800000002</v>
      </c>
      <c r="Q27" s="178">
        <v>1.7559231923802501</v>
      </c>
      <c r="R27" s="178">
        <v>1.73453652052958E-3</v>
      </c>
      <c r="S27" s="146"/>
      <c r="T27" s="146">
        <v>0.83890902321327565</v>
      </c>
      <c r="U27" s="146">
        <v>7.8517767686096113E-2</v>
      </c>
      <c r="V27" s="146">
        <v>-3.624676</v>
      </c>
      <c r="W27" s="146">
        <v>3.5381712098484799E-2</v>
      </c>
      <c r="X27" s="144">
        <v>2.9490980000000002</v>
      </c>
      <c r="Y27" s="178">
        <v>4.0176899999999988E-2</v>
      </c>
      <c r="Z27" s="198">
        <v>0.36212285714285714</v>
      </c>
      <c r="AA27" s="198">
        <v>0.36000000000000004</v>
      </c>
    </row>
    <row r="28" spans="1:27" x14ac:dyDescent="0.25">
      <c r="A28" s="136">
        <v>27</v>
      </c>
      <c r="B28" s="199" t="s">
        <v>710</v>
      </c>
      <c r="C28" s="199" t="s">
        <v>782</v>
      </c>
      <c r="D28" s="200" t="s">
        <v>434</v>
      </c>
      <c r="E28" s="194">
        <v>179</v>
      </c>
      <c r="F28" s="194">
        <v>1933</v>
      </c>
      <c r="G28" s="194" t="s">
        <v>812</v>
      </c>
      <c r="H28" s="194">
        <v>126451</v>
      </c>
      <c r="I28" s="194" t="s">
        <v>813</v>
      </c>
      <c r="J28" s="194">
        <v>4805</v>
      </c>
      <c r="K28" s="195" t="s">
        <v>814</v>
      </c>
      <c r="L28" s="195" t="s">
        <v>815</v>
      </c>
      <c r="M28" s="195" t="s">
        <v>816</v>
      </c>
      <c r="N28" s="190"/>
      <c r="O28" s="202">
        <v>0.49608570000000002</v>
      </c>
      <c r="P28" s="190">
        <v>0.35638887800000002</v>
      </c>
      <c r="Q28" s="190">
        <v>1.7559231923802501</v>
      </c>
      <c r="R28" s="190">
        <v>1.73453652052958E-3</v>
      </c>
      <c r="S28" s="144"/>
      <c r="T28" s="144">
        <v>0.83890902321327565</v>
      </c>
      <c r="U28" s="144">
        <v>7.8517767686096113E-2</v>
      </c>
      <c r="V28" s="144">
        <v>-3.624676</v>
      </c>
      <c r="W28" s="144">
        <v>3.5381712098484799E-2</v>
      </c>
      <c r="X28" s="144">
        <v>2.9490980000000002</v>
      </c>
      <c r="Y28" s="190">
        <v>4.0176899999999988E-2</v>
      </c>
      <c r="Z28" s="198">
        <v>0.31</v>
      </c>
      <c r="AA28" s="198">
        <v>0.31</v>
      </c>
    </row>
    <row r="29" spans="1:27" x14ac:dyDescent="0.25">
      <c r="A29" s="136">
        <v>28</v>
      </c>
      <c r="B29" s="199" t="s">
        <v>710</v>
      </c>
      <c r="C29" s="199" t="s">
        <v>782</v>
      </c>
      <c r="D29" s="200" t="s">
        <v>434</v>
      </c>
      <c r="E29" s="194">
        <v>180</v>
      </c>
      <c r="F29" s="194">
        <v>1973</v>
      </c>
      <c r="G29" s="194" t="s">
        <v>817</v>
      </c>
      <c r="H29" s="194">
        <v>127896</v>
      </c>
      <c r="I29" s="194" t="s">
        <v>818</v>
      </c>
      <c r="J29" s="194">
        <v>4826</v>
      </c>
      <c r="K29" s="195" t="s">
        <v>819</v>
      </c>
      <c r="L29" s="195" t="s">
        <v>820</v>
      </c>
      <c r="M29" s="195" t="s">
        <v>821</v>
      </c>
      <c r="N29" s="190"/>
      <c r="O29" s="202">
        <v>0.49608570000000002</v>
      </c>
      <c r="P29" s="190">
        <v>0.35638887800000002</v>
      </c>
      <c r="Q29" s="190">
        <v>1.7559231923802501</v>
      </c>
      <c r="R29" s="190">
        <v>1.73453652052958E-3</v>
      </c>
      <c r="S29" s="144"/>
      <c r="T29" s="144">
        <v>0.83890902321327565</v>
      </c>
      <c r="U29" s="144">
        <v>7.8517767686096113E-2</v>
      </c>
      <c r="V29" s="144">
        <v>-3.624676</v>
      </c>
      <c r="W29" s="144">
        <v>3.5381712098484799E-2</v>
      </c>
      <c r="X29" s="144">
        <v>2.9490980000000002</v>
      </c>
      <c r="Y29" s="190">
        <v>4.0176899999999988E-2</v>
      </c>
      <c r="Z29" s="198">
        <v>0.42</v>
      </c>
      <c r="AA29" s="198">
        <v>0.39</v>
      </c>
    </row>
    <row r="30" spans="1:27" x14ac:dyDescent="0.25">
      <c r="A30" s="136">
        <v>29</v>
      </c>
      <c r="B30" s="201" t="s">
        <v>710</v>
      </c>
      <c r="C30" s="201" t="s">
        <v>782</v>
      </c>
      <c r="D30" s="201"/>
      <c r="E30" s="194">
        <v>181</v>
      </c>
      <c r="F30" s="194">
        <v>1972</v>
      </c>
      <c r="G30" s="194" t="s">
        <v>822</v>
      </c>
      <c r="H30" s="194">
        <v>159899</v>
      </c>
      <c r="I30" s="194" t="s">
        <v>823</v>
      </c>
      <c r="J30" s="194">
        <v>4894</v>
      </c>
      <c r="K30" s="195" t="s">
        <v>824</v>
      </c>
      <c r="L30" s="195"/>
      <c r="M30" s="195"/>
      <c r="N30" s="190"/>
      <c r="O30" s="179">
        <v>0.49608570000000002</v>
      </c>
      <c r="P30" s="178">
        <v>0.35638887800000002</v>
      </c>
      <c r="Q30" s="178">
        <v>1.7559231923802501</v>
      </c>
      <c r="R30" s="178">
        <v>1.73453652052958E-3</v>
      </c>
      <c r="S30" s="146"/>
      <c r="T30" s="146">
        <v>0.83890902321327565</v>
      </c>
      <c r="U30" s="146">
        <v>7.8517767686096113E-2</v>
      </c>
      <c r="V30" s="146">
        <v>-3.624676</v>
      </c>
      <c r="W30" s="146">
        <v>3.5381712098484799E-2</v>
      </c>
      <c r="X30" s="144">
        <v>2.9490980000000002</v>
      </c>
      <c r="Y30" s="178">
        <v>4.0176899999999988E-2</v>
      </c>
      <c r="Z30" s="198">
        <v>0.36212285714285714</v>
      </c>
      <c r="AA30" s="198">
        <v>0.36000000000000004</v>
      </c>
    </row>
    <row r="31" spans="1:27" x14ac:dyDescent="0.25">
      <c r="A31" s="136">
        <v>30</v>
      </c>
      <c r="B31" s="201" t="s">
        <v>710</v>
      </c>
      <c r="C31" s="201" t="s">
        <v>782</v>
      </c>
      <c r="D31" s="201"/>
      <c r="E31" s="194">
        <v>185</v>
      </c>
      <c r="F31" s="194">
        <v>1724</v>
      </c>
      <c r="G31" s="194" t="s">
        <v>825</v>
      </c>
      <c r="H31" s="194">
        <v>130694</v>
      </c>
      <c r="I31" s="194" t="s">
        <v>826</v>
      </c>
      <c r="J31" s="194">
        <v>4809</v>
      </c>
      <c r="K31" s="195" t="s">
        <v>827</v>
      </c>
      <c r="L31" s="195" t="s">
        <v>791</v>
      </c>
      <c r="M31" s="195" t="s">
        <v>792</v>
      </c>
      <c r="N31" s="190"/>
      <c r="O31" s="179">
        <v>0.49608570000000002</v>
      </c>
      <c r="P31" s="178">
        <v>0.35638887800000002</v>
      </c>
      <c r="Q31" s="178">
        <v>1.7559231923802501</v>
      </c>
      <c r="R31" s="178">
        <v>1.73453652052958E-3</v>
      </c>
      <c r="S31" s="146"/>
      <c r="T31" s="146">
        <v>0.83890902321327565</v>
      </c>
      <c r="U31" s="146">
        <v>7.8517767686096113E-2</v>
      </c>
      <c r="V31" s="146">
        <v>-3.624676</v>
      </c>
      <c r="W31" s="146">
        <v>3.5381712098484799E-2</v>
      </c>
      <c r="X31" s="144">
        <v>2.9490980000000002</v>
      </c>
      <c r="Y31" s="178">
        <v>4.0176899999999988E-2</v>
      </c>
      <c r="Z31" s="198">
        <v>0.36212285714285714</v>
      </c>
      <c r="AA31" s="198">
        <v>0.36000000000000004</v>
      </c>
    </row>
    <row r="32" spans="1:27" x14ac:dyDescent="0.25">
      <c r="A32" s="136">
        <v>31</v>
      </c>
      <c r="B32" s="201" t="s">
        <v>710</v>
      </c>
      <c r="C32" s="201" t="s">
        <v>782</v>
      </c>
      <c r="D32" s="201"/>
      <c r="E32" s="194">
        <v>186</v>
      </c>
      <c r="F32" s="194">
        <v>1721</v>
      </c>
      <c r="G32" s="194" t="s">
        <v>828</v>
      </c>
      <c r="H32" s="194">
        <v>79325</v>
      </c>
      <c r="I32" s="194" t="s">
        <v>829</v>
      </c>
      <c r="J32" s="194">
        <v>4807</v>
      </c>
      <c r="K32" s="195" t="s">
        <v>830</v>
      </c>
      <c r="L32" s="195" t="s">
        <v>831</v>
      </c>
      <c r="M32" s="195" t="s">
        <v>832</v>
      </c>
      <c r="N32" s="190"/>
      <c r="O32" s="179">
        <v>0.49608570000000002</v>
      </c>
      <c r="P32" s="178">
        <v>0.35638887800000002</v>
      </c>
      <c r="Q32" s="178">
        <v>1.7559231923802501</v>
      </c>
      <c r="R32" s="178">
        <v>1.73453652052958E-3</v>
      </c>
      <c r="S32" s="146"/>
      <c r="T32" s="146">
        <v>0.83890902321327565</v>
      </c>
      <c r="U32" s="146">
        <v>7.8517767686096113E-2</v>
      </c>
      <c r="V32" s="146">
        <v>-3.624676</v>
      </c>
      <c r="W32" s="146">
        <v>3.5381712098484799E-2</v>
      </c>
      <c r="X32" s="144">
        <v>2.9490980000000002</v>
      </c>
      <c r="Y32" s="178">
        <v>4.0176899999999988E-2</v>
      </c>
      <c r="Z32" s="198">
        <v>0.36212285714285714</v>
      </c>
      <c r="AA32" s="198">
        <v>0.36000000000000004</v>
      </c>
    </row>
    <row r="33" spans="1:27" x14ac:dyDescent="0.25">
      <c r="A33" s="136">
        <v>32</v>
      </c>
      <c r="B33" s="201" t="s">
        <v>710</v>
      </c>
      <c r="C33" s="201" t="s">
        <v>782</v>
      </c>
      <c r="D33" s="201"/>
      <c r="E33" s="194">
        <v>187</v>
      </c>
      <c r="F33" s="194">
        <v>1720</v>
      </c>
      <c r="G33" s="194" t="s">
        <v>833</v>
      </c>
      <c r="H33" s="194">
        <v>79349</v>
      </c>
      <c r="I33" s="194" t="s">
        <v>834</v>
      </c>
      <c r="J33" s="194">
        <v>4800</v>
      </c>
      <c r="K33" s="195" t="s">
        <v>835</v>
      </c>
      <c r="L33" s="195" t="s">
        <v>836</v>
      </c>
      <c r="M33" s="195" t="s">
        <v>837</v>
      </c>
      <c r="N33" s="190"/>
      <c r="O33" s="179">
        <v>0.49608570000000002</v>
      </c>
      <c r="P33" s="178">
        <v>0.35638887800000002</v>
      </c>
      <c r="Q33" s="178">
        <v>1.7559231923802501</v>
      </c>
      <c r="R33" s="178">
        <v>1.73453652052958E-3</v>
      </c>
      <c r="S33" s="146"/>
      <c r="T33" s="146">
        <v>0.83890902321327565</v>
      </c>
      <c r="U33" s="146">
        <v>7.8517767686096113E-2</v>
      </c>
      <c r="V33" s="146">
        <v>-3.624676</v>
      </c>
      <c r="W33" s="146">
        <v>3.5381712098484799E-2</v>
      </c>
      <c r="X33" s="144">
        <v>2.9490980000000002</v>
      </c>
      <c r="Y33" s="178">
        <v>4.0176899999999988E-2</v>
      </c>
      <c r="Z33" s="198">
        <v>0.36212285714285714</v>
      </c>
      <c r="AA33" s="198">
        <v>0.36000000000000004</v>
      </c>
    </row>
    <row r="34" spans="1:27" x14ac:dyDescent="0.25">
      <c r="A34" s="136">
        <v>33</v>
      </c>
      <c r="B34" s="201" t="s">
        <v>710</v>
      </c>
      <c r="C34" s="201" t="s">
        <v>782</v>
      </c>
      <c r="D34" s="201"/>
      <c r="E34" s="194">
        <v>189</v>
      </c>
      <c r="F34" s="194">
        <v>1728</v>
      </c>
      <c r="G34" s="194" t="s">
        <v>838</v>
      </c>
      <c r="H34" s="194">
        <v>79350</v>
      </c>
      <c r="I34" s="194" t="s">
        <v>839</v>
      </c>
      <c r="J34" s="194">
        <v>4896</v>
      </c>
      <c r="K34" s="195" t="s">
        <v>840</v>
      </c>
      <c r="L34" s="195" t="s">
        <v>841</v>
      </c>
      <c r="M34" s="195" t="s">
        <v>842</v>
      </c>
      <c r="N34" s="190"/>
      <c r="O34" s="179">
        <v>0.49608570000000002</v>
      </c>
      <c r="P34" s="178">
        <v>0.35638887800000002</v>
      </c>
      <c r="Q34" s="178">
        <v>1.7559231923802501</v>
      </c>
      <c r="R34" s="178">
        <v>1.73453652052958E-3</v>
      </c>
      <c r="S34" s="146"/>
      <c r="T34" s="146">
        <v>0.83890902321327565</v>
      </c>
      <c r="U34" s="146">
        <v>7.8517767686096113E-2</v>
      </c>
      <c r="V34" s="146">
        <v>-3.624676</v>
      </c>
      <c r="W34" s="146">
        <v>3.5381712098484799E-2</v>
      </c>
      <c r="X34" s="144">
        <v>2.9490980000000002</v>
      </c>
      <c r="Y34" s="178">
        <v>4.0176899999999988E-2</v>
      </c>
      <c r="Z34" s="198">
        <v>0.36212285714285714</v>
      </c>
      <c r="AA34" s="198">
        <v>0.36000000000000004</v>
      </c>
    </row>
    <row r="35" spans="1:27" x14ac:dyDescent="0.25">
      <c r="A35" s="136">
        <v>34</v>
      </c>
      <c r="B35" s="199" t="s">
        <v>710</v>
      </c>
      <c r="C35" s="199" t="s">
        <v>782</v>
      </c>
      <c r="D35" s="200" t="s">
        <v>434</v>
      </c>
      <c r="E35" s="194">
        <v>190</v>
      </c>
      <c r="F35" s="194">
        <v>1725</v>
      </c>
      <c r="G35" s="194" t="s">
        <v>843</v>
      </c>
      <c r="H35" s="194">
        <v>79333</v>
      </c>
      <c r="I35" s="194" t="s">
        <v>844</v>
      </c>
      <c r="J35" s="194">
        <v>4801</v>
      </c>
      <c r="K35" s="195" t="s">
        <v>845</v>
      </c>
      <c r="L35" s="195" t="s">
        <v>846</v>
      </c>
      <c r="M35" s="195" t="s">
        <v>847</v>
      </c>
      <c r="N35" s="194">
        <v>35</v>
      </c>
      <c r="O35" s="196">
        <v>0.528606624646631</v>
      </c>
      <c r="P35" s="194">
        <v>0.35954963246839106</v>
      </c>
      <c r="Q35" s="194">
        <v>1.7559231923802499</v>
      </c>
      <c r="R35" s="194">
        <v>3.04477888629251E-3</v>
      </c>
      <c r="S35" s="197">
        <v>1272</v>
      </c>
      <c r="T35" s="197">
        <v>0.57388711294467276</v>
      </c>
      <c r="U35" s="197">
        <v>0.14746449752606311</v>
      </c>
      <c r="V35" s="197">
        <v>-3.0326278359686998</v>
      </c>
      <c r="W35" s="197">
        <v>9.2752091224602803E-2</v>
      </c>
      <c r="X35" s="194">
        <v>2.9490980000000002</v>
      </c>
      <c r="Y35" s="194">
        <v>4.0176899999999988E-2</v>
      </c>
      <c r="Z35" s="198">
        <v>0.35</v>
      </c>
      <c r="AA35" s="198">
        <v>0.35</v>
      </c>
    </row>
    <row r="36" spans="1:27" x14ac:dyDescent="0.25">
      <c r="A36" s="136">
        <v>35</v>
      </c>
      <c r="B36" s="199" t="s">
        <v>710</v>
      </c>
      <c r="C36" s="199" t="s">
        <v>782</v>
      </c>
      <c r="D36" s="199" t="s">
        <v>610</v>
      </c>
      <c r="E36" s="194"/>
      <c r="F36" s="194"/>
      <c r="G36" s="194" t="s">
        <v>848</v>
      </c>
      <c r="H36" s="194"/>
      <c r="I36" s="194" t="s">
        <v>849</v>
      </c>
      <c r="J36" s="194"/>
      <c r="K36" s="195"/>
      <c r="L36" s="195"/>
      <c r="M36" s="195"/>
      <c r="N36" s="190"/>
      <c r="O36" s="179">
        <v>0.49608570000000002</v>
      </c>
      <c r="P36" s="178">
        <v>0.35638887800000002</v>
      </c>
      <c r="Q36" s="178">
        <v>1.7559231923802501</v>
      </c>
      <c r="R36" s="178">
        <v>1.73453652052958E-3</v>
      </c>
      <c r="S36" s="146"/>
      <c r="T36" s="146">
        <v>0.83890902321327565</v>
      </c>
      <c r="U36" s="146">
        <v>7.8517767686096113E-2</v>
      </c>
      <c r="V36" s="146">
        <v>-3.624676</v>
      </c>
      <c r="W36" s="146">
        <v>3.5381712098484799E-2</v>
      </c>
      <c r="X36" s="144">
        <v>2.9490980000000002</v>
      </c>
      <c r="Y36" s="178">
        <v>4.0176899999999988E-2</v>
      </c>
      <c r="Z36" s="198">
        <v>0.36212285714285714</v>
      </c>
      <c r="AA36" s="198">
        <v>0.36000000000000004</v>
      </c>
    </row>
    <row r="37" spans="1:27" x14ac:dyDescent="0.25">
      <c r="A37" s="136">
        <v>36</v>
      </c>
      <c r="B37" s="203" t="s">
        <v>850</v>
      </c>
      <c r="C37" s="203" t="s">
        <v>851</v>
      </c>
      <c r="D37" s="203" t="s">
        <v>434</v>
      </c>
      <c r="E37" s="204">
        <v>150</v>
      </c>
      <c r="F37" s="204">
        <v>1453</v>
      </c>
      <c r="G37" s="204" t="s">
        <v>852</v>
      </c>
      <c r="H37" s="204">
        <v>113702</v>
      </c>
      <c r="I37" s="204" t="s">
        <v>853</v>
      </c>
      <c r="J37" s="204">
        <v>3282</v>
      </c>
      <c r="K37" s="205">
        <v>56</v>
      </c>
      <c r="L37" s="205" t="s">
        <v>854</v>
      </c>
      <c r="M37" s="205" t="s">
        <v>855</v>
      </c>
      <c r="N37" s="204">
        <v>42</v>
      </c>
      <c r="O37" s="206">
        <v>0.48542189157191801</v>
      </c>
      <c r="P37" s="204">
        <v>0.35628304785251602</v>
      </c>
      <c r="Q37" s="204">
        <v>1.7559231923802499</v>
      </c>
      <c r="R37" s="204">
        <v>1.09325354472966E-3</v>
      </c>
      <c r="S37" s="207">
        <v>512</v>
      </c>
      <c r="T37" s="207">
        <v>0.97230309571355278</v>
      </c>
      <c r="U37" s="207">
        <v>7.0902760654839483E-2</v>
      </c>
      <c r="V37" s="207">
        <v>-4.8633328287457296</v>
      </c>
      <c r="W37" s="207">
        <v>3.7346153974961209E-2</v>
      </c>
      <c r="X37" s="204">
        <v>2.92310201</v>
      </c>
      <c r="Y37" s="204">
        <v>4.0176899999999988E-2</v>
      </c>
      <c r="Z37" s="208">
        <v>0.34</v>
      </c>
      <c r="AA37" s="208">
        <v>0.34</v>
      </c>
    </row>
    <row r="38" spans="1:27" x14ac:dyDescent="0.25">
      <c r="A38" s="136">
        <v>37</v>
      </c>
      <c r="B38" s="203" t="s">
        <v>850</v>
      </c>
      <c r="C38" s="203" t="s">
        <v>851</v>
      </c>
      <c r="D38" s="203" t="s">
        <v>434</v>
      </c>
      <c r="E38" s="204">
        <v>154</v>
      </c>
      <c r="F38" s="204">
        <v>1439</v>
      </c>
      <c r="G38" s="204" t="s">
        <v>368</v>
      </c>
      <c r="H38" s="204">
        <v>113651</v>
      </c>
      <c r="I38" s="204" t="s">
        <v>856</v>
      </c>
      <c r="J38" s="204">
        <v>3275</v>
      </c>
      <c r="K38" s="205">
        <v>59</v>
      </c>
      <c r="L38" s="205" t="s">
        <v>857</v>
      </c>
      <c r="M38" s="205" t="s">
        <v>858</v>
      </c>
      <c r="N38" s="178"/>
      <c r="O38" s="179">
        <v>0.49608570000000002</v>
      </c>
      <c r="P38" s="178">
        <v>0.33229573185501998</v>
      </c>
      <c r="Q38" s="178">
        <v>1.7559231923802499</v>
      </c>
      <c r="R38" s="178">
        <v>2.0586090419193099E-3</v>
      </c>
      <c r="S38" s="207">
        <v>654</v>
      </c>
      <c r="T38" s="207">
        <v>0.89064654191559067</v>
      </c>
      <c r="U38" s="207">
        <v>4.8042041509617509E-2</v>
      </c>
      <c r="V38" s="207">
        <v>-2.90389571593041</v>
      </c>
      <c r="W38" s="207">
        <v>4.4282993550781025E-3</v>
      </c>
      <c r="X38" s="144">
        <v>2.92310201</v>
      </c>
      <c r="Y38" s="178">
        <v>4.0176899999999988E-2</v>
      </c>
      <c r="Z38" s="148">
        <v>0.42588750000000003</v>
      </c>
      <c r="AA38" s="208">
        <v>0.39</v>
      </c>
    </row>
    <row r="39" spans="1:27" x14ac:dyDescent="0.25">
      <c r="A39" s="136">
        <v>38</v>
      </c>
      <c r="B39" s="203" t="s">
        <v>850</v>
      </c>
      <c r="C39" s="203" t="s">
        <v>851</v>
      </c>
      <c r="D39" s="203" t="s">
        <v>434</v>
      </c>
      <c r="E39" s="204">
        <v>158</v>
      </c>
      <c r="F39" s="204">
        <v>1178</v>
      </c>
      <c r="G39" s="204" t="s">
        <v>312</v>
      </c>
      <c r="H39" s="204">
        <v>137099</v>
      </c>
      <c r="I39" s="204" t="s">
        <v>859</v>
      </c>
      <c r="J39" s="204">
        <v>2384</v>
      </c>
      <c r="K39" s="205">
        <v>63</v>
      </c>
      <c r="L39" s="205" t="s">
        <v>860</v>
      </c>
      <c r="M39" s="205" t="s">
        <v>861</v>
      </c>
      <c r="N39" s="204">
        <v>163</v>
      </c>
      <c r="O39" s="206">
        <v>0.48763803297952102</v>
      </c>
      <c r="P39" s="204">
        <v>0.37657507443642796</v>
      </c>
      <c r="Q39" s="204">
        <v>1.7559231923802499</v>
      </c>
      <c r="R39" s="204">
        <v>1.0701629622487099E-3</v>
      </c>
      <c r="S39" s="207">
        <v>14271</v>
      </c>
      <c r="T39" s="207">
        <v>0.83717390745271669</v>
      </c>
      <c r="U39" s="207">
        <v>6.5209180545684489E-2</v>
      </c>
      <c r="V39" s="207">
        <v>-4.2746558066789699</v>
      </c>
      <c r="W39" s="207">
        <v>6.5935950865682297E-2</v>
      </c>
      <c r="X39" s="204">
        <v>2.92310201</v>
      </c>
      <c r="Y39" s="204">
        <v>4.0176899999999988E-2</v>
      </c>
      <c r="Z39" s="208">
        <v>0.47355000000000003</v>
      </c>
      <c r="AA39" s="208">
        <v>0.48</v>
      </c>
    </row>
    <row r="40" spans="1:27" x14ac:dyDescent="0.25">
      <c r="A40" s="136">
        <v>39</v>
      </c>
      <c r="B40" s="203" t="s">
        <v>850</v>
      </c>
      <c r="C40" s="203" t="s">
        <v>851</v>
      </c>
      <c r="D40" s="203" t="s">
        <v>434</v>
      </c>
      <c r="E40" s="204">
        <v>160</v>
      </c>
      <c r="F40" s="204">
        <v>334</v>
      </c>
      <c r="G40" s="204" t="s">
        <v>308</v>
      </c>
      <c r="H40" s="204">
        <v>89452</v>
      </c>
      <c r="I40" s="204" t="s">
        <v>862</v>
      </c>
      <c r="J40" s="204">
        <v>4789</v>
      </c>
      <c r="K40" s="205">
        <v>65</v>
      </c>
      <c r="L40" s="205" t="s">
        <v>863</v>
      </c>
      <c r="M40" s="205" t="s">
        <v>864</v>
      </c>
      <c r="N40" s="204"/>
      <c r="O40" s="206">
        <v>0.48280465755605501</v>
      </c>
      <c r="P40" s="204">
        <v>0.34020119723589398</v>
      </c>
      <c r="Q40" s="204">
        <v>1.7559231923802499</v>
      </c>
      <c r="R40" s="204">
        <v>2.1991032346915396E-3</v>
      </c>
      <c r="S40" s="146"/>
      <c r="T40" s="207">
        <v>0.9190256565563748</v>
      </c>
      <c r="U40" s="207">
        <v>6.7043229460999484E-2</v>
      </c>
      <c r="V40" s="207">
        <v>-4.1001812370710802</v>
      </c>
      <c r="W40" s="207">
        <v>2.3713715040314103E-2</v>
      </c>
      <c r="X40" s="204">
        <v>2.92310201</v>
      </c>
      <c r="Y40" s="204">
        <v>4.0176899999999988E-2</v>
      </c>
      <c r="Z40" s="208">
        <v>0.44</v>
      </c>
      <c r="AA40" s="208">
        <v>0.46</v>
      </c>
    </row>
    <row r="41" spans="1:27" x14ac:dyDescent="0.25">
      <c r="A41" s="136">
        <v>40</v>
      </c>
      <c r="B41" s="203" t="s">
        <v>850</v>
      </c>
      <c r="C41" s="203" t="s">
        <v>851</v>
      </c>
      <c r="D41" s="203" t="s">
        <v>434</v>
      </c>
      <c r="E41" s="204">
        <v>194</v>
      </c>
      <c r="F41" s="204">
        <v>336</v>
      </c>
      <c r="G41" s="204" t="s">
        <v>865</v>
      </c>
      <c r="H41" s="204">
        <v>89455</v>
      </c>
      <c r="I41" s="204" t="s">
        <v>866</v>
      </c>
      <c r="J41" s="204">
        <v>4791</v>
      </c>
      <c r="K41" s="205">
        <v>76</v>
      </c>
      <c r="L41" s="205" t="s">
        <v>867</v>
      </c>
      <c r="M41" s="205" t="s">
        <v>868</v>
      </c>
      <c r="N41" s="204"/>
      <c r="O41" s="206">
        <v>0.48280465755605501</v>
      </c>
      <c r="P41" s="204">
        <v>0.34020119723589398</v>
      </c>
      <c r="Q41" s="204">
        <v>1.7559231923802499</v>
      </c>
      <c r="R41" s="204">
        <v>2.1991032346915396E-3</v>
      </c>
      <c r="S41" s="146"/>
      <c r="T41" s="207">
        <v>0.9190256565563748</v>
      </c>
      <c r="U41" s="207">
        <v>6.7043229460999484E-2</v>
      </c>
      <c r="V41" s="207">
        <v>-4.1001812370710802</v>
      </c>
      <c r="W41" s="207">
        <v>2.3713715040314103E-2</v>
      </c>
      <c r="X41" s="204">
        <v>2.92310201</v>
      </c>
      <c r="Y41" s="204">
        <v>4.0176899999999988E-2</v>
      </c>
      <c r="Z41" s="148">
        <v>0.42588750000000003</v>
      </c>
      <c r="AA41" s="208">
        <v>0.49</v>
      </c>
    </row>
    <row r="42" spans="1:27" x14ac:dyDescent="0.25">
      <c r="A42" s="136">
        <v>41</v>
      </c>
      <c r="B42" s="209" t="s">
        <v>850</v>
      </c>
      <c r="C42" s="209" t="s">
        <v>851</v>
      </c>
      <c r="D42" s="209"/>
      <c r="E42" s="204">
        <v>164</v>
      </c>
      <c r="F42" s="204">
        <v>333</v>
      </c>
      <c r="G42" s="204" t="s">
        <v>869</v>
      </c>
      <c r="H42" s="204">
        <v>89453</v>
      </c>
      <c r="I42" s="204" t="s">
        <v>870</v>
      </c>
      <c r="J42" s="204">
        <v>4790</v>
      </c>
      <c r="K42" s="205" t="s">
        <v>871</v>
      </c>
      <c r="L42" s="205" t="s">
        <v>872</v>
      </c>
      <c r="M42" s="205" t="s">
        <v>873</v>
      </c>
      <c r="N42" s="204">
        <v>142</v>
      </c>
      <c r="O42" s="206">
        <v>0.48280465755605501</v>
      </c>
      <c r="P42" s="204">
        <v>0.34020119723589398</v>
      </c>
      <c r="Q42" s="204">
        <v>1.7559231923802499</v>
      </c>
      <c r="R42" s="204">
        <v>2.1991032346915396E-3</v>
      </c>
      <c r="S42" s="204">
        <v>466</v>
      </c>
      <c r="T42" s="207">
        <v>0.9190256565563748</v>
      </c>
      <c r="U42" s="207">
        <v>6.7043229460999484E-2</v>
      </c>
      <c r="V42" s="207">
        <v>-4.1001812370710802</v>
      </c>
      <c r="W42" s="207">
        <v>2.3713715040314103E-2</v>
      </c>
      <c r="X42" s="204">
        <v>2.92310201</v>
      </c>
      <c r="Y42" s="204">
        <v>4.0176899999999988E-2</v>
      </c>
      <c r="Z42" s="148">
        <v>0.42588750000000003</v>
      </c>
      <c r="AA42" s="148">
        <v>0.42999999999999994</v>
      </c>
    </row>
    <row r="43" spans="1:27" x14ac:dyDescent="0.25">
      <c r="A43" s="136">
        <v>42</v>
      </c>
      <c r="B43" s="209" t="s">
        <v>850</v>
      </c>
      <c r="C43" s="209" t="s">
        <v>851</v>
      </c>
      <c r="D43" s="209"/>
      <c r="E43" s="204">
        <v>167</v>
      </c>
      <c r="F43" s="204">
        <v>335</v>
      </c>
      <c r="G43" s="204" t="s">
        <v>874</v>
      </c>
      <c r="H43" s="204">
        <v>89454</v>
      </c>
      <c r="I43" s="204" t="s">
        <v>875</v>
      </c>
      <c r="J43" s="204">
        <v>4792</v>
      </c>
      <c r="K43" s="205" t="s">
        <v>876</v>
      </c>
      <c r="L43" s="205" t="s">
        <v>877</v>
      </c>
      <c r="M43" s="205" t="s">
        <v>878</v>
      </c>
      <c r="N43" s="204">
        <v>142</v>
      </c>
      <c r="O43" s="206">
        <v>0.48280465755605501</v>
      </c>
      <c r="P43" s="204">
        <v>0.34020119723589398</v>
      </c>
      <c r="Q43" s="204">
        <v>1.7559231923802499</v>
      </c>
      <c r="R43" s="204">
        <v>2.1991032346915396E-3</v>
      </c>
      <c r="S43" s="204">
        <v>466</v>
      </c>
      <c r="T43" s="207">
        <v>0.9190256565563748</v>
      </c>
      <c r="U43" s="207">
        <v>6.7043229460999484E-2</v>
      </c>
      <c r="V43" s="207">
        <v>-4.1001812370710802</v>
      </c>
      <c r="W43" s="207">
        <v>2.3713715040314103E-2</v>
      </c>
      <c r="X43" s="204">
        <v>2.92310201</v>
      </c>
      <c r="Y43" s="204">
        <v>4.0176899999999988E-2</v>
      </c>
      <c r="Z43" s="148">
        <v>0.42588750000000003</v>
      </c>
      <c r="AA43" s="148">
        <v>0.42999999999999994</v>
      </c>
    </row>
    <row r="44" spans="1:27" x14ac:dyDescent="0.25">
      <c r="A44" s="136">
        <v>43</v>
      </c>
      <c r="B44" s="210" t="s">
        <v>850</v>
      </c>
      <c r="C44" s="210" t="s">
        <v>851</v>
      </c>
      <c r="D44" s="210" t="s">
        <v>434</v>
      </c>
      <c r="E44" s="204">
        <v>192</v>
      </c>
      <c r="F44" s="204">
        <v>1180</v>
      </c>
      <c r="G44" s="204" t="s">
        <v>879</v>
      </c>
      <c r="H44" s="204">
        <v>105050</v>
      </c>
      <c r="I44" s="204" t="s">
        <v>880</v>
      </c>
      <c r="J44" s="204">
        <v>4897</v>
      </c>
      <c r="K44" s="205" t="s">
        <v>881</v>
      </c>
      <c r="L44" s="205" t="s">
        <v>882</v>
      </c>
      <c r="M44" s="205" t="s">
        <v>883</v>
      </c>
      <c r="N44" s="178"/>
      <c r="O44" s="179">
        <v>0.49608570000000002</v>
      </c>
      <c r="P44" s="178">
        <v>0.37657507443642796</v>
      </c>
      <c r="Q44" s="178">
        <v>1.7559231923802499</v>
      </c>
      <c r="R44" s="178">
        <v>1.0701629622487099E-3</v>
      </c>
      <c r="S44" s="146"/>
      <c r="T44" s="146">
        <v>0.83890902321327565</v>
      </c>
      <c r="U44" s="146">
        <v>7.3610528578312504E-2</v>
      </c>
      <c r="V44" s="146">
        <v>-3.624676</v>
      </c>
      <c r="W44" s="146">
        <v>4.06376575279613E-2</v>
      </c>
      <c r="X44" s="144">
        <v>2.92310201</v>
      </c>
      <c r="Y44" s="178">
        <v>4.0176899999999988E-2</v>
      </c>
      <c r="Z44" s="208">
        <v>0.45</v>
      </c>
      <c r="AA44" s="208">
        <v>0.42</v>
      </c>
    </row>
    <row r="45" spans="1:27" x14ac:dyDescent="0.25">
      <c r="A45" s="136">
        <v>44</v>
      </c>
      <c r="B45" s="211" t="s">
        <v>850</v>
      </c>
      <c r="C45" s="211" t="s">
        <v>851</v>
      </c>
      <c r="D45" s="211"/>
      <c r="E45" s="204">
        <v>193</v>
      </c>
      <c r="F45" s="204">
        <v>1179</v>
      </c>
      <c r="G45" s="204" t="s">
        <v>884</v>
      </c>
      <c r="H45" s="204">
        <v>105044</v>
      </c>
      <c r="I45" s="204" t="s">
        <v>885</v>
      </c>
      <c r="J45" s="204">
        <v>4804</v>
      </c>
      <c r="K45" s="205" t="s">
        <v>886</v>
      </c>
      <c r="L45" s="205" t="s">
        <v>887</v>
      </c>
      <c r="M45" s="205" t="s">
        <v>888</v>
      </c>
      <c r="N45" s="178"/>
      <c r="O45" s="179">
        <v>0.49608570000000002</v>
      </c>
      <c r="P45" s="178">
        <v>0.37657507443642796</v>
      </c>
      <c r="Q45" s="178">
        <v>1.7559231923802499</v>
      </c>
      <c r="R45" s="178">
        <v>1.0701629622487099E-3</v>
      </c>
      <c r="S45" s="207">
        <v>1331</v>
      </c>
      <c r="T45" s="207">
        <v>0.72816458305029674</v>
      </c>
      <c r="U45" s="207">
        <v>0.12133469759945249</v>
      </c>
      <c r="V45" s="207">
        <v>-3.9925620083130502</v>
      </c>
      <c r="W45" s="207">
        <v>8.4750379670239295E-2</v>
      </c>
      <c r="X45" s="144">
        <v>2.92310201</v>
      </c>
      <c r="Y45" s="178">
        <v>4.0176899999999988E-2</v>
      </c>
      <c r="Z45" s="148">
        <v>0.42588750000000003</v>
      </c>
      <c r="AA45" s="148">
        <v>0.42999999999999994</v>
      </c>
    </row>
    <row r="46" spans="1:27" x14ac:dyDescent="0.25">
      <c r="A46" s="136">
        <v>45</v>
      </c>
      <c r="B46" s="211" t="s">
        <v>850</v>
      </c>
      <c r="C46" s="211" t="s">
        <v>851</v>
      </c>
      <c r="D46" s="211" t="s">
        <v>610</v>
      </c>
      <c r="E46" s="204"/>
      <c r="F46" s="204"/>
      <c r="G46" s="204" t="s">
        <v>889</v>
      </c>
      <c r="H46" s="204"/>
      <c r="I46" s="204" t="s">
        <v>890</v>
      </c>
      <c r="J46" s="204"/>
      <c r="K46" s="205"/>
      <c r="L46" s="205"/>
      <c r="M46" s="205"/>
      <c r="N46" s="178"/>
      <c r="O46" s="179">
        <v>0.49608570000000002</v>
      </c>
      <c r="P46" s="178">
        <v>0.35638887800000002</v>
      </c>
      <c r="Q46" s="178">
        <v>1.7559231923802501</v>
      </c>
      <c r="R46" s="178">
        <v>1.73453652052958E-3</v>
      </c>
      <c r="S46" s="146"/>
      <c r="T46" s="146">
        <v>0.83890902321327565</v>
      </c>
      <c r="U46" s="146">
        <v>7.3610528578312504E-2</v>
      </c>
      <c r="V46" s="146">
        <v>-3.624676</v>
      </c>
      <c r="W46" s="146">
        <v>4.06376575279613E-2</v>
      </c>
      <c r="X46" s="144">
        <v>2.92310201</v>
      </c>
      <c r="Y46" s="178">
        <v>4.0176899999999988E-2</v>
      </c>
      <c r="Z46" s="208">
        <v>0.42588750000000003</v>
      </c>
      <c r="AA46" s="208">
        <v>0.42999999999999994</v>
      </c>
    </row>
    <row r="47" spans="1:27" x14ac:dyDescent="0.25">
      <c r="A47" s="136">
        <v>46</v>
      </c>
      <c r="B47" s="211" t="s">
        <v>850</v>
      </c>
      <c r="C47" s="211" t="s">
        <v>851</v>
      </c>
      <c r="D47" s="211" t="s">
        <v>614</v>
      </c>
      <c r="E47" s="204"/>
      <c r="F47" s="204"/>
      <c r="G47" s="204" t="s">
        <v>891</v>
      </c>
      <c r="H47" s="204">
        <v>717738</v>
      </c>
      <c r="I47" s="204" t="s">
        <v>892</v>
      </c>
      <c r="J47" s="204"/>
      <c r="K47" s="205"/>
      <c r="L47" s="205" t="s">
        <v>893</v>
      </c>
      <c r="M47" s="205"/>
      <c r="N47" s="204">
        <v>142</v>
      </c>
      <c r="O47" s="206">
        <v>0.48280465755605501</v>
      </c>
      <c r="P47" s="204">
        <v>0.34020119723589398</v>
      </c>
      <c r="Q47" s="204">
        <v>1.7559231923802499</v>
      </c>
      <c r="R47" s="204">
        <v>2.1991032346915396E-3</v>
      </c>
      <c r="S47" s="204">
        <v>466</v>
      </c>
      <c r="T47" s="207">
        <v>0.9190256565563748</v>
      </c>
      <c r="U47" s="207">
        <v>6.7043229460999484E-2</v>
      </c>
      <c r="V47" s="207">
        <v>-4.1001812370710802</v>
      </c>
      <c r="W47" s="207">
        <v>2.3713715040314103E-2</v>
      </c>
      <c r="X47" s="204">
        <v>2.92310201</v>
      </c>
      <c r="Y47" s="204">
        <v>4.0176899999999988E-2</v>
      </c>
      <c r="Z47" s="148">
        <v>0.42588750000000003</v>
      </c>
      <c r="AA47" s="148">
        <v>0.42999999999999994</v>
      </c>
    </row>
    <row r="48" spans="1:27" x14ac:dyDescent="0.25">
      <c r="A48" s="136">
        <v>47</v>
      </c>
      <c r="B48" s="212" t="s">
        <v>850</v>
      </c>
      <c r="C48" s="212" t="s">
        <v>894</v>
      </c>
      <c r="D48" s="212" t="s">
        <v>434</v>
      </c>
      <c r="E48" s="213">
        <v>143</v>
      </c>
      <c r="F48" s="213">
        <v>1447</v>
      </c>
      <c r="G48" s="213" t="s">
        <v>895</v>
      </c>
      <c r="H48" s="213">
        <v>138850</v>
      </c>
      <c r="I48" s="213" t="s">
        <v>896</v>
      </c>
      <c r="J48" s="213">
        <v>3279</v>
      </c>
      <c r="K48" s="214">
        <v>51</v>
      </c>
      <c r="L48" s="214" t="s">
        <v>897</v>
      </c>
      <c r="M48" s="214" t="s">
        <v>898</v>
      </c>
      <c r="N48" s="213">
        <v>1533</v>
      </c>
      <c r="O48" s="215">
        <v>0.48861331725940998</v>
      </c>
      <c r="P48" s="213">
        <v>0.39581474168040104</v>
      </c>
      <c r="Q48" s="213">
        <v>1.7559231923802499</v>
      </c>
      <c r="R48" s="213">
        <v>-1.8621679399248099E-3</v>
      </c>
      <c r="S48" s="216">
        <v>68458</v>
      </c>
      <c r="T48" s="216">
        <v>1.0737443519434666</v>
      </c>
      <c r="U48" s="216">
        <v>5.705950267765951E-2</v>
      </c>
      <c r="V48" s="216">
        <v>-6.3058750306300704</v>
      </c>
      <c r="W48" s="216">
        <v>8.5216474383058904E-2</v>
      </c>
      <c r="X48" s="144">
        <v>2.92310201</v>
      </c>
      <c r="Y48" s="178">
        <v>4.0176899999999988E-2</v>
      </c>
      <c r="Z48" s="217">
        <v>0.41414099999999998</v>
      </c>
      <c r="AA48" s="217">
        <v>0.46</v>
      </c>
    </row>
    <row r="49" spans="1:27" x14ac:dyDescent="0.25">
      <c r="A49" s="136">
        <v>48</v>
      </c>
      <c r="B49" s="212" t="s">
        <v>850</v>
      </c>
      <c r="C49" s="212" t="s">
        <v>894</v>
      </c>
      <c r="D49" s="212" t="s">
        <v>434</v>
      </c>
      <c r="E49" s="213">
        <v>144</v>
      </c>
      <c r="F49" s="213">
        <v>1451</v>
      </c>
      <c r="G49" s="213" t="s">
        <v>387</v>
      </c>
      <c r="H49" s="213">
        <v>113703</v>
      </c>
      <c r="I49" s="213" t="s">
        <v>899</v>
      </c>
      <c r="J49" s="213">
        <v>3281</v>
      </c>
      <c r="K49" s="214">
        <v>52</v>
      </c>
      <c r="L49" s="214" t="s">
        <v>900</v>
      </c>
      <c r="M49" s="214" t="s">
        <v>901</v>
      </c>
      <c r="N49" s="213">
        <v>1958</v>
      </c>
      <c r="O49" s="215">
        <v>0.47263870955824899</v>
      </c>
      <c r="P49" s="213">
        <v>0.37160635116038004</v>
      </c>
      <c r="Q49" s="213">
        <v>1.7559231923802499</v>
      </c>
      <c r="R49" s="213">
        <v>6.3503722466881976E-4</v>
      </c>
      <c r="S49" s="216">
        <v>114943</v>
      </c>
      <c r="T49" s="216">
        <v>0.84501097374903766</v>
      </c>
      <c r="U49" s="216">
        <v>5.9077046075818498E-2</v>
      </c>
      <c r="V49" s="216">
        <v>-3.00829100424416</v>
      </c>
      <c r="W49" s="216">
        <v>3.3006622149112402E-2</v>
      </c>
      <c r="X49" s="144">
        <v>2.92310201</v>
      </c>
      <c r="Y49" s="178">
        <v>4.0176899999999988E-2</v>
      </c>
      <c r="Z49" s="217">
        <v>0.42188999999999999</v>
      </c>
      <c r="AA49" s="217">
        <v>0.44</v>
      </c>
    </row>
    <row r="50" spans="1:27" x14ac:dyDescent="0.25">
      <c r="A50" s="136">
        <v>49</v>
      </c>
      <c r="B50" s="218" t="s">
        <v>850</v>
      </c>
      <c r="C50" s="218" t="s">
        <v>894</v>
      </c>
      <c r="D50" s="218" t="s">
        <v>434</v>
      </c>
      <c r="E50" s="213">
        <v>148</v>
      </c>
      <c r="F50" s="213">
        <v>1449</v>
      </c>
      <c r="G50" s="213" t="s">
        <v>371</v>
      </c>
      <c r="H50" s="213">
        <v>138843</v>
      </c>
      <c r="I50" s="213" t="s">
        <v>902</v>
      </c>
      <c r="J50" s="213">
        <v>4793</v>
      </c>
      <c r="K50" s="214">
        <v>54</v>
      </c>
      <c r="L50" s="214" t="s">
        <v>903</v>
      </c>
      <c r="M50" s="214" t="s">
        <v>904</v>
      </c>
      <c r="N50" s="213">
        <v>240</v>
      </c>
      <c r="O50" s="215">
        <v>0.49804628685806501</v>
      </c>
      <c r="P50" s="213">
        <v>0.30480604226972702</v>
      </c>
      <c r="Q50" s="213">
        <v>1.7559231923802499</v>
      </c>
      <c r="R50" s="213">
        <v>3.4876967694971073E-3</v>
      </c>
      <c r="S50" s="216">
        <v>25289</v>
      </c>
      <c r="T50" s="216">
        <v>0.98486601438092269</v>
      </c>
      <c r="U50" s="216">
        <v>5.2745195930098493E-2</v>
      </c>
      <c r="V50" s="216">
        <v>-3.3896425814092099</v>
      </c>
      <c r="W50" s="216">
        <v>-3.6810146175364003E-3</v>
      </c>
      <c r="X50" s="144">
        <v>2.92310201</v>
      </c>
      <c r="Y50" s="178">
        <v>4.0176899999999988E-2</v>
      </c>
      <c r="Z50" s="217">
        <v>0.41414099999999998</v>
      </c>
      <c r="AA50" s="217">
        <v>0.49</v>
      </c>
    </row>
    <row r="51" spans="1:27" x14ac:dyDescent="0.25">
      <c r="A51" s="136">
        <v>50</v>
      </c>
      <c r="B51" s="219" t="s">
        <v>850</v>
      </c>
      <c r="C51" s="219" t="s">
        <v>894</v>
      </c>
      <c r="D51" s="219"/>
      <c r="E51" s="213">
        <v>149</v>
      </c>
      <c r="F51" s="213">
        <v>1450</v>
      </c>
      <c r="G51" s="213" t="s">
        <v>905</v>
      </c>
      <c r="H51" s="213">
        <v>113690</v>
      </c>
      <c r="I51" s="213" t="s">
        <v>906</v>
      </c>
      <c r="J51" s="213">
        <v>3280</v>
      </c>
      <c r="K51" s="214">
        <v>55</v>
      </c>
      <c r="L51" s="214" t="s">
        <v>907</v>
      </c>
      <c r="M51" s="214" t="s">
        <v>898</v>
      </c>
      <c r="N51" s="178"/>
      <c r="O51" s="179">
        <v>0.49608570000000002</v>
      </c>
      <c r="P51" s="178">
        <v>0.33229573185501998</v>
      </c>
      <c r="Q51" s="178">
        <v>1.7559231923802499</v>
      </c>
      <c r="R51" s="178">
        <v>2.0586090419193099E-3</v>
      </c>
      <c r="S51" s="216">
        <v>344</v>
      </c>
      <c r="T51" s="216">
        <v>1.0535217541428807</v>
      </c>
      <c r="U51" s="216">
        <v>3.7524752835802491E-2</v>
      </c>
      <c r="V51" s="216">
        <v>-3.5056204485109101</v>
      </c>
      <c r="W51" s="216">
        <v>-1.9488758048934962E-2</v>
      </c>
      <c r="X51" s="144">
        <v>2.92310201</v>
      </c>
      <c r="Y51" s="178">
        <v>4.0176899999999988E-2</v>
      </c>
      <c r="Z51" s="148">
        <v>0.42403440000000003</v>
      </c>
      <c r="AA51" s="148">
        <v>0.45033333333333331</v>
      </c>
    </row>
    <row r="52" spans="1:27" x14ac:dyDescent="0.25">
      <c r="A52" s="136">
        <v>51</v>
      </c>
      <c r="B52" s="218" t="s">
        <v>850</v>
      </c>
      <c r="C52" s="218" t="s">
        <v>894</v>
      </c>
      <c r="D52" s="218" t="s">
        <v>434</v>
      </c>
      <c r="E52" s="213">
        <v>153</v>
      </c>
      <c r="F52" s="213">
        <v>1437</v>
      </c>
      <c r="G52" s="213" t="s">
        <v>369</v>
      </c>
      <c r="H52" s="213">
        <v>138840</v>
      </c>
      <c r="I52" s="213" t="s">
        <v>908</v>
      </c>
      <c r="J52" s="213">
        <v>3278</v>
      </c>
      <c r="K52" s="214">
        <v>58</v>
      </c>
      <c r="L52" s="214" t="s">
        <v>909</v>
      </c>
      <c r="M52" s="214" t="s">
        <v>910</v>
      </c>
      <c r="N52" s="213">
        <v>257</v>
      </c>
      <c r="O52" s="215">
        <v>0.54135548699862301</v>
      </c>
      <c r="P52" s="213">
        <v>0.44257462564922395</v>
      </c>
      <c r="Q52" s="213">
        <v>1.7559231923802499</v>
      </c>
      <c r="R52" s="213">
        <v>-5.0918961644049994E-4</v>
      </c>
      <c r="S52" s="216">
        <v>8504</v>
      </c>
      <c r="T52" s="216">
        <v>0.81705585196930275</v>
      </c>
      <c r="U52" s="216">
        <v>6.0731765212269487E-2</v>
      </c>
      <c r="V52" s="216">
        <v>-3.17723720885339</v>
      </c>
      <c r="W52" s="216">
        <v>3.2211694530870902E-2</v>
      </c>
      <c r="X52" s="144">
        <v>2.92310201</v>
      </c>
      <c r="Y52" s="178">
        <v>4.0176899999999988E-2</v>
      </c>
      <c r="Z52" s="217">
        <v>0.41</v>
      </c>
      <c r="AA52" s="217">
        <v>0.44</v>
      </c>
    </row>
    <row r="53" spans="1:27" x14ac:dyDescent="0.25">
      <c r="A53" s="136">
        <v>52</v>
      </c>
      <c r="B53" s="218" t="s">
        <v>850</v>
      </c>
      <c r="C53" s="218" t="s">
        <v>894</v>
      </c>
      <c r="D53" s="218" t="s">
        <v>434</v>
      </c>
      <c r="E53" s="213">
        <v>155</v>
      </c>
      <c r="F53" s="213">
        <v>1448</v>
      </c>
      <c r="G53" s="213" t="s">
        <v>911</v>
      </c>
      <c r="H53" s="213">
        <v>113682</v>
      </c>
      <c r="I53" s="213" t="s">
        <v>912</v>
      </c>
      <c r="J53" s="213">
        <v>4893</v>
      </c>
      <c r="K53" s="214">
        <v>60</v>
      </c>
      <c r="L53" s="214" t="s">
        <v>913</v>
      </c>
      <c r="M53" s="214" t="s">
        <v>914</v>
      </c>
      <c r="N53" s="213">
        <v>3</v>
      </c>
      <c r="O53" s="215">
        <v>0.55033672792083399</v>
      </c>
      <c r="P53" s="213">
        <v>0.43241278023062996</v>
      </c>
      <c r="Q53" s="213">
        <v>1.7559231923802499</v>
      </c>
      <c r="R53" s="213">
        <v>1.15205770350111E-3</v>
      </c>
      <c r="S53" s="216">
        <v>7</v>
      </c>
      <c r="T53" s="216">
        <v>0.74484431086615577</v>
      </c>
      <c r="U53" s="216">
        <v>0.10878989325161649</v>
      </c>
      <c r="V53" s="216">
        <v>-3.6136610862837002</v>
      </c>
      <c r="W53" s="216">
        <v>6.7587036111609905E-2</v>
      </c>
      <c r="X53" s="144">
        <v>2.92310201</v>
      </c>
      <c r="Y53" s="178">
        <v>4.0176899999999988E-2</v>
      </c>
      <c r="Z53" s="148">
        <v>0.42403440000000003</v>
      </c>
      <c r="AA53" s="217">
        <v>0.42199999999999999</v>
      </c>
    </row>
    <row r="54" spans="1:27" x14ac:dyDescent="0.25">
      <c r="A54" s="136">
        <v>53</v>
      </c>
      <c r="B54" s="220" t="s">
        <v>850</v>
      </c>
      <c r="C54" s="220" t="s">
        <v>894</v>
      </c>
      <c r="D54" s="220"/>
      <c r="E54" s="213">
        <v>195</v>
      </c>
      <c r="F54" s="213">
        <v>1452</v>
      </c>
      <c r="G54" s="213" t="s">
        <v>915</v>
      </c>
      <c r="H54" s="213">
        <v>446381</v>
      </c>
      <c r="I54" s="213" t="s">
        <v>915</v>
      </c>
      <c r="J54" s="213">
        <v>4895</v>
      </c>
      <c r="K54" s="214">
        <v>77</v>
      </c>
      <c r="L54" s="214" t="s">
        <v>916</v>
      </c>
      <c r="M54" s="214" t="s">
        <v>917</v>
      </c>
      <c r="N54" s="178"/>
      <c r="O54" s="179">
        <v>0.49608570000000002</v>
      </c>
      <c r="P54" s="178">
        <v>0.35638887800000002</v>
      </c>
      <c r="Q54" s="178">
        <v>1.7559231923802501</v>
      </c>
      <c r="R54" s="178">
        <v>1.73453652052958E-3</v>
      </c>
      <c r="S54" s="146"/>
      <c r="T54" s="146">
        <v>0.83890902321327565</v>
      </c>
      <c r="U54" s="146">
        <v>8.3953784296990505E-2</v>
      </c>
      <c r="V54" s="146">
        <v>-3.624676</v>
      </c>
      <c r="W54" s="146">
        <v>4.90156131891029E-2</v>
      </c>
      <c r="X54" s="144">
        <v>2.92310201</v>
      </c>
      <c r="Y54" s="178">
        <v>4.0176899999999988E-2</v>
      </c>
      <c r="Z54" s="217">
        <v>0.42403440000000003</v>
      </c>
      <c r="AA54" s="217">
        <v>0.45033333333333331</v>
      </c>
    </row>
    <row r="55" spans="1:27" x14ac:dyDescent="0.25">
      <c r="A55" s="136">
        <v>54</v>
      </c>
      <c r="B55" s="220" t="s">
        <v>850</v>
      </c>
      <c r="C55" s="220" t="s">
        <v>894</v>
      </c>
      <c r="D55" s="220"/>
      <c r="E55" s="213">
        <v>145</v>
      </c>
      <c r="F55" s="213">
        <v>1445</v>
      </c>
      <c r="G55" s="213" t="s">
        <v>918</v>
      </c>
      <c r="H55" s="213">
        <v>613561</v>
      </c>
      <c r="I55" s="213" t="s">
        <v>919</v>
      </c>
      <c r="J55" s="213">
        <v>4794</v>
      </c>
      <c r="K55" s="214" t="s">
        <v>920</v>
      </c>
      <c r="L55" s="214" t="s">
        <v>921</v>
      </c>
      <c r="M55" s="214" t="s">
        <v>904</v>
      </c>
      <c r="N55" s="213">
        <v>338</v>
      </c>
      <c r="O55" s="215">
        <v>0.45529813506272998</v>
      </c>
      <c r="P55" s="213">
        <v>0.30566795674853303</v>
      </c>
      <c r="Q55" s="213">
        <v>1.7559231923802499</v>
      </c>
      <c r="R55" s="213">
        <v>2.7874758831679981E-3</v>
      </c>
      <c r="S55" s="216">
        <v>7541</v>
      </c>
      <c r="T55" s="216">
        <v>1.1098580553698456</v>
      </c>
      <c r="U55" s="216">
        <v>3.753540989026749E-2</v>
      </c>
      <c r="V55" s="216">
        <v>-3.7221348036349502</v>
      </c>
      <c r="W55" s="216">
        <v>-2.7694948448686713E-2</v>
      </c>
      <c r="X55" s="144">
        <v>2.92310201</v>
      </c>
      <c r="Y55" s="178">
        <v>4.0176899999999988E-2</v>
      </c>
      <c r="Z55" s="148">
        <v>0.42403440000000003</v>
      </c>
      <c r="AA55" s="148">
        <v>0.45033333333333331</v>
      </c>
    </row>
    <row r="56" spans="1:27" x14ac:dyDescent="0.25">
      <c r="A56" s="136">
        <v>55</v>
      </c>
      <c r="B56" s="221" t="s">
        <v>850</v>
      </c>
      <c r="C56" s="221" t="s">
        <v>894</v>
      </c>
      <c r="D56" s="221"/>
      <c r="E56" s="213">
        <v>146</v>
      </c>
      <c r="F56" s="213">
        <v>1446</v>
      </c>
      <c r="G56" s="213" t="s">
        <v>922</v>
      </c>
      <c r="H56" s="213">
        <v>613563</v>
      </c>
      <c r="I56" s="213" t="s">
        <v>923</v>
      </c>
      <c r="J56" s="213">
        <v>3277</v>
      </c>
      <c r="K56" s="214" t="s">
        <v>924</v>
      </c>
      <c r="L56" s="214" t="s">
        <v>925</v>
      </c>
      <c r="M56" s="214" t="s">
        <v>904</v>
      </c>
      <c r="N56" s="213">
        <v>338</v>
      </c>
      <c r="O56" s="215">
        <v>0.45529813506272998</v>
      </c>
      <c r="P56" s="213">
        <v>0.30566795674853303</v>
      </c>
      <c r="Q56" s="213">
        <v>1.7559231923802499</v>
      </c>
      <c r="R56" s="213">
        <v>2.7874758831679981E-3</v>
      </c>
      <c r="S56" s="216">
        <v>7541</v>
      </c>
      <c r="T56" s="216">
        <v>1.1098580553698456</v>
      </c>
      <c r="U56" s="216">
        <v>3.753540989026749E-2</v>
      </c>
      <c r="V56" s="216">
        <v>-3.7221348036349502</v>
      </c>
      <c r="W56" s="216">
        <v>-2.7694948448686713E-2</v>
      </c>
      <c r="X56" s="144">
        <v>2.92310201</v>
      </c>
      <c r="Y56" s="178">
        <v>4.0176899999999988E-2</v>
      </c>
      <c r="Z56" s="148">
        <v>0.42403440000000003</v>
      </c>
      <c r="AA56" s="148">
        <v>0.45033333333333331</v>
      </c>
    </row>
    <row r="57" spans="1:27" x14ac:dyDescent="0.25">
      <c r="A57" s="136">
        <v>56</v>
      </c>
      <c r="B57" s="220" t="s">
        <v>850</v>
      </c>
      <c r="C57" s="220" t="s">
        <v>894</v>
      </c>
      <c r="D57" s="220"/>
      <c r="E57" s="213">
        <v>147</v>
      </c>
      <c r="F57" s="213">
        <v>1443</v>
      </c>
      <c r="G57" s="213" t="s">
        <v>926</v>
      </c>
      <c r="H57" s="213">
        <v>138844</v>
      </c>
      <c r="I57" s="213" t="s">
        <v>927</v>
      </c>
      <c r="J57" s="213">
        <v>4795</v>
      </c>
      <c r="K57" s="214" t="s">
        <v>928</v>
      </c>
      <c r="L57" s="214" t="s">
        <v>929</v>
      </c>
      <c r="M57" s="214" t="s">
        <v>904</v>
      </c>
      <c r="N57" s="213">
        <v>240</v>
      </c>
      <c r="O57" s="215">
        <v>0.49804628685806501</v>
      </c>
      <c r="P57" s="213">
        <v>0.30480604226972702</v>
      </c>
      <c r="Q57" s="213">
        <v>1.7559231923802499</v>
      </c>
      <c r="R57" s="213">
        <v>3.4876967694971073E-3</v>
      </c>
      <c r="S57" s="216">
        <v>25289</v>
      </c>
      <c r="T57" s="216">
        <v>0.98486601438092269</v>
      </c>
      <c r="U57" s="216">
        <v>5.2745195930098493E-2</v>
      </c>
      <c r="V57" s="216">
        <v>-3.3896425814092099</v>
      </c>
      <c r="W57" s="216">
        <v>-3.6810146175364003E-3</v>
      </c>
      <c r="X57" s="144">
        <v>2.92310201</v>
      </c>
      <c r="Y57" s="178">
        <v>4.0176899999999988E-2</v>
      </c>
      <c r="Z57" s="217">
        <v>0.41414099999999998</v>
      </c>
      <c r="AA57" s="217">
        <v>0.49</v>
      </c>
    </row>
    <row r="58" spans="1:27" x14ac:dyDescent="0.25">
      <c r="A58" s="136">
        <v>57</v>
      </c>
      <c r="B58" s="212" t="s">
        <v>850</v>
      </c>
      <c r="C58" s="212" t="s">
        <v>894</v>
      </c>
      <c r="D58" s="212" t="s">
        <v>434</v>
      </c>
      <c r="E58" s="213">
        <v>151</v>
      </c>
      <c r="F58" s="213">
        <v>1440</v>
      </c>
      <c r="G58" s="213" t="s">
        <v>367</v>
      </c>
      <c r="H58" s="213">
        <v>113665</v>
      </c>
      <c r="I58" s="213" t="s">
        <v>930</v>
      </c>
      <c r="J58" s="213">
        <v>3276</v>
      </c>
      <c r="K58" s="214" t="s">
        <v>931</v>
      </c>
      <c r="L58" s="214" t="s">
        <v>932</v>
      </c>
      <c r="M58" s="214" t="s">
        <v>933</v>
      </c>
      <c r="N58" s="213">
        <v>134</v>
      </c>
      <c r="O58" s="215">
        <v>0.52219565313552097</v>
      </c>
      <c r="P58" s="213">
        <v>0.40322490860754495</v>
      </c>
      <c r="Q58" s="213">
        <v>1.7559231923802499</v>
      </c>
      <c r="R58" s="213">
        <v>7.0391404902464972E-4</v>
      </c>
      <c r="S58" s="213">
        <v>7800</v>
      </c>
      <c r="T58" s="216">
        <v>0.80533212214302075</v>
      </c>
      <c r="U58" s="216">
        <v>3.3226269981110501E-2</v>
      </c>
      <c r="V58" s="216">
        <v>-2.69769784408401</v>
      </c>
      <c r="W58" s="216">
        <v>1.0816264371206401E-2</v>
      </c>
      <c r="X58" s="144">
        <v>2.92310201</v>
      </c>
      <c r="Y58" s="178">
        <v>4.0176899999999988E-2</v>
      </c>
      <c r="Z58" s="217">
        <v>0.46</v>
      </c>
      <c r="AA58" s="217">
        <v>0.45</v>
      </c>
    </row>
    <row r="59" spans="1:27" x14ac:dyDescent="0.25">
      <c r="A59" s="136">
        <v>58</v>
      </c>
      <c r="B59" s="220" t="s">
        <v>850</v>
      </c>
      <c r="C59" s="220" t="s">
        <v>894</v>
      </c>
      <c r="D59" s="220"/>
      <c r="E59" s="213">
        <v>152</v>
      </c>
      <c r="F59" s="213">
        <v>1438</v>
      </c>
      <c r="G59" s="213" t="s">
        <v>934</v>
      </c>
      <c r="H59" s="213">
        <v>162291</v>
      </c>
      <c r="I59" s="213" t="s">
        <v>935</v>
      </c>
      <c r="J59" s="213">
        <v>4808</v>
      </c>
      <c r="K59" s="214" t="s">
        <v>936</v>
      </c>
      <c r="L59" s="214" t="s">
        <v>937</v>
      </c>
      <c r="M59" s="214" t="s">
        <v>938</v>
      </c>
      <c r="N59" s="213">
        <v>134</v>
      </c>
      <c r="O59" s="215">
        <v>0.52219565313552097</v>
      </c>
      <c r="P59" s="213">
        <v>0.40322490860754495</v>
      </c>
      <c r="Q59" s="213">
        <v>1.7559231923802499</v>
      </c>
      <c r="R59" s="213">
        <v>7.0391404902464972E-4</v>
      </c>
      <c r="S59" s="213">
        <v>7800</v>
      </c>
      <c r="T59" s="216">
        <v>0.80533212214302075</v>
      </c>
      <c r="U59" s="216">
        <v>3.3226269981110501E-2</v>
      </c>
      <c r="V59" s="216">
        <v>-2.69769784408401</v>
      </c>
      <c r="W59" s="216">
        <v>1.0816264371206401E-2</v>
      </c>
      <c r="X59" s="144">
        <v>2.92310201</v>
      </c>
      <c r="Y59" s="178">
        <v>4.0176899999999988E-2</v>
      </c>
      <c r="Z59" s="217">
        <v>0.46</v>
      </c>
      <c r="AA59" s="217">
        <v>0.45</v>
      </c>
    </row>
    <row r="60" spans="1:27" x14ac:dyDescent="0.25">
      <c r="A60" s="136">
        <v>59</v>
      </c>
      <c r="B60" s="220" t="s">
        <v>850</v>
      </c>
      <c r="C60" s="220" t="s">
        <v>894</v>
      </c>
      <c r="D60" s="220"/>
      <c r="E60" s="213">
        <v>172</v>
      </c>
      <c r="F60" s="213">
        <v>1442</v>
      </c>
      <c r="G60" s="213" t="s">
        <v>939</v>
      </c>
      <c r="H60" s="213">
        <v>458773</v>
      </c>
      <c r="I60" s="213" t="s">
        <v>940</v>
      </c>
      <c r="J60" s="213">
        <v>4814</v>
      </c>
      <c r="K60" s="214" t="s">
        <v>941</v>
      </c>
      <c r="L60" s="214" t="s">
        <v>942</v>
      </c>
      <c r="M60" s="214" t="s">
        <v>943</v>
      </c>
      <c r="N60" s="178"/>
      <c r="O60" s="179">
        <v>0.49608570000000002</v>
      </c>
      <c r="P60" s="178">
        <v>0.35638887800000002</v>
      </c>
      <c r="Q60" s="178">
        <v>1.7559231923802501</v>
      </c>
      <c r="R60" s="178">
        <v>1.73453652052958E-3</v>
      </c>
      <c r="S60" s="146"/>
      <c r="T60" s="146">
        <v>0.83890902321327565</v>
      </c>
      <c r="U60" s="146">
        <v>8.3953784296990505E-2</v>
      </c>
      <c r="V60" s="146">
        <v>-3.624676</v>
      </c>
      <c r="W60" s="146">
        <v>4.90156131891029E-2</v>
      </c>
      <c r="X60" s="144">
        <v>2.92310201</v>
      </c>
      <c r="Y60" s="178">
        <v>4.0176899999999988E-2</v>
      </c>
      <c r="Z60" s="217">
        <v>0.42403440000000003</v>
      </c>
      <c r="AA60" s="217">
        <v>0.45033333333333331</v>
      </c>
    </row>
    <row r="61" spans="1:27" x14ac:dyDescent="0.25">
      <c r="A61" s="136">
        <v>60</v>
      </c>
      <c r="B61" s="220" t="s">
        <v>850</v>
      </c>
      <c r="C61" s="220" t="s">
        <v>894</v>
      </c>
      <c r="D61" s="220"/>
      <c r="E61" s="213">
        <v>173</v>
      </c>
      <c r="F61" s="213">
        <v>1441</v>
      </c>
      <c r="G61" s="213" t="s">
        <v>944</v>
      </c>
      <c r="H61" s="213">
        <v>113696</v>
      </c>
      <c r="I61" s="213" t="s">
        <v>945</v>
      </c>
      <c r="J61" s="213">
        <v>4796</v>
      </c>
      <c r="K61" s="214" t="s">
        <v>946</v>
      </c>
      <c r="L61" s="214" t="s">
        <v>947</v>
      </c>
      <c r="M61" s="214" t="s">
        <v>948</v>
      </c>
      <c r="N61" s="178"/>
      <c r="O61" s="179">
        <v>0.49608570000000002</v>
      </c>
      <c r="P61" s="178">
        <v>0.35638887800000002</v>
      </c>
      <c r="Q61" s="178">
        <v>1.7559231923802501</v>
      </c>
      <c r="R61" s="178">
        <v>1.73453652052958E-3</v>
      </c>
      <c r="S61" s="146"/>
      <c r="T61" s="146">
        <v>0.83890902321327565</v>
      </c>
      <c r="U61" s="146">
        <v>8.3953784296990505E-2</v>
      </c>
      <c r="V61" s="146">
        <v>-3.624676</v>
      </c>
      <c r="W61" s="146">
        <v>4.90156131891029E-2</v>
      </c>
      <c r="X61" s="144">
        <v>2.92310201</v>
      </c>
      <c r="Y61" s="178">
        <v>4.0176899999999988E-2</v>
      </c>
      <c r="Z61" s="217">
        <v>0.42403440000000003</v>
      </c>
      <c r="AA61" s="217">
        <v>0.45033333333333331</v>
      </c>
    </row>
    <row r="62" spans="1:27" x14ac:dyDescent="0.25">
      <c r="A62" s="136">
        <v>61</v>
      </c>
      <c r="B62" s="221" t="s">
        <v>850</v>
      </c>
      <c r="C62" s="221" t="s">
        <v>894</v>
      </c>
      <c r="D62" s="221" t="s">
        <v>610</v>
      </c>
      <c r="E62" s="213"/>
      <c r="F62" s="213"/>
      <c r="G62" s="213" t="s">
        <v>949</v>
      </c>
      <c r="H62" s="213"/>
      <c r="I62" s="213" t="s">
        <v>950</v>
      </c>
      <c r="J62" s="213"/>
      <c r="K62" s="214"/>
      <c r="L62" s="214"/>
      <c r="M62" s="214"/>
      <c r="N62" s="178"/>
      <c r="O62" s="179">
        <v>0.49608570000000002</v>
      </c>
      <c r="P62" s="178">
        <v>0.35638887800000002</v>
      </c>
      <c r="Q62" s="178">
        <v>1.7559231923802501</v>
      </c>
      <c r="R62" s="178">
        <v>1.73453652052958E-3</v>
      </c>
      <c r="S62" s="146"/>
      <c r="T62" s="146">
        <v>0.83890902321327565</v>
      </c>
      <c r="U62" s="146">
        <v>8.3953784296990505E-2</v>
      </c>
      <c r="V62" s="146">
        <v>-3.624676</v>
      </c>
      <c r="W62" s="146">
        <v>4.90156131891029E-2</v>
      </c>
      <c r="X62" s="144">
        <v>2.92310201</v>
      </c>
      <c r="Y62" s="178">
        <v>4.0176899999999988E-2</v>
      </c>
      <c r="Z62" s="217">
        <v>0.42403440000000003</v>
      </c>
      <c r="AA62" s="217">
        <v>0.45033333333333331</v>
      </c>
    </row>
    <row r="63" spans="1:27" x14ac:dyDescent="0.25">
      <c r="A63" s="136">
        <v>62</v>
      </c>
      <c r="B63" s="221" t="s">
        <v>850</v>
      </c>
      <c r="C63" s="221" t="s">
        <v>894</v>
      </c>
      <c r="D63" s="221"/>
      <c r="E63" s="213"/>
      <c r="F63" s="213"/>
      <c r="G63" s="213" t="s">
        <v>951</v>
      </c>
      <c r="H63" s="213">
        <v>789303</v>
      </c>
      <c r="I63" s="213" t="s">
        <v>952</v>
      </c>
      <c r="J63" s="213"/>
      <c r="K63" s="214"/>
      <c r="L63" s="214" t="s">
        <v>953</v>
      </c>
      <c r="M63" s="214"/>
      <c r="N63" s="213">
        <v>7</v>
      </c>
      <c r="O63" s="215">
        <v>0.46775983942745297</v>
      </c>
      <c r="P63" s="213">
        <v>0.33212982406235203</v>
      </c>
      <c r="Q63" s="213">
        <v>1.7559231923802499</v>
      </c>
      <c r="R63" s="213">
        <v>1.9310167135428299E-3</v>
      </c>
      <c r="S63" s="146"/>
      <c r="T63" s="146">
        <v>0.83890902321327565</v>
      </c>
      <c r="U63" s="146">
        <v>8.3953784296990505E-2</v>
      </c>
      <c r="V63" s="146">
        <v>-3.624676</v>
      </c>
      <c r="W63" s="146">
        <v>4.90156131891029E-2</v>
      </c>
      <c r="X63" s="144">
        <v>2.92310201</v>
      </c>
      <c r="Y63" s="178">
        <v>4.0176899999999988E-2</v>
      </c>
      <c r="Z63" s="148">
        <v>0.42403440000000003</v>
      </c>
      <c r="AA63" s="148">
        <v>0.45033333333333331</v>
      </c>
    </row>
    <row r="64" spans="1:27" x14ac:dyDescent="0.25">
      <c r="A64" s="136">
        <v>63</v>
      </c>
      <c r="B64" s="221" t="s">
        <v>850</v>
      </c>
      <c r="C64" s="221" t="s">
        <v>894</v>
      </c>
      <c r="D64" s="221" t="s">
        <v>614</v>
      </c>
      <c r="E64" s="213"/>
      <c r="F64" s="213"/>
      <c r="G64" s="213" t="s">
        <v>954</v>
      </c>
      <c r="H64" s="213">
        <v>196293</v>
      </c>
      <c r="I64" s="213" t="s">
        <v>955</v>
      </c>
      <c r="J64" s="213"/>
      <c r="K64" s="214"/>
      <c r="L64" s="214" t="s">
        <v>956</v>
      </c>
      <c r="M64" s="214" t="s">
        <v>957</v>
      </c>
      <c r="N64" s="213">
        <v>2</v>
      </c>
      <c r="O64" s="215">
        <v>0.48359148314845302</v>
      </c>
      <c r="P64" s="213">
        <v>0.33229573185501998</v>
      </c>
      <c r="Q64" s="213">
        <v>1.7559231923802499</v>
      </c>
      <c r="R64" s="213">
        <v>2.0586090419193099E-3</v>
      </c>
      <c r="S64" s="146"/>
      <c r="T64" s="146">
        <v>0.83890902321327565</v>
      </c>
      <c r="U64" s="146">
        <v>8.3953784296990505E-2</v>
      </c>
      <c r="V64" s="146">
        <v>-3.624676</v>
      </c>
      <c r="W64" s="146">
        <v>4.90156131891029E-2</v>
      </c>
      <c r="X64" s="144">
        <v>2.92310201</v>
      </c>
      <c r="Y64" s="178">
        <v>4.0176899999999988E-2</v>
      </c>
      <c r="Z64" s="148">
        <v>0.42403440000000003</v>
      </c>
      <c r="AA64" s="148">
        <v>0.45033333333333331</v>
      </c>
    </row>
    <row r="65" spans="1:27" x14ac:dyDescent="0.25">
      <c r="A65" s="136">
        <v>64</v>
      </c>
      <c r="B65" s="222" t="s">
        <v>958</v>
      </c>
      <c r="C65" s="222" t="s">
        <v>959</v>
      </c>
      <c r="D65" s="222" t="s">
        <v>434</v>
      </c>
      <c r="E65" s="223">
        <v>99</v>
      </c>
      <c r="F65" s="223">
        <v>459</v>
      </c>
      <c r="G65" s="223" t="s">
        <v>960</v>
      </c>
      <c r="H65" s="223">
        <v>92497</v>
      </c>
      <c r="I65" s="223" t="s">
        <v>961</v>
      </c>
      <c r="J65" s="223">
        <v>1219</v>
      </c>
      <c r="K65" s="224">
        <v>39</v>
      </c>
      <c r="L65" s="224" t="s">
        <v>962</v>
      </c>
      <c r="M65" s="224" t="s">
        <v>963</v>
      </c>
      <c r="N65" s="141"/>
      <c r="O65" s="142">
        <v>0.49608570000000002</v>
      </c>
      <c r="P65" s="141">
        <v>0.52196460300000003</v>
      </c>
      <c r="Q65" s="141">
        <v>0.66106715155860996</v>
      </c>
      <c r="R65" s="141">
        <v>-1.6572449999999999E-3</v>
      </c>
      <c r="S65" s="225">
        <v>5</v>
      </c>
      <c r="T65" s="225">
        <v>0.74335115746939495</v>
      </c>
      <c r="U65" s="225">
        <v>0.11538688123697569</v>
      </c>
      <c r="V65" s="225">
        <v>-3.9010930798770902</v>
      </c>
      <c r="W65" s="225">
        <v>8.3474548617928676E-2</v>
      </c>
      <c r="X65" s="144">
        <v>2.5334992000000001</v>
      </c>
      <c r="Y65" s="141">
        <v>0.20005829999999999</v>
      </c>
      <c r="Z65" s="226">
        <v>0.68018999999999996</v>
      </c>
      <c r="AA65" s="226">
        <v>0.74</v>
      </c>
    </row>
    <row r="66" spans="1:27" x14ac:dyDescent="0.25">
      <c r="A66" s="136">
        <v>65</v>
      </c>
      <c r="B66" s="222" t="s">
        <v>958</v>
      </c>
      <c r="C66" s="222" t="s">
        <v>959</v>
      </c>
      <c r="D66" s="222" t="s">
        <v>434</v>
      </c>
      <c r="E66" s="223">
        <v>18</v>
      </c>
      <c r="F66" s="223">
        <v>631</v>
      </c>
      <c r="G66" s="223" t="s">
        <v>964</v>
      </c>
      <c r="H66" s="223">
        <v>79779</v>
      </c>
      <c r="I66" s="223" t="s">
        <v>965</v>
      </c>
      <c r="J66" s="223">
        <v>9</v>
      </c>
      <c r="K66" s="224" t="s">
        <v>966</v>
      </c>
      <c r="L66" s="224" t="s">
        <v>967</v>
      </c>
      <c r="M66" s="224" t="s">
        <v>968</v>
      </c>
      <c r="N66" s="141"/>
      <c r="O66" s="142">
        <v>0.49608570000000002</v>
      </c>
      <c r="P66" s="141">
        <v>0.52196460300000003</v>
      </c>
      <c r="Q66" s="141">
        <v>0.66106715155860996</v>
      </c>
      <c r="R66" s="141">
        <v>-1.6572449999999999E-3</v>
      </c>
      <c r="S66" s="146"/>
      <c r="T66" s="225">
        <v>0.79751119507667401</v>
      </c>
      <c r="U66" s="225">
        <v>9.3592357813797683E-2</v>
      </c>
      <c r="V66" s="225">
        <v>-3.7381957712661902</v>
      </c>
      <c r="W66" s="225">
        <v>5.9478399552348779E-2</v>
      </c>
      <c r="X66" s="144">
        <v>2.5334992000000001</v>
      </c>
      <c r="Y66" s="141">
        <v>0.20005829999999999</v>
      </c>
      <c r="Z66" s="226">
        <v>0.50800000000000001</v>
      </c>
      <c r="AA66" s="226">
        <v>0.55000000000000004</v>
      </c>
    </row>
    <row r="67" spans="1:27" x14ac:dyDescent="0.25">
      <c r="A67" s="136">
        <v>66</v>
      </c>
      <c r="B67" s="222" t="s">
        <v>958</v>
      </c>
      <c r="C67" s="222" t="s">
        <v>959</v>
      </c>
      <c r="D67" s="222" t="s">
        <v>434</v>
      </c>
      <c r="E67" s="223">
        <v>19</v>
      </c>
      <c r="F67" s="223">
        <v>632</v>
      </c>
      <c r="G67" s="223" t="s">
        <v>969</v>
      </c>
      <c r="H67" s="223">
        <v>79783</v>
      </c>
      <c r="I67" s="223" t="s">
        <v>970</v>
      </c>
      <c r="J67" s="223">
        <v>10</v>
      </c>
      <c r="K67" s="224" t="s">
        <v>971</v>
      </c>
      <c r="L67" s="224" t="s">
        <v>972</v>
      </c>
      <c r="M67" s="224" t="s">
        <v>973</v>
      </c>
      <c r="N67" s="223">
        <v>5</v>
      </c>
      <c r="O67" s="227">
        <v>0.486053761587938</v>
      </c>
      <c r="P67" s="223">
        <v>0.50203569212072596</v>
      </c>
      <c r="Q67" s="223">
        <v>0.66106715155860996</v>
      </c>
      <c r="R67" s="223">
        <v>-1.57520221886989E-3</v>
      </c>
      <c r="S67" s="146"/>
      <c r="T67" s="225">
        <v>0.79751119507667401</v>
      </c>
      <c r="U67" s="225">
        <v>9.3592357813797683E-2</v>
      </c>
      <c r="V67" s="225">
        <v>-3.7381957712661902</v>
      </c>
      <c r="W67" s="225">
        <v>5.9478399552348779E-2</v>
      </c>
      <c r="X67" s="223">
        <v>2.5334992000000001</v>
      </c>
      <c r="Y67" s="223">
        <v>0.20005829999999999</v>
      </c>
      <c r="Z67" s="226">
        <v>0.51</v>
      </c>
      <c r="AA67" s="226">
        <v>0.5</v>
      </c>
    </row>
    <row r="68" spans="1:27" x14ac:dyDescent="0.25">
      <c r="A68" s="136">
        <v>67</v>
      </c>
      <c r="B68" s="222" t="s">
        <v>958</v>
      </c>
      <c r="C68" s="222" t="s">
        <v>959</v>
      </c>
      <c r="D68" s="222" t="s">
        <v>434</v>
      </c>
      <c r="E68" s="223">
        <v>31</v>
      </c>
      <c r="F68" s="223">
        <v>627</v>
      </c>
      <c r="G68" s="223" t="s">
        <v>974</v>
      </c>
      <c r="H68" s="223">
        <v>79734</v>
      </c>
      <c r="I68" s="223" t="s">
        <v>975</v>
      </c>
      <c r="J68" s="223">
        <v>5</v>
      </c>
      <c r="K68" s="224" t="s">
        <v>976</v>
      </c>
      <c r="L68" s="224" t="s">
        <v>977</v>
      </c>
      <c r="M68" s="224" t="s">
        <v>978</v>
      </c>
      <c r="N68" s="223">
        <v>2</v>
      </c>
      <c r="O68" s="227">
        <v>0.50865833998370003</v>
      </c>
      <c r="P68" s="223">
        <v>0.53351841286952895</v>
      </c>
      <c r="Q68" s="223">
        <v>0.66106715155860996</v>
      </c>
      <c r="R68" s="223">
        <v>-1.6309232411533499E-3</v>
      </c>
      <c r="S68" s="146"/>
      <c r="T68" s="225">
        <v>0.79751119507667401</v>
      </c>
      <c r="U68" s="225">
        <v>9.3592357813797683E-2</v>
      </c>
      <c r="V68" s="225">
        <v>-3.7381957712661902</v>
      </c>
      <c r="W68" s="225">
        <v>5.9478399552348779E-2</v>
      </c>
      <c r="X68" s="223">
        <v>2.5334992000000001</v>
      </c>
      <c r="Y68" s="223">
        <v>0.20005829999999999</v>
      </c>
      <c r="Z68" s="228">
        <v>0.52520999999999995</v>
      </c>
      <c r="AA68" s="228">
        <v>0.54</v>
      </c>
    </row>
    <row r="69" spans="1:27" x14ac:dyDescent="0.25">
      <c r="A69" s="136">
        <v>68</v>
      </c>
      <c r="B69" s="229" t="s">
        <v>958</v>
      </c>
      <c r="C69" s="229" t="s">
        <v>959</v>
      </c>
      <c r="D69" s="229"/>
      <c r="E69" s="223">
        <v>32</v>
      </c>
      <c r="F69" s="223">
        <v>628</v>
      </c>
      <c r="G69" s="223" t="s">
        <v>979</v>
      </c>
      <c r="H69" s="223">
        <v>79763</v>
      </c>
      <c r="I69" s="223" t="s">
        <v>980</v>
      </c>
      <c r="J69" s="223">
        <v>6</v>
      </c>
      <c r="K69" s="224" t="s">
        <v>981</v>
      </c>
      <c r="L69" s="224" t="s">
        <v>982</v>
      </c>
      <c r="M69" s="224" t="s">
        <v>983</v>
      </c>
      <c r="N69" s="141"/>
      <c r="O69" s="142">
        <v>0.49608570000000002</v>
      </c>
      <c r="P69" s="141">
        <v>0.52196460300000003</v>
      </c>
      <c r="Q69" s="141">
        <v>0.66106715155860996</v>
      </c>
      <c r="R69" s="141">
        <v>-1.6572449999999999E-3</v>
      </c>
      <c r="S69" s="225">
        <v>18159</v>
      </c>
      <c r="T69" s="225">
        <v>0.79751119507667401</v>
      </c>
      <c r="U69" s="225">
        <v>9.3592357813797683E-2</v>
      </c>
      <c r="V69" s="225">
        <v>-3.7381957712661902</v>
      </c>
      <c r="W69" s="225">
        <v>5.9478399552348779E-2</v>
      </c>
      <c r="X69" s="144">
        <v>2.5334992000000001</v>
      </c>
      <c r="Y69" s="141">
        <v>0.20005829999999999</v>
      </c>
      <c r="Z69" s="148">
        <v>0.55584999999999996</v>
      </c>
      <c r="AA69" s="148">
        <v>0.58250000000000002</v>
      </c>
    </row>
    <row r="70" spans="1:27" x14ac:dyDescent="0.25">
      <c r="A70" s="136">
        <v>69</v>
      </c>
      <c r="B70" s="229" t="s">
        <v>958</v>
      </c>
      <c r="C70" s="229" t="s">
        <v>959</v>
      </c>
      <c r="D70" s="229"/>
      <c r="E70" s="223">
        <v>33</v>
      </c>
      <c r="F70" s="223">
        <v>626</v>
      </c>
      <c r="G70" s="223" t="s">
        <v>984</v>
      </c>
      <c r="H70" s="223">
        <v>130715</v>
      </c>
      <c r="I70" s="223" t="s">
        <v>985</v>
      </c>
      <c r="J70" s="223">
        <v>8</v>
      </c>
      <c r="K70" s="224" t="s">
        <v>986</v>
      </c>
      <c r="L70" s="224" t="s">
        <v>987</v>
      </c>
      <c r="M70" s="224" t="s">
        <v>988</v>
      </c>
      <c r="N70" s="141"/>
      <c r="O70" s="142">
        <v>0.49608570000000002</v>
      </c>
      <c r="P70" s="141">
        <v>0.52196460300000003</v>
      </c>
      <c r="Q70" s="141">
        <v>0.66106715155860996</v>
      </c>
      <c r="R70" s="141">
        <v>-1.6572449999999999E-3</v>
      </c>
      <c r="S70" s="225">
        <v>18159</v>
      </c>
      <c r="T70" s="225">
        <v>0.79751119507667401</v>
      </c>
      <c r="U70" s="225">
        <v>9.3592357813797683E-2</v>
      </c>
      <c r="V70" s="225">
        <v>-3.7381957712661902</v>
      </c>
      <c r="W70" s="225">
        <v>5.9478399552348779E-2</v>
      </c>
      <c r="X70" s="144">
        <v>2.5334992000000001</v>
      </c>
      <c r="Y70" s="141">
        <v>0.20005829999999999</v>
      </c>
      <c r="Z70" s="148">
        <v>0.55584999999999996</v>
      </c>
      <c r="AA70" s="148">
        <v>0.58250000000000002</v>
      </c>
    </row>
    <row r="71" spans="1:27" x14ac:dyDescent="0.25">
      <c r="A71" s="136">
        <v>70</v>
      </c>
      <c r="B71" s="229" t="s">
        <v>958</v>
      </c>
      <c r="C71" s="229" t="s">
        <v>959</v>
      </c>
      <c r="D71" s="229"/>
      <c r="E71" s="223">
        <v>77</v>
      </c>
      <c r="F71" s="223">
        <v>630</v>
      </c>
      <c r="G71" s="223" t="s">
        <v>989</v>
      </c>
      <c r="H71" s="223">
        <v>79766</v>
      </c>
      <c r="I71" s="223" t="s">
        <v>990</v>
      </c>
      <c r="J71" s="223">
        <v>7</v>
      </c>
      <c r="K71" s="224" t="s">
        <v>991</v>
      </c>
      <c r="L71" s="224" t="s">
        <v>992</v>
      </c>
      <c r="M71" s="224" t="s">
        <v>993</v>
      </c>
      <c r="N71" s="141"/>
      <c r="O71" s="142">
        <v>0.49608570000000002</v>
      </c>
      <c r="P71" s="141">
        <v>0.52196460300000003</v>
      </c>
      <c r="Q71" s="141">
        <v>0.66106715155860996</v>
      </c>
      <c r="R71" s="141">
        <v>-1.6572449999999999E-3</v>
      </c>
      <c r="S71" s="225">
        <v>18159</v>
      </c>
      <c r="T71" s="225">
        <v>0.79751119507667401</v>
      </c>
      <c r="U71" s="225">
        <v>9.3592357813797683E-2</v>
      </c>
      <c r="V71" s="225">
        <v>-3.7381957712661902</v>
      </c>
      <c r="W71" s="225">
        <v>5.9478399552348779E-2</v>
      </c>
      <c r="X71" s="144">
        <v>2.5334992000000001</v>
      </c>
      <c r="Y71" s="141">
        <v>0.20005829999999999</v>
      </c>
      <c r="Z71" s="148">
        <v>0.55584999999999996</v>
      </c>
      <c r="AA71" s="148">
        <v>0.58250000000000002</v>
      </c>
    </row>
    <row r="72" spans="1:27" x14ac:dyDescent="0.25">
      <c r="A72" s="136">
        <v>71</v>
      </c>
      <c r="B72" s="229" t="s">
        <v>958</v>
      </c>
      <c r="C72" s="229" t="s">
        <v>959</v>
      </c>
      <c r="D72" s="229"/>
      <c r="E72" s="223">
        <v>114</v>
      </c>
      <c r="F72" s="223">
        <v>749</v>
      </c>
      <c r="G72" s="223" t="s">
        <v>994</v>
      </c>
      <c r="H72" s="223">
        <v>609982</v>
      </c>
      <c r="I72" s="223" t="s">
        <v>995</v>
      </c>
      <c r="J72" s="223">
        <v>1738</v>
      </c>
      <c r="K72" s="224" t="s">
        <v>996</v>
      </c>
      <c r="L72" s="224" t="s">
        <v>997</v>
      </c>
      <c r="M72" s="224" t="s">
        <v>998</v>
      </c>
      <c r="N72" s="141"/>
      <c r="O72" s="142">
        <v>0.49608570000000002</v>
      </c>
      <c r="P72" s="141">
        <v>0.52196460300000003</v>
      </c>
      <c r="Q72" s="141">
        <v>0.66106715155860996</v>
      </c>
      <c r="R72" s="141">
        <v>-1.6572449999999999E-3</v>
      </c>
      <c r="S72" s="146"/>
      <c r="T72" s="146">
        <v>0.757382</v>
      </c>
      <c r="U72" s="146">
        <v>0.1024863525000487</v>
      </c>
      <c r="V72" s="146">
        <v>-3.624676</v>
      </c>
      <c r="W72" s="146">
        <v>6.7228474802671079E-2</v>
      </c>
      <c r="X72" s="144">
        <v>2.5334992000000001</v>
      </c>
      <c r="Y72" s="141">
        <v>0.20005829999999999</v>
      </c>
      <c r="Z72" s="226">
        <v>0.55584999999999996</v>
      </c>
      <c r="AA72" s="226">
        <v>0.58250000000000002</v>
      </c>
    </row>
    <row r="73" spans="1:27" x14ac:dyDescent="0.25">
      <c r="A73" s="136">
        <v>72</v>
      </c>
      <c r="B73" s="229" t="s">
        <v>958</v>
      </c>
      <c r="C73" s="229" t="s">
        <v>959</v>
      </c>
      <c r="D73" s="229"/>
      <c r="E73" s="223">
        <v>117</v>
      </c>
      <c r="F73" s="223">
        <v>890</v>
      </c>
      <c r="G73" s="223" t="s">
        <v>999</v>
      </c>
      <c r="H73" s="223">
        <v>103514</v>
      </c>
      <c r="I73" s="223" t="s">
        <v>1000</v>
      </c>
      <c r="J73" s="223">
        <v>2214</v>
      </c>
      <c r="K73" s="224" t="s">
        <v>1001</v>
      </c>
      <c r="L73" s="224" t="s">
        <v>1002</v>
      </c>
      <c r="M73" s="224" t="s">
        <v>1003</v>
      </c>
      <c r="N73" s="141"/>
      <c r="O73" s="142">
        <v>0.49608570000000002</v>
      </c>
      <c r="P73" s="141">
        <v>0.52196460300000003</v>
      </c>
      <c r="Q73" s="141">
        <v>0.66106715155860996</v>
      </c>
      <c r="R73" s="141">
        <v>-1.6572449999999999E-3</v>
      </c>
      <c r="S73" s="146"/>
      <c r="T73" s="146">
        <v>0.757382</v>
      </c>
      <c r="U73" s="146">
        <v>0.1024863525000487</v>
      </c>
      <c r="V73" s="146">
        <v>-3.624676</v>
      </c>
      <c r="W73" s="146">
        <v>6.7228474802671079E-2</v>
      </c>
      <c r="X73" s="144">
        <v>2.5334992000000001</v>
      </c>
      <c r="Y73" s="141">
        <v>0.20005829999999999</v>
      </c>
      <c r="Z73" s="226">
        <v>0.55584999999999996</v>
      </c>
      <c r="AA73" s="226">
        <v>0.58250000000000002</v>
      </c>
    </row>
    <row r="74" spans="1:27" x14ac:dyDescent="0.25">
      <c r="A74" s="136">
        <v>73</v>
      </c>
      <c r="B74" s="230" t="s">
        <v>958</v>
      </c>
      <c r="C74" s="230" t="s">
        <v>959</v>
      </c>
      <c r="D74" s="230" t="s">
        <v>614</v>
      </c>
      <c r="E74" s="223"/>
      <c r="F74" s="223"/>
      <c r="G74" s="223" t="s">
        <v>1004</v>
      </c>
      <c r="H74" s="223">
        <v>188731</v>
      </c>
      <c r="I74" s="223" t="s">
        <v>1005</v>
      </c>
      <c r="J74" s="223"/>
      <c r="K74" s="224"/>
      <c r="L74" s="224"/>
      <c r="M74" s="224"/>
      <c r="N74" s="141"/>
      <c r="O74" s="142">
        <v>0.49608570000000002</v>
      </c>
      <c r="P74" s="141">
        <v>0.52196460300000003</v>
      </c>
      <c r="Q74" s="141">
        <v>0.66106715155860996</v>
      </c>
      <c r="R74" s="141">
        <v>-1.6572449999999999E-3</v>
      </c>
      <c r="S74" s="225">
        <v>18159</v>
      </c>
      <c r="T74" s="225">
        <v>0.79751119507667401</v>
      </c>
      <c r="U74" s="225">
        <v>9.3592357813797683E-2</v>
      </c>
      <c r="V74" s="225">
        <v>-3.7381957712661902</v>
      </c>
      <c r="W74" s="225">
        <v>5.9478399552348779E-2</v>
      </c>
      <c r="X74" s="144">
        <v>2.5334992000000001</v>
      </c>
      <c r="Y74" s="141">
        <v>0.20005829999999999</v>
      </c>
      <c r="Z74" s="148">
        <v>0.55584999999999996</v>
      </c>
      <c r="AA74" s="148">
        <v>0.58250000000000002</v>
      </c>
    </row>
    <row r="75" spans="1:27" x14ac:dyDescent="0.25">
      <c r="A75" s="136">
        <v>74</v>
      </c>
      <c r="B75" s="230" t="s">
        <v>958</v>
      </c>
      <c r="C75" s="230" t="s">
        <v>959</v>
      </c>
      <c r="D75" s="230" t="s">
        <v>610</v>
      </c>
      <c r="E75" s="223"/>
      <c r="F75" s="223"/>
      <c r="G75" s="223" t="s">
        <v>1006</v>
      </c>
      <c r="H75" s="223"/>
      <c r="I75" s="223" t="s">
        <v>1007</v>
      </c>
      <c r="J75" s="223"/>
      <c r="K75" s="224"/>
      <c r="L75" s="224"/>
      <c r="M75" s="224"/>
      <c r="N75" s="141"/>
      <c r="O75" s="142">
        <v>0.49608570000000002</v>
      </c>
      <c r="P75" s="141">
        <v>0.52196460300000003</v>
      </c>
      <c r="Q75" s="141">
        <v>0.66106715155860996</v>
      </c>
      <c r="R75" s="141">
        <v>-1.6572449999999999E-3</v>
      </c>
      <c r="S75" s="146"/>
      <c r="T75" s="146">
        <v>0.757382</v>
      </c>
      <c r="U75" s="146">
        <v>0.1024863525000487</v>
      </c>
      <c r="V75" s="146">
        <v>-3.624676</v>
      </c>
      <c r="W75" s="146">
        <v>6.7228474802671079E-2</v>
      </c>
      <c r="X75" s="144">
        <v>2.5334992000000001</v>
      </c>
      <c r="Y75" s="141">
        <v>0.20005829999999999</v>
      </c>
      <c r="Z75" s="226">
        <v>0.55584999999999996</v>
      </c>
      <c r="AA75" s="226">
        <v>0.58250000000000002</v>
      </c>
    </row>
    <row r="76" spans="1:27" x14ac:dyDescent="0.25">
      <c r="A76" s="136">
        <v>75</v>
      </c>
      <c r="B76" s="231" t="s">
        <v>958</v>
      </c>
      <c r="C76" s="231" t="s">
        <v>1008</v>
      </c>
      <c r="D76" s="231"/>
      <c r="E76" s="124">
        <v>70</v>
      </c>
      <c r="F76" s="124">
        <v>1284</v>
      </c>
      <c r="G76" s="124" t="s">
        <v>1009</v>
      </c>
      <c r="H76" s="124">
        <v>154447</v>
      </c>
      <c r="I76" s="124" t="s">
        <v>1010</v>
      </c>
      <c r="J76" s="124">
        <v>2947</v>
      </c>
      <c r="K76" s="232">
        <v>28</v>
      </c>
      <c r="L76" s="232" t="s">
        <v>1011</v>
      </c>
      <c r="M76" s="232" t="s">
        <v>1012</v>
      </c>
      <c r="N76" s="141"/>
      <c r="O76" s="142">
        <v>0.49608570000000002</v>
      </c>
      <c r="P76" s="141">
        <v>0.52196460300000003</v>
      </c>
      <c r="Q76" s="141">
        <v>0.66106715155860996</v>
      </c>
      <c r="R76" s="141">
        <v>-1.6572449999999999E-3</v>
      </c>
      <c r="S76" s="233">
        <v>33</v>
      </c>
      <c r="T76" s="233">
        <v>0.781651768639403</v>
      </c>
      <c r="U76" s="233">
        <v>7.0657264274980397E-2</v>
      </c>
      <c r="V76" s="233">
        <v>-2.4671448990927898</v>
      </c>
      <c r="W76" s="233">
        <v>2.5348496314184385E-2</v>
      </c>
      <c r="X76" s="144">
        <v>2.5334992000000001</v>
      </c>
      <c r="Y76" s="141">
        <v>0.20005829999999999</v>
      </c>
      <c r="Z76" s="148">
        <v>0.54067799999999999</v>
      </c>
      <c r="AA76" s="148">
        <v>0.54600000000000004</v>
      </c>
    </row>
    <row r="77" spans="1:27" x14ac:dyDescent="0.25">
      <c r="A77" s="136">
        <v>76</v>
      </c>
      <c r="B77" s="234" t="s">
        <v>958</v>
      </c>
      <c r="C77" s="234" t="s">
        <v>1008</v>
      </c>
      <c r="D77" s="234" t="s">
        <v>434</v>
      </c>
      <c r="E77" s="124">
        <v>101</v>
      </c>
      <c r="F77" s="124">
        <v>59</v>
      </c>
      <c r="G77" s="124" t="s">
        <v>1013</v>
      </c>
      <c r="H77" s="124">
        <v>124346</v>
      </c>
      <c r="I77" s="124" t="s">
        <v>1014</v>
      </c>
      <c r="J77" s="124">
        <v>4222</v>
      </c>
      <c r="K77" s="232">
        <v>41</v>
      </c>
      <c r="L77" s="232" t="s">
        <v>1015</v>
      </c>
      <c r="M77" s="232" t="s">
        <v>1016</v>
      </c>
      <c r="N77" s="141"/>
      <c r="O77" s="142">
        <v>0.49608570000000002</v>
      </c>
      <c r="P77" s="141">
        <v>0.52196460300000003</v>
      </c>
      <c r="Q77" s="141">
        <v>0.66106715155860996</v>
      </c>
      <c r="R77" s="141">
        <v>-1.6572449999999999E-3</v>
      </c>
      <c r="S77" s="146"/>
      <c r="T77" s="146">
        <v>0.757382</v>
      </c>
      <c r="U77" s="146">
        <v>0.1090653688389214</v>
      </c>
      <c r="V77" s="146">
        <v>-3.624676</v>
      </c>
      <c r="W77" s="146">
        <v>6.7228474802671079E-2</v>
      </c>
      <c r="X77" s="144">
        <v>2.5334992000000001</v>
      </c>
      <c r="Y77" s="141">
        <v>0.20005829999999999</v>
      </c>
      <c r="Z77" s="235">
        <v>0.61131000000000002</v>
      </c>
      <c r="AA77" s="235">
        <v>0.62</v>
      </c>
    </row>
    <row r="78" spans="1:27" x14ac:dyDescent="0.25">
      <c r="A78" s="136">
        <v>77</v>
      </c>
      <c r="B78" s="236" t="s">
        <v>958</v>
      </c>
      <c r="C78" s="236" t="s">
        <v>1008</v>
      </c>
      <c r="D78" s="236"/>
      <c r="E78" s="124">
        <v>102</v>
      </c>
      <c r="F78" s="124">
        <v>1975</v>
      </c>
      <c r="G78" s="124" t="s">
        <v>1017</v>
      </c>
      <c r="H78" s="124">
        <v>106365</v>
      </c>
      <c r="I78" s="124" t="s">
        <v>1018</v>
      </c>
      <c r="J78" s="124">
        <v>2558</v>
      </c>
      <c r="K78" s="232">
        <v>42</v>
      </c>
      <c r="L78" s="232" t="s">
        <v>1019</v>
      </c>
      <c r="M78" s="232" t="s">
        <v>1020</v>
      </c>
      <c r="N78" s="141"/>
      <c r="O78" s="142">
        <v>0.49608570000000002</v>
      </c>
      <c r="P78" s="141">
        <v>0.52196460300000003</v>
      </c>
      <c r="Q78" s="141">
        <v>0.66106715155860996</v>
      </c>
      <c r="R78" s="141">
        <v>-1.6572449999999999E-3</v>
      </c>
      <c r="S78" s="146"/>
      <c r="T78" s="146">
        <v>0.757382</v>
      </c>
      <c r="U78" s="146">
        <v>0.1090653688389214</v>
      </c>
      <c r="V78" s="146">
        <v>-3.624676</v>
      </c>
      <c r="W78" s="146">
        <v>6.7228474802671079E-2</v>
      </c>
      <c r="X78" s="144">
        <v>2.5334992000000001</v>
      </c>
      <c r="Y78" s="141">
        <v>0.20005829999999999</v>
      </c>
      <c r="Z78" s="148">
        <v>0.54067799999999999</v>
      </c>
      <c r="AA78" s="148">
        <v>0.54600000000000004</v>
      </c>
    </row>
    <row r="79" spans="1:27" x14ac:dyDescent="0.25">
      <c r="A79" s="136">
        <v>78</v>
      </c>
      <c r="B79" s="237" t="s">
        <v>958</v>
      </c>
      <c r="C79" s="237" t="s">
        <v>1008</v>
      </c>
      <c r="D79" s="237"/>
      <c r="E79" s="124">
        <v>34</v>
      </c>
      <c r="F79" s="124">
        <v>374</v>
      </c>
      <c r="G79" s="124" t="s">
        <v>1021</v>
      </c>
      <c r="H79" s="124">
        <v>116054</v>
      </c>
      <c r="I79" s="124" t="s">
        <v>1022</v>
      </c>
      <c r="J79" s="124">
        <v>3502</v>
      </c>
      <c r="K79" s="232" t="s">
        <v>1023</v>
      </c>
      <c r="L79" s="232" t="s">
        <v>1024</v>
      </c>
      <c r="M79" s="232" t="s">
        <v>1025</v>
      </c>
      <c r="N79" s="141"/>
      <c r="O79" s="142">
        <v>0.49608570000000002</v>
      </c>
      <c r="P79" s="141">
        <v>0.52196460300000003</v>
      </c>
      <c r="Q79" s="141">
        <v>0.66106715155860996</v>
      </c>
      <c r="R79" s="141">
        <v>-1.6572449999999999E-3</v>
      </c>
      <c r="S79" s="146"/>
      <c r="T79" s="146">
        <v>0.757382</v>
      </c>
      <c r="U79" s="146">
        <v>0.1090653688389214</v>
      </c>
      <c r="V79" s="146">
        <v>-3.624676</v>
      </c>
      <c r="W79" s="146">
        <v>6.7228474802671079E-2</v>
      </c>
      <c r="X79" s="144">
        <v>2.5334992000000001</v>
      </c>
      <c r="Y79" s="141">
        <v>0.20005829999999999</v>
      </c>
      <c r="Z79" s="235">
        <v>0.47355000000000003</v>
      </c>
      <c r="AA79" s="235">
        <v>0.56999999999999995</v>
      </c>
    </row>
    <row r="80" spans="1:27" x14ac:dyDescent="0.25">
      <c r="A80" s="136">
        <v>79</v>
      </c>
      <c r="B80" s="237" t="s">
        <v>958</v>
      </c>
      <c r="C80" s="237" t="s">
        <v>1008</v>
      </c>
      <c r="D80" s="237"/>
      <c r="E80" s="124">
        <v>35</v>
      </c>
      <c r="F80" s="124">
        <v>375</v>
      </c>
      <c r="G80" s="124" t="s">
        <v>1026</v>
      </c>
      <c r="H80" s="124">
        <v>116109</v>
      </c>
      <c r="I80" s="124" t="s">
        <v>1027</v>
      </c>
      <c r="J80" s="124">
        <v>3508</v>
      </c>
      <c r="K80" s="232" t="s">
        <v>1028</v>
      </c>
      <c r="L80" s="232" t="s">
        <v>1029</v>
      </c>
      <c r="M80" s="232" t="s">
        <v>1030</v>
      </c>
      <c r="N80" s="141"/>
      <c r="O80" s="142">
        <v>0.49608570000000002</v>
      </c>
      <c r="P80" s="141">
        <v>0.52196460300000003</v>
      </c>
      <c r="Q80" s="141">
        <v>0.66106715155860996</v>
      </c>
      <c r="R80" s="141">
        <v>-1.6572449999999999E-3</v>
      </c>
      <c r="S80" s="146"/>
      <c r="T80" s="146">
        <v>0.757382</v>
      </c>
      <c r="U80" s="146">
        <v>0.1090653688389214</v>
      </c>
      <c r="V80" s="146">
        <v>-3.624676</v>
      </c>
      <c r="W80" s="146">
        <v>6.7228474802671079E-2</v>
      </c>
      <c r="X80" s="144">
        <v>2.5334992000000001</v>
      </c>
      <c r="Y80" s="141">
        <v>0.20005829999999999</v>
      </c>
      <c r="Z80" s="235">
        <v>0.47355000000000003</v>
      </c>
      <c r="AA80" s="235">
        <v>0.56999999999999995</v>
      </c>
    </row>
    <row r="81" spans="1:27" x14ac:dyDescent="0.25">
      <c r="A81" s="136">
        <v>80</v>
      </c>
      <c r="B81" s="234" t="s">
        <v>958</v>
      </c>
      <c r="C81" s="234" t="s">
        <v>1008</v>
      </c>
      <c r="D81" s="234" t="s">
        <v>434</v>
      </c>
      <c r="E81" s="124">
        <v>36</v>
      </c>
      <c r="F81" s="124">
        <v>1196</v>
      </c>
      <c r="G81" s="124" t="s">
        <v>1031</v>
      </c>
      <c r="H81" s="124">
        <v>116043</v>
      </c>
      <c r="I81" s="124" t="s">
        <v>1032</v>
      </c>
      <c r="J81" s="124">
        <v>3499</v>
      </c>
      <c r="K81" s="232" t="s">
        <v>1033</v>
      </c>
      <c r="L81" s="232" t="s">
        <v>1034</v>
      </c>
      <c r="M81" s="232" t="s">
        <v>1035</v>
      </c>
      <c r="N81" s="124">
        <v>1</v>
      </c>
      <c r="O81" s="238">
        <v>0.49667710592460301</v>
      </c>
      <c r="P81" s="124">
        <v>0.52140632510686802</v>
      </c>
      <c r="Q81" s="124">
        <v>0.66106715155860996</v>
      </c>
      <c r="R81" s="124">
        <v>-1.6669234071863301E-3</v>
      </c>
      <c r="S81" s="233">
        <v>7398</v>
      </c>
      <c r="T81" s="233">
        <v>0.88283511326750796</v>
      </c>
      <c r="U81" s="233">
        <v>7.2724284753124396E-2</v>
      </c>
      <c r="V81" s="233">
        <v>-3.9465447312733302</v>
      </c>
      <c r="W81" s="233">
        <v>4.3135937660938484E-2</v>
      </c>
      <c r="X81" s="124">
        <v>2.5334992000000001</v>
      </c>
      <c r="Y81" s="124">
        <v>0.20005829999999999</v>
      </c>
      <c r="Z81" s="148">
        <v>0.54067799999999999</v>
      </c>
      <c r="AA81" s="148">
        <v>0.54600000000000004</v>
      </c>
    </row>
    <row r="82" spans="1:27" x14ac:dyDescent="0.25">
      <c r="A82" s="136">
        <v>81</v>
      </c>
      <c r="B82" s="237" t="s">
        <v>958</v>
      </c>
      <c r="C82" s="237" t="s">
        <v>1008</v>
      </c>
      <c r="D82" s="237"/>
      <c r="E82" s="124">
        <v>37</v>
      </c>
      <c r="F82" s="124">
        <v>378</v>
      </c>
      <c r="G82" s="124" t="s">
        <v>1036</v>
      </c>
      <c r="H82" s="124">
        <v>116137</v>
      </c>
      <c r="I82" s="124" t="s">
        <v>1037</v>
      </c>
      <c r="J82" s="124">
        <v>3511</v>
      </c>
      <c r="K82" s="232" t="s">
        <v>1038</v>
      </c>
      <c r="L82" s="232" t="s">
        <v>1039</v>
      </c>
      <c r="M82" s="232" t="s">
        <v>1040</v>
      </c>
      <c r="N82" s="141"/>
      <c r="O82" s="142">
        <v>0.49608570000000002</v>
      </c>
      <c r="P82" s="141">
        <v>0.52196460300000003</v>
      </c>
      <c r="Q82" s="141">
        <v>0.66106715155860996</v>
      </c>
      <c r="R82" s="141">
        <v>-1.6572449999999999E-3</v>
      </c>
      <c r="S82" s="146"/>
      <c r="T82" s="146">
        <v>0.757382</v>
      </c>
      <c r="U82" s="146">
        <v>0.1090653688389214</v>
      </c>
      <c r="V82" s="146">
        <v>-3.624676</v>
      </c>
      <c r="W82" s="146">
        <v>6.7228474802671079E-2</v>
      </c>
      <c r="X82" s="144">
        <v>2.5334992000000001</v>
      </c>
      <c r="Y82" s="141">
        <v>0.20005829999999999</v>
      </c>
      <c r="Z82" s="235">
        <v>0.47355000000000003</v>
      </c>
      <c r="AA82" s="235">
        <v>0.56999999999999995</v>
      </c>
    </row>
    <row r="83" spans="1:27" x14ac:dyDescent="0.25">
      <c r="A83" s="136">
        <v>82</v>
      </c>
      <c r="B83" s="237" t="s">
        <v>958</v>
      </c>
      <c r="C83" s="237" t="s">
        <v>1008</v>
      </c>
      <c r="D83" s="237"/>
      <c r="E83" s="124">
        <v>38</v>
      </c>
      <c r="F83" s="124">
        <v>61</v>
      </c>
      <c r="G83" s="124" t="s">
        <v>1041</v>
      </c>
      <c r="H83" s="124">
        <v>116068</v>
      </c>
      <c r="I83" s="124" t="s">
        <v>1042</v>
      </c>
      <c r="J83" s="124">
        <v>3497</v>
      </c>
      <c r="K83" s="232" t="s">
        <v>1043</v>
      </c>
      <c r="L83" s="232" t="s">
        <v>1044</v>
      </c>
      <c r="M83" s="232" t="s">
        <v>1045</v>
      </c>
      <c r="N83" s="141"/>
      <c r="O83" s="142">
        <v>0.49608570000000002</v>
      </c>
      <c r="P83" s="141">
        <v>0.52196460300000003</v>
      </c>
      <c r="Q83" s="141">
        <v>0.66106715155860996</v>
      </c>
      <c r="R83" s="141">
        <v>-1.6572449999999999E-3</v>
      </c>
      <c r="S83" s="146"/>
      <c r="T83" s="146">
        <v>0.757382</v>
      </c>
      <c r="U83" s="146">
        <v>0.1090653688389214</v>
      </c>
      <c r="V83" s="146">
        <v>-3.624676</v>
      </c>
      <c r="W83" s="146">
        <v>6.7228474802671079E-2</v>
      </c>
      <c r="X83" s="144">
        <v>2.5334992000000001</v>
      </c>
      <c r="Y83" s="141">
        <v>0.20005829999999999</v>
      </c>
      <c r="Z83" s="235">
        <v>0.47355000000000003</v>
      </c>
      <c r="AA83" s="235">
        <v>0.56999999999999995</v>
      </c>
    </row>
    <row r="84" spans="1:27" x14ac:dyDescent="0.25">
      <c r="A84" s="136">
        <v>83</v>
      </c>
      <c r="B84" s="237" t="s">
        <v>958</v>
      </c>
      <c r="C84" s="237" t="s">
        <v>1008</v>
      </c>
      <c r="D84" s="237"/>
      <c r="E84" s="124">
        <v>39</v>
      </c>
      <c r="F84" s="124">
        <v>55</v>
      </c>
      <c r="G84" s="124" t="s">
        <v>1046</v>
      </c>
      <c r="H84" s="124">
        <v>124306</v>
      </c>
      <c r="I84" s="124" t="s">
        <v>1047</v>
      </c>
      <c r="J84" s="124">
        <v>4214</v>
      </c>
      <c r="K84" s="232" t="s">
        <v>1048</v>
      </c>
      <c r="L84" s="232" t="s">
        <v>1049</v>
      </c>
      <c r="M84" s="232" t="s">
        <v>1050</v>
      </c>
      <c r="N84" s="141"/>
      <c r="O84" s="142">
        <v>0.49608570000000002</v>
      </c>
      <c r="P84" s="141">
        <v>0.52196460300000003</v>
      </c>
      <c r="Q84" s="141">
        <v>0.66106715155860996</v>
      </c>
      <c r="R84" s="141">
        <v>-1.6572449999999999E-3</v>
      </c>
      <c r="S84" s="146"/>
      <c r="T84" s="146">
        <v>0.757382</v>
      </c>
      <c r="U84" s="146">
        <v>0.1090653688389214</v>
      </c>
      <c r="V84" s="146">
        <v>-3.624676</v>
      </c>
      <c r="W84" s="146">
        <v>6.7228474802671079E-2</v>
      </c>
      <c r="X84" s="144">
        <v>2.5334992000000001</v>
      </c>
      <c r="Y84" s="141">
        <v>0.20005829999999999</v>
      </c>
      <c r="Z84" s="235">
        <v>0.61131000000000002</v>
      </c>
      <c r="AA84" s="235">
        <v>0.62</v>
      </c>
    </row>
    <row r="85" spans="1:27" x14ac:dyDescent="0.25">
      <c r="A85" s="136">
        <v>84</v>
      </c>
      <c r="B85" s="237" t="s">
        <v>958</v>
      </c>
      <c r="C85" s="237" t="s">
        <v>1008</v>
      </c>
      <c r="D85" s="237"/>
      <c r="E85" s="124">
        <v>40</v>
      </c>
      <c r="F85" s="124">
        <v>56</v>
      </c>
      <c r="G85" s="124" t="s">
        <v>1051</v>
      </c>
      <c r="H85" s="124">
        <v>124325</v>
      </c>
      <c r="I85" s="124" t="s">
        <v>1052</v>
      </c>
      <c r="J85" s="124">
        <v>4219</v>
      </c>
      <c r="K85" s="232" t="s">
        <v>1053</v>
      </c>
      <c r="L85" s="232" t="s">
        <v>1054</v>
      </c>
      <c r="M85" s="232" t="s">
        <v>1055</v>
      </c>
      <c r="N85" s="141"/>
      <c r="O85" s="142">
        <v>0.49608570000000002</v>
      </c>
      <c r="P85" s="141">
        <v>0.52196460300000003</v>
      </c>
      <c r="Q85" s="141">
        <v>0.66106715155860996</v>
      </c>
      <c r="R85" s="141">
        <v>-1.6572449999999999E-3</v>
      </c>
      <c r="S85" s="146"/>
      <c r="T85" s="146">
        <v>0.757382</v>
      </c>
      <c r="U85" s="146">
        <v>0.1090653688389214</v>
      </c>
      <c r="V85" s="146">
        <v>-3.624676</v>
      </c>
      <c r="W85" s="146">
        <v>6.7228474802671079E-2</v>
      </c>
      <c r="X85" s="144">
        <v>2.5334992000000001</v>
      </c>
      <c r="Y85" s="141">
        <v>0.20005829999999999</v>
      </c>
      <c r="Z85" s="235">
        <v>0.61131000000000002</v>
      </c>
      <c r="AA85" s="235">
        <v>0.62</v>
      </c>
    </row>
    <row r="86" spans="1:27" x14ac:dyDescent="0.25">
      <c r="A86" s="136">
        <v>85</v>
      </c>
      <c r="B86" s="237" t="s">
        <v>958</v>
      </c>
      <c r="C86" s="237" t="s">
        <v>1008</v>
      </c>
      <c r="D86" s="237"/>
      <c r="E86" s="124">
        <v>41</v>
      </c>
      <c r="F86" s="124">
        <v>57</v>
      </c>
      <c r="G86" s="124" t="s">
        <v>1056</v>
      </c>
      <c r="H86" s="124">
        <v>124329</v>
      </c>
      <c r="I86" s="124" t="s">
        <v>1057</v>
      </c>
      <c r="J86" s="124">
        <v>4220</v>
      </c>
      <c r="K86" s="232" t="s">
        <v>1058</v>
      </c>
      <c r="L86" s="232" t="s">
        <v>1059</v>
      </c>
      <c r="M86" s="232" t="s">
        <v>1060</v>
      </c>
      <c r="N86" s="141"/>
      <c r="O86" s="142">
        <v>0.49608570000000002</v>
      </c>
      <c r="P86" s="141">
        <v>0.52196460300000003</v>
      </c>
      <c r="Q86" s="141">
        <v>0.66106715155860996</v>
      </c>
      <c r="R86" s="141">
        <v>-1.6572449999999999E-3</v>
      </c>
      <c r="S86" s="146"/>
      <c r="T86" s="146">
        <v>0.757382</v>
      </c>
      <c r="U86" s="146">
        <v>0.1090653688389214</v>
      </c>
      <c r="V86" s="146">
        <v>-3.624676</v>
      </c>
      <c r="W86" s="146">
        <v>6.7228474802671079E-2</v>
      </c>
      <c r="X86" s="144">
        <v>2.5334992000000001</v>
      </c>
      <c r="Y86" s="141">
        <v>0.20005829999999999</v>
      </c>
      <c r="Z86" s="235">
        <v>0.61131000000000002</v>
      </c>
      <c r="AA86" s="235">
        <v>0.62</v>
      </c>
    </row>
    <row r="87" spans="1:27" x14ac:dyDescent="0.25">
      <c r="A87" s="136">
        <v>86</v>
      </c>
      <c r="B87" s="237" t="s">
        <v>958</v>
      </c>
      <c r="C87" s="237" t="s">
        <v>1008</v>
      </c>
      <c r="D87" s="237"/>
      <c r="E87" s="124">
        <v>42</v>
      </c>
      <c r="F87" s="124">
        <v>456</v>
      </c>
      <c r="G87" s="124" t="s">
        <v>1061</v>
      </c>
      <c r="H87" s="124">
        <v>124319</v>
      </c>
      <c r="I87" s="124" t="s">
        <v>1062</v>
      </c>
      <c r="J87" s="124">
        <v>4217</v>
      </c>
      <c r="K87" s="232" t="s">
        <v>1063</v>
      </c>
      <c r="L87" s="232" t="s">
        <v>1064</v>
      </c>
      <c r="M87" s="232" t="s">
        <v>1065</v>
      </c>
      <c r="N87" s="141"/>
      <c r="O87" s="142">
        <v>0.49608570000000002</v>
      </c>
      <c r="P87" s="141">
        <v>0.52196460300000003</v>
      </c>
      <c r="Q87" s="141">
        <v>0.66106715155860996</v>
      </c>
      <c r="R87" s="141">
        <v>-1.6572449999999999E-3</v>
      </c>
      <c r="S87" s="146"/>
      <c r="T87" s="146">
        <v>0.757382</v>
      </c>
      <c r="U87" s="146">
        <v>0.1090653688389214</v>
      </c>
      <c r="V87" s="146">
        <v>-3.624676</v>
      </c>
      <c r="W87" s="146">
        <v>6.7228474802671079E-2</v>
      </c>
      <c r="X87" s="144">
        <v>2.5334992000000001</v>
      </c>
      <c r="Y87" s="141">
        <v>0.20005829999999999</v>
      </c>
      <c r="Z87" s="235">
        <v>0.61131000000000002</v>
      </c>
      <c r="AA87" s="235">
        <v>0.62</v>
      </c>
    </row>
    <row r="88" spans="1:27" x14ac:dyDescent="0.25">
      <c r="A88" s="136">
        <v>87</v>
      </c>
      <c r="B88" s="237" t="s">
        <v>958</v>
      </c>
      <c r="C88" s="237" t="s">
        <v>1008</v>
      </c>
      <c r="D88" s="237"/>
      <c r="E88" s="124">
        <v>44</v>
      </c>
      <c r="F88" s="124">
        <v>1481</v>
      </c>
      <c r="G88" s="124" t="s">
        <v>1066</v>
      </c>
      <c r="H88" s="124">
        <v>116610</v>
      </c>
      <c r="I88" s="124" t="s">
        <v>1067</v>
      </c>
      <c r="J88" s="124">
        <v>3289</v>
      </c>
      <c r="K88" s="232" t="s">
        <v>1068</v>
      </c>
      <c r="L88" s="232" t="s">
        <v>1069</v>
      </c>
      <c r="M88" s="232" t="s">
        <v>1070</v>
      </c>
      <c r="N88" s="141"/>
      <c r="O88" s="142">
        <v>0.49608570000000002</v>
      </c>
      <c r="P88" s="141">
        <v>0.52196460300000003</v>
      </c>
      <c r="Q88" s="141">
        <v>0.66106715155860996</v>
      </c>
      <c r="R88" s="141">
        <v>-1.6572449999999999E-3</v>
      </c>
      <c r="S88" s="233">
        <v>7544</v>
      </c>
      <c r="T88" s="233">
        <v>0.76722830665911801</v>
      </c>
      <c r="U88" s="233">
        <v>0.10074191441951269</v>
      </c>
      <c r="V88" s="233">
        <v>-3.3651101905376901</v>
      </c>
      <c r="W88" s="233">
        <v>6.1350030702654282E-2</v>
      </c>
      <c r="X88" s="144">
        <v>2.5334992000000001</v>
      </c>
      <c r="Y88" s="141">
        <v>0.20005829999999999</v>
      </c>
      <c r="Z88" s="148">
        <v>0.54067799999999999</v>
      </c>
      <c r="AA88" s="148">
        <v>0.54600000000000004</v>
      </c>
    </row>
    <row r="89" spans="1:27" x14ac:dyDescent="0.25">
      <c r="A89" s="136">
        <v>88</v>
      </c>
      <c r="B89" s="237" t="s">
        <v>958</v>
      </c>
      <c r="C89" s="237" t="s">
        <v>1008</v>
      </c>
      <c r="D89" s="237"/>
      <c r="E89" s="124">
        <v>45</v>
      </c>
      <c r="F89" s="124">
        <v>1483</v>
      </c>
      <c r="G89" s="124" t="s">
        <v>1071</v>
      </c>
      <c r="H89" s="124">
        <v>116600</v>
      </c>
      <c r="I89" s="124" t="s">
        <v>1072</v>
      </c>
      <c r="J89" s="124">
        <v>3290</v>
      </c>
      <c r="K89" s="232" t="s">
        <v>1073</v>
      </c>
      <c r="L89" s="232" t="s">
        <v>1074</v>
      </c>
      <c r="M89" s="232" t="s">
        <v>1075</v>
      </c>
      <c r="N89" s="141"/>
      <c r="O89" s="142">
        <v>0.49608570000000002</v>
      </c>
      <c r="P89" s="141">
        <v>0.52196460300000003</v>
      </c>
      <c r="Q89" s="141">
        <v>0.66106715155860996</v>
      </c>
      <c r="R89" s="141">
        <v>-1.6572449999999999E-3</v>
      </c>
      <c r="S89" s="233">
        <v>7544</v>
      </c>
      <c r="T89" s="233">
        <v>0.76722830665911801</v>
      </c>
      <c r="U89" s="233">
        <v>0.10074191441951269</v>
      </c>
      <c r="V89" s="233">
        <v>-3.3651101905376901</v>
      </c>
      <c r="W89" s="233">
        <v>6.1350030702654282E-2</v>
      </c>
      <c r="X89" s="144">
        <v>2.5334992000000001</v>
      </c>
      <c r="Y89" s="141">
        <v>0.20005829999999999</v>
      </c>
      <c r="Z89" s="148">
        <v>0.54067799999999999</v>
      </c>
      <c r="AA89" s="148">
        <v>0.54600000000000004</v>
      </c>
    </row>
    <row r="90" spans="1:27" x14ac:dyDescent="0.25">
      <c r="A90" s="136">
        <v>89</v>
      </c>
      <c r="B90" s="237" t="s">
        <v>958</v>
      </c>
      <c r="C90" s="237" t="s">
        <v>1008</v>
      </c>
      <c r="D90" s="237"/>
      <c r="E90" s="124">
        <v>46</v>
      </c>
      <c r="F90" s="124">
        <v>1577</v>
      </c>
      <c r="G90" s="124" t="s">
        <v>1076</v>
      </c>
      <c r="H90" s="124">
        <v>116067</v>
      </c>
      <c r="I90" s="124" t="s">
        <v>1077</v>
      </c>
      <c r="J90" s="124">
        <v>3503</v>
      </c>
      <c r="K90" s="232" t="s">
        <v>1078</v>
      </c>
      <c r="L90" s="232" t="s">
        <v>1079</v>
      </c>
      <c r="M90" s="232" t="s">
        <v>1080</v>
      </c>
      <c r="N90" s="141"/>
      <c r="O90" s="142">
        <v>0.49608570000000002</v>
      </c>
      <c r="P90" s="141">
        <v>0.52196460300000003</v>
      </c>
      <c r="Q90" s="141">
        <v>0.66106715155860996</v>
      </c>
      <c r="R90" s="141">
        <v>-1.6572449999999999E-3</v>
      </c>
      <c r="S90" s="146"/>
      <c r="T90" s="146">
        <v>0.757382</v>
      </c>
      <c r="U90" s="146">
        <v>0.1090653688389214</v>
      </c>
      <c r="V90" s="146">
        <v>-3.624676</v>
      </c>
      <c r="W90" s="146">
        <v>6.7228474802671079E-2</v>
      </c>
      <c r="X90" s="144">
        <v>2.5334992000000001</v>
      </c>
      <c r="Y90" s="141">
        <v>0.20005829999999999</v>
      </c>
      <c r="Z90" s="235">
        <v>0.47355000000000003</v>
      </c>
      <c r="AA90" s="235">
        <v>0.56999999999999995</v>
      </c>
    </row>
    <row r="91" spans="1:27" x14ac:dyDescent="0.25">
      <c r="A91" s="136">
        <v>90</v>
      </c>
      <c r="B91" s="237" t="s">
        <v>958</v>
      </c>
      <c r="C91" s="237" t="s">
        <v>1008</v>
      </c>
      <c r="D91" s="237"/>
      <c r="E91" s="124">
        <v>47</v>
      </c>
      <c r="F91" s="124">
        <v>1482</v>
      </c>
      <c r="G91" s="124" t="s">
        <v>1081</v>
      </c>
      <c r="H91" s="124">
        <v>116576</v>
      </c>
      <c r="I91" s="124" t="s">
        <v>1082</v>
      </c>
      <c r="J91" s="124">
        <v>4832</v>
      </c>
      <c r="K91" s="232" t="s">
        <v>1083</v>
      </c>
      <c r="L91" s="232"/>
      <c r="M91" s="232"/>
      <c r="N91" s="141"/>
      <c r="O91" s="142">
        <v>0.49608570000000002</v>
      </c>
      <c r="P91" s="141">
        <v>0.52196460300000003</v>
      </c>
      <c r="Q91" s="141">
        <v>0.66106715155860996</v>
      </c>
      <c r="R91" s="141">
        <v>-1.6572449999999999E-3</v>
      </c>
      <c r="S91" s="233">
        <v>7544</v>
      </c>
      <c r="T91" s="233">
        <v>0.76722830665911801</v>
      </c>
      <c r="U91" s="233">
        <v>0.10074191441951269</v>
      </c>
      <c r="V91" s="233">
        <v>-3.3651101905376901</v>
      </c>
      <c r="W91" s="233">
        <v>6.1350030702654282E-2</v>
      </c>
      <c r="X91" s="144">
        <v>2.5334992000000001</v>
      </c>
      <c r="Y91" s="141">
        <v>0.20005829999999999</v>
      </c>
      <c r="Z91" s="148">
        <v>0.54067799999999999</v>
      </c>
      <c r="AA91" s="148">
        <v>0.54600000000000004</v>
      </c>
    </row>
    <row r="92" spans="1:27" x14ac:dyDescent="0.25">
      <c r="A92" s="136">
        <v>91</v>
      </c>
      <c r="B92" s="237" t="s">
        <v>958</v>
      </c>
      <c r="C92" s="237" t="s">
        <v>1008</v>
      </c>
      <c r="D92" s="237"/>
      <c r="E92" s="124">
        <v>48</v>
      </c>
      <c r="F92" s="124">
        <v>1518</v>
      </c>
      <c r="G92" s="124" t="s">
        <v>1084</v>
      </c>
      <c r="H92" s="124">
        <v>107217</v>
      </c>
      <c r="I92" s="124" t="s">
        <v>1085</v>
      </c>
      <c r="J92" s="124">
        <v>3291</v>
      </c>
      <c r="K92" s="232" t="s">
        <v>1086</v>
      </c>
      <c r="L92" s="232" t="s">
        <v>1087</v>
      </c>
      <c r="M92" s="232" t="s">
        <v>1088</v>
      </c>
      <c r="N92" s="141"/>
      <c r="O92" s="142">
        <v>0.49608570000000002</v>
      </c>
      <c r="P92" s="141">
        <v>0.52196460300000003</v>
      </c>
      <c r="Q92" s="141">
        <v>0.66106715155860996</v>
      </c>
      <c r="R92" s="141">
        <v>-1.6572449999999999E-3</v>
      </c>
      <c r="S92" s="233">
        <v>7544</v>
      </c>
      <c r="T92" s="233">
        <v>0.76722830665911801</v>
      </c>
      <c r="U92" s="233">
        <v>0.10074191441951269</v>
      </c>
      <c r="V92" s="233">
        <v>-3.3651101905376901</v>
      </c>
      <c r="W92" s="233">
        <v>6.1350030702654282E-2</v>
      </c>
      <c r="X92" s="144">
        <v>2.5334992000000001</v>
      </c>
      <c r="Y92" s="141">
        <v>0.20005829999999999</v>
      </c>
      <c r="Z92" s="148">
        <v>0.54067799999999999</v>
      </c>
      <c r="AA92" s="148">
        <v>0.54600000000000004</v>
      </c>
    </row>
    <row r="93" spans="1:27" x14ac:dyDescent="0.25">
      <c r="A93" s="136">
        <v>92</v>
      </c>
      <c r="B93" s="237" t="s">
        <v>958</v>
      </c>
      <c r="C93" s="237" t="s">
        <v>1008</v>
      </c>
      <c r="D93" s="237"/>
      <c r="E93" s="124">
        <v>49</v>
      </c>
      <c r="F93" s="124">
        <v>1878</v>
      </c>
      <c r="G93" s="124" t="s">
        <v>1089</v>
      </c>
      <c r="H93" s="124">
        <v>611482</v>
      </c>
      <c r="I93" s="124" t="s">
        <v>1090</v>
      </c>
      <c r="J93" s="124">
        <v>4218</v>
      </c>
      <c r="K93" s="232" t="s">
        <v>1091</v>
      </c>
      <c r="L93" s="232"/>
      <c r="M93" s="232"/>
      <c r="N93" s="141"/>
      <c r="O93" s="142">
        <v>0.49608570000000002</v>
      </c>
      <c r="P93" s="141">
        <v>0.52196460300000003</v>
      </c>
      <c r="Q93" s="141">
        <v>0.66106715155860996</v>
      </c>
      <c r="R93" s="141">
        <v>-1.6572449999999999E-3</v>
      </c>
      <c r="S93" s="146"/>
      <c r="T93" s="146">
        <v>0.757382</v>
      </c>
      <c r="U93" s="146">
        <v>0.1090653688389214</v>
      </c>
      <c r="V93" s="146">
        <v>-3.624676</v>
      </c>
      <c r="W93" s="146">
        <v>6.7228474802671079E-2</v>
      </c>
      <c r="X93" s="144">
        <v>2.5334992000000001</v>
      </c>
      <c r="Y93" s="141">
        <v>0.20005829999999999</v>
      </c>
      <c r="Z93" s="235">
        <v>0.61131000000000002</v>
      </c>
      <c r="AA93" s="235">
        <v>0.62</v>
      </c>
    </row>
    <row r="94" spans="1:27" x14ac:dyDescent="0.25">
      <c r="A94" s="136">
        <v>93</v>
      </c>
      <c r="B94" s="234" t="s">
        <v>958</v>
      </c>
      <c r="C94" s="234" t="s">
        <v>1008</v>
      </c>
      <c r="D94" s="234" t="s">
        <v>434</v>
      </c>
      <c r="E94" s="124">
        <v>50</v>
      </c>
      <c r="F94" s="124">
        <v>1879</v>
      </c>
      <c r="G94" s="124" t="s">
        <v>1092</v>
      </c>
      <c r="H94" s="124">
        <v>141317</v>
      </c>
      <c r="I94" s="124" t="s">
        <v>1093</v>
      </c>
      <c r="J94" s="124">
        <v>4215</v>
      </c>
      <c r="K94" s="232" t="s">
        <v>1094</v>
      </c>
      <c r="L94" s="232" t="s">
        <v>1095</v>
      </c>
      <c r="M94" s="232" t="s">
        <v>1096</v>
      </c>
      <c r="N94" s="141"/>
      <c r="O94" s="142">
        <v>0.49608570000000002</v>
      </c>
      <c r="P94" s="141">
        <v>0.52196460300000003</v>
      </c>
      <c r="Q94" s="141">
        <v>0.66106715155860996</v>
      </c>
      <c r="R94" s="141">
        <v>-1.6572449999999999E-3</v>
      </c>
      <c r="S94" s="146"/>
      <c r="T94" s="146">
        <v>0.757382</v>
      </c>
      <c r="U94" s="146">
        <v>0.1090653688389214</v>
      </c>
      <c r="V94" s="146">
        <v>-3.624676</v>
      </c>
      <c r="W94" s="146">
        <v>6.7228474802671079E-2</v>
      </c>
      <c r="X94" s="144">
        <v>2.5334992000000001</v>
      </c>
      <c r="Y94" s="141">
        <v>0.20005829999999999</v>
      </c>
      <c r="Z94" s="235">
        <v>0.62853000000000003</v>
      </c>
      <c r="AA94" s="235">
        <v>0.56999999999999995</v>
      </c>
    </row>
    <row r="95" spans="1:27" x14ac:dyDescent="0.25">
      <c r="A95" s="136">
        <v>94</v>
      </c>
      <c r="B95" s="237" t="s">
        <v>958</v>
      </c>
      <c r="C95" s="237" t="s">
        <v>1008</v>
      </c>
      <c r="D95" s="237"/>
      <c r="E95" s="124">
        <v>51</v>
      </c>
      <c r="F95" s="124">
        <v>1880</v>
      </c>
      <c r="G95" s="124" t="s">
        <v>1097</v>
      </c>
      <c r="H95" s="124">
        <v>124362</v>
      </c>
      <c r="I95" s="124" t="s">
        <v>1098</v>
      </c>
      <c r="J95" s="124">
        <v>4221</v>
      </c>
      <c r="K95" s="232" t="s">
        <v>1099</v>
      </c>
      <c r="L95" s="232"/>
      <c r="M95" s="232"/>
      <c r="N95" s="141"/>
      <c r="O95" s="142">
        <v>0.49608570000000002</v>
      </c>
      <c r="P95" s="141">
        <v>0.52196460300000003</v>
      </c>
      <c r="Q95" s="141">
        <v>0.66106715155860996</v>
      </c>
      <c r="R95" s="141">
        <v>-1.6572449999999999E-3</v>
      </c>
      <c r="S95" s="146"/>
      <c r="T95" s="146">
        <v>0.757382</v>
      </c>
      <c r="U95" s="146">
        <v>0.1090653688389214</v>
      </c>
      <c r="V95" s="146">
        <v>-3.624676</v>
      </c>
      <c r="W95" s="146">
        <v>6.7228474802671079E-2</v>
      </c>
      <c r="X95" s="144">
        <v>2.5334992000000001</v>
      </c>
      <c r="Y95" s="141">
        <v>0.20005829999999999</v>
      </c>
      <c r="Z95" s="235">
        <v>0.61131000000000002</v>
      </c>
      <c r="AA95" s="235">
        <v>0.62</v>
      </c>
    </row>
    <row r="96" spans="1:27" x14ac:dyDescent="0.25">
      <c r="A96" s="136">
        <v>95</v>
      </c>
      <c r="B96" s="237" t="s">
        <v>958</v>
      </c>
      <c r="C96" s="237" t="s">
        <v>1008</v>
      </c>
      <c r="D96" s="237"/>
      <c r="E96" s="124">
        <v>65</v>
      </c>
      <c r="F96" s="124">
        <v>1472</v>
      </c>
      <c r="G96" s="124" t="s">
        <v>1100</v>
      </c>
      <c r="H96" s="124">
        <v>114024</v>
      </c>
      <c r="I96" s="124" t="s">
        <v>1101</v>
      </c>
      <c r="J96" s="124">
        <v>3323</v>
      </c>
      <c r="K96" s="232" t="s">
        <v>1102</v>
      </c>
      <c r="L96" s="232" t="s">
        <v>1103</v>
      </c>
      <c r="M96" s="232" t="s">
        <v>1104</v>
      </c>
      <c r="N96" s="141"/>
      <c r="O96" s="142">
        <v>0.49608570000000002</v>
      </c>
      <c r="P96" s="141">
        <v>0.52196460300000003</v>
      </c>
      <c r="Q96" s="141">
        <v>0.66106715155860996</v>
      </c>
      <c r="R96" s="141">
        <v>-1.6572449999999999E-3</v>
      </c>
      <c r="S96" s="233">
        <v>45</v>
      </c>
      <c r="T96" s="233">
        <v>0.82409148159783097</v>
      </c>
      <c r="U96" s="233">
        <v>6.00595302746934E-2</v>
      </c>
      <c r="V96" s="233">
        <v>-3.0446943701773099</v>
      </c>
      <c r="W96" s="233">
        <v>2.1095635856132978E-2</v>
      </c>
      <c r="X96" s="144">
        <v>2.5334992000000001</v>
      </c>
      <c r="Y96" s="141">
        <v>0.20005829999999999</v>
      </c>
      <c r="Z96" s="148">
        <v>0.54067799999999999</v>
      </c>
      <c r="AA96" s="148">
        <v>0.54600000000000004</v>
      </c>
    </row>
    <row r="97" spans="1:27" x14ac:dyDescent="0.25">
      <c r="A97" s="136">
        <v>96</v>
      </c>
      <c r="B97" s="237" t="s">
        <v>958</v>
      </c>
      <c r="C97" s="237" t="s">
        <v>1008</v>
      </c>
      <c r="D97" s="237"/>
      <c r="E97" s="124">
        <v>66</v>
      </c>
      <c r="F97" s="124">
        <v>1473</v>
      </c>
      <c r="G97" s="124" t="s">
        <v>1105</v>
      </c>
      <c r="H97" s="124">
        <v>114024</v>
      </c>
      <c r="I97" s="124" t="s">
        <v>1101</v>
      </c>
      <c r="J97" s="124">
        <v>3324</v>
      </c>
      <c r="K97" s="232" t="s">
        <v>1106</v>
      </c>
      <c r="L97" s="232" t="s">
        <v>1107</v>
      </c>
      <c r="M97" s="232" t="s">
        <v>1108</v>
      </c>
      <c r="N97" s="141"/>
      <c r="O97" s="142">
        <v>0.49608570000000002</v>
      </c>
      <c r="P97" s="141">
        <v>0.52196460300000003</v>
      </c>
      <c r="Q97" s="141">
        <v>0.66106715155860996</v>
      </c>
      <c r="R97" s="141">
        <v>-1.6572449999999999E-3</v>
      </c>
      <c r="S97" s="146"/>
      <c r="T97" s="146">
        <v>0.757382</v>
      </c>
      <c r="U97" s="146">
        <v>0.1090653688389214</v>
      </c>
      <c r="V97" s="146">
        <v>-3.624676</v>
      </c>
      <c r="W97" s="146">
        <v>6.7228474802671079E-2</v>
      </c>
      <c r="X97" s="144">
        <v>2.5334992000000001</v>
      </c>
      <c r="Y97" s="141">
        <v>0.20005829999999999</v>
      </c>
      <c r="Z97" s="235">
        <v>0.48</v>
      </c>
      <c r="AA97" s="235">
        <v>0.44</v>
      </c>
    </row>
    <row r="98" spans="1:27" x14ac:dyDescent="0.25">
      <c r="A98" s="136">
        <v>97</v>
      </c>
      <c r="B98" s="237" t="s">
        <v>958</v>
      </c>
      <c r="C98" s="237" t="s">
        <v>1008</v>
      </c>
      <c r="D98" s="237"/>
      <c r="E98" s="124">
        <v>67</v>
      </c>
      <c r="F98" s="124">
        <v>1474</v>
      </c>
      <c r="G98" s="124" t="s">
        <v>1109</v>
      </c>
      <c r="H98" s="124">
        <v>114028</v>
      </c>
      <c r="I98" s="124" t="s">
        <v>1110</v>
      </c>
      <c r="J98" s="124">
        <v>3325</v>
      </c>
      <c r="K98" s="232" t="s">
        <v>1111</v>
      </c>
      <c r="L98" s="232" t="s">
        <v>1112</v>
      </c>
      <c r="M98" s="232" t="s">
        <v>1113</v>
      </c>
      <c r="N98" s="141"/>
      <c r="O98" s="142">
        <v>0.49608570000000002</v>
      </c>
      <c r="P98" s="141">
        <v>0.52196460300000003</v>
      </c>
      <c r="Q98" s="141">
        <v>0.66106715155860996</v>
      </c>
      <c r="R98" s="141">
        <v>-1.6572449999999999E-3</v>
      </c>
      <c r="S98" s="146"/>
      <c r="T98" s="146">
        <v>0.757382</v>
      </c>
      <c r="U98" s="146">
        <v>0.1090653688389214</v>
      </c>
      <c r="V98" s="146">
        <v>-3.624676</v>
      </c>
      <c r="W98" s="146">
        <v>6.7228474802671079E-2</v>
      </c>
      <c r="X98" s="144">
        <v>2.5334992000000001</v>
      </c>
      <c r="Y98" s="141">
        <v>0.20005829999999999</v>
      </c>
      <c r="Z98" s="235">
        <v>0.48</v>
      </c>
      <c r="AA98" s="235">
        <v>0.44</v>
      </c>
    </row>
    <row r="99" spans="1:27" x14ac:dyDescent="0.25">
      <c r="A99" s="136">
        <v>98</v>
      </c>
      <c r="B99" s="239" t="s">
        <v>958</v>
      </c>
      <c r="C99" s="239" t="s">
        <v>1008</v>
      </c>
      <c r="D99" s="239" t="s">
        <v>434</v>
      </c>
      <c r="E99" s="124">
        <v>68</v>
      </c>
      <c r="F99" s="124">
        <v>1273</v>
      </c>
      <c r="G99" s="124" t="s">
        <v>1114</v>
      </c>
      <c r="H99" s="124">
        <v>104076</v>
      </c>
      <c r="I99" s="124" t="s">
        <v>1115</v>
      </c>
      <c r="J99" s="124">
        <v>2278</v>
      </c>
      <c r="K99" s="232" t="s">
        <v>1116</v>
      </c>
      <c r="L99" s="232" t="s">
        <v>1117</v>
      </c>
      <c r="M99" s="232" t="s">
        <v>1118</v>
      </c>
      <c r="N99" s="141"/>
      <c r="O99" s="142">
        <v>0.49608570000000002</v>
      </c>
      <c r="P99" s="141">
        <v>0.52140632510686802</v>
      </c>
      <c r="Q99" s="141">
        <v>0.66106715155860996</v>
      </c>
      <c r="R99" s="141">
        <v>-1.6669234071863301E-3</v>
      </c>
      <c r="S99" s="233">
        <v>26</v>
      </c>
      <c r="T99" s="233">
        <v>0.73483829363943898</v>
      </c>
      <c r="U99" s="233">
        <v>0.10792782218000438</v>
      </c>
      <c r="V99" s="233">
        <v>-3.1111368076055399</v>
      </c>
      <c r="W99" s="233">
        <v>5.2994992454764078E-2</v>
      </c>
      <c r="X99" s="144">
        <v>2.5334992000000001</v>
      </c>
      <c r="Y99" s="141">
        <v>0.20005829999999999</v>
      </c>
      <c r="Z99" s="235">
        <v>0.51</v>
      </c>
      <c r="AA99" s="235">
        <v>0.53</v>
      </c>
    </row>
    <row r="100" spans="1:27" x14ac:dyDescent="0.25">
      <c r="A100" s="136">
        <v>99</v>
      </c>
      <c r="B100" s="239" t="s">
        <v>958</v>
      </c>
      <c r="C100" s="239" t="s">
        <v>1008</v>
      </c>
      <c r="D100" s="239" t="s">
        <v>434</v>
      </c>
      <c r="E100" s="124">
        <v>69</v>
      </c>
      <c r="F100" s="124">
        <v>1275</v>
      </c>
      <c r="G100" s="124" t="s">
        <v>1119</v>
      </c>
      <c r="H100" s="124">
        <v>104074</v>
      </c>
      <c r="I100" s="124" t="s">
        <v>1120</v>
      </c>
      <c r="J100" s="124">
        <v>4812</v>
      </c>
      <c r="K100" s="232" t="s">
        <v>1121</v>
      </c>
      <c r="L100" s="232" t="s">
        <v>1122</v>
      </c>
      <c r="M100" s="232" t="s">
        <v>1123</v>
      </c>
      <c r="N100" s="141"/>
      <c r="O100" s="142">
        <v>0.49608570000000002</v>
      </c>
      <c r="P100" s="141">
        <v>0.52140632510686802</v>
      </c>
      <c r="Q100" s="141">
        <v>0.66106715155860996</v>
      </c>
      <c r="R100" s="141">
        <v>-1.6669234071863301E-3</v>
      </c>
      <c r="S100" s="233">
        <v>26</v>
      </c>
      <c r="T100" s="233">
        <v>0.73483829363943898</v>
      </c>
      <c r="U100" s="233">
        <v>0.10792782218000438</v>
      </c>
      <c r="V100" s="233">
        <v>-3.1111368076055399</v>
      </c>
      <c r="W100" s="233">
        <v>5.2994992454764078E-2</v>
      </c>
      <c r="X100" s="144">
        <v>2.5334992000000001</v>
      </c>
      <c r="Y100" s="141">
        <v>0.20005829999999999</v>
      </c>
      <c r="Z100" s="235">
        <v>0.51</v>
      </c>
      <c r="AA100" s="235">
        <v>0.53</v>
      </c>
    </row>
    <row r="101" spans="1:27" x14ac:dyDescent="0.25">
      <c r="A101" s="136">
        <v>100</v>
      </c>
      <c r="B101" s="237" t="s">
        <v>958</v>
      </c>
      <c r="C101" s="237" t="s">
        <v>1008</v>
      </c>
      <c r="D101" s="237"/>
      <c r="E101" s="124">
        <v>84</v>
      </c>
      <c r="F101" s="124">
        <v>1364</v>
      </c>
      <c r="G101" s="124" t="s">
        <v>1124</v>
      </c>
      <c r="H101" s="124">
        <v>112560</v>
      </c>
      <c r="I101" s="124" t="s">
        <v>1125</v>
      </c>
      <c r="J101" s="124">
        <v>3142</v>
      </c>
      <c r="K101" s="232" t="s">
        <v>1126</v>
      </c>
      <c r="L101" s="232"/>
      <c r="M101" s="232"/>
      <c r="N101" s="141"/>
      <c r="O101" s="142">
        <v>0.49608570000000002</v>
      </c>
      <c r="P101" s="141">
        <v>0.52196460300000003</v>
      </c>
      <c r="Q101" s="141">
        <v>0.66106715155860996</v>
      </c>
      <c r="R101" s="141">
        <v>-1.6572449999999999E-3</v>
      </c>
      <c r="S101" s="146"/>
      <c r="T101" s="146">
        <v>0.757382</v>
      </c>
      <c r="U101" s="146">
        <v>0.1090653688389214</v>
      </c>
      <c r="V101" s="146">
        <v>-3.624676</v>
      </c>
      <c r="W101" s="146">
        <v>6.7228474802671079E-2</v>
      </c>
      <c r="X101" s="144">
        <v>2.5334992000000001</v>
      </c>
      <c r="Y101" s="141">
        <v>0.20005829999999999</v>
      </c>
      <c r="Z101" s="235">
        <v>0.54067799999999999</v>
      </c>
      <c r="AA101" s="235">
        <v>0.54600000000000004</v>
      </c>
    </row>
    <row r="102" spans="1:27" x14ac:dyDescent="0.25">
      <c r="A102" s="136">
        <v>101</v>
      </c>
      <c r="B102" s="237" t="s">
        <v>958</v>
      </c>
      <c r="C102" s="237" t="s">
        <v>1008</v>
      </c>
      <c r="D102" s="237"/>
      <c r="E102" s="124">
        <v>106</v>
      </c>
      <c r="F102" s="124">
        <v>203</v>
      </c>
      <c r="G102" s="124" t="s">
        <v>1127</v>
      </c>
      <c r="H102" s="124">
        <v>134702</v>
      </c>
      <c r="I102" s="124" t="s">
        <v>1128</v>
      </c>
      <c r="J102" s="124">
        <v>3613</v>
      </c>
      <c r="K102" s="232" t="s">
        <v>1129</v>
      </c>
      <c r="L102" s="232" t="s">
        <v>1130</v>
      </c>
      <c r="M102" s="232" t="s">
        <v>1131</v>
      </c>
      <c r="N102" s="141"/>
      <c r="O102" s="142">
        <v>0.49608570000000002</v>
      </c>
      <c r="P102" s="141">
        <v>0.52196460300000003</v>
      </c>
      <c r="Q102" s="141">
        <v>0.66106715155860996</v>
      </c>
      <c r="R102" s="141">
        <v>-1.6572449999999999E-3</v>
      </c>
      <c r="S102" s="146"/>
      <c r="T102" s="146">
        <v>0.757382</v>
      </c>
      <c r="U102" s="146">
        <v>0.1090653688389214</v>
      </c>
      <c r="V102" s="146">
        <v>-3.624676</v>
      </c>
      <c r="W102" s="146">
        <v>6.7228474802671079E-2</v>
      </c>
      <c r="X102" s="144">
        <v>2.5334992000000001</v>
      </c>
      <c r="Y102" s="141">
        <v>0.20005829999999999</v>
      </c>
      <c r="Z102" s="235">
        <v>0.54067799999999999</v>
      </c>
      <c r="AA102" s="235">
        <v>0.54600000000000004</v>
      </c>
    </row>
    <row r="103" spans="1:27" x14ac:dyDescent="0.25">
      <c r="A103" s="136">
        <v>102</v>
      </c>
      <c r="B103" s="237" t="s">
        <v>958</v>
      </c>
      <c r="C103" s="237" t="s">
        <v>1008</v>
      </c>
      <c r="D103" s="237"/>
      <c r="E103" s="124">
        <v>108</v>
      </c>
      <c r="F103" s="124">
        <v>446</v>
      </c>
      <c r="G103" s="124" t="s">
        <v>1132</v>
      </c>
      <c r="H103" s="124">
        <v>93734</v>
      </c>
      <c r="I103" s="124" t="s">
        <v>1133</v>
      </c>
      <c r="J103" s="124">
        <v>1332</v>
      </c>
      <c r="K103" s="232" t="s">
        <v>1134</v>
      </c>
      <c r="L103" s="232"/>
      <c r="M103" s="232"/>
      <c r="N103" s="141"/>
      <c r="O103" s="142">
        <v>0.49608570000000002</v>
      </c>
      <c r="P103" s="141">
        <v>0.52196460300000003</v>
      </c>
      <c r="Q103" s="141">
        <v>0.66106715155860996</v>
      </c>
      <c r="R103" s="141">
        <v>-1.6572449999999999E-3</v>
      </c>
      <c r="S103" s="146"/>
      <c r="T103" s="146">
        <v>0.757382</v>
      </c>
      <c r="U103" s="146">
        <v>0.1090653688389214</v>
      </c>
      <c r="V103" s="146">
        <v>-3.624676</v>
      </c>
      <c r="W103" s="146">
        <v>6.7228474802671079E-2</v>
      </c>
      <c r="X103" s="144">
        <v>2.5334992000000001</v>
      </c>
      <c r="Y103" s="141">
        <v>0.20005829999999999</v>
      </c>
      <c r="Z103" s="235">
        <v>0.54067799999999999</v>
      </c>
      <c r="AA103" s="235">
        <v>0.54600000000000004</v>
      </c>
    </row>
    <row r="104" spans="1:27" x14ac:dyDescent="0.25">
      <c r="A104" s="136">
        <v>103</v>
      </c>
      <c r="B104" s="237" t="s">
        <v>958</v>
      </c>
      <c r="C104" s="237" t="s">
        <v>1008</v>
      </c>
      <c r="D104" s="237"/>
      <c r="E104" s="124">
        <v>109</v>
      </c>
      <c r="F104" s="124">
        <v>1298</v>
      </c>
      <c r="G104" s="124" t="s">
        <v>1135</v>
      </c>
      <c r="H104" s="124">
        <v>91803</v>
      </c>
      <c r="I104" s="124" t="s">
        <v>1136</v>
      </c>
      <c r="J104" s="124">
        <v>1157</v>
      </c>
      <c r="K104" s="232" t="s">
        <v>1137</v>
      </c>
      <c r="L104" s="232"/>
      <c r="M104" s="232"/>
      <c r="N104" s="141"/>
      <c r="O104" s="142">
        <v>0.49608570000000002</v>
      </c>
      <c r="P104" s="141">
        <v>0.52196460300000003</v>
      </c>
      <c r="Q104" s="141">
        <v>0.66106715155860996</v>
      </c>
      <c r="R104" s="141">
        <v>-1.6572449999999999E-3</v>
      </c>
      <c r="S104" s="146"/>
      <c r="T104" s="146">
        <v>0.757382</v>
      </c>
      <c r="U104" s="146">
        <v>0.1090653688389214</v>
      </c>
      <c r="V104" s="146">
        <v>-3.624676</v>
      </c>
      <c r="W104" s="146">
        <v>6.7228474802671079E-2</v>
      </c>
      <c r="X104" s="144">
        <v>2.5334992000000001</v>
      </c>
      <c r="Y104" s="141">
        <v>0.20005829999999999</v>
      </c>
      <c r="Z104" s="235">
        <v>0.54067799999999999</v>
      </c>
      <c r="AA104" s="235">
        <v>0.54600000000000004</v>
      </c>
    </row>
    <row r="105" spans="1:27" x14ac:dyDescent="0.25">
      <c r="A105" s="136">
        <v>104</v>
      </c>
      <c r="B105" s="237" t="s">
        <v>958</v>
      </c>
      <c r="C105" s="237" t="s">
        <v>1008</v>
      </c>
      <c r="D105" s="237"/>
      <c r="E105" s="124">
        <v>110</v>
      </c>
      <c r="F105" s="124">
        <v>2034</v>
      </c>
      <c r="G105" s="124" t="s">
        <v>1138</v>
      </c>
      <c r="H105" s="124">
        <v>91811</v>
      </c>
      <c r="I105" s="124" t="s">
        <v>1139</v>
      </c>
      <c r="J105" s="124">
        <v>1158</v>
      </c>
      <c r="K105" s="232" t="s">
        <v>1140</v>
      </c>
      <c r="L105" s="232"/>
      <c r="M105" s="232"/>
      <c r="N105" s="141"/>
      <c r="O105" s="142">
        <v>0.49608570000000002</v>
      </c>
      <c r="P105" s="141">
        <v>0.52196460300000003</v>
      </c>
      <c r="Q105" s="141">
        <v>0.66106715155860996</v>
      </c>
      <c r="R105" s="141">
        <v>-1.6572449999999999E-3</v>
      </c>
      <c r="S105" s="146"/>
      <c r="T105" s="146">
        <v>0.757382</v>
      </c>
      <c r="U105" s="146">
        <v>0.1090653688389214</v>
      </c>
      <c r="V105" s="146">
        <v>-3.624676</v>
      </c>
      <c r="W105" s="146">
        <v>6.7228474802671079E-2</v>
      </c>
      <c r="X105" s="144">
        <v>2.5334992000000001</v>
      </c>
      <c r="Y105" s="141">
        <v>0.20005829999999999</v>
      </c>
      <c r="Z105" s="235">
        <v>0.54067799999999999</v>
      </c>
      <c r="AA105" s="235">
        <v>0.54600000000000004</v>
      </c>
    </row>
    <row r="106" spans="1:27" x14ac:dyDescent="0.25">
      <c r="A106" s="136">
        <v>105</v>
      </c>
      <c r="B106" s="237" t="s">
        <v>958</v>
      </c>
      <c r="C106" s="237" t="s">
        <v>1008</v>
      </c>
      <c r="D106" s="237"/>
      <c r="E106" s="124">
        <v>111</v>
      </c>
      <c r="F106" s="124">
        <v>2035</v>
      </c>
      <c r="G106" s="124" t="s">
        <v>1141</v>
      </c>
      <c r="H106" s="124">
        <v>91812</v>
      </c>
      <c r="I106" s="124" t="s">
        <v>1142</v>
      </c>
      <c r="J106" s="124">
        <v>1159</v>
      </c>
      <c r="K106" s="232" t="s">
        <v>1143</v>
      </c>
      <c r="L106" s="232"/>
      <c r="M106" s="232"/>
      <c r="N106" s="141"/>
      <c r="O106" s="142">
        <v>0.49608570000000002</v>
      </c>
      <c r="P106" s="141">
        <v>0.52196460300000003</v>
      </c>
      <c r="Q106" s="141">
        <v>0.66106715155860996</v>
      </c>
      <c r="R106" s="141">
        <v>-1.6572449999999999E-3</v>
      </c>
      <c r="S106" s="146"/>
      <c r="T106" s="146">
        <v>0.757382</v>
      </c>
      <c r="U106" s="146">
        <v>0.1090653688389214</v>
      </c>
      <c r="V106" s="146">
        <v>-3.624676</v>
      </c>
      <c r="W106" s="146">
        <v>6.7228474802671079E-2</v>
      </c>
      <c r="X106" s="144">
        <v>2.5334992000000001</v>
      </c>
      <c r="Y106" s="141">
        <v>0.20005829999999999</v>
      </c>
      <c r="Z106" s="235">
        <v>0.54067799999999999</v>
      </c>
      <c r="AA106" s="235">
        <v>0.54600000000000004</v>
      </c>
    </row>
    <row r="107" spans="1:27" x14ac:dyDescent="0.25">
      <c r="A107" s="136">
        <v>106</v>
      </c>
      <c r="B107" s="237" t="s">
        <v>958</v>
      </c>
      <c r="C107" s="237" t="s">
        <v>1008</v>
      </c>
      <c r="D107" s="237"/>
      <c r="E107" s="124">
        <v>112</v>
      </c>
      <c r="F107" s="124">
        <v>2036</v>
      </c>
      <c r="G107" s="124" t="s">
        <v>1144</v>
      </c>
      <c r="H107" s="124">
        <v>90234</v>
      </c>
      <c r="I107" s="124" t="s">
        <v>1145</v>
      </c>
      <c r="J107" s="124">
        <v>1039</v>
      </c>
      <c r="K107" s="232" t="s">
        <v>1146</v>
      </c>
      <c r="L107" s="232" t="s">
        <v>1147</v>
      </c>
      <c r="M107" s="232" t="s">
        <v>505</v>
      </c>
      <c r="N107" s="141"/>
      <c r="O107" s="142">
        <v>0.49608570000000002</v>
      </c>
      <c r="P107" s="141">
        <v>0.52196460300000003</v>
      </c>
      <c r="Q107" s="141">
        <v>0.66106715155860996</v>
      </c>
      <c r="R107" s="141">
        <v>-1.6572449999999999E-3</v>
      </c>
      <c r="S107" s="146"/>
      <c r="T107" s="146">
        <v>0.757382</v>
      </c>
      <c r="U107" s="146">
        <v>0.1090653688389214</v>
      </c>
      <c r="V107" s="146">
        <v>-3.624676</v>
      </c>
      <c r="W107" s="146">
        <v>6.7228474802671079E-2</v>
      </c>
      <c r="X107" s="144">
        <v>2.5334992000000001</v>
      </c>
      <c r="Y107" s="141">
        <v>0.20005829999999999</v>
      </c>
      <c r="Z107" s="235">
        <v>0.54067799999999999</v>
      </c>
      <c r="AA107" s="235">
        <v>0.54600000000000004</v>
      </c>
    </row>
    <row r="108" spans="1:27" x14ac:dyDescent="0.25">
      <c r="A108" s="136">
        <v>107</v>
      </c>
      <c r="B108" s="237" t="s">
        <v>958</v>
      </c>
      <c r="C108" s="237" t="s">
        <v>1008</v>
      </c>
      <c r="D108" s="237"/>
      <c r="E108" s="124">
        <v>115</v>
      </c>
      <c r="F108" s="124">
        <v>714</v>
      </c>
      <c r="G108" s="124" t="s">
        <v>1148</v>
      </c>
      <c r="H108" s="124">
        <v>113142</v>
      </c>
      <c r="I108" s="124" t="s">
        <v>1149</v>
      </c>
      <c r="J108" s="124">
        <v>3217</v>
      </c>
      <c r="K108" s="232" t="s">
        <v>1150</v>
      </c>
      <c r="L108" s="232" t="s">
        <v>1151</v>
      </c>
      <c r="M108" s="232" t="s">
        <v>1152</v>
      </c>
      <c r="N108" s="141"/>
      <c r="O108" s="142">
        <v>0.49608570000000002</v>
      </c>
      <c r="P108" s="141">
        <v>0.52196460300000003</v>
      </c>
      <c r="Q108" s="141">
        <v>0.66106715155860996</v>
      </c>
      <c r="R108" s="141">
        <v>-1.6572449999999999E-3</v>
      </c>
      <c r="S108" s="146"/>
      <c r="T108" s="146">
        <v>0.757382</v>
      </c>
      <c r="U108" s="146">
        <v>0.1090653688389214</v>
      </c>
      <c r="V108" s="146">
        <v>-3.624676</v>
      </c>
      <c r="W108" s="146">
        <v>6.7228474802671079E-2</v>
      </c>
      <c r="X108" s="144">
        <v>2.5334992000000001</v>
      </c>
      <c r="Y108" s="141">
        <v>0.20005829999999999</v>
      </c>
      <c r="Z108" s="235">
        <v>0.54067799999999999</v>
      </c>
      <c r="AA108" s="235">
        <v>0.54600000000000004</v>
      </c>
    </row>
    <row r="109" spans="1:27" x14ac:dyDescent="0.25">
      <c r="A109" s="136">
        <v>108</v>
      </c>
      <c r="B109" s="237" t="s">
        <v>958</v>
      </c>
      <c r="C109" s="237" t="s">
        <v>1008</v>
      </c>
      <c r="D109" s="237"/>
      <c r="E109" s="124">
        <v>116</v>
      </c>
      <c r="F109" s="124">
        <v>715</v>
      </c>
      <c r="G109" s="124" t="s">
        <v>1153</v>
      </c>
      <c r="H109" s="124">
        <v>113148</v>
      </c>
      <c r="I109" s="124" t="s">
        <v>1154</v>
      </c>
      <c r="J109" s="124">
        <v>3218</v>
      </c>
      <c r="K109" s="232" t="s">
        <v>1155</v>
      </c>
      <c r="L109" s="232" t="s">
        <v>1156</v>
      </c>
      <c r="M109" s="232" t="s">
        <v>1157</v>
      </c>
      <c r="N109" s="141"/>
      <c r="O109" s="142">
        <v>0.49608570000000002</v>
      </c>
      <c r="P109" s="141">
        <v>0.52196460300000003</v>
      </c>
      <c r="Q109" s="141">
        <v>0.66106715155860996</v>
      </c>
      <c r="R109" s="141">
        <v>-1.6572449999999999E-3</v>
      </c>
      <c r="S109" s="146"/>
      <c r="T109" s="146">
        <v>0.757382</v>
      </c>
      <c r="U109" s="146">
        <v>0.1090653688389214</v>
      </c>
      <c r="V109" s="146">
        <v>-3.624676</v>
      </c>
      <c r="W109" s="146">
        <v>6.7228474802671079E-2</v>
      </c>
      <c r="X109" s="144">
        <v>2.5334992000000001</v>
      </c>
      <c r="Y109" s="141">
        <v>0.20005829999999999</v>
      </c>
      <c r="Z109" s="235">
        <v>0.54067799999999999</v>
      </c>
      <c r="AA109" s="235">
        <v>0.54600000000000004</v>
      </c>
    </row>
    <row r="110" spans="1:27" x14ac:dyDescent="0.25">
      <c r="A110" s="136">
        <v>109</v>
      </c>
      <c r="B110" s="237" t="s">
        <v>958</v>
      </c>
      <c r="C110" s="237" t="s">
        <v>1008</v>
      </c>
      <c r="D110" s="237"/>
      <c r="E110" s="124">
        <v>118</v>
      </c>
      <c r="F110" s="124">
        <v>976</v>
      </c>
      <c r="G110" s="124" t="s">
        <v>1158</v>
      </c>
      <c r="H110" s="124">
        <v>95047</v>
      </c>
      <c r="I110" s="124" t="s">
        <v>1159</v>
      </c>
      <c r="J110" s="124">
        <v>1455</v>
      </c>
      <c r="K110" s="232" t="s">
        <v>1160</v>
      </c>
      <c r="L110" s="232"/>
      <c r="M110" s="232"/>
      <c r="N110" s="141"/>
      <c r="O110" s="142">
        <v>0.49608570000000002</v>
      </c>
      <c r="P110" s="141">
        <v>0.52196460300000003</v>
      </c>
      <c r="Q110" s="141">
        <v>0.66106715155860996</v>
      </c>
      <c r="R110" s="141">
        <v>-1.6572449999999999E-3</v>
      </c>
      <c r="S110" s="146"/>
      <c r="T110" s="146">
        <v>0.757382</v>
      </c>
      <c r="U110" s="146">
        <v>0.1090653688389214</v>
      </c>
      <c r="V110" s="146">
        <v>-3.624676</v>
      </c>
      <c r="W110" s="146">
        <v>6.7228474802671079E-2</v>
      </c>
      <c r="X110" s="144">
        <v>2.5334992000000001</v>
      </c>
      <c r="Y110" s="141">
        <v>0.20005829999999999</v>
      </c>
      <c r="Z110" s="235">
        <v>0.54067799999999999</v>
      </c>
      <c r="AA110" s="235">
        <v>0.54600000000000004</v>
      </c>
    </row>
    <row r="111" spans="1:27" x14ac:dyDescent="0.25">
      <c r="A111" s="136">
        <v>110</v>
      </c>
      <c r="B111" s="237" t="s">
        <v>958</v>
      </c>
      <c r="C111" s="237" t="s">
        <v>1008</v>
      </c>
      <c r="D111" s="237"/>
      <c r="E111" s="124">
        <v>119</v>
      </c>
      <c r="F111" s="124">
        <v>1045</v>
      </c>
      <c r="G111" s="124" t="s">
        <v>1161</v>
      </c>
      <c r="H111" s="124">
        <v>105295</v>
      </c>
      <c r="I111" s="124" t="s">
        <v>1162</v>
      </c>
      <c r="J111" s="124">
        <v>2425</v>
      </c>
      <c r="K111" s="232" t="s">
        <v>1163</v>
      </c>
      <c r="L111" s="232"/>
      <c r="M111" s="232"/>
      <c r="N111" s="141"/>
      <c r="O111" s="142">
        <v>0.49608570000000002</v>
      </c>
      <c r="P111" s="141">
        <v>0.52196460300000003</v>
      </c>
      <c r="Q111" s="141">
        <v>0.66106715155860996</v>
      </c>
      <c r="R111" s="141">
        <v>-1.6572449999999999E-3</v>
      </c>
      <c r="S111" s="146"/>
      <c r="T111" s="146">
        <v>0.757382</v>
      </c>
      <c r="U111" s="146">
        <v>0.1090653688389214</v>
      </c>
      <c r="V111" s="146">
        <v>-3.624676</v>
      </c>
      <c r="W111" s="146">
        <v>6.7228474802671079E-2</v>
      </c>
      <c r="X111" s="144">
        <v>2.5334992000000001</v>
      </c>
      <c r="Y111" s="141">
        <v>0.20005829999999999</v>
      </c>
      <c r="Z111" s="235">
        <v>0.54067799999999999</v>
      </c>
      <c r="AA111" s="235">
        <v>0.54600000000000004</v>
      </c>
    </row>
    <row r="112" spans="1:27" x14ac:dyDescent="0.25">
      <c r="A112" s="136">
        <v>111</v>
      </c>
      <c r="B112" s="231" t="s">
        <v>958</v>
      </c>
      <c r="C112" s="231" t="s">
        <v>1008</v>
      </c>
      <c r="D112" s="231"/>
      <c r="E112" s="124">
        <v>123</v>
      </c>
      <c r="F112" s="124">
        <v>1283</v>
      </c>
      <c r="G112" s="124" t="s">
        <v>1164</v>
      </c>
      <c r="H112" s="124">
        <v>95831</v>
      </c>
      <c r="I112" s="124" t="s">
        <v>1165</v>
      </c>
      <c r="J112" s="124">
        <v>1520</v>
      </c>
      <c r="K112" s="232" t="s">
        <v>1166</v>
      </c>
      <c r="L112" s="232"/>
      <c r="M112" s="232"/>
      <c r="N112" s="141"/>
      <c r="O112" s="142">
        <v>0.49608570000000002</v>
      </c>
      <c r="P112" s="141">
        <v>0.52196460300000003</v>
      </c>
      <c r="Q112" s="141">
        <v>0.66106715155860996</v>
      </c>
      <c r="R112" s="141">
        <v>-1.6572449999999999E-3</v>
      </c>
      <c r="S112" s="146"/>
      <c r="T112" s="146">
        <v>0.757382</v>
      </c>
      <c r="U112" s="146">
        <v>0.1090653688389214</v>
      </c>
      <c r="V112" s="146">
        <v>-3.624676</v>
      </c>
      <c r="W112" s="146">
        <v>6.7228474802671079E-2</v>
      </c>
      <c r="X112" s="144">
        <v>2.5334992000000001</v>
      </c>
      <c r="Y112" s="141">
        <v>0.20005829999999999</v>
      </c>
      <c r="Z112" s="235">
        <v>0.54067799999999999</v>
      </c>
      <c r="AA112" s="235">
        <v>0.54600000000000004</v>
      </c>
    </row>
    <row r="113" spans="1:27" x14ac:dyDescent="0.25">
      <c r="A113" s="136">
        <v>112</v>
      </c>
      <c r="B113" s="231" t="s">
        <v>958</v>
      </c>
      <c r="C113" s="231" t="s">
        <v>1008</v>
      </c>
      <c r="D113" s="231"/>
      <c r="E113" s="124">
        <v>124</v>
      </c>
      <c r="F113" s="124">
        <v>1299</v>
      </c>
      <c r="G113" s="124" t="s">
        <v>1167</v>
      </c>
      <c r="H113" s="124">
        <v>107130</v>
      </c>
      <c r="I113" s="124" t="s">
        <v>1168</v>
      </c>
      <c r="J113" s="124">
        <v>4432</v>
      </c>
      <c r="K113" s="232" t="s">
        <v>1169</v>
      </c>
      <c r="L113" s="232"/>
      <c r="M113" s="232"/>
      <c r="N113" s="141"/>
      <c r="O113" s="142">
        <v>0.49608570000000002</v>
      </c>
      <c r="P113" s="141">
        <v>0.52196460300000003</v>
      </c>
      <c r="Q113" s="141">
        <v>0.66106715155860996</v>
      </c>
      <c r="R113" s="141">
        <v>-1.6572449999999999E-3</v>
      </c>
      <c r="S113" s="146"/>
      <c r="T113" s="146">
        <v>0.757382</v>
      </c>
      <c r="U113" s="146">
        <v>0.1090653688389214</v>
      </c>
      <c r="V113" s="146">
        <v>-3.624676</v>
      </c>
      <c r="W113" s="146">
        <v>6.7228474802671079E-2</v>
      </c>
      <c r="X113" s="144">
        <v>2.5334992000000001</v>
      </c>
      <c r="Y113" s="141">
        <v>0.20005829999999999</v>
      </c>
      <c r="Z113" s="235">
        <v>0.54067799999999999</v>
      </c>
      <c r="AA113" s="235">
        <v>0.54600000000000004</v>
      </c>
    </row>
    <row r="114" spans="1:27" x14ac:dyDescent="0.25">
      <c r="A114" s="136">
        <v>113</v>
      </c>
      <c r="B114" s="231" t="s">
        <v>958</v>
      </c>
      <c r="C114" s="231" t="s">
        <v>1008</v>
      </c>
      <c r="D114" s="231"/>
      <c r="E114" s="124">
        <v>125</v>
      </c>
      <c r="F114" s="124">
        <v>2</v>
      </c>
      <c r="G114" s="124" t="s">
        <v>1170</v>
      </c>
      <c r="H114" s="124">
        <v>116041</v>
      </c>
      <c r="I114" s="124" t="s">
        <v>1171</v>
      </c>
      <c r="J114" s="124">
        <v>3498</v>
      </c>
      <c r="K114" s="232" t="s">
        <v>1172</v>
      </c>
      <c r="L114" s="232"/>
      <c r="M114" s="232"/>
      <c r="N114" s="141"/>
      <c r="O114" s="142">
        <v>0.49608570000000002</v>
      </c>
      <c r="P114" s="141">
        <v>0.52196460300000003</v>
      </c>
      <c r="Q114" s="141">
        <v>0.66106715155860996</v>
      </c>
      <c r="R114" s="141">
        <v>-1.6572449999999999E-3</v>
      </c>
      <c r="S114" s="146"/>
      <c r="T114" s="146">
        <v>0.757382</v>
      </c>
      <c r="U114" s="146">
        <v>0.1090653688389214</v>
      </c>
      <c r="V114" s="146">
        <v>-3.624676</v>
      </c>
      <c r="W114" s="146">
        <v>6.7228474802671079E-2</v>
      </c>
      <c r="X114" s="144">
        <v>2.5334992000000001</v>
      </c>
      <c r="Y114" s="141">
        <v>0.20005829999999999</v>
      </c>
      <c r="Z114" s="235">
        <v>0.47355000000000003</v>
      </c>
      <c r="AA114" s="235">
        <v>0.56999999999999995</v>
      </c>
    </row>
    <row r="115" spans="1:27" x14ac:dyDescent="0.25">
      <c r="A115" s="136">
        <v>114</v>
      </c>
      <c r="B115" s="231" t="s">
        <v>958</v>
      </c>
      <c r="C115" s="231" t="s">
        <v>1008</v>
      </c>
      <c r="D115" s="231"/>
      <c r="E115" s="124">
        <v>126</v>
      </c>
      <c r="F115" s="124">
        <v>1576</v>
      </c>
      <c r="G115" s="124" t="s">
        <v>1173</v>
      </c>
      <c r="H115" s="124">
        <v>116050</v>
      </c>
      <c r="I115" s="124" t="s">
        <v>1174</v>
      </c>
      <c r="J115" s="124">
        <v>3500</v>
      </c>
      <c r="K115" s="232" t="s">
        <v>1175</v>
      </c>
      <c r="L115" s="232"/>
      <c r="M115" s="232"/>
      <c r="N115" s="141"/>
      <c r="O115" s="142">
        <v>0.49608570000000002</v>
      </c>
      <c r="P115" s="141">
        <v>0.52196460300000003</v>
      </c>
      <c r="Q115" s="141">
        <v>0.66106715155860996</v>
      </c>
      <c r="R115" s="141">
        <v>-1.6572449999999999E-3</v>
      </c>
      <c r="S115" s="146"/>
      <c r="T115" s="146">
        <v>0.757382</v>
      </c>
      <c r="U115" s="146">
        <v>0.1090653688389214</v>
      </c>
      <c r="V115" s="146">
        <v>-3.624676</v>
      </c>
      <c r="W115" s="146">
        <v>6.7228474802671079E-2</v>
      </c>
      <c r="X115" s="144">
        <v>2.5334992000000001</v>
      </c>
      <c r="Y115" s="141">
        <v>0.20005829999999999</v>
      </c>
      <c r="Z115" s="235">
        <v>0.47355000000000003</v>
      </c>
      <c r="AA115" s="235">
        <v>0.56999999999999995</v>
      </c>
    </row>
    <row r="116" spans="1:27" x14ac:dyDescent="0.25">
      <c r="A116" s="136">
        <v>115</v>
      </c>
      <c r="B116" s="231" t="s">
        <v>958</v>
      </c>
      <c r="C116" s="231" t="s">
        <v>1008</v>
      </c>
      <c r="D116" s="231"/>
      <c r="E116" s="124">
        <v>127</v>
      </c>
      <c r="F116" s="124">
        <v>1574</v>
      </c>
      <c r="G116" s="124" t="s">
        <v>1176</v>
      </c>
      <c r="H116" s="124">
        <v>116053</v>
      </c>
      <c r="I116" s="124" t="s">
        <v>1177</v>
      </c>
      <c r="J116" s="124">
        <v>3501</v>
      </c>
      <c r="K116" s="232" t="s">
        <v>1178</v>
      </c>
      <c r="L116" s="232" t="s">
        <v>1024</v>
      </c>
      <c r="M116" s="232" t="s">
        <v>1025</v>
      </c>
      <c r="N116" s="141"/>
      <c r="O116" s="142">
        <v>0.49608570000000002</v>
      </c>
      <c r="P116" s="141">
        <v>0.52196460300000003</v>
      </c>
      <c r="Q116" s="141">
        <v>0.66106715155860996</v>
      </c>
      <c r="R116" s="141">
        <v>-1.6572449999999999E-3</v>
      </c>
      <c r="S116" s="146"/>
      <c r="T116" s="146">
        <v>0.757382</v>
      </c>
      <c r="U116" s="146">
        <v>0.1090653688389214</v>
      </c>
      <c r="V116" s="146">
        <v>-3.624676</v>
      </c>
      <c r="W116" s="146">
        <v>6.7228474802671079E-2</v>
      </c>
      <c r="X116" s="144">
        <v>2.5334992000000001</v>
      </c>
      <c r="Y116" s="141">
        <v>0.20005829999999999</v>
      </c>
      <c r="Z116" s="235">
        <v>0.47355000000000003</v>
      </c>
      <c r="AA116" s="235">
        <v>0.56999999999999995</v>
      </c>
    </row>
    <row r="117" spans="1:27" x14ac:dyDescent="0.25">
      <c r="A117" s="136">
        <v>116</v>
      </c>
      <c r="B117" s="231" t="s">
        <v>958</v>
      </c>
      <c r="C117" s="231" t="s">
        <v>1008</v>
      </c>
      <c r="D117" s="231"/>
      <c r="E117" s="124">
        <v>128</v>
      </c>
      <c r="F117" s="124">
        <v>1457</v>
      </c>
      <c r="G117" s="124" t="s">
        <v>1179</v>
      </c>
      <c r="H117" s="124">
        <v>113744</v>
      </c>
      <c r="I117" s="124" t="s">
        <v>1180</v>
      </c>
      <c r="J117" s="124">
        <v>3293</v>
      </c>
      <c r="K117" s="232" t="s">
        <v>1181</v>
      </c>
      <c r="L117" s="232" t="s">
        <v>1182</v>
      </c>
      <c r="M117" s="232" t="s">
        <v>1183</v>
      </c>
      <c r="N117" s="141"/>
      <c r="O117" s="142">
        <v>0.49608570000000002</v>
      </c>
      <c r="P117" s="141">
        <v>0.52196460300000003</v>
      </c>
      <c r="Q117" s="141">
        <v>0.66106715155860996</v>
      </c>
      <c r="R117" s="141">
        <v>-1.6572449999999999E-3</v>
      </c>
      <c r="S117" s="146"/>
      <c r="T117" s="146">
        <v>0.757382</v>
      </c>
      <c r="U117" s="146">
        <v>0.1090653688389214</v>
      </c>
      <c r="V117" s="146">
        <v>-3.624676</v>
      </c>
      <c r="W117" s="146">
        <v>6.7228474802671079E-2</v>
      </c>
      <c r="X117" s="144">
        <v>2.5334992000000001</v>
      </c>
      <c r="Y117" s="141">
        <v>0.20005829999999999</v>
      </c>
      <c r="Z117" s="235">
        <v>0.54067799999999999</v>
      </c>
      <c r="AA117" s="235">
        <v>0.54600000000000004</v>
      </c>
    </row>
    <row r="118" spans="1:27" x14ac:dyDescent="0.25">
      <c r="A118" s="136">
        <v>117</v>
      </c>
      <c r="B118" s="231" t="s">
        <v>958</v>
      </c>
      <c r="C118" s="231" t="s">
        <v>1008</v>
      </c>
      <c r="D118" s="231"/>
      <c r="E118" s="124">
        <v>129</v>
      </c>
      <c r="F118" s="124">
        <v>376</v>
      </c>
      <c r="G118" s="124" t="s">
        <v>1184</v>
      </c>
      <c r="H118" s="124">
        <v>116096</v>
      </c>
      <c r="I118" s="124" t="s">
        <v>1185</v>
      </c>
      <c r="J118" s="124">
        <v>3506</v>
      </c>
      <c r="K118" s="232" t="s">
        <v>1186</v>
      </c>
      <c r="L118" s="232" t="s">
        <v>1187</v>
      </c>
      <c r="M118" s="232" t="s">
        <v>1188</v>
      </c>
      <c r="N118" s="141"/>
      <c r="O118" s="142">
        <v>0.49608570000000002</v>
      </c>
      <c r="P118" s="141">
        <v>0.52196460300000003</v>
      </c>
      <c r="Q118" s="141">
        <v>0.66106715155860996</v>
      </c>
      <c r="R118" s="141">
        <v>-1.6572449999999999E-3</v>
      </c>
      <c r="S118" s="146"/>
      <c r="T118" s="146">
        <v>0.757382</v>
      </c>
      <c r="U118" s="146">
        <v>0.1090653688389214</v>
      </c>
      <c r="V118" s="146">
        <v>-3.624676</v>
      </c>
      <c r="W118" s="146">
        <v>6.7228474802671079E-2</v>
      </c>
      <c r="X118" s="144">
        <v>2.5334992000000001</v>
      </c>
      <c r="Y118" s="141">
        <v>0.20005829999999999</v>
      </c>
      <c r="Z118" s="235">
        <v>0.47355000000000003</v>
      </c>
      <c r="AA118" s="235">
        <v>0.56999999999999995</v>
      </c>
    </row>
    <row r="119" spans="1:27" x14ac:dyDescent="0.25">
      <c r="A119" s="136">
        <v>118</v>
      </c>
      <c r="B119" s="231" t="s">
        <v>958</v>
      </c>
      <c r="C119" s="231" t="s">
        <v>1008</v>
      </c>
      <c r="D119" s="231"/>
      <c r="E119" s="124">
        <v>130</v>
      </c>
      <c r="F119" s="124">
        <v>1485</v>
      </c>
      <c r="G119" s="124" t="s">
        <v>1189</v>
      </c>
      <c r="H119" s="124">
        <v>116594</v>
      </c>
      <c r="I119" s="124" t="s">
        <v>1190</v>
      </c>
      <c r="J119" s="124">
        <v>3292</v>
      </c>
      <c r="K119" s="232" t="s">
        <v>1191</v>
      </c>
      <c r="L119" s="232"/>
      <c r="M119" s="232"/>
      <c r="N119" s="141"/>
      <c r="O119" s="142">
        <v>0.49608570000000002</v>
      </c>
      <c r="P119" s="141">
        <v>0.52196460300000003</v>
      </c>
      <c r="Q119" s="141">
        <v>0.66106715155860996</v>
      </c>
      <c r="R119" s="141">
        <v>-1.6572449999999999E-3</v>
      </c>
      <c r="S119" s="233">
        <v>7544</v>
      </c>
      <c r="T119" s="233">
        <v>0.76722830665911801</v>
      </c>
      <c r="U119" s="233">
        <v>0.10074191441951269</v>
      </c>
      <c r="V119" s="233">
        <v>-3.3651101905376901</v>
      </c>
      <c r="W119" s="233">
        <v>6.1350030702654282E-2</v>
      </c>
      <c r="X119" s="144">
        <v>2.5334992000000001</v>
      </c>
      <c r="Y119" s="141">
        <v>0.20005829999999999</v>
      </c>
      <c r="Z119" s="148">
        <v>0.54067799999999999</v>
      </c>
      <c r="AA119" s="148">
        <v>0.54600000000000004</v>
      </c>
    </row>
    <row r="120" spans="1:27" x14ac:dyDescent="0.25">
      <c r="A120" s="136">
        <v>119</v>
      </c>
      <c r="B120" s="231" t="s">
        <v>958</v>
      </c>
      <c r="C120" s="231" t="s">
        <v>1008</v>
      </c>
      <c r="D120" s="231"/>
      <c r="E120" s="124">
        <v>131</v>
      </c>
      <c r="F120" s="124">
        <v>1575</v>
      </c>
      <c r="G120" s="124" t="s">
        <v>1192</v>
      </c>
      <c r="H120" s="124">
        <v>116142</v>
      </c>
      <c r="I120" s="124" t="s">
        <v>1193</v>
      </c>
      <c r="J120" s="124">
        <v>3512</v>
      </c>
      <c r="K120" s="232" t="s">
        <v>1194</v>
      </c>
      <c r="L120" s="232" t="s">
        <v>1195</v>
      </c>
      <c r="M120" s="232" t="s">
        <v>1196</v>
      </c>
      <c r="N120" s="141"/>
      <c r="O120" s="142">
        <v>0.49608570000000002</v>
      </c>
      <c r="P120" s="141">
        <v>0.52196460300000003</v>
      </c>
      <c r="Q120" s="141">
        <v>0.66106715155860996</v>
      </c>
      <c r="R120" s="141">
        <v>-1.6572449999999999E-3</v>
      </c>
      <c r="S120" s="146"/>
      <c r="T120" s="146">
        <v>0.757382</v>
      </c>
      <c r="U120" s="146">
        <v>0.1090653688389214</v>
      </c>
      <c r="V120" s="146">
        <v>-3.624676</v>
      </c>
      <c r="W120" s="146">
        <v>6.7228474802671079E-2</v>
      </c>
      <c r="X120" s="144">
        <v>2.5334992000000001</v>
      </c>
      <c r="Y120" s="141">
        <v>0.20005829999999999</v>
      </c>
      <c r="Z120" s="235">
        <v>0.47355000000000003</v>
      </c>
      <c r="AA120" s="235">
        <v>0.56999999999999995</v>
      </c>
    </row>
    <row r="121" spans="1:27" x14ac:dyDescent="0.25">
      <c r="A121" s="136">
        <v>120</v>
      </c>
      <c r="B121" s="231" t="s">
        <v>958</v>
      </c>
      <c r="C121" s="231" t="s">
        <v>1008</v>
      </c>
      <c r="D121" s="231"/>
      <c r="E121" s="124">
        <v>132</v>
      </c>
      <c r="F121" s="124">
        <v>1458</v>
      </c>
      <c r="G121" s="124" t="s">
        <v>1197</v>
      </c>
      <c r="H121" s="124">
        <v>113748</v>
      </c>
      <c r="I121" s="124" t="s">
        <v>1198</v>
      </c>
      <c r="J121" s="124">
        <v>3294</v>
      </c>
      <c r="K121" s="232" t="s">
        <v>1199</v>
      </c>
      <c r="L121" s="232" t="s">
        <v>1200</v>
      </c>
      <c r="M121" s="232" t="s">
        <v>1201</v>
      </c>
      <c r="N121" s="141"/>
      <c r="O121" s="142">
        <v>0.49608570000000002</v>
      </c>
      <c r="P121" s="141">
        <v>0.52196460300000003</v>
      </c>
      <c r="Q121" s="141">
        <v>0.66106715155860996</v>
      </c>
      <c r="R121" s="141">
        <v>-1.6572449999999999E-3</v>
      </c>
      <c r="S121" s="146"/>
      <c r="T121" s="146">
        <v>0.757382</v>
      </c>
      <c r="U121" s="146">
        <v>0.1090653688389214</v>
      </c>
      <c r="V121" s="146">
        <v>-3.624676</v>
      </c>
      <c r="W121" s="146">
        <v>6.7228474802671079E-2</v>
      </c>
      <c r="X121" s="144">
        <v>2.5334992000000001</v>
      </c>
      <c r="Y121" s="141">
        <v>0.20005829999999999</v>
      </c>
      <c r="Z121" s="235">
        <v>0.54067799999999999</v>
      </c>
      <c r="AA121" s="235">
        <v>0.54600000000000004</v>
      </c>
    </row>
    <row r="122" spans="1:27" x14ac:dyDescent="0.25">
      <c r="A122" s="136">
        <v>121</v>
      </c>
      <c r="B122" s="231" t="s">
        <v>958</v>
      </c>
      <c r="C122" s="231" t="s">
        <v>1008</v>
      </c>
      <c r="D122" s="231"/>
      <c r="E122" s="124">
        <v>133</v>
      </c>
      <c r="F122" s="124">
        <v>1266</v>
      </c>
      <c r="G122" s="124" t="s">
        <v>1202</v>
      </c>
      <c r="H122" s="124">
        <v>117526</v>
      </c>
      <c r="I122" s="124" t="s">
        <v>1203</v>
      </c>
      <c r="J122" s="124">
        <v>3610</v>
      </c>
      <c r="K122" s="232" t="s">
        <v>1204</v>
      </c>
      <c r="L122" s="232" t="s">
        <v>1205</v>
      </c>
      <c r="M122" s="232" t="s">
        <v>1206</v>
      </c>
      <c r="N122" s="141"/>
      <c r="O122" s="142">
        <v>0.49608570000000002</v>
      </c>
      <c r="P122" s="141">
        <v>0.52196460300000003</v>
      </c>
      <c r="Q122" s="141">
        <v>0.66106715155860996</v>
      </c>
      <c r="R122" s="141">
        <v>-1.6572449999999999E-3</v>
      </c>
      <c r="S122" s="146"/>
      <c r="T122" s="146">
        <v>0.757382</v>
      </c>
      <c r="U122" s="146">
        <v>0.1090653688389214</v>
      </c>
      <c r="V122" s="146">
        <v>-3.624676</v>
      </c>
      <c r="W122" s="146">
        <v>6.7228474802671079E-2</v>
      </c>
      <c r="X122" s="144">
        <v>2.5334992000000001</v>
      </c>
      <c r="Y122" s="141">
        <v>0.20005829999999999</v>
      </c>
      <c r="Z122" s="235">
        <v>0.54067799999999999</v>
      </c>
      <c r="AA122" s="235">
        <v>0.54600000000000004</v>
      </c>
    </row>
    <row r="123" spans="1:27" x14ac:dyDescent="0.25">
      <c r="A123" s="136">
        <v>122</v>
      </c>
      <c r="B123" s="231" t="s">
        <v>958</v>
      </c>
      <c r="C123" s="231" t="s">
        <v>1008</v>
      </c>
      <c r="D123" s="231"/>
      <c r="E123" s="124">
        <v>134</v>
      </c>
      <c r="F123" s="124">
        <v>1269</v>
      </c>
      <c r="G123" s="124" t="s">
        <v>1207</v>
      </c>
      <c r="H123" s="124">
        <v>117530</v>
      </c>
      <c r="I123" s="124" t="s">
        <v>1208</v>
      </c>
      <c r="J123" s="124">
        <v>3612</v>
      </c>
      <c r="K123" s="232" t="s">
        <v>1209</v>
      </c>
      <c r="L123" s="232" t="s">
        <v>1210</v>
      </c>
      <c r="M123" s="232" t="s">
        <v>1211</v>
      </c>
      <c r="N123" s="141"/>
      <c r="O123" s="142">
        <v>0.49608570000000002</v>
      </c>
      <c r="P123" s="141">
        <v>0.52196460300000003</v>
      </c>
      <c r="Q123" s="141">
        <v>0.66106715155860996</v>
      </c>
      <c r="R123" s="141">
        <v>-1.6572449999999999E-3</v>
      </c>
      <c r="S123" s="146"/>
      <c r="T123" s="146">
        <v>0.757382</v>
      </c>
      <c r="U123" s="146">
        <v>0.1090653688389214</v>
      </c>
      <c r="V123" s="146">
        <v>-3.624676</v>
      </c>
      <c r="W123" s="146">
        <v>6.7228474802671079E-2</v>
      </c>
      <c r="X123" s="144">
        <v>2.5334992000000001</v>
      </c>
      <c r="Y123" s="141">
        <v>0.20005829999999999</v>
      </c>
      <c r="Z123" s="235">
        <v>0.54067799999999999</v>
      </c>
      <c r="AA123" s="235">
        <v>0.54600000000000004</v>
      </c>
    </row>
    <row r="124" spans="1:27" x14ac:dyDescent="0.25">
      <c r="A124" s="136">
        <v>123</v>
      </c>
      <c r="B124" s="231" t="s">
        <v>958</v>
      </c>
      <c r="C124" s="231" t="s">
        <v>1008</v>
      </c>
      <c r="D124" s="231"/>
      <c r="E124" s="124">
        <v>135</v>
      </c>
      <c r="F124" s="124">
        <v>1267</v>
      </c>
      <c r="G124" s="124" t="s">
        <v>1212</v>
      </c>
      <c r="H124" s="124">
        <v>117528</v>
      </c>
      <c r="I124" s="124" t="s">
        <v>1213</v>
      </c>
      <c r="J124" s="124">
        <v>3611</v>
      </c>
      <c r="K124" s="232" t="s">
        <v>1214</v>
      </c>
      <c r="L124" s="232" t="s">
        <v>1215</v>
      </c>
      <c r="M124" s="232" t="s">
        <v>1216</v>
      </c>
      <c r="N124" s="141"/>
      <c r="O124" s="142">
        <v>0.49608570000000002</v>
      </c>
      <c r="P124" s="141">
        <v>0.52196460300000003</v>
      </c>
      <c r="Q124" s="141">
        <v>0.66106715155860996</v>
      </c>
      <c r="R124" s="141">
        <v>-1.6572449999999999E-3</v>
      </c>
      <c r="S124" s="146"/>
      <c r="T124" s="146">
        <v>0.757382</v>
      </c>
      <c r="U124" s="146">
        <v>0.1090653688389214</v>
      </c>
      <c r="V124" s="146">
        <v>-3.624676</v>
      </c>
      <c r="W124" s="146">
        <v>6.7228474802671079E-2</v>
      </c>
      <c r="X124" s="144">
        <v>2.5334992000000001</v>
      </c>
      <c r="Y124" s="141">
        <v>0.20005829999999999</v>
      </c>
      <c r="Z124" s="235">
        <v>0.54067799999999999</v>
      </c>
      <c r="AA124" s="235">
        <v>0.54600000000000004</v>
      </c>
    </row>
    <row r="125" spans="1:27" x14ac:dyDescent="0.25">
      <c r="A125" s="136">
        <v>124</v>
      </c>
      <c r="B125" s="231" t="s">
        <v>958</v>
      </c>
      <c r="C125" s="231" t="s">
        <v>1008</v>
      </c>
      <c r="D125" s="231" t="s">
        <v>610</v>
      </c>
      <c r="E125" s="124"/>
      <c r="F125" s="124"/>
      <c r="G125" s="124" t="s">
        <v>1217</v>
      </c>
      <c r="H125" s="124"/>
      <c r="I125" s="124" t="s">
        <v>1218</v>
      </c>
      <c r="J125" s="124"/>
      <c r="K125" s="232"/>
      <c r="L125" s="232"/>
      <c r="M125" s="232"/>
      <c r="N125" s="141"/>
      <c r="O125" s="142">
        <v>0.49608570000000002</v>
      </c>
      <c r="P125" s="141">
        <v>0.52196460300000003</v>
      </c>
      <c r="Q125" s="141">
        <v>0.66106715155860996</v>
      </c>
      <c r="R125" s="141">
        <v>-1.6572449999999999E-3</v>
      </c>
      <c r="S125" s="146"/>
      <c r="T125" s="146">
        <v>0.757382</v>
      </c>
      <c r="U125" s="146">
        <v>0.1090653688389214</v>
      </c>
      <c r="V125" s="146">
        <v>-3.624676</v>
      </c>
      <c r="W125" s="146">
        <v>6.7228474802671079E-2</v>
      </c>
      <c r="X125" s="144">
        <v>2.5334992000000001</v>
      </c>
      <c r="Y125" s="141">
        <v>0.20005829999999999</v>
      </c>
      <c r="Z125" s="235">
        <v>0.54067799999999999</v>
      </c>
      <c r="AA125" s="235">
        <v>0.54600000000000004</v>
      </c>
    </row>
    <row r="126" spans="1:27" x14ac:dyDescent="0.25">
      <c r="A126" s="136">
        <v>125</v>
      </c>
      <c r="B126" s="231" t="s">
        <v>958</v>
      </c>
      <c r="C126" s="231" t="s">
        <v>1008</v>
      </c>
      <c r="D126" s="231"/>
      <c r="E126" s="124"/>
      <c r="F126" s="124"/>
      <c r="G126" s="124" t="s">
        <v>1219</v>
      </c>
      <c r="H126" s="124"/>
      <c r="I126" s="124" t="s">
        <v>1219</v>
      </c>
      <c r="J126" s="124"/>
      <c r="K126" s="232"/>
      <c r="L126" s="232" t="s">
        <v>1220</v>
      </c>
      <c r="M126" s="232"/>
      <c r="N126" s="141"/>
      <c r="O126" s="142">
        <v>0.49608570000000002</v>
      </c>
      <c r="P126" s="141">
        <v>0.52196460300000003</v>
      </c>
      <c r="Q126" s="141">
        <v>0.66106715155860996</v>
      </c>
      <c r="R126" s="141">
        <v>-1.6572449999999999E-3</v>
      </c>
      <c r="S126" s="233">
        <v>7544</v>
      </c>
      <c r="T126" s="233">
        <v>0.76722830665911801</v>
      </c>
      <c r="U126" s="233">
        <v>0.10074191441951269</v>
      </c>
      <c r="V126" s="233">
        <v>-3.3651101905376901</v>
      </c>
      <c r="W126" s="233">
        <v>6.1350030702654282E-2</v>
      </c>
      <c r="X126" s="144">
        <v>2.5334992000000001</v>
      </c>
      <c r="Y126" s="141">
        <v>0.20005829999999999</v>
      </c>
      <c r="Z126" s="148">
        <v>0.54067799999999999</v>
      </c>
      <c r="AA126" s="148">
        <v>0.54600000000000004</v>
      </c>
    </row>
    <row r="127" spans="1:27" x14ac:dyDescent="0.25">
      <c r="A127" s="136">
        <v>126</v>
      </c>
      <c r="B127" s="231" t="s">
        <v>958</v>
      </c>
      <c r="C127" s="231" t="s">
        <v>1008</v>
      </c>
      <c r="D127" s="231" t="s">
        <v>614</v>
      </c>
      <c r="E127" s="124"/>
      <c r="F127" s="124"/>
      <c r="G127" s="124" t="s">
        <v>1221</v>
      </c>
      <c r="H127" s="124">
        <v>196366</v>
      </c>
      <c r="I127" s="124" t="s">
        <v>1222</v>
      </c>
      <c r="J127" s="124"/>
      <c r="K127" s="232"/>
      <c r="L127" s="232"/>
      <c r="M127" s="232"/>
      <c r="N127" s="141"/>
      <c r="O127" s="142">
        <v>0.49608570000000002</v>
      </c>
      <c r="P127" s="141">
        <v>0.52196460300000003</v>
      </c>
      <c r="Q127" s="141">
        <v>0.66106715155860996</v>
      </c>
      <c r="R127" s="141">
        <v>-1.6572449999999999E-3</v>
      </c>
      <c r="S127" s="146"/>
      <c r="T127" s="146">
        <v>0.757382</v>
      </c>
      <c r="U127" s="146">
        <v>0.1090653688389214</v>
      </c>
      <c r="V127" s="146">
        <v>-3.624676</v>
      </c>
      <c r="W127" s="146">
        <v>6.7228474802671079E-2</v>
      </c>
      <c r="X127" s="144">
        <v>2.5334992000000001</v>
      </c>
      <c r="Y127" s="141">
        <v>0.20005829999999999</v>
      </c>
      <c r="Z127" s="235">
        <v>0.48</v>
      </c>
      <c r="AA127" s="235">
        <v>0.44</v>
      </c>
    </row>
    <row r="128" spans="1:27" x14ac:dyDescent="0.25">
      <c r="A128" s="136">
        <v>127</v>
      </c>
      <c r="B128" s="231" t="s">
        <v>958</v>
      </c>
      <c r="C128" s="231" t="s">
        <v>1008</v>
      </c>
      <c r="D128" s="231" t="s">
        <v>614</v>
      </c>
      <c r="E128" s="124"/>
      <c r="F128" s="124"/>
      <c r="G128" s="124" t="s">
        <v>1223</v>
      </c>
      <c r="H128" s="124">
        <v>196709</v>
      </c>
      <c r="I128" s="124" t="s">
        <v>1224</v>
      </c>
      <c r="J128" s="124"/>
      <c r="K128" s="232"/>
      <c r="L128" s="232"/>
      <c r="M128" s="232"/>
      <c r="N128" s="141"/>
      <c r="O128" s="142">
        <v>0.49608570000000002</v>
      </c>
      <c r="P128" s="141">
        <v>0.52196460300000003</v>
      </c>
      <c r="Q128" s="141">
        <v>0.66106715155860996</v>
      </c>
      <c r="R128" s="141">
        <v>-1.6572449999999999E-3</v>
      </c>
      <c r="S128" s="146"/>
      <c r="T128" s="146">
        <v>0.757382</v>
      </c>
      <c r="U128" s="146">
        <v>0.1090653688389214</v>
      </c>
      <c r="V128" s="146">
        <v>-3.624676</v>
      </c>
      <c r="W128" s="146">
        <v>6.7228474802671079E-2</v>
      </c>
      <c r="X128" s="144">
        <v>2.5334992000000001</v>
      </c>
      <c r="Y128" s="141">
        <v>0.20005829999999999</v>
      </c>
      <c r="Z128" s="235">
        <v>0.47355000000000003</v>
      </c>
      <c r="AA128" s="235">
        <v>0.56999999999999995</v>
      </c>
    </row>
    <row r="129" spans="1:27" x14ac:dyDescent="0.25">
      <c r="A129" s="136">
        <v>128</v>
      </c>
      <c r="B129" s="240" t="s">
        <v>958</v>
      </c>
      <c r="C129" s="240" t="s">
        <v>1225</v>
      </c>
      <c r="D129" s="240" t="s">
        <v>434</v>
      </c>
      <c r="E129" s="241">
        <v>9</v>
      </c>
      <c r="F129" s="241">
        <v>883</v>
      </c>
      <c r="G129" s="241" t="s">
        <v>1226</v>
      </c>
      <c r="H129" s="241">
        <v>97947</v>
      </c>
      <c r="I129" s="241" t="s">
        <v>1227</v>
      </c>
      <c r="J129" s="241">
        <v>1742</v>
      </c>
      <c r="K129" s="242" t="s">
        <v>1228</v>
      </c>
      <c r="L129" s="242" t="s">
        <v>426</v>
      </c>
      <c r="M129" s="242" t="s">
        <v>1229</v>
      </c>
      <c r="N129" s="241">
        <v>2302</v>
      </c>
      <c r="O129" s="243">
        <v>0.51549119123982401</v>
      </c>
      <c r="P129" s="241">
        <v>0.541865065300283</v>
      </c>
      <c r="Q129" s="241">
        <v>0.66106715155860996</v>
      </c>
      <c r="R129" s="241">
        <v>-1.50112793605189E-3</v>
      </c>
      <c r="S129" s="244">
        <v>114986</v>
      </c>
      <c r="T129" s="244">
        <v>0.87721488928806501</v>
      </c>
      <c r="U129" s="244">
        <v>6.4878910576182197E-2</v>
      </c>
      <c r="V129" s="244">
        <v>-4.11764226261164</v>
      </c>
      <c r="W129" s="244">
        <v>2.2980889363960581E-2</v>
      </c>
      <c r="X129" s="241">
        <v>2.5334992000000001</v>
      </c>
      <c r="Y129" s="241">
        <v>0.20005829999999999</v>
      </c>
      <c r="Z129" s="245">
        <v>0.58548</v>
      </c>
      <c r="AA129" s="245">
        <v>0.55000000000000004</v>
      </c>
    </row>
    <row r="130" spans="1:27" x14ac:dyDescent="0.25">
      <c r="A130" s="136">
        <v>129</v>
      </c>
      <c r="B130" s="240" t="s">
        <v>958</v>
      </c>
      <c r="C130" s="240" t="s">
        <v>1225</v>
      </c>
      <c r="D130" s="240" t="s">
        <v>434</v>
      </c>
      <c r="E130" s="241">
        <v>11</v>
      </c>
      <c r="F130" s="241">
        <v>381</v>
      </c>
      <c r="G130" s="241" t="s">
        <v>1230</v>
      </c>
      <c r="H130" s="241">
        <v>89200</v>
      </c>
      <c r="I130" s="241" t="s">
        <v>1231</v>
      </c>
      <c r="J130" s="241">
        <v>946</v>
      </c>
      <c r="K130" s="242">
        <v>11</v>
      </c>
      <c r="L130" s="242" t="s">
        <v>1232</v>
      </c>
      <c r="M130" s="242" t="s">
        <v>1233</v>
      </c>
      <c r="N130" s="241">
        <v>79</v>
      </c>
      <c r="O130" s="243">
        <v>0.50291801729855001</v>
      </c>
      <c r="P130" s="241">
        <v>0.53321079428884999</v>
      </c>
      <c r="Q130" s="241">
        <v>0.66106715155860996</v>
      </c>
      <c r="R130" s="241">
        <v>-1.4979620205753199E-3</v>
      </c>
      <c r="S130" s="244">
        <v>64906</v>
      </c>
      <c r="T130" s="244">
        <v>0.72118900316333701</v>
      </c>
      <c r="U130" s="244">
        <v>0.13226680001412919</v>
      </c>
      <c r="V130" s="244">
        <v>-3.9389980242995999</v>
      </c>
      <c r="W130" s="244">
        <v>8.057531077574738E-2</v>
      </c>
      <c r="X130" s="241">
        <v>2.5334992000000001</v>
      </c>
      <c r="Y130" s="241">
        <v>0.20005829999999999</v>
      </c>
      <c r="Z130" s="246">
        <v>0.68018999999999996</v>
      </c>
      <c r="AA130" s="246">
        <v>0.61</v>
      </c>
    </row>
    <row r="131" spans="1:27" x14ac:dyDescent="0.25">
      <c r="A131" s="136">
        <v>130</v>
      </c>
      <c r="B131" s="247" t="s">
        <v>958</v>
      </c>
      <c r="C131" s="247" t="s">
        <v>1225</v>
      </c>
      <c r="D131" s="247"/>
      <c r="E131" s="241">
        <v>90</v>
      </c>
      <c r="F131" s="241">
        <v>382</v>
      </c>
      <c r="G131" s="241" t="s">
        <v>1234</v>
      </c>
      <c r="H131" s="241">
        <v>111837</v>
      </c>
      <c r="I131" s="241" t="s">
        <v>1235</v>
      </c>
      <c r="J131" s="241">
        <v>3081</v>
      </c>
      <c r="K131" s="242">
        <v>32</v>
      </c>
      <c r="L131" s="242" t="s">
        <v>1236</v>
      </c>
      <c r="M131" s="242" t="s">
        <v>1237</v>
      </c>
      <c r="N131" s="141"/>
      <c r="O131" s="142">
        <v>0.49608570000000002</v>
      </c>
      <c r="P131" s="141">
        <v>0.52196460300000003</v>
      </c>
      <c r="Q131" s="141">
        <v>0.66106715155860996</v>
      </c>
      <c r="R131" s="141">
        <v>-1.6572449999999999E-3</v>
      </c>
      <c r="S131" s="244">
        <v>220</v>
      </c>
      <c r="T131" s="244">
        <v>0.56752061470749104</v>
      </c>
      <c r="U131" s="244">
        <v>0.17124731562390619</v>
      </c>
      <c r="V131" s="244">
        <v>-4.4359994724847898</v>
      </c>
      <c r="W131" s="244">
        <v>0.15626715095234509</v>
      </c>
      <c r="X131" s="144">
        <v>2.5334992000000001</v>
      </c>
      <c r="Y131" s="141">
        <v>0.20005829999999999</v>
      </c>
      <c r="Z131" s="148">
        <v>0.59409000000000001</v>
      </c>
      <c r="AA131" s="148">
        <v>0.57500000000000007</v>
      </c>
    </row>
    <row r="132" spans="1:27" x14ac:dyDescent="0.25">
      <c r="A132" s="136">
        <v>131</v>
      </c>
      <c r="B132" s="240" t="s">
        <v>958</v>
      </c>
      <c r="C132" s="240" t="s">
        <v>1225</v>
      </c>
      <c r="D132" s="240" t="s">
        <v>434</v>
      </c>
      <c r="E132" s="241">
        <v>162</v>
      </c>
      <c r="F132" s="241">
        <v>908</v>
      </c>
      <c r="G132" s="241" t="s">
        <v>1238</v>
      </c>
      <c r="H132" s="241">
        <v>125816</v>
      </c>
      <c r="I132" s="241" t="s">
        <v>1239</v>
      </c>
      <c r="J132" s="241">
        <v>4345</v>
      </c>
      <c r="K132" s="242">
        <v>67</v>
      </c>
      <c r="L132" s="242" t="s">
        <v>1240</v>
      </c>
      <c r="M132" s="242" t="s">
        <v>1241</v>
      </c>
      <c r="N132" s="178"/>
      <c r="O132" s="179"/>
      <c r="P132" s="178">
        <v>0.35638887800000002</v>
      </c>
      <c r="Q132" s="178">
        <v>1.7559231923802501</v>
      </c>
      <c r="R132" s="178">
        <v>1.73453652052958E-3</v>
      </c>
      <c r="S132" s="244">
        <v>102</v>
      </c>
      <c r="T132" s="244">
        <v>0.86177164728894873</v>
      </c>
      <c r="U132" s="244">
        <v>8.1727860783047196E-2</v>
      </c>
      <c r="V132" s="244">
        <v>-3.8704808315833499</v>
      </c>
      <c r="W132" s="244">
        <v>6.9500682088916285E-2</v>
      </c>
      <c r="X132" s="144">
        <v>2.5334992000000001</v>
      </c>
      <c r="Y132" s="178">
        <v>4.0176899999999988E-2</v>
      </c>
      <c r="Z132" s="245">
        <v>0.55103999999999997</v>
      </c>
      <c r="AA132" s="245">
        <v>0.57999999999999996</v>
      </c>
    </row>
    <row r="133" spans="1:27" x14ac:dyDescent="0.25">
      <c r="A133" s="136">
        <v>132</v>
      </c>
      <c r="B133" s="240" t="s">
        <v>958</v>
      </c>
      <c r="C133" s="240" t="s">
        <v>1225</v>
      </c>
      <c r="D133" s="240" t="s">
        <v>434</v>
      </c>
      <c r="E133" s="241">
        <v>21</v>
      </c>
      <c r="F133" s="241">
        <v>734</v>
      </c>
      <c r="G133" s="241" t="s">
        <v>1242</v>
      </c>
      <c r="H133" s="241">
        <v>98921</v>
      </c>
      <c r="I133" s="241" t="s">
        <v>1243</v>
      </c>
      <c r="J133" s="241">
        <v>1803</v>
      </c>
      <c r="K133" s="242" t="s">
        <v>1244</v>
      </c>
      <c r="L133" s="242" t="s">
        <v>1245</v>
      </c>
      <c r="M133" s="242" t="s">
        <v>1246</v>
      </c>
      <c r="N133" s="241">
        <v>161</v>
      </c>
      <c r="O133" s="243">
        <v>0.49691250464666997</v>
      </c>
      <c r="P133" s="241">
        <v>0.50863698855877704</v>
      </c>
      <c r="Q133" s="241">
        <v>0.66106715155860996</v>
      </c>
      <c r="R133" s="241">
        <v>-9.6578744392821598E-4</v>
      </c>
      <c r="S133" s="244">
        <v>23175</v>
      </c>
      <c r="T133" s="244">
        <v>0.85750835964271699</v>
      </c>
      <c r="U133" s="244">
        <v>6.8994509273813204E-2</v>
      </c>
      <c r="V133" s="244">
        <v>-3.3892984424306198</v>
      </c>
      <c r="W133" s="244">
        <v>3.0031075239210579E-2</v>
      </c>
      <c r="X133" s="241">
        <v>2.5334992000000001</v>
      </c>
      <c r="Y133" s="241">
        <v>0.20005829999999999</v>
      </c>
      <c r="Z133" s="245">
        <v>0.55964999999999998</v>
      </c>
      <c r="AA133" s="245">
        <v>0.56000000000000005</v>
      </c>
    </row>
    <row r="134" spans="1:27" x14ac:dyDescent="0.25">
      <c r="A134" s="136">
        <v>133</v>
      </c>
      <c r="B134" s="247" t="s">
        <v>958</v>
      </c>
      <c r="C134" s="247" t="s">
        <v>1225</v>
      </c>
      <c r="D134" s="247"/>
      <c r="E134" s="241">
        <v>22</v>
      </c>
      <c r="F134" s="241">
        <v>733</v>
      </c>
      <c r="G134" s="241" t="s">
        <v>1247</v>
      </c>
      <c r="H134" s="241">
        <v>134718</v>
      </c>
      <c r="I134" s="241" t="s">
        <v>1248</v>
      </c>
      <c r="J134" s="241">
        <v>1804</v>
      </c>
      <c r="K134" s="242" t="s">
        <v>1249</v>
      </c>
      <c r="L134" s="242" t="s">
        <v>1250</v>
      </c>
      <c r="M134" s="242" t="s">
        <v>1251</v>
      </c>
      <c r="N134" s="141"/>
      <c r="O134" s="142">
        <v>0.49608570000000002</v>
      </c>
      <c r="P134" s="141">
        <v>0.52196460300000003</v>
      </c>
      <c r="Q134" s="141">
        <v>0.66106715155860996</v>
      </c>
      <c r="R134" s="141">
        <v>-1.6572449999999999E-3</v>
      </c>
      <c r="S134" s="146"/>
      <c r="T134" s="146">
        <v>0.757382</v>
      </c>
      <c r="U134" s="146">
        <v>9.78063268893552E-2</v>
      </c>
      <c r="V134" s="146">
        <v>-3.624676</v>
      </c>
      <c r="W134" s="146">
        <v>6.7228474802671079E-2</v>
      </c>
      <c r="X134" s="144">
        <v>2.7994634</v>
      </c>
      <c r="Y134" s="141">
        <v>0.20005829999999999</v>
      </c>
      <c r="Z134" s="245">
        <v>0.59409000000000001</v>
      </c>
      <c r="AA134" s="245">
        <v>0.57500000000000007</v>
      </c>
    </row>
    <row r="135" spans="1:27" x14ac:dyDescent="0.25">
      <c r="A135" s="136">
        <v>134</v>
      </c>
      <c r="B135" s="247" t="s">
        <v>958</v>
      </c>
      <c r="C135" s="247" t="s">
        <v>1225</v>
      </c>
      <c r="D135" s="247"/>
      <c r="E135" s="241">
        <v>23</v>
      </c>
      <c r="F135" s="241">
        <v>736</v>
      </c>
      <c r="G135" s="241" t="s">
        <v>1252</v>
      </c>
      <c r="H135" s="241">
        <v>134708</v>
      </c>
      <c r="I135" s="241" t="s">
        <v>1253</v>
      </c>
      <c r="J135" s="241">
        <v>1805</v>
      </c>
      <c r="K135" s="242" t="s">
        <v>1254</v>
      </c>
      <c r="L135" s="242" t="s">
        <v>1255</v>
      </c>
      <c r="M135" s="242" t="s">
        <v>1256</v>
      </c>
      <c r="N135" s="141"/>
      <c r="O135" s="142">
        <v>0.49608570000000002</v>
      </c>
      <c r="P135" s="141">
        <v>0.52196460300000003</v>
      </c>
      <c r="Q135" s="141">
        <v>0.66106715155860996</v>
      </c>
      <c r="R135" s="141">
        <v>-1.6572449999999999E-3</v>
      </c>
      <c r="S135" s="146"/>
      <c r="T135" s="146">
        <v>0.757382</v>
      </c>
      <c r="U135" s="146">
        <v>9.78063268893552E-2</v>
      </c>
      <c r="V135" s="146">
        <v>-3.624676</v>
      </c>
      <c r="W135" s="146">
        <v>6.7228474802671079E-2</v>
      </c>
      <c r="X135" s="144">
        <v>2.7994634</v>
      </c>
      <c r="Y135" s="141">
        <v>0.20005829999999999</v>
      </c>
      <c r="Z135" s="245">
        <v>0.59409000000000001</v>
      </c>
      <c r="AA135" s="245">
        <v>0.57500000000000007</v>
      </c>
    </row>
    <row r="136" spans="1:27" x14ac:dyDescent="0.25">
      <c r="A136" s="136">
        <v>135</v>
      </c>
      <c r="B136" s="247" t="s">
        <v>958</v>
      </c>
      <c r="C136" s="247" t="s">
        <v>1225</v>
      </c>
      <c r="D136" s="247"/>
      <c r="E136" s="241">
        <v>78</v>
      </c>
      <c r="F136" s="241">
        <v>735</v>
      </c>
      <c r="G136" s="241" t="s">
        <v>1257</v>
      </c>
      <c r="H136" s="241">
        <v>98909</v>
      </c>
      <c r="I136" s="241" t="s">
        <v>1258</v>
      </c>
      <c r="J136" s="241">
        <v>1802</v>
      </c>
      <c r="K136" s="242" t="s">
        <v>1259</v>
      </c>
      <c r="L136" s="242"/>
      <c r="M136" s="242"/>
      <c r="N136" s="141"/>
      <c r="O136" s="142">
        <v>0.49608570000000002</v>
      </c>
      <c r="P136" s="141">
        <v>0.52196460300000003</v>
      </c>
      <c r="Q136" s="141">
        <v>0.66106715155860996</v>
      </c>
      <c r="R136" s="141">
        <v>-1.6572449999999999E-3</v>
      </c>
      <c r="S136" s="146"/>
      <c r="T136" s="146">
        <v>0.757382</v>
      </c>
      <c r="U136" s="146">
        <v>9.78063268893552E-2</v>
      </c>
      <c r="V136" s="146">
        <v>-3.624676</v>
      </c>
      <c r="W136" s="146">
        <v>6.7228474802671079E-2</v>
      </c>
      <c r="X136" s="144">
        <v>2.7994634</v>
      </c>
      <c r="Y136" s="141">
        <v>0.20005829999999999</v>
      </c>
      <c r="Z136" s="245">
        <v>0.59409000000000001</v>
      </c>
      <c r="AA136" s="245">
        <v>0.57500000000000007</v>
      </c>
    </row>
    <row r="137" spans="1:27" x14ac:dyDescent="0.25">
      <c r="A137" s="136">
        <v>136</v>
      </c>
      <c r="B137" s="248" t="s">
        <v>958</v>
      </c>
      <c r="C137" s="248" t="s">
        <v>1225</v>
      </c>
      <c r="D137" s="248" t="s">
        <v>610</v>
      </c>
      <c r="E137" s="241"/>
      <c r="F137" s="241"/>
      <c r="G137" s="241" t="s">
        <v>1260</v>
      </c>
      <c r="H137" s="241"/>
      <c r="I137" s="241" t="s">
        <v>1261</v>
      </c>
      <c r="J137" s="241"/>
      <c r="K137" s="242"/>
      <c r="L137" s="242"/>
      <c r="M137" s="242"/>
      <c r="N137" s="141"/>
      <c r="O137" s="142">
        <v>0.49608570000000002</v>
      </c>
      <c r="P137" s="141">
        <v>0.52196460300000003</v>
      </c>
      <c r="Q137" s="141">
        <v>0.66106715155860996</v>
      </c>
      <c r="R137" s="141">
        <v>-1.6572449999999999E-3</v>
      </c>
      <c r="S137" s="146"/>
      <c r="T137" s="146">
        <v>0.757382</v>
      </c>
      <c r="U137" s="146">
        <v>9.78063268893552E-2</v>
      </c>
      <c r="V137" s="146">
        <v>-3.624676</v>
      </c>
      <c r="W137" s="146">
        <v>6.7228474802671079E-2</v>
      </c>
      <c r="X137" s="144">
        <v>2.7994634</v>
      </c>
      <c r="Y137" s="141">
        <v>0.20005829999999999</v>
      </c>
      <c r="Z137" s="245">
        <v>0.59409000000000001</v>
      </c>
      <c r="AA137" s="245">
        <v>0.57500000000000007</v>
      </c>
    </row>
    <row r="138" spans="1:27" x14ac:dyDescent="0.25">
      <c r="A138" s="136">
        <v>137</v>
      </c>
      <c r="B138" s="249" t="s">
        <v>432</v>
      </c>
      <c r="C138" s="249" t="s">
        <v>1262</v>
      </c>
      <c r="D138" s="249" t="s">
        <v>434</v>
      </c>
      <c r="E138" s="250">
        <v>89</v>
      </c>
      <c r="F138" s="250">
        <v>1271</v>
      </c>
      <c r="G138" s="250" t="s">
        <v>1263</v>
      </c>
      <c r="H138" s="250">
        <v>92606</v>
      </c>
      <c r="I138" s="250" t="s">
        <v>1264</v>
      </c>
      <c r="J138" s="250">
        <v>1244</v>
      </c>
      <c r="K138" s="251">
        <v>31</v>
      </c>
      <c r="L138" s="251" t="s">
        <v>1265</v>
      </c>
      <c r="M138" s="251" t="s">
        <v>1266</v>
      </c>
      <c r="N138" s="141"/>
      <c r="O138" s="142">
        <v>0.49608570000000002</v>
      </c>
      <c r="P138" s="141">
        <v>0.52196460300000003</v>
      </c>
      <c r="Q138" s="141">
        <v>0.66106715155860996</v>
      </c>
      <c r="R138" s="141">
        <v>-1.6572449999999999E-3</v>
      </c>
      <c r="S138" s="252">
        <v>4079</v>
      </c>
      <c r="T138" s="252">
        <v>0.520578791339665</v>
      </c>
      <c r="U138" s="252">
        <v>0.29377494495462275</v>
      </c>
      <c r="V138" s="252">
        <v>-6.2984374501501401</v>
      </c>
      <c r="W138" s="252">
        <v>0.21281730953316808</v>
      </c>
      <c r="X138" s="144">
        <v>2.7994634</v>
      </c>
      <c r="Y138" s="141">
        <v>0.20005829999999999</v>
      </c>
      <c r="Z138" s="148">
        <v>0.53552</v>
      </c>
      <c r="AA138" s="148">
        <v>0.52750000000000008</v>
      </c>
    </row>
    <row r="139" spans="1:27" x14ac:dyDescent="0.25">
      <c r="A139" s="136">
        <v>138</v>
      </c>
      <c r="B139" s="253" t="s">
        <v>432</v>
      </c>
      <c r="C139" s="253" t="s">
        <v>1262</v>
      </c>
      <c r="D139" s="253" t="s">
        <v>434</v>
      </c>
      <c r="E139" s="250">
        <v>95</v>
      </c>
      <c r="F139" s="250">
        <v>644</v>
      </c>
      <c r="G139" s="250" t="s">
        <v>1267</v>
      </c>
      <c r="H139" s="250">
        <v>192361</v>
      </c>
      <c r="I139" s="250" t="s">
        <v>1268</v>
      </c>
      <c r="J139" s="250">
        <v>8703</v>
      </c>
      <c r="K139" s="251">
        <v>36</v>
      </c>
      <c r="L139" s="251" t="s">
        <v>1269</v>
      </c>
      <c r="M139" s="251" t="s">
        <v>1270</v>
      </c>
      <c r="N139" s="141"/>
      <c r="O139" s="142">
        <v>0.49608570000000002</v>
      </c>
      <c r="P139" s="141">
        <v>0.52196460300000003</v>
      </c>
      <c r="Q139" s="141">
        <v>0.66106715155860996</v>
      </c>
      <c r="R139" s="141">
        <v>-1.6572449999999999E-3</v>
      </c>
      <c r="S139" s="252">
        <v>62</v>
      </c>
      <c r="T139" s="252">
        <v>0.59277434714522004</v>
      </c>
      <c r="U139" s="252">
        <v>0.12029190412995269</v>
      </c>
      <c r="V139" s="252">
        <v>-2.50239308961741</v>
      </c>
      <c r="W139" s="252">
        <v>7.9473824710472485E-2</v>
      </c>
      <c r="X139" s="144">
        <v>2.7994634</v>
      </c>
      <c r="Y139" s="141">
        <v>0.20005829999999999</v>
      </c>
      <c r="Z139" s="254">
        <v>0.52</v>
      </c>
      <c r="AA139" s="254">
        <v>0.54500000000000004</v>
      </c>
    </row>
    <row r="140" spans="1:27" x14ac:dyDescent="0.25">
      <c r="A140" s="136">
        <v>139</v>
      </c>
      <c r="B140" s="255" t="s">
        <v>432</v>
      </c>
      <c r="C140" s="255" t="s">
        <v>1262</v>
      </c>
      <c r="D140" s="255"/>
      <c r="E140" s="250">
        <v>24</v>
      </c>
      <c r="F140" s="250">
        <v>1311</v>
      </c>
      <c r="G140" s="250" t="s">
        <v>1271</v>
      </c>
      <c r="H140" s="250">
        <v>142031</v>
      </c>
      <c r="I140" s="250" t="s">
        <v>1272</v>
      </c>
      <c r="J140" s="250">
        <v>4562</v>
      </c>
      <c r="K140" s="251" t="s">
        <v>1273</v>
      </c>
      <c r="L140" s="251" t="s">
        <v>1274</v>
      </c>
      <c r="M140" s="251" t="s">
        <v>1275</v>
      </c>
      <c r="N140" s="141"/>
      <c r="O140" s="142">
        <v>0.49608570000000002</v>
      </c>
      <c r="P140" s="141">
        <v>0.52196460300000003</v>
      </c>
      <c r="Q140" s="141">
        <v>0.66106715155860996</v>
      </c>
      <c r="R140" s="141">
        <v>-1.6572449999999999E-3</v>
      </c>
      <c r="S140" s="252">
        <v>8045</v>
      </c>
      <c r="T140" s="252">
        <v>0.77755983231648595</v>
      </c>
      <c r="U140" s="252">
        <v>9.5334526279824694E-2</v>
      </c>
      <c r="V140" s="252">
        <v>-3.6204398225211598</v>
      </c>
      <c r="W140" s="252">
        <v>6.5579519766875288E-2</v>
      </c>
      <c r="X140" s="144">
        <v>2.7994634</v>
      </c>
      <c r="Y140" s="141">
        <v>0.20005829999999999</v>
      </c>
      <c r="Z140" s="254">
        <v>0.55103999999999997</v>
      </c>
      <c r="AA140" s="254">
        <v>0.51</v>
      </c>
    </row>
    <row r="141" spans="1:27" x14ac:dyDescent="0.25">
      <c r="A141" s="136">
        <v>140</v>
      </c>
      <c r="B141" s="255" t="s">
        <v>432</v>
      </c>
      <c r="C141" s="255" t="s">
        <v>1262</v>
      </c>
      <c r="D141" s="255"/>
      <c r="E141" s="250">
        <v>25</v>
      </c>
      <c r="F141" s="250">
        <v>1314</v>
      </c>
      <c r="G141" s="250" t="s">
        <v>1276</v>
      </c>
      <c r="H141" s="250">
        <v>128171</v>
      </c>
      <c r="I141" s="250" t="s">
        <v>1277</v>
      </c>
      <c r="J141" s="250">
        <v>4563</v>
      </c>
      <c r="K141" s="251" t="s">
        <v>1278</v>
      </c>
      <c r="L141" s="251" t="s">
        <v>1279</v>
      </c>
      <c r="M141" s="251" t="s">
        <v>1280</v>
      </c>
      <c r="N141" s="141"/>
      <c r="O141" s="142">
        <v>0.49608570000000002</v>
      </c>
      <c r="P141" s="141">
        <v>0.52196460300000003</v>
      </c>
      <c r="Q141" s="141">
        <v>0.66106715155860996</v>
      </c>
      <c r="R141" s="141">
        <v>-1.6572449999999999E-3</v>
      </c>
      <c r="S141" s="252">
        <v>8045</v>
      </c>
      <c r="T141" s="252">
        <v>0.77755983231648595</v>
      </c>
      <c r="U141" s="252">
        <v>9.5334526279824694E-2</v>
      </c>
      <c r="V141" s="252">
        <v>-3.6204398225211598</v>
      </c>
      <c r="W141" s="252">
        <v>6.5579519766875288E-2</v>
      </c>
      <c r="X141" s="144">
        <v>2.7994634</v>
      </c>
      <c r="Y141" s="141">
        <v>0.20005829999999999</v>
      </c>
      <c r="Z141" s="254">
        <v>0.55103999999999997</v>
      </c>
      <c r="AA141" s="254">
        <v>0.51</v>
      </c>
    </row>
    <row r="142" spans="1:27" x14ac:dyDescent="0.25">
      <c r="A142" s="136">
        <v>141</v>
      </c>
      <c r="B142" s="255" t="s">
        <v>432</v>
      </c>
      <c r="C142" s="255" t="s">
        <v>1262</v>
      </c>
      <c r="D142" s="255"/>
      <c r="E142" s="250">
        <v>26</v>
      </c>
      <c r="F142" s="250">
        <v>1312</v>
      </c>
      <c r="G142" s="250" t="s">
        <v>1281</v>
      </c>
      <c r="H142" s="250">
        <v>142029</v>
      </c>
      <c r="I142" s="250" t="s">
        <v>1282</v>
      </c>
      <c r="J142" s="250">
        <v>4564</v>
      </c>
      <c r="K142" s="251" t="s">
        <v>1283</v>
      </c>
      <c r="L142" s="251" t="s">
        <v>1284</v>
      </c>
      <c r="M142" s="251" t="s">
        <v>1285</v>
      </c>
      <c r="N142" s="141"/>
      <c r="O142" s="142">
        <v>0.49608570000000002</v>
      </c>
      <c r="P142" s="141">
        <v>0.52196460300000003</v>
      </c>
      <c r="Q142" s="141">
        <v>0.66106715155860996</v>
      </c>
      <c r="R142" s="141">
        <v>-1.6572449999999999E-3</v>
      </c>
      <c r="S142" s="252">
        <v>8045</v>
      </c>
      <c r="T142" s="252">
        <v>0.77755983231648595</v>
      </c>
      <c r="U142" s="252">
        <v>9.5334526279824694E-2</v>
      </c>
      <c r="V142" s="252">
        <v>-3.6204398225211598</v>
      </c>
      <c r="W142" s="252">
        <v>6.5579519766875288E-2</v>
      </c>
      <c r="X142" s="144">
        <v>2.7994634</v>
      </c>
      <c r="Y142" s="141">
        <v>0.20005829999999999</v>
      </c>
      <c r="Z142" s="254">
        <v>0.55103999999999997</v>
      </c>
      <c r="AA142" s="254">
        <v>0.51</v>
      </c>
    </row>
    <row r="143" spans="1:27" x14ac:dyDescent="0.25">
      <c r="A143" s="136">
        <v>142</v>
      </c>
      <c r="B143" s="255" t="s">
        <v>432</v>
      </c>
      <c r="C143" s="255" t="s">
        <v>1262</v>
      </c>
      <c r="D143" s="255"/>
      <c r="E143" s="250">
        <v>113</v>
      </c>
      <c r="F143" s="250">
        <v>224</v>
      </c>
      <c r="G143" s="250" t="s">
        <v>1286</v>
      </c>
      <c r="H143" s="250">
        <v>96659</v>
      </c>
      <c r="I143" s="250" t="s">
        <v>1287</v>
      </c>
      <c r="J143" s="250">
        <v>1582</v>
      </c>
      <c r="K143" s="251" t="s">
        <v>1288</v>
      </c>
      <c r="L143" s="251" t="s">
        <v>1289</v>
      </c>
      <c r="M143" s="251" t="s">
        <v>1290</v>
      </c>
      <c r="N143" s="141"/>
      <c r="O143" s="142">
        <v>0.49608570000000002</v>
      </c>
      <c r="P143" s="141">
        <v>0.52196460300000003</v>
      </c>
      <c r="Q143" s="141">
        <v>0.66106715155860996</v>
      </c>
      <c r="R143" s="141">
        <v>-1.6572449999999999E-3</v>
      </c>
      <c r="S143" s="146"/>
      <c r="T143" s="146">
        <v>0.757382</v>
      </c>
      <c r="U143" s="146">
        <v>0.11570540193728371</v>
      </c>
      <c r="V143" s="146">
        <v>-3.624676</v>
      </c>
      <c r="W143" s="146">
        <v>6.7228474802671079E-2</v>
      </c>
      <c r="X143" s="144">
        <v>2.7994634</v>
      </c>
      <c r="Y143" s="141">
        <v>0.20005829999999999</v>
      </c>
      <c r="Z143" s="254">
        <v>0.53552</v>
      </c>
      <c r="AA143" s="254">
        <v>0.52750000000000008</v>
      </c>
    </row>
    <row r="144" spans="1:27" x14ac:dyDescent="0.25">
      <c r="A144" s="136">
        <v>143</v>
      </c>
      <c r="B144" s="256" t="s">
        <v>432</v>
      </c>
      <c r="C144" s="256" t="s">
        <v>1262</v>
      </c>
      <c r="D144" s="256"/>
      <c r="E144" s="250">
        <v>137</v>
      </c>
      <c r="F144" s="250">
        <v>1908</v>
      </c>
      <c r="G144" s="250" t="s">
        <v>1291</v>
      </c>
      <c r="H144" s="250">
        <v>120717</v>
      </c>
      <c r="I144" s="250" t="s">
        <v>1292</v>
      </c>
      <c r="J144" s="250">
        <v>3815</v>
      </c>
      <c r="K144" s="251" t="s">
        <v>1293</v>
      </c>
      <c r="L144" s="251" t="s">
        <v>1294</v>
      </c>
      <c r="M144" s="251" t="s">
        <v>1295</v>
      </c>
      <c r="N144" s="141"/>
      <c r="O144" s="142">
        <v>0.49608570000000002</v>
      </c>
      <c r="P144" s="141">
        <v>0.52196460300000003</v>
      </c>
      <c r="Q144" s="141">
        <v>0.66106715155860996</v>
      </c>
      <c r="R144" s="141">
        <v>-1.6572449999999999E-3</v>
      </c>
      <c r="S144" s="146"/>
      <c r="T144" s="146">
        <v>0.757382</v>
      </c>
      <c r="U144" s="146">
        <v>0.11570540193728371</v>
      </c>
      <c r="V144" s="146">
        <v>-3.624676</v>
      </c>
      <c r="W144" s="146">
        <v>6.7228474802671079E-2</v>
      </c>
      <c r="X144" s="144">
        <v>2.7994634</v>
      </c>
      <c r="Y144" s="141">
        <v>0.20005829999999999</v>
      </c>
      <c r="Z144" s="254">
        <v>0.53552</v>
      </c>
      <c r="AA144" s="254">
        <v>0.52750000000000008</v>
      </c>
    </row>
    <row r="145" spans="1:27" x14ac:dyDescent="0.25">
      <c r="A145" s="136">
        <v>144</v>
      </c>
      <c r="B145" s="256" t="s">
        <v>432</v>
      </c>
      <c r="C145" s="256" t="s">
        <v>1262</v>
      </c>
      <c r="D145" s="256"/>
      <c r="E145" s="250">
        <v>138</v>
      </c>
      <c r="F145" s="250">
        <v>1907</v>
      </c>
      <c r="G145" s="250" t="s">
        <v>1296</v>
      </c>
      <c r="H145" s="250">
        <v>120720</v>
      </c>
      <c r="I145" s="250" t="s">
        <v>1297</v>
      </c>
      <c r="J145" s="250">
        <v>3816</v>
      </c>
      <c r="K145" s="251" t="s">
        <v>1298</v>
      </c>
      <c r="L145" s="251" t="s">
        <v>1299</v>
      </c>
      <c r="M145" s="251" t="s">
        <v>1300</v>
      </c>
      <c r="N145" s="141"/>
      <c r="O145" s="142">
        <v>0.49608570000000002</v>
      </c>
      <c r="P145" s="141">
        <v>0.52196460300000003</v>
      </c>
      <c r="Q145" s="141">
        <v>0.66106715155860996</v>
      </c>
      <c r="R145" s="141">
        <v>-1.6572449999999999E-3</v>
      </c>
      <c r="S145" s="146"/>
      <c r="T145" s="146">
        <v>0.757382</v>
      </c>
      <c r="U145" s="146">
        <v>0.11570540193728371</v>
      </c>
      <c r="V145" s="146">
        <v>-3.624676</v>
      </c>
      <c r="W145" s="146">
        <v>6.7228474802671079E-2</v>
      </c>
      <c r="X145" s="144">
        <v>2.7994634</v>
      </c>
      <c r="Y145" s="141">
        <v>0.20005829999999999</v>
      </c>
      <c r="Z145" s="254">
        <v>0.53552</v>
      </c>
      <c r="AA145" s="254">
        <v>0.52750000000000008</v>
      </c>
    </row>
    <row r="146" spans="1:27" x14ac:dyDescent="0.25">
      <c r="A146" s="136">
        <v>145</v>
      </c>
      <c r="B146" s="256" t="s">
        <v>432</v>
      </c>
      <c r="C146" s="256" t="s">
        <v>1262</v>
      </c>
      <c r="D146" s="256" t="s">
        <v>610</v>
      </c>
      <c r="E146" s="250"/>
      <c r="F146" s="250"/>
      <c r="G146" s="250" t="s">
        <v>1301</v>
      </c>
      <c r="H146" s="250"/>
      <c r="I146" s="250" t="s">
        <v>1302</v>
      </c>
      <c r="J146" s="250"/>
      <c r="K146" s="251"/>
      <c r="L146" s="251"/>
      <c r="M146" s="251"/>
      <c r="N146" s="141"/>
      <c r="O146" s="142">
        <v>0.49608570000000002</v>
      </c>
      <c r="P146" s="141">
        <v>0.52196460300000003</v>
      </c>
      <c r="Q146" s="141">
        <v>0.66106715155860996</v>
      </c>
      <c r="R146" s="141">
        <v>-1.6572449999999999E-3</v>
      </c>
      <c r="S146" s="146"/>
      <c r="T146" s="146">
        <v>0.757382</v>
      </c>
      <c r="U146" s="146">
        <v>0.11570540193728371</v>
      </c>
      <c r="V146" s="146">
        <v>-3.624676</v>
      </c>
      <c r="W146" s="146">
        <v>6.7228474802671079E-2</v>
      </c>
      <c r="X146" s="144">
        <v>2.7994634</v>
      </c>
      <c r="Y146" s="141">
        <v>0.20005829999999999</v>
      </c>
      <c r="Z146" s="254">
        <v>0.53552</v>
      </c>
      <c r="AA146" s="254">
        <v>0.52750000000000008</v>
      </c>
    </row>
    <row r="147" spans="1:27" x14ac:dyDescent="0.25">
      <c r="A147" s="136">
        <v>146</v>
      </c>
      <c r="B147" s="253" t="s">
        <v>432</v>
      </c>
      <c r="C147" s="253" t="s">
        <v>1262</v>
      </c>
      <c r="D147" s="253" t="s">
        <v>434</v>
      </c>
      <c r="E147" s="250"/>
      <c r="F147" s="250"/>
      <c r="G147" s="250" t="s">
        <v>1303</v>
      </c>
      <c r="H147" s="250">
        <v>198789</v>
      </c>
      <c r="I147" s="257" t="s">
        <v>1304</v>
      </c>
      <c r="J147" s="250"/>
      <c r="K147" s="251"/>
      <c r="L147" s="251" t="s">
        <v>1305</v>
      </c>
      <c r="M147" s="251"/>
      <c r="N147" s="141"/>
      <c r="O147" s="142">
        <v>0.49608570000000002</v>
      </c>
      <c r="P147" s="141">
        <v>0.52196460300000003</v>
      </c>
      <c r="Q147" s="141">
        <v>0.66106715155860996</v>
      </c>
      <c r="R147" s="141">
        <v>-1.6572449999999999E-3</v>
      </c>
      <c r="S147" s="252">
        <v>8045</v>
      </c>
      <c r="T147" s="252">
        <v>0.77755983231648595</v>
      </c>
      <c r="U147" s="252">
        <v>9.5334526279824694E-2</v>
      </c>
      <c r="V147" s="252">
        <v>-3.6204398225211598</v>
      </c>
      <c r="W147" s="252">
        <v>6.5579519766875288E-2</v>
      </c>
      <c r="X147" s="144">
        <v>2.7994634</v>
      </c>
      <c r="Y147" s="141">
        <v>0.20005829999999999</v>
      </c>
      <c r="Z147" s="254">
        <v>0.55103999999999997</v>
      </c>
      <c r="AA147" s="254">
        <v>0.51</v>
      </c>
    </row>
    <row r="148" spans="1:27" x14ac:dyDescent="0.25">
      <c r="A148" s="136">
        <v>147</v>
      </c>
      <c r="B148" s="154" t="s">
        <v>432</v>
      </c>
      <c r="C148" s="154" t="s">
        <v>433</v>
      </c>
      <c r="D148" s="154" t="s">
        <v>434</v>
      </c>
      <c r="E148" s="139">
        <v>17</v>
      </c>
      <c r="F148" s="139">
        <v>1653</v>
      </c>
      <c r="G148" s="139" t="s">
        <v>1306</v>
      </c>
      <c r="H148" s="139">
        <v>117860</v>
      </c>
      <c r="I148" s="139" t="s">
        <v>1307</v>
      </c>
      <c r="J148" s="139">
        <v>3647</v>
      </c>
      <c r="K148" s="140">
        <v>14</v>
      </c>
      <c r="L148" s="140" t="s">
        <v>1308</v>
      </c>
      <c r="M148" s="140" t="s">
        <v>1309</v>
      </c>
      <c r="N148" s="141"/>
      <c r="O148" s="142">
        <v>0.49608570000000002</v>
      </c>
      <c r="P148" s="141">
        <v>0.52196460300000003</v>
      </c>
      <c r="Q148" s="141">
        <v>0.66106715155860996</v>
      </c>
      <c r="R148" s="141">
        <v>-1.6572449999999999E-3</v>
      </c>
      <c r="S148" s="143">
        <v>11736</v>
      </c>
      <c r="T148" s="143">
        <v>0.76016517251027804</v>
      </c>
      <c r="U148" s="143">
        <v>0.100519248008636</v>
      </c>
      <c r="V148" s="143">
        <v>-4.0263449576626202</v>
      </c>
      <c r="W148" s="143">
        <v>8.420615313205268E-2</v>
      </c>
      <c r="X148" s="144">
        <v>2.7994634</v>
      </c>
      <c r="Y148" s="141">
        <v>0.20005829999999999</v>
      </c>
      <c r="Z148" s="145">
        <v>0.66</v>
      </c>
      <c r="AA148" s="145">
        <v>0.57999999999999996</v>
      </c>
    </row>
    <row r="149" spans="1:27" x14ac:dyDescent="0.25">
      <c r="A149" s="136">
        <v>148</v>
      </c>
      <c r="B149" s="149" t="s">
        <v>432</v>
      </c>
      <c r="C149" s="149" t="s">
        <v>433</v>
      </c>
      <c r="D149" s="149" t="s">
        <v>434</v>
      </c>
      <c r="E149" s="139">
        <v>27</v>
      </c>
      <c r="F149" s="139">
        <v>1404</v>
      </c>
      <c r="G149" s="139" t="s">
        <v>1310</v>
      </c>
      <c r="H149" s="139"/>
      <c r="I149" s="139"/>
      <c r="J149" s="139">
        <v>4898</v>
      </c>
      <c r="K149" s="140">
        <v>19</v>
      </c>
      <c r="L149" s="140" t="s">
        <v>1311</v>
      </c>
      <c r="M149" s="140" t="s">
        <v>1312</v>
      </c>
      <c r="N149" s="141"/>
      <c r="O149" s="142">
        <v>0.49608570000000002</v>
      </c>
      <c r="P149" s="141">
        <v>0.52196460300000003</v>
      </c>
      <c r="Q149" s="141">
        <v>0.66106715155860996</v>
      </c>
      <c r="R149" s="141">
        <v>-1.6572449999999999E-3</v>
      </c>
      <c r="S149" s="143">
        <v>577</v>
      </c>
      <c r="T149" s="143">
        <v>0.81469589866345804</v>
      </c>
      <c r="U149" s="143">
        <v>3.4659390317150998E-2</v>
      </c>
      <c r="V149" s="143">
        <v>-3.6847888343061399</v>
      </c>
      <c r="W149" s="143">
        <v>3.8637538712879081E-2</v>
      </c>
      <c r="X149" s="144">
        <v>2.7994634</v>
      </c>
      <c r="Y149" s="141">
        <v>0.20005829999999999</v>
      </c>
      <c r="Z149" s="150">
        <v>0.31</v>
      </c>
      <c r="AA149" s="150">
        <v>0.37</v>
      </c>
    </row>
    <row r="150" spans="1:27" x14ac:dyDescent="0.25">
      <c r="A150" s="136">
        <v>149</v>
      </c>
      <c r="B150" s="154" t="s">
        <v>432</v>
      </c>
      <c r="C150" s="154" t="s">
        <v>433</v>
      </c>
      <c r="D150" s="154" t="s">
        <v>434</v>
      </c>
      <c r="E150" s="139">
        <v>52</v>
      </c>
      <c r="F150" s="139">
        <v>1964</v>
      </c>
      <c r="G150" s="139" t="s">
        <v>1313</v>
      </c>
      <c r="H150" s="139">
        <v>115156</v>
      </c>
      <c r="I150" s="139" t="s">
        <v>1314</v>
      </c>
      <c r="J150" s="139">
        <v>3407</v>
      </c>
      <c r="K150" s="140">
        <v>24</v>
      </c>
      <c r="L150" s="140" t="s">
        <v>1315</v>
      </c>
      <c r="M150" s="140" t="s">
        <v>1316</v>
      </c>
      <c r="N150" s="141"/>
      <c r="O150" s="142">
        <v>0.49608570000000002</v>
      </c>
      <c r="P150" s="141">
        <v>0.52196460300000003</v>
      </c>
      <c r="Q150" s="141">
        <v>0.66106715155860996</v>
      </c>
      <c r="R150" s="141">
        <v>-1.6572449999999999E-3</v>
      </c>
      <c r="S150" s="143">
        <v>15282</v>
      </c>
      <c r="T150" s="143">
        <v>0.7677587123088</v>
      </c>
      <c r="U150" s="143">
        <v>0.11362143273767698</v>
      </c>
      <c r="V150" s="143">
        <v>-4.3470896245206099</v>
      </c>
      <c r="W150" s="143">
        <v>8.9034515744948875E-2</v>
      </c>
      <c r="X150" s="144">
        <v>2.7994634</v>
      </c>
      <c r="Y150" s="141">
        <v>0.20005829999999999</v>
      </c>
      <c r="Z150" s="145">
        <v>0.38745000000000002</v>
      </c>
      <c r="AA150" s="145">
        <v>0.38</v>
      </c>
    </row>
    <row r="151" spans="1:27" x14ac:dyDescent="0.25">
      <c r="A151" s="136">
        <v>150</v>
      </c>
      <c r="B151" s="151" t="s">
        <v>432</v>
      </c>
      <c r="C151" s="151" t="s">
        <v>433</v>
      </c>
      <c r="D151" s="151"/>
      <c r="E151" s="139">
        <v>96</v>
      </c>
      <c r="F151" s="139">
        <v>156</v>
      </c>
      <c r="G151" s="139" t="s">
        <v>330</v>
      </c>
      <c r="H151" s="139">
        <v>131226</v>
      </c>
      <c r="I151" s="139" t="s">
        <v>1317</v>
      </c>
      <c r="J151" s="139">
        <v>160</v>
      </c>
      <c r="K151" s="140">
        <v>37</v>
      </c>
      <c r="L151" s="140" t="s">
        <v>1318</v>
      </c>
      <c r="M151" s="140" t="s">
        <v>1319</v>
      </c>
      <c r="N151" s="141"/>
      <c r="O151" s="142">
        <v>0.49608570000000002</v>
      </c>
      <c r="P151" s="141">
        <v>0.52196460300000003</v>
      </c>
      <c r="Q151" s="141">
        <v>0.66106715155860996</v>
      </c>
      <c r="R151" s="141">
        <v>-1.6572449999999999E-3</v>
      </c>
      <c r="S151" s="143">
        <v>46</v>
      </c>
      <c r="T151" s="143">
        <v>0.56744256601112997</v>
      </c>
      <c r="U151" s="143">
        <v>0.17281567934921599</v>
      </c>
      <c r="V151" s="143">
        <v>-3.9756211060978801</v>
      </c>
      <c r="W151" s="143">
        <v>0.13766447525154307</v>
      </c>
      <c r="X151" s="144">
        <v>2.7994634</v>
      </c>
      <c r="Y151" s="141">
        <v>0.20005829999999999</v>
      </c>
      <c r="Z151" s="148">
        <v>0.42708374999999998</v>
      </c>
      <c r="AA151" s="148">
        <v>0.42312500000000003</v>
      </c>
    </row>
    <row r="152" spans="1:27" x14ac:dyDescent="0.25">
      <c r="A152" s="136">
        <v>151</v>
      </c>
      <c r="B152" s="151" t="s">
        <v>432</v>
      </c>
      <c r="C152" s="151" t="s">
        <v>433</v>
      </c>
      <c r="D152" s="151"/>
      <c r="E152" s="139">
        <v>100</v>
      </c>
      <c r="F152" s="139">
        <v>96</v>
      </c>
      <c r="G152" s="139" t="s">
        <v>1320</v>
      </c>
      <c r="H152" s="139">
        <v>83481</v>
      </c>
      <c r="I152" s="139" t="s">
        <v>1321</v>
      </c>
      <c r="J152" s="139">
        <v>352</v>
      </c>
      <c r="K152" s="140">
        <v>40</v>
      </c>
      <c r="L152" s="140" t="s">
        <v>1322</v>
      </c>
      <c r="M152" s="140" t="s">
        <v>1323</v>
      </c>
      <c r="N152" s="141"/>
      <c r="O152" s="142">
        <v>0.49608570000000002</v>
      </c>
      <c r="P152" s="141">
        <v>0.52196460300000003</v>
      </c>
      <c r="Q152" s="141">
        <v>0.66106715155860996</v>
      </c>
      <c r="R152" s="141">
        <v>-1.6572449999999999E-3</v>
      </c>
      <c r="S152" s="146"/>
      <c r="T152" s="146">
        <v>0.757382</v>
      </c>
      <c r="U152" s="146">
        <v>8.9023092301607001E-2</v>
      </c>
      <c r="V152" s="146">
        <v>-3.624676</v>
      </c>
      <c r="W152" s="146">
        <v>6.7228474802671079E-2</v>
      </c>
      <c r="X152" s="144">
        <v>2.7994634</v>
      </c>
      <c r="Y152" s="141">
        <v>0.20005829999999999</v>
      </c>
      <c r="Z152" s="148">
        <v>0.42708374999999998</v>
      </c>
      <c r="AA152" s="148">
        <v>0.42312500000000003</v>
      </c>
    </row>
    <row r="153" spans="1:27" x14ac:dyDescent="0.25">
      <c r="A153" s="136">
        <v>152</v>
      </c>
      <c r="B153" s="147" t="s">
        <v>432</v>
      </c>
      <c r="C153" s="147" t="s">
        <v>433</v>
      </c>
      <c r="D153" s="147"/>
      <c r="E153" s="139">
        <v>56</v>
      </c>
      <c r="F153" s="139">
        <v>1746</v>
      </c>
      <c r="G153" s="139" t="s">
        <v>1324</v>
      </c>
      <c r="H153" s="139">
        <v>120246</v>
      </c>
      <c r="I153" s="139" t="s">
        <v>1325</v>
      </c>
      <c r="J153" s="139">
        <v>3798</v>
      </c>
      <c r="K153" s="140" t="s">
        <v>1326</v>
      </c>
      <c r="L153" s="140" t="s">
        <v>1327</v>
      </c>
      <c r="M153" s="140" t="s">
        <v>1328</v>
      </c>
      <c r="N153" s="141"/>
      <c r="O153" s="142">
        <v>0.49608570000000002</v>
      </c>
      <c r="P153" s="141">
        <v>0.52196460300000003</v>
      </c>
      <c r="Q153" s="141">
        <v>0.66106715155860996</v>
      </c>
      <c r="R153" s="141">
        <v>-1.6572449999999999E-3</v>
      </c>
      <c r="S153" s="143">
        <v>8556</v>
      </c>
      <c r="T153" s="143">
        <v>0.66067096035320905</v>
      </c>
      <c r="U153" s="143">
        <v>0.12853331502211102</v>
      </c>
      <c r="V153" s="143">
        <v>-3.6504090323060301</v>
      </c>
      <c r="W153" s="143">
        <v>0.10285501387252508</v>
      </c>
      <c r="X153" s="144">
        <v>2.7994634</v>
      </c>
      <c r="Y153" s="141">
        <v>0.20005829999999999</v>
      </c>
      <c r="Z153" s="145">
        <v>0.32</v>
      </c>
      <c r="AA153" s="145">
        <v>0.37</v>
      </c>
    </row>
    <row r="154" spans="1:27" x14ac:dyDescent="0.25">
      <c r="A154" s="136">
        <v>153</v>
      </c>
      <c r="B154" s="147" t="s">
        <v>432</v>
      </c>
      <c r="C154" s="147" t="s">
        <v>433</v>
      </c>
      <c r="D154" s="147"/>
      <c r="E154" s="139">
        <v>57</v>
      </c>
      <c r="F154" s="139">
        <v>1743</v>
      </c>
      <c r="G154" s="139" t="s">
        <v>1329</v>
      </c>
      <c r="H154" s="139">
        <v>120163</v>
      </c>
      <c r="I154" s="139" t="s">
        <v>1330</v>
      </c>
      <c r="J154" s="139">
        <v>3790</v>
      </c>
      <c r="K154" s="140" t="s">
        <v>1331</v>
      </c>
      <c r="L154" s="140" t="s">
        <v>1332</v>
      </c>
      <c r="M154" s="140" t="s">
        <v>1333</v>
      </c>
      <c r="N154" s="141"/>
      <c r="O154" s="142">
        <v>0.49608570000000002</v>
      </c>
      <c r="P154" s="141">
        <v>0.52196460300000003</v>
      </c>
      <c r="Q154" s="141">
        <v>0.66106715155860996</v>
      </c>
      <c r="R154" s="141">
        <v>-1.6572449999999999E-3</v>
      </c>
      <c r="S154" s="143">
        <v>8556</v>
      </c>
      <c r="T154" s="143">
        <v>0.66067096035320905</v>
      </c>
      <c r="U154" s="143">
        <v>0.12853331502211102</v>
      </c>
      <c r="V154" s="143">
        <v>-3.6504090323060301</v>
      </c>
      <c r="W154" s="143">
        <v>0.10285501387252508</v>
      </c>
      <c r="X154" s="144">
        <v>2.7994634</v>
      </c>
      <c r="Y154" s="141">
        <v>0.20005829999999999</v>
      </c>
      <c r="Z154" s="145">
        <v>0.32</v>
      </c>
      <c r="AA154" s="145">
        <v>0.37</v>
      </c>
    </row>
    <row r="155" spans="1:27" x14ac:dyDescent="0.25">
      <c r="A155" s="136">
        <v>154</v>
      </c>
      <c r="B155" s="138" t="s">
        <v>432</v>
      </c>
      <c r="C155" s="138" t="s">
        <v>433</v>
      </c>
      <c r="D155" s="138"/>
      <c r="E155" s="139">
        <v>12</v>
      </c>
      <c r="F155" s="139">
        <v>201</v>
      </c>
      <c r="G155" s="139" t="s">
        <v>1334</v>
      </c>
      <c r="H155" s="139">
        <v>85904</v>
      </c>
      <c r="I155" s="139" t="s">
        <v>1335</v>
      </c>
      <c r="J155" s="139">
        <v>599</v>
      </c>
      <c r="K155" s="140" t="s">
        <v>1336</v>
      </c>
      <c r="L155" s="140" t="s">
        <v>1337</v>
      </c>
      <c r="M155" s="140" t="s">
        <v>1338</v>
      </c>
      <c r="N155" s="139">
        <v>16</v>
      </c>
      <c r="O155" s="153">
        <v>0.47213569993541898</v>
      </c>
      <c r="P155" s="139">
        <v>0.49335246997405202</v>
      </c>
      <c r="Q155" s="139">
        <v>0.66106715155860996</v>
      </c>
      <c r="R155" s="139">
        <v>-1.58540708791217E-3</v>
      </c>
      <c r="S155" s="139">
        <v>37549</v>
      </c>
      <c r="T155" s="143">
        <v>0.70973388267623805</v>
      </c>
      <c r="U155" s="143">
        <v>0.12596588350028298</v>
      </c>
      <c r="V155" s="143">
        <v>-4.2978465261248298</v>
      </c>
      <c r="W155" s="143">
        <v>0.10620186714031808</v>
      </c>
      <c r="X155" s="139">
        <v>2.7994634</v>
      </c>
      <c r="Y155" s="139">
        <v>0.20005829999999999</v>
      </c>
      <c r="Z155" s="145">
        <v>0.52520999999999995</v>
      </c>
      <c r="AA155" s="145">
        <v>0.5</v>
      </c>
    </row>
    <row r="156" spans="1:27" x14ac:dyDescent="0.25">
      <c r="A156" s="136">
        <v>155</v>
      </c>
      <c r="B156" s="138" t="s">
        <v>432</v>
      </c>
      <c r="C156" s="138" t="s">
        <v>433</v>
      </c>
      <c r="D156" s="138"/>
      <c r="E156" s="139">
        <v>13</v>
      </c>
      <c r="F156" s="139">
        <v>202</v>
      </c>
      <c r="G156" s="139" t="s">
        <v>1339</v>
      </c>
      <c r="H156" s="139">
        <v>85903</v>
      </c>
      <c r="I156" s="139" t="s">
        <v>1340</v>
      </c>
      <c r="J156" s="139">
        <v>600</v>
      </c>
      <c r="K156" s="140" t="s">
        <v>1341</v>
      </c>
      <c r="L156" s="140" t="s">
        <v>1342</v>
      </c>
      <c r="M156" s="140" t="s">
        <v>1343</v>
      </c>
      <c r="N156" s="139">
        <v>16</v>
      </c>
      <c r="O156" s="153">
        <v>0.47213569993541898</v>
      </c>
      <c r="P156" s="139">
        <v>0.49335246997405202</v>
      </c>
      <c r="Q156" s="139">
        <v>0.66106715155860996</v>
      </c>
      <c r="R156" s="139">
        <v>-1.58540708791217E-3</v>
      </c>
      <c r="S156" s="139">
        <v>37549</v>
      </c>
      <c r="T156" s="143">
        <v>0.70973388267623805</v>
      </c>
      <c r="U156" s="143">
        <v>0.12596588350028298</v>
      </c>
      <c r="V156" s="143">
        <v>-4.2978465261248298</v>
      </c>
      <c r="W156" s="143">
        <v>0.10620186714031808</v>
      </c>
      <c r="X156" s="139">
        <v>2.7994634</v>
      </c>
      <c r="Y156" s="139">
        <v>0.20005829999999999</v>
      </c>
      <c r="Z156" s="145">
        <v>0.52520999999999995</v>
      </c>
      <c r="AA156" s="145">
        <v>0.5</v>
      </c>
    </row>
    <row r="157" spans="1:27" x14ac:dyDescent="0.25">
      <c r="A157" s="136">
        <v>156</v>
      </c>
      <c r="B157" s="138" t="s">
        <v>432</v>
      </c>
      <c r="C157" s="138" t="s">
        <v>433</v>
      </c>
      <c r="D157" s="138"/>
      <c r="E157" s="139">
        <v>14</v>
      </c>
      <c r="F157" s="139">
        <v>152</v>
      </c>
      <c r="G157" s="139" t="s">
        <v>1344</v>
      </c>
      <c r="H157" s="139">
        <v>81570</v>
      </c>
      <c r="I157" s="139" t="s">
        <v>1345</v>
      </c>
      <c r="J157" s="139">
        <v>159</v>
      </c>
      <c r="K157" s="140" t="s">
        <v>1346</v>
      </c>
      <c r="L157" s="140" t="s">
        <v>1347</v>
      </c>
      <c r="M157" s="140" t="s">
        <v>1348</v>
      </c>
      <c r="N157" s="141"/>
      <c r="O157" s="142">
        <v>0.49608570000000002</v>
      </c>
      <c r="P157" s="141">
        <v>0.52196460300000003</v>
      </c>
      <c r="Q157" s="141">
        <v>0.66106715155860996</v>
      </c>
      <c r="R157" s="141">
        <v>-1.6572449999999999E-3</v>
      </c>
      <c r="S157" s="146"/>
      <c r="T157" s="146">
        <v>0.757382</v>
      </c>
      <c r="U157" s="146">
        <v>8.9023092301607001E-2</v>
      </c>
      <c r="V157" s="146">
        <v>-3.624676</v>
      </c>
      <c r="W157" s="146">
        <v>6.7228474802671079E-2</v>
      </c>
      <c r="X157" s="144">
        <v>2.7994634</v>
      </c>
      <c r="Y157" s="141">
        <v>0.20005829999999999</v>
      </c>
      <c r="Z157" s="145">
        <v>0.43911</v>
      </c>
      <c r="AA157" s="145">
        <v>0.43</v>
      </c>
    </row>
    <row r="158" spans="1:27" x14ac:dyDescent="0.25">
      <c r="A158" s="136">
        <v>157</v>
      </c>
      <c r="B158" s="138" t="s">
        <v>432</v>
      </c>
      <c r="C158" s="138" t="s">
        <v>433</v>
      </c>
      <c r="D158" s="138"/>
      <c r="E158" s="139">
        <v>15</v>
      </c>
      <c r="F158" s="139">
        <v>153</v>
      </c>
      <c r="G158" s="139" t="s">
        <v>1349</v>
      </c>
      <c r="H158" s="139">
        <v>81567</v>
      </c>
      <c r="I158" s="139" t="s">
        <v>1350</v>
      </c>
      <c r="J158" s="139">
        <v>157</v>
      </c>
      <c r="K158" s="140" t="s">
        <v>1351</v>
      </c>
      <c r="L158" s="140" t="s">
        <v>1352</v>
      </c>
      <c r="M158" s="140" t="s">
        <v>1353</v>
      </c>
      <c r="N158" s="141"/>
      <c r="O158" s="142">
        <v>0.49608570000000002</v>
      </c>
      <c r="P158" s="141">
        <v>0.52196460300000003</v>
      </c>
      <c r="Q158" s="141">
        <v>0.66106715155860996</v>
      </c>
      <c r="R158" s="141">
        <v>-1.6572449999999999E-3</v>
      </c>
      <c r="S158" s="146"/>
      <c r="T158" s="146">
        <v>0.757382</v>
      </c>
      <c r="U158" s="146">
        <v>8.9023092301607001E-2</v>
      </c>
      <c r="V158" s="146">
        <v>-3.624676</v>
      </c>
      <c r="W158" s="146">
        <v>6.7228474802671079E-2</v>
      </c>
      <c r="X158" s="144">
        <v>2.7994634</v>
      </c>
      <c r="Y158" s="141">
        <v>0.20005829999999999</v>
      </c>
      <c r="Z158" s="145">
        <v>0.43911</v>
      </c>
      <c r="AA158" s="145">
        <v>0.43</v>
      </c>
    </row>
    <row r="159" spans="1:27" x14ac:dyDescent="0.25">
      <c r="A159" s="136">
        <v>158</v>
      </c>
      <c r="B159" s="154" t="s">
        <v>432</v>
      </c>
      <c r="C159" s="154" t="s">
        <v>433</v>
      </c>
      <c r="D159" s="154" t="s">
        <v>434</v>
      </c>
      <c r="E159" s="139">
        <v>16</v>
      </c>
      <c r="F159" s="139">
        <v>155</v>
      </c>
      <c r="G159" s="139" t="s">
        <v>1354</v>
      </c>
      <c r="H159" s="139">
        <v>81569</v>
      </c>
      <c r="I159" s="139" t="s">
        <v>1355</v>
      </c>
      <c r="J159" s="139">
        <v>158</v>
      </c>
      <c r="K159" s="140" t="s">
        <v>1356</v>
      </c>
      <c r="L159" s="140" t="s">
        <v>1357</v>
      </c>
      <c r="M159" s="140" t="s">
        <v>1358</v>
      </c>
      <c r="N159" s="141"/>
      <c r="O159" s="142">
        <v>0.49608570000000002</v>
      </c>
      <c r="P159" s="141">
        <v>0.52196460300000003</v>
      </c>
      <c r="Q159" s="141">
        <v>0.66106715155860996</v>
      </c>
      <c r="R159" s="141">
        <v>-1.6572449999999999E-3</v>
      </c>
      <c r="S159" s="143">
        <v>12258</v>
      </c>
      <c r="T159" s="143">
        <v>0.68931378872198601</v>
      </c>
      <c r="U159" s="143">
        <v>0.11148082344147299</v>
      </c>
      <c r="V159" s="143">
        <v>-3.4487698962187601</v>
      </c>
      <c r="W159" s="143">
        <v>9.2604453076577081E-2</v>
      </c>
      <c r="X159" s="144">
        <v>2.7994634</v>
      </c>
      <c r="Y159" s="141">
        <v>0.20005829999999999</v>
      </c>
      <c r="Z159" s="148">
        <v>0.42708374999999998</v>
      </c>
      <c r="AA159" s="148">
        <v>0.42312500000000003</v>
      </c>
    </row>
    <row r="160" spans="1:27" x14ac:dyDescent="0.25">
      <c r="A160" s="136"/>
      <c r="B160" s="154"/>
      <c r="C160" s="138" t="s">
        <v>433</v>
      </c>
      <c r="D160" s="154"/>
      <c r="E160" s="139"/>
      <c r="F160" s="139"/>
      <c r="G160" s="139" t="s">
        <v>1359</v>
      </c>
      <c r="H160" s="139"/>
      <c r="I160" s="139"/>
      <c r="J160" s="139"/>
      <c r="K160" s="140" t="s">
        <v>1360</v>
      </c>
      <c r="L160" s="140"/>
      <c r="M160" s="140"/>
      <c r="N160" s="141"/>
      <c r="O160" s="142"/>
      <c r="P160" s="141"/>
      <c r="Q160" s="141"/>
      <c r="R160" s="141"/>
      <c r="S160" s="143"/>
      <c r="T160" s="143"/>
      <c r="U160" s="143"/>
      <c r="V160" s="143"/>
      <c r="W160" s="143"/>
      <c r="X160" s="144"/>
      <c r="Y160" s="141"/>
      <c r="Z160" s="148"/>
      <c r="AA160" s="148"/>
    </row>
    <row r="161" spans="1:27" x14ac:dyDescent="0.25">
      <c r="A161" s="136">
        <v>159</v>
      </c>
      <c r="B161" s="138" t="s">
        <v>432</v>
      </c>
      <c r="C161" s="138" t="s">
        <v>433</v>
      </c>
      <c r="D161" s="138" t="s">
        <v>434</v>
      </c>
      <c r="E161" s="139">
        <v>29</v>
      </c>
      <c r="F161" s="139">
        <v>1938</v>
      </c>
      <c r="G161" s="139" t="s">
        <v>435</v>
      </c>
      <c r="H161" s="139">
        <v>126628</v>
      </c>
      <c r="I161" s="139" t="s">
        <v>436</v>
      </c>
      <c r="J161" s="139">
        <v>4415</v>
      </c>
      <c r="K161" s="140" t="s">
        <v>437</v>
      </c>
      <c r="L161" s="140" t="s">
        <v>438</v>
      </c>
      <c r="M161" s="140" t="s">
        <v>439</v>
      </c>
      <c r="N161" s="141"/>
      <c r="O161" s="142">
        <v>0.49608570000000002</v>
      </c>
      <c r="P161" s="141">
        <v>0.52196460300000003</v>
      </c>
      <c r="Q161" s="141">
        <v>0.66106715155860996</v>
      </c>
      <c r="R161" s="141">
        <v>-1.6572449999999999E-3</v>
      </c>
      <c r="S161" s="143">
        <v>8398</v>
      </c>
      <c r="T161" s="143">
        <v>0.85731635910327997</v>
      </c>
      <c r="U161" s="143">
        <v>8.6766642226222004E-2</v>
      </c>
      <c r="V161" s="143">
        <v>-4.3423796273494197</v>
      </c>
      <c r="W161" s="143">
        <v>5.5331760334129176E-2</v>
      </c>
      <c r="X161" s="144">
        <v>2.7994634</v>
      </c>
      <c r="Y161" s="141">
        <v>0.20005829999999999</v>
      </c>
      <c r="Z161" s="145">
        <v>0.42188999999999999</v>
      </c>
      <c r="AA161" s="145">
        <v>0.41499999999999998</v>
      </c>
    </row>
    <row r="162" spans="1:27" x14ac:dyDescent="0.25">
      <c r="A162" s="136">
        <v>160</v>
      </c>
      <c r="B162" s="138" t="s">
        <v>432</v>
      </c>
      <c r="C162" s="138" t="s">
        <v>433</v>
      </c>
      <c r="D162" s="138"/>
      <c r="E162" s="139">
        <v>30</v>
      </c>
      <c r="F162" s="139">
        <v>1940</v>
      </c>
      <c r="G162" s="139" t="s">
        <v>440</v>
      </c>
      <c r="H162" s="139">
        <v>161014</v>
      </c>
      <c r="I162" s="139" t="s">
        <v>441</v>
      </c>
      <c r="J162" s="139">
        <v>4419</v>
      </c>
      <c r="K162" s="140" t="s">
        <v>442</v>
      </c>
      <c r="L162" s="140"/>
      <c r="M162" s="140"/>
      <c r="N162" s="141"/>
      <c r="O162" s="142">
        <v>0.49608570000000002</v>
      </c>
      <c r="P162" s="141">
        <v>0.52196460300000003</v>
      </c>
      <c r="Q162" s="141">
        <v>0.66106715155860996</v>
      </c>
      <c r="R162" s="141">
        <v>-1.6572449999999999E-3</v>
      </c>
      <c r="S162" s="143">
        <v>8398</v>
      </c>
      <c r="T162" s="143">
        <v>0.85731635910327997</v>
      </c>
      <c r="U162" s="143">
        <v>8.6766642226222004E-2</v>
      </c>
      <c r="V162" s="143">
        <v>-4.3423796273494197</v>
      </c>
      <c r="W162" s="143">
        <v>5.5331760334129176E-2</v>
      </c>
      <c r="X162" s="144">
        <v>2.7994634</v>
      </c>
      <c r="Y162" s="141">
        <v>0.20005829999999999</v>
      </c>
      <c r="Z162" s="145">
        <v>0.42188999999999999</v>
      </c>
      <c r="AA162" s="145">
        <v>0.41499999999999998</v>
      </c>
    </row>
    <row r="163" spans="1:27" x14ac:dyDescent="0.25">
      <c r="A163" s="136">
        <v>161</v>
      </c>
      <c r="B163" s="138" t="s">
        <v>432</v>
      </c>
      <c r="C163" s="138" t="s">
        <v>433</v>
      </c>
      <c r="D163" s="138"/>
      <c r="E163" s="139">
        <v>43</v>
      </c>
      <c r="F163" s="139">
        <v>713</v>
      </c>
      <c r="G163" s="139" t="s">
        <v>443</v>
      </c>
      <c r="H163" s="139">
        <v>98653</v>
      </c>
      <c r="I163" s="139" t="s">
        <v>444</v>
      </c>
      <c r="J163" s="139">
        <v>1783</v>
      </c>
      <c r="K163" s="140" t="s">
        <v>445</v>
      </c>
      <c r="L163" s="140" t="s">
        <v>446</v>
      </c>
      <c r="M163" s="140" t="s">
        <v>447</v>
      </c>
      <c r="N163" s="141"/>
      <c r="O163" s="142">
        <v>0.49608570000000002</v>
      </c>
      <c r="P163" s="141">
        <v>0.52196460300000003</v>
      </c>
      <c r="Q163" s="141">
        <v>0.66106715155860996</v>
      </c>
      <c r="R163" s="141">
        <v>-1.6572449999999999E-3</v>
      </c>
      <c r="S163" s="146"/>
      <c r="T163" s="146">
        <v>0.757382</v>
      </c>
      <c r="U163" s="146">
        <v>8.9023092301607001E-2</v>
      </c>
      <c r="V163" s="146">
        <v>-3.624676</v>
      </c>
      <c r="W163" s="146">
        <v>6.7228474802671079E-2</v>
      </c>
      <c r="X163" s="144">
        <v>2.7994634</v>
      </c>
      <c r="Y163" s="141">
        <v>0.20005829999999999</v>
      </c>
      <c r="Z163" s="145">
        <v>0.42708374999999998</v>
      </c>
      <c r="AA163" s="145">
        <v>0.42312500000000003</v>
      </c>
    </row>
    <row r="164" spans="1:27" x14ac:dyDescent="0.25">
      <c r="A164" s="136">
        <v>162</v>
      </c>
      <c r="B164" s="147" t="s">
        <v>432</v>
      </c>
      <c r="C164" s="147" t="s">
        <v>433</v>
      </c>
      <c r="D164" s="147"/>
      <c r="E164" s="139">
        <v>53</v>
      </c>
      <c r="F164" s="139">
        <v>1747</v>
      </c>
      <c r="G164" s="139" t="s">
        <v>448</v>
      </c>
      <c r="H164" s="139">
        <v>119915</v>
      </c>
      <c r="I164" s="139" t="s">
        <v>449</v>
      </c>
      <c r="J164" s="139">
        <v>3770</v>
      </c>
      <c r="K164" s="140" t="s">
        <v>450</v>
      </c>
      <c r="L164" s="140" t="s">
        <v>451</v>
      </c>
      <c r="M164" s="140" t="s">
        <v>452</v>
      </c>
      <c r="N164" s="141"/>
      <c r="O164" s="142">
        <v>0.49608570000000002</v>
      </c>
      <c r="P164" s="141">
        <v>0.52196460300000003</v>
      </c>
      <c r="Q164" s="141">
        <v>0.66106715155860996</v>
      </c>
      <c r="R164" s="141">
        <v>-1.6572449999999999E-3</v>
      </c>
      <c r="S164" s="143">
        <v>8556</v>
      </c>
      <c r="T164" s="143">
        <v>0.66067096035320905</v>
      </c>
      <c r="U164" s="143">
        <v>0.12853331502211102</v>
      </c>
      <c r="V164" s="143">
        <v>-3.6504090323060301</v>
      </c>
      <c r="W164" s="143">
        <v>0.10285501387252508</v>
      </c>
      <c r="X164" s="144">
        <v>2.7994634</v>
      </c>
      <c r="Y164" s="141">
        <v>0.20005829999999999</v>
      </c>
      <c r="Z164" s="145">
        <v>0.32</v>
      </c>
      <c r="AA164" s="145">
        <v>0.37</v>
      </c>
    </row>
    <row r="165" spans="1:27" x14ac:dyDescent="0.25">
      <c r="A165" s="136">
        <v>163</v>
      </c>
      <c r="B165" s="147" t="s">
        <v>432</v>
      </c>
      <c r="C165" s="147" t="s">
        <v>433</v>
      </c>
      <c r="D165" s="147"/>
      <c r="E165" s="139">
        <v>54</v>
      </c>
      <c r="F165" s="139">
        <v>1749</v>
      </c>
      <c r="G165" s="139" t="s">
        <v>453</v>
      </c>
      <c r="H165" s="139">
        <v>119991</v>
      </c>
      <c r="I165" s="139" t="s">
        <v>454</v>
      </c>
      <c r="J165" s="139">
        <v>3774</v>
      </c>
      <c r="K165" s="140" t="s">
        <v>455</v>
      </c>
      <c r="L165" s="140" t="s">
        <v>456</v>
      </c>
      <c r="M165" s="140" t="s">
        <v>457</v>
      </c>
      <c r="N165" s="141"/>
      <c r="O165" s="142">
        <v>0.49608570000000002</v>
      </c>
      <c r="P165" s="141">
        <v>0.52196460300000003</v>
      </c>
      <c r="Q165" s="141">
        <v>0.66106715155860996</v>
      </c>
      <c r="R165" s="141">
        <v>-1.6572449999999999E-3</v>
      </c>
      <c r="S165" s="143">
        <v>8556</v>
      </c>
      <c r="T165" s="143">
        <v>0.66067096035320905</v>
      </c>
      <c r="U165" s="143">
        <v>0.12853331502211102</v>
      </c>
      <c r="V165" s="143">
        <v>-3.6504090323060301</v>
      </c>
      <c r="W165" s="143">
        <v>0.10285501387252508</v>
      </c>
      <c r="X165" s="144">
        <v>2.7994634</v>
      </c>
      <c r="Y165" s="141">
        <v>0.20005829999999999</v>
      </c>
      <c r="Z165" s="145">
        <v>0.32</v>
      </c>
      <c r="AA165" s="145">
        <v>0.37</v>
      </c>
    </row>
    <row r="166" spans="1:27" x14ac:dyDescent="0.25">
      <c r="A166" s="136">
        <v>164</v>
      </c>
      <c r="B166" s="147" t="s">
        <v>432</v>
      </c>
      <c r="C166" s="147" t="s">
        <v>433</v>
      </c>
      <c r="D166" s="147"/>
      <c r="E166" s="139">
        <v>55</v>
      </c>
      <c r="F166" s="139">
        <v>1752</v>
      </c>
      <c r="G166" s="139" t="s">
        <v>458</v>
      </c>
      <c r="H166" s="139">
        <v>140449</v>
      </c>
      <c r="I166" s="139" t="s">
        <v>459</v>
      </c>
      <c r="J166" s="139">
        <v>3784</v>
      </c>
      <c r="K166" s="140" t="s">
        <v>460</v>
      </c>
      <c r="L166" s="140" t="s">
        <v>461</v>
      </c>
      <c r="M166" s="140" t="s">
        <v>462</v>
      </c>
      <c r="N166" s="141"/>
      <c r="O166" s="142">
        <v>0.49608570000000002</v>
      </c>
      <c r="P166" s="141">
        <v>0.52196460300000003</v>
      </c>
      <c r="Q166" s="141">
        <v>0.66106715155860996</v>
      </c>
      <c r="R166" s="141">
        <v>-1.6572449999999999E-3</v>
      </c>
      <c r="S166" s="143">
        <v>8556</v>
      </c>
      <c r="T166" s="143">
        <v>0.66067096035320905</v>
      </c>
      <c r="U166" s="143">
        <v>0.12853331502211102</v>
      </c>
      <c r="V166" s="143">
        <v>-3.6504090323060301</v>
      </c>
      <c r="W166" s="143">
        <v>0.10285501387252508</v>
      </c>
      <c r="X166" s="144">
        <v>2.7994634</v>
      </c>
      <c r="Y166" s="141">
        <v>0.20005829999999999</v>
      </c>
      <c r="Z166" s="145">
        <v>0.32</v>
      </c>
      <c r="AA166" s="145">
        <v>0.37</v>
      </c>
    </row>
    <row r="167" spans="1:27" x14ac:dyDescent="0.25">
      <c r="A167" s="136">
        <v>165</v>
      </c>
      <c r="B167" s="147" t="s">
        <v>432</v>
      </c>
      <c r="C167" s="147" t="s">
        <v>433</v>
      </c>
      <c r="D167" s="147"/>
      <c r="E167" s="139">
        <v>58</v>
      </c>
      <c r="F167" s="139">
        <v>1753</v>
      </c>
      <c r="G167" s="139" t="s">
        <v>463</v>
      </c>
      <c r="H167" s="139">
        <v>120009</v>
      </c>
      <c r="I167" s="139" t="s">
        <v>464</v>
      </c>
      <c r="J167" s="139">
        <v>3776</v>
      </c>
      <c r="K167" s="140" t="s">
        <v>465</v>
      </c>
      <c r="L167" s="140" t="s">
        <v>466</v>
      </c>
      <c r="M167" s="140" t="s">
        <v>467</v>
      </c>
      <c r="N167" s="141"/>
      <c r="O167" s="142">
        <v>0.49608570000000002</v>
      </c>
      <c r="P167" s="141">
        <v>0.52196460300000003</v>
      </c>
      <c r="Q167" s="141">
        <v>0.66106715155860996</v>
      </c>
      <c r="R167" s="141">
        <v>-1.6572449999999999E-3</v>
      </c>
      <c r="S167" s="143">
        <v>8556</v>
      </c>
      <c r="T167" s="143">
        <v>0.66067096035320905</v>
      </c>
      <c r="U167" s="143">
        <v>0.12853331502211102</v>
      </c>
      <c r="V167" s="143">
        <v>-3.6504090323060301</v>
      </c>
      <c r="W167" s="143">
        <v>0.10285501387252508</v>
      </c>
      <c r="X167" s="144">
        <v>2.7994634</v>
      </c>
      <c r="Y167" s="141">
        <v>0.20005829999999999</v>
      </c>
      <c r="Z167" s="145">
        <v>0.32</v>
      </c>
      <c r="AA167" s="145">
        <v>0.37</v>
      </c>
    </row>
    <row r="168" spans="1:27" x14ac:dyDescent="0.25">
      <c r="A168" s="136">
        <v>166</v>
      </c>
      <c r="B168" s="147" t="s">
        <v>432</v>
      </c>
      <c r="C168" s="147" t="s">
        <v>433</v>
      </c>
      <c r="D168" s="147"/>
      <c r="E168" s="139">
        <v>59</v>
      </c>
      <c r="F168" s="139">
        <v>1748</v>
      </c>
      <c r="G168" s="139" t="s">
        <v>468</v>
      </c>
      <c r="H168" s="139">
        <v>120040</v>
      </c>
      <c r="I168" s="139" t="s">
        <v>469</v>
      </c>
      <c r="J168" s="139">
        <v>3778</v>
      </c>
      <c r="K168" s="140" t="s">
        <v>470</v>
      </c>
      <c r="L168" s="140" t="s">
        <v>471</v>
      </c>
      <c r="M168" s="140" t="s">
        <v>472</v>
      </c>
      <c r="N168" s="141"/>
      <c r="O168" s="142">
        <v>0.49608570000000002</v>
      </c>
      <c r="P168" s="141">
        <v>0.52196460300000003</v>
      </c>
      <c r="Q168" s="141">
        <v>0.66106715155860996</v>
      </c>
      <c r="R168" s="141">
        <v>-1.6572449999999999E-3</v>
      </c>
      <c r="S168" s="143">
        <v>8556</v>
      </c>
      <c r="T168" s="143">
        <v>0.66067096035320905</v>
      </c>
      <c r="U168" s="143">
        <v>0.12853331502211102</v>
      </c>
      <c r="V168" s="143">
        <v>-3.6504090323060301</v>
      </c>
      <c r="W168" s="143">
        <v>0.10285501387252508</v>
      </c>
      <c r="X168" s="144">
        <v>2.7994634</v>
      </c>
      <c r="Y168" s="141">
        <v>0.20005829999999999</v>
      </c>
      <c r="Z168" s="145">
        <v>0.32</v>
      </c>
      <c r="AA168" s="145">
        <v>0.37</v>
      </c>
    </row>
    <row r="169" spans="1:27" x14ac:dyDescent="0.25">
      <c r="A169" s="136">
        <v>167</v>
      </c>
      <c r="B169" s="147" t="s">
        <v>432</v>
      </c>
      <c r="C169" s="147" t="s">
        <v>433</v>
      </c>
      <c r="D169" s="147"/>
      <c r="E169" s="139">
        <v>60</v>
      </c>
      <c r="F169" s="139">
        <v>1756</v>
      </c>
      <c r="G169" s="139" t="s">
        <v>473</v>
      </c>
      <c r="H169" s="139">
        <v>119977</v>
      </c>
      <c r="I169" s="139" t="s">
        <v>474</v>
      </c>
      <c r="J169" s="139">
        <v>3773</v>
      </c>
      <c r="K169" s="140" t="s">
        <v>475</v>
      </c>
      <c r="L169" s="140" t="s">
        <v>476</v>
      </c>
      <c r="M169" s="140" t="s">
        <v>477</v>
      </c>
      <c r="N169" s="141"/>
      <c r="O169" s="142">
        <v>0.49608570000000002</v>
      </c>
      <c r="P169" s="141">
        <v>0.52196460300000003</v>
      </c>
      <c r="Q169" s="141">
        <v>0.66106715155860996</v>
      </c>
      <c r="R169" s="141">
        <v>-1.6572449999999999E-3</v>
      </c>
      <c r="S169" s="143">
        <v>8556</v>
      </c>
      <c r="T169" s="143">
        <v>0.66067096035320905</v>
      </c>
      <c r="U169" s="143">
        <v>0.12853331502211102</v>
      </c>
      <c r="V169" s="143">
        <v>-3.6504090323060301</v>
      </c>
      <c r="W169" s="143">
        <v>0.10285501387252508</v>
      </c>
      <c r="X169" s="144">
        <v>2.7994634</v>
      </c>
      <c r="Y169" s="141">
        <v>0.20005829999999999</v>
      </c>
      <c r="Z169" s="145">
        <v>0.32</v>
      </c>
      <c r="AA169" s="145">
        <v>0.37</v>
      </c>
    </row>
    <row r="170" spans="1:27" x14ac:dyDescent="0.25">
      <c r="A170" s="136">
        <v>168</v>
      </c>
      <c r="B170" s="147" t="s">
        <v>432</v>
      </c>
      <c r="C170" s="147" t="s">
        <v>433</v>
      </c>
      <c r="D170" s="147"/>
      <c r="E170" s="139">
        <v>61</v>
      </c>
      <c r="F170" s="139">
        <v>1758</v>
      </c>
      <c r="G170" s="139" t="s">
        <v>478</v>
      </c>
      <c r="H170" s="139">
        <v>120161</v>
      </c>
      <c r="I170" s="139" t="s">
        <v>479</v>
      </c>
      <c r="J170" s="139">
        <v>3789</v>
      </c>
      <c r="K170" s="140" t="s">
        <v>480</v>
      </c>
      <c r="L170" s="140"/>
      <c r="M170" s="140"/>
      <c r="N170" s="141"/>
      <c r="O170" s="142">
        <v>0.49608570000000002</v>
      </c>
      <c r="P170" s="141">
        <v>0.52196460300000003</v>
      </c>
      <c r="Q170" s="141">
        <v>0.66106715155860996</v>
      </c>
      <c r="R170" s="141">
        <v>-1.6572449999999999E-3</v>
      </c>
      <c r="S170" s="143">
        <v>8556</v>
      </c>
      <c r="T170" s="143">
        <v>0.66067096035320905</v>
      </c>
      <c r="U170" s="143">
        <v>0.12853331502211102</v>
      </c>
      <c r="V170" s="143">
        <v>-3.6504090323060301</v>
      </c>
      <c r="W170" s="143">
        <v>0.10285501387252508</v>
      </c>
      <c r="X170" s="144">
        <v>2.7994634</v>
      </c>
      <c r="Y170" s="141">
        <v>0.20005829999999999</v>
      </c>
      <c r="Z170" s="145">
        <v>0.32</v>
      </c>
      <c r="AA170" s="145">
        <v>0.37</v>
      </c>
    </row>
    <row r="171" spans="1:27" x14ac:dyDescent="0.25">
      <c r="A171" s="136">
        <v>169</v>
      </c>
      <c r="B171" s="147" t="s">
        <v>432</v>
      </c>
      <c r="C171" s="147" t="s">
        <v>433</v>
      </c>
      <c r="D171" s="147"/>
      <c r="E171" s="139">
        <v>62</v>
      </c>
      <c r="F171" s="139">
        <v>1762</v>
      </c>
      <c r="G171" s="139" t="s">
        <v>481</v>
      </c>
      <c r="H171" s="139">
        <v>119948</v>
      </c>
      <c r="I171" s="139" t="s">
        <v>482</v>
      </c>
      <c r="J171" s="139">
        <v>4833</v>
      </c>
      <c r="K171" s="140" t="s">
        <v>483</v>
      </c>
      <c r="L171" s="140" t="s">
        <v>484</v>
      </c>
      <c r="M171" s="140" t="s">
        <v>485</v>
      </c>
      <c r="N171" s="141"/>
      <c r="O171" s="142">
        <v>0.49608570000000002</v>
      </c>
      <c r="P171" s="141">
        <v>0.52196460300000003</v>
      </c>
      <c r="Q171" s="141">
        <v>0.66106715155860996</v>
      </c>
      <c r="R171" s="141">
        <v>-1.6572449999999999E-3</v>
      </c>
      <c r="S171" s="143">
        <v>8556</v>
      </c>
      <c r="T171" s="143">
        <v>0.66067096035320905</v>
      </c>
      <c r="U171" s="143">
        <v>0.12853331502211102</v>
      </c>
      <c r="V171" s="143">
        <v>-3.6504090323060301</v>
      </c>
      <c r="W171" s="143">
        <v>0.10285501387252508</v>
      </c>
      <c r="X171" s="144">
        <v>2.7994634</v>
      </c>
      <c r="Y171" s="141">
        <v>0.20005829999999999</v>
      </c>
      <c r="Z171" s="145">
        <v>0.32</v>
      </c>
      <c r="AA171" s="145">
        <v>0.37</v>
      </c>
    </row>
    <row r="172" spans="1:27" x14ac:dyDescent="0.25">
      <c r="A172" s="136">
        <v>170</v>
      </c>
      <c r="B172" s="147" t="s">
        <v>432</v>
      </c>
      <c r="C172" s="147" t="s">
        <v>433</v>
      </c>
      <c r="D172" s="147"/>
      <c r="E172" s="139">
        <v>63</v>
      </c>
      <c r="F172" s="139">
        <v>1751</v>
      </c>
      <c r="G172" s="139" t="s">
        <v>486</v>
      </c>
      <c r="H172" s="139">
        <v>120260</v>
      </c>
      <c r="I172" s="139" t="s">
        <v>487</v>
      </c>
      <c r="J172" s="139">
        <v>3799</v>
      </c>
      <c r="K172" s="140" t="s">
        <v>488</v>
      </c>
      <c r="L172" s="140" t="s">
        <v>489</v>
      </c>
      <c r="M172" s="140" t="s">
        <v>490</v>
      </c>
      <c r="N172" s="141"/>
      <c r="O172" s="142">
        <v>0.49608570000000002</v>
      </c>
      <c r="P172" s="141">
        <v>0.52196460300000003</v>
      </c>
      <c r="Q172" s="141">
        <v>0.66106715155860996</v>
      </c>
      <c r="R172" s="141">
        <v>-1.6572449999999999E-3</v>
      </c>
      <c r="S172" s="143">
        <v>8556</v>
      </c>
      <c r="T172" s="143">
        <v>0.66067096035320905</v>
      </c>
      <c r="U172" s="143">
        <v>0.12853331502211102</v>
      </c>
      <c r="V172" s="143">
        <v>-3.6504090323060301</v>
      </c>
      <c r="W172" s="143">
        <v>0.10285501387252508</v>
      </c>
      <c r="X172" s="144">
        <v>2.7994634</v>
      </c>
      <c r="Y172" s="141">
        <v>0.20005829999999999</v>
      </c>
      <c r="Z172" s="145">
        <v>0.32</v>
      </c>
      <c r="AA172" s="145">
        <v>0.37</v>
      </c>
    </row>
    <row r="173" spans="1:27" x14ac:dyDescent="0.25">
      <c r="A173" s="136">
        <v>171</v>
      </c>
      <c r="B173" s="147" t="s">
        <v>432</v>
      </c>
      <c r="C173" s="147" t="s">
        <v>433</v>
      </c>
      <c r="D173" s="147"/>
      <c r="E173" s="139">
        <v>64</v>
      </c>
      <c r="F173" s="139">
        <v>1761</v>
      </c>
      <c r="G173" s="139" t="s">
        <v>491</v>
      </c>
      <c r="H173" s="139">
        <v>120512</v>
      </c>
      <c r="I173" s="139" t="s">
        <v>492</v>
      </c>
      <c r="J173" s="139">
        <v>3797</v>
      </c>
      <c r="K173" s="140" t="s">
        <v>493</v>
      </c>
      <c r="L173" s="140"/>
      <c r="M173" s="140"/>
      <c r="N173" s="141"/>
      <c r="O173" s="142">
        <v>0.49608570000000002</v>
      </c>
      <c r="P173" s="141">
        <v>0.52196460300000003</v>
      </c>
      <c r="Q173" s="141">
        <v>0.66106715155860996</v>
      </c>
      <c r="R173" s="141">
        <v>-1.6572449999999999E-3</v>
      </c>
      <c r="S173" s="143">
        <v>8556</v>
      </c>
      <c r="T173" s="143">
        <v>0.66067096035320905</v>
      </c>
      <c r="U173" s="143">
        <v>0.12853331502211102</v>
      </c>
      <c r="V173" s="143">
        <v>-3.6504090323060301</v>
      </c>
      <c r="W173" s="143">
        <v>0.10285501387252508</v>
      </c>
      <c r="X173" s="144">
        <v>2.7994634</v>
      </c>
      <c r="Y173" s="141">
        <v>0.20005829999999999</v>
      </c>
      <c r="Z173" s="145">
        <v>0.32</v>
      </c>
      <c r="AA173" s="145">
        <v>0.37</v>
      </c>
    </row>
    <row r="174" spans="1:27" x14ac:dyDescent="0.25">
      <c r="A174" s="136">
        <v>172</v>
      </c>
      <c r="B174" s="138" t="s">
        <v>432</v>
      </c>
      <c r="C174" s="138" t="s">
        <v>433</v>
      </c>
      <c r="D174" s="138"/>
      <c r="E174" s="139">
        <v>71</v>
      </c>
      <c r="F174" s="139">
        <v>158</v>
      </c>
      <c r="G174" s="139" t="s">
        <v>494</v>
      </c>
      <c r="H174" s="139"/>
      <c r="I174" s="139"/>
      <c r="J174" s="139">
        <v>4899</v>
      </c>
      <c r="K174" s="140" t="s">
        <v>495</v>
      </c>
      <c r="L174" s="140"/>
      <c r="M174" s="140"/>
      <c r="N174" s="141"/>
      <c r="O174" s="142">
        <v>0.49608570000000002</v>
      </c>
      <c r="P174" s="141">
        <v>0.52196460300000003</v>
      </c>
      <c r="Q174" s="141">
        <v>0.66106715155860996</v>
      </c>
      <c r="R174" s="141">
        <v>-1.6572449999999999E-3</v>
      </c>
      <c r="S174" s="146"/>
      <c r="T174" s="146">
        <v>0.757382</v>
      </c>
      <c r="U174" s="146">
        <v>8.9023092301607001E-2</v>
      </c>
      <c r="V174" s="146">
        <v>-3.624676</v>
      </c>
      <c r="W174" s="146">
        <v>6.7228474802671079E-2</v>
      </c>
      <c r="X174" s="144">
        <v>2.7994634</v>
      </c>
      <c r="Y174" s="141">
        <v>0.20005829999999999</v>
      </c>
      <c r="Z174" s="145">
        <v>0.42708374999999998</v>
      </c>
      <c r="AA174" s="145">
        <v>0.42312500000000003</v>
      </c>
    </row>
    <row r="175" spans="1:27" x14ac:dyDescent="0.25">
      <c r="A175" s="136">
        <v>173</v>
      </c>
      <c r="B175" s="138" t="s">
        <v>432</v>
      </c>
      <c r="C175" s="138" t="s">
        <v>433</v>
      </c>
      <c r="D175" s="138"/>
      <c r="E175" s="139">
        <v>72</v>
      </c>
      <c r="F175" s="139">
        <v>36</v>
      </c>
      <c r="G175" s="139" t="s">
        <v>496</v>
      </c>
      <c r="H175" s="139">
        <v>80824</v>
      </c>
      <c r="I175" s="139" t="s">
        <v>497</v>
      </c>
      <c r="J175" s="139">
        <v>84</v>
      </c>
      <c r="K175" s="140" t="s">
        <v>498</v>
      </c>
      <c r="L175" s="140" t="s">
        <v>499</v>
      </c>
      <c r="M175" s="140" t="s">
        <v>500</v>
      </c>
      <c r="N175" s="141"/>
      <c r="O175" s="142">
        <v>0.49608570000000002</v>
      </c>
      <c r="P175" s="141">
        <v>0.52196460300000003</v>
      </c>
      <c r="Q175" s="141">
        <v>0.66106715155860996</v>
      </c>
      <c r="R175" s="141">
        <v>-1.6572449999999999E-3</v>
      </c>
      <c r="S175" s="146"/>
      <c r="T175" s="146">
        <v>0.757382</v>
      </c>
      <c r="U175" s="146">
        <v>8.9023092301607001E-2</v>
      </c>
      <c r="V175" s="146">
        <v>-3.624676</v>
      </c>
      <c r="W175" s="146">
        <v>6.7228474802671079E-2</v>
      </c>
      <c r="X175" s="144">
        <v>2.7994634</v>
      </c>
      <c r="Y175" s="141">
        <v>0.20005829999999999</v>
      </c>
      <c r="Z175" s="145">
        <v>0.42708374999999998</v>
      </c>
      <c r="AA175" s="145">
        <v>0.42312500000000003</v>
      </c>
    </row>
    <row r="176" spans="1:27" x14ac:dyDescent="0.25">
      <c r="A176" s="136">
        <v>174</v>
      </c>
      <c r="B176" s="138" t="s">
        <v>432</v>
      </c>
      <c r="C176" s="138" t="s">
        <v>433</v>
      </c>
      <c r="D176" s="138"/>
      <c r="E176" s="139">
        <v>73</v>
      </c>
      <c r="F176" s="139">
        <v>327</v>
      </c>
      <c r="G176" s="139" t="s">
        <v>501</v>
      </c>
      <c r="H176" s="139">
        <v>447038</v>
      </c>
      <c r="I176" s="139" t="s">
        <v>502</v>
      </c>
      <c r="J176" s="139">
        <v>1034</v>
      </c>
      <c r="K176" s="140" t="s">
        <v>503</v>
      </c>
      <c r="L176" s="140" t="s">
        <v>504</v>
      </c>
      <c r="M176" s="140" t="s">
        <v>505</v>
      </c>
      <c r="N176" s="141"/>
      <c r="O176" s="142">
        <v>0.49608570000000002</v>
      </c>
      <c r="P176" s="141">
        <v>0.52196460300000003</v>
      </c>
      <c r="Q176" s="141">
        <v>0.66106715155860996</v>
      </c>
      <c r="R176" s="141">
        <v>-1.6572449999999999E-3</v>
      </c>
      <c r="S176" s="146"/>
      <c r="T176" s="146">
        <v>0.757382</v>
      </c>
      <c r="U176" s="146">
        <v>8.9023092301607001E-2</v>
      </c>
      <c r="V176" s="146">
        <v>-3.624676</v>
      </c>
      <c r="W176" s="146">
        <v>6.7228474802671079E-2</v>
      </c>
      <c r="X176" s="144">
        <v>2.7994634</v>
      </c>
      <c r="Y176" s="141">
        <v>0.20005829999999999</v>
      </c>
      <c r="Z176" s="145">
        <v>0.42708374999999998</v>
      </c>
      <c r="AA176" s="145">
        <v>0.42312500000000003</v>
      </c>
    </row>
    <row r="177" spans="1:27" x14ac:dyDescent="0.25">
      <c r="A177" s="136">
        <v>175</v>
      </c>
      <c r="B177" s="138" t="s">
        <v>432</v>
      </c>
      <c r="C177" s="138" t="s">
        <v>433</v>
      </c>
      <c r="D177" s="138"/>
      <c r="E177" s="139">
        <v>76</v>
      </c>
      <c r="F177" s="139">
        <v>331</v>
      </c>
      <c r="G177" s="139" t="s">
        <v>506</v>
      </c>
      <c r="H177" s="139">
        <v>89323</v>
      </c>
      <c r="I177" s="139" t="s">
        <v>507</v>
      </c>
      <c r="J177" s="139">
        <v>956</v>
      </c>
      <c r="K177" s="140" t="s">
        <v>508</v>
      </c>
      <c r="L177" s="140"/>
      <c r="M177" s="140"/>
      <c r="N177" s="141"/>
      <c r="O177" s="142">
        <v>0.49608570000000002</v>
      </c>
      <c r="P177" s="141">
        <v>0.52196460300000003</v>
      </c>
      <c r="Q177" s="141">
        <v>0.66106715155860996</v>
      </c>
      <c r="R177" s="141">
        <v>-1.6572449999999999E-3</v>
      </c>
      <c r="S177" s="146"/>
      <c r="T177" s="146">
        <v>0.757382</v>
      </c>
      <c r="U177" s="146">
        <v>8.9023092301607001E-2</v>
      </c>
      <c r="V177" s="146">
        <v>-3.624676</v>
      </c>
      <c r="W177" s="146">
        <v>6.7228474802671079E-2</v>
      </c>
      <c r="X177" s="144">
        <v>2.7994634</v>
      </c>
      <c r="Y177" s="141">
        <v>0.20005829999999999</v>
      </c>
      <c r="Z177" s="145">
        <v>0.42708374999999998</v>
      </c>
      <c r="AA177" s="145">
        <v>0.42312500000000003</v>
      </c>
    </row>
    <row r="178" spans="1:27" x14ac:dyDescent="0.25">
      <c r="A178" s="136">
        <v>176</v>
      </c>
      <c r="B178" s="138" t="s">
        <v>432</v>
      </c>
      <c r="C178" s="138" t="s">
        <v>433</v>
      </c>
      <c r="D178" s="138"/>
      <c r="E178" s="139">
        <v>79</v>
      </c>
      <c r="F178" s="139">
        <v>717</v>
      </c>
      <c r="G178" s="139" t="s">
        <v>509</v>
      </c>
      <c r="H178" s="139">
        <v>89308</v>
      </c>
      <c r="I178" s="139" t="s">
        <v>510</v>
      </c>
      <c r="J178" s="139">
        <v>4835</v>
      </c>
      <c r="K178" s="140" t="s">
        <v>511</v>
      </c>
      <c r="L178" s="140" t="s">
        <v>512</v>
      </c>
      <c r="M178" s="140" t="s">
        <v>513</v>
      </c>
      <c r="N178" s="141"/>
      <c r="O178" s="142">
        <v>0.49608570000000002</v>
      </c>
      <c r="P178" s="141">
        <v>0.52196460300000003</v>
      </c>
      <c r="Q178" s="141">
        <v>0.66106715155860996</v>
      </c>
      <c r="R178" s="141">
        <v>-1.6572449999999999E-3</v>
      </c>
      <c r="S178" s="146"/>
      <c r="T178" s="146">
        <v>0.757382</v>
      </c>
      <c r="U178" s="146">
        <v>8.9023092301607001E-2</v>
      </c>
      <c r="V178" s="146">
        <v>-3.624676</v>
      </c>
      <c r="W178" s="146">
        <v>6.7228474802671079E-2</v>
      </c>
      <c r="X178" s="144">
        <v>2.7994634</v>
      </c>
      <c r="Y178" s="141">
        <v>0.20005829999999999</v>
      </c>
      <c r="Z178" s="145">
        <v>0.42708374999999998</v>
      </c>
      <c r="AA178" s="145">
        <v>0.42312500000000003</v>
      </c>
    </row>
    <row r="179" spans="1:27" x14ac:dyDescent="0.25">
      <c r="A179" s="136">
        <v>177</v>
      </c>
      <c r="B179" s="138" t="s">
        <v>432</v>
      </c>
      <c r="C179" s="138" t="s">
        <v>433</v>
      </c>
      <c r="D179" s="138"/>
      <c r="E179" s="139">
        <v>80</v>
      </c>
      <c r="F179" s="139">
        <v>1111</v>
      </c>
      <c r="G179" s="139" t="s">
        <v>514</v>
      </c>
      <c r="H179" s="139">
        <v>106361</v>
      </c>
      <c r="I179" s="139" t="s">
        <v>515</v>
      </c>
      <c r="J179" s="139">
        <v>4813</v>
      </c>
      <c r="K179" s="140" t="s">
        <v>516</v>
      </c>
      <c r="L179" s="140" t="s">
        <v>517</v>
      </c>
      <c r="M179" s="140" t="s">
        <v>518</v>
      </c>
      <c r="N179" s="141"/>
      <c r="O179" s="142">
        <v>0.49608570000000002</v>
      </c>
      <c r="P179" s="141">
        <v>0.52196460300000003</v>
      </c>
      <c r="Q179" s="141">
        <v>0.66106715155860996</v>
      </c>
      <c r="R179" s="141">
        <v>-1.6572449999999999E-3</v>
      </c>
      <c r="S179" s="146"/>
      <c r="T179" s="146">
        <v>0.757382</v>
      </c>
      <c r="U179" s="146">
        <v>8.9023092301607001E-2</v>
      </c>
      <c r="V179" s="146">
        <v>-3.624676</v>
      </c>
      <c r="W179" s="146">
        <v>6.7228474802671079E-2</v>
      </c>
      <c r="X179" s="144">
        <v>2.7994634</v>
      </c>
      <c r="Y179" s="141">
        <v>0.20005829999999999</v>
      </c>
      <c r="Z179" s="145">
        <v>0.42708374999999998</v>
      </c>
      <c r="AA179" s="145">
        <v>0.42312500000000003</v>
      </c>
    </row>
    <row r="180" spans="1:27" x14ac:dyDescent="0.25">
      <c r="A180" s="136">
        <v>178</v>
      </c>
      <c r="B180" s="138" t="s">
        <v>432</v>
      </c>
      <c r="C180" s="138" t="s">
        <v>433</v>
      </c>
      <c r="D180" s="138"/>
      <c r="E180" s="139">
        <v>81</v>
      </c>
      <c r="F180" s="139">
        <v>1167</v>
      </c>
      <c r="G180" s="139" t="s">
        <v>519</v>
      </c>
      <c r="H180" s="139">
        <v>80334</v>
      </c>
      <c r="I180" s="139" t="s">
        <v>520</v>
      </c>
      <c r="J180" s="139">
        <v>54</v>
      </c>
      <c r="K180" s="140" t="s">
        <v>521</v>
      </c>
      <c r="L180" s="140" t="s">
        <v>522</v>
      </c>
      <c r="M180" s="140" t="s">
        <v>523</v>
      </c>
      <c r="N180" s="141"/>
      <c r="O180" s="142">
        <v>0.49608570000000002</v>
      </c>
      <c r="P180" s="141">
        <v>0.52196460300000003</v>
      </c>
      <c r="Q180" s="141">
        <v>0.66106715155860996</v>
      </c>
      <c r="R180" s="141">
        <v>-1.6572449999999999E-3</v>
      </c>
      <c r="S180" s="146"/>
      <c r="T180" s="146">
        <v>0.757382</v>
      </c>
      <c r="U180" s="146">
        <v>8.9023092301607001E-2</v>
      </c>
      <c r="V180" s="146">
        <v>-3.624676</v>
      </c>
      <c r="W180" s="146">
        <v>6.7228474802671079E-2</v>
      </c>
      <c r="X180" s="144">
        <v>2.7994634</v>
      </c>
      <c r="Y180" s="141">
        <v>0.20005829999999999</v>
      </c>
      <c r="Z180" s="145">
        <v>0.42708374999999998</v>
      </c>
      <c r="AA180" s="145">
        <v>0.42312500000000003</v>
      </c>
    </row>
    <row r="181" spans="1:27" x14ac:dyDescent="0.25">
      <c r="A181" s="136">
        <v>179</v>
      </c>
      <c r="B181" s="147" t="s">
        <v>432</v>
      </c>
      <c r="C181" s="147" t="s">
        <v>433</v>
      </c>
      <c r="D181" s="147"/>
      <c r="E181" s="139">
        <v>82</v>
      </c>
      <c r="F181" s="139">
        <v>1209</v>
      </c>
      <c r="G181" s="139" t="s">
        <v>524</v>
      </c>
      <c r="H181" s="139">
        <v>79693</v>
      </c>
      <c r="I181" s="139" t="s">
        <v>525</v>
      </c>
      <c r="J181" s="139">
        <v>4</v>
      </c>
      <c r="K181" s="140" t="s">
        <v>526</v>
      </c>
      <c r="L181" s="140" t="s">
        <v>527</v>
      </c>
      <c r="M181" s="140" t="s">
        <v>528</v>
      </c>
      <c r="N181" s="141"/>
      <c r="O181" s="142">
        <v>0.49608570000000002</v>
      </c>
      <c r="P181" s="141">
        <v>0.52196460300000003</v>
      </c>
      <c r="Q181" s="141">
        <v>0.66106715155860996</v>
      </c>
      <c r="R181" s="141">
        <v>-1.6572449999999999E-3</v>
      </c>
      <c r="S181" s="146"/>
      <c r="T181" s="146">
        <v>0.757382</v>
      </c>
      <c r="U181" s="146">
        <v>8.9023092301607001E-2</v>
      </c>
      <c r="V181" s="146">
        <v>-3.624676</v>
      </c>
      <c r="W181" s="146">
        <v>6.7228474802671079E-2</v>
      </c>
      <c r="X181" s="144">
        <v>2.7994634</v>
      </c>
      <c r="Y181" s="141">
        <v>0.20005829999999999</v>
      </c>
      <c r="Z181" s="145">
        <v>0.42708374999999998</v>
      </c>
      <c r="AA181" s="145">
        <v>0.42312500000000003</v>
      </c>
    </row>
    <row r="182" spans="1:27" x14ac:dyDescent="0.25">
      <c r="A182" s="136">
        <v>180</v>
      </c>
      <c r="B182" s="147" t="s">
        <v>432</v>
      </c>
      <c r="C182" s="147" t="s">
        <v>433</v>
      </c>
      <c r="D182" s="147"/>
      <c r="E182" s="139">
        <v>83</v>
      </c>
      <c r="F182" s="139">
        <v>1471</v>
      </c>
      <c r="G182" s="139" t="s">
        <v>529</v>
      </c>
      <c r="H182" s="139">
        <v>95048</v>
      </c>
      <c r="I182" s="139" t="s">
        <v>530</v>
      </c>
      <c r="J182" s="139">
        <v>1456</v>
      </c>
      <c r="K182" s="140" t="s">
        <v>531</v>
      </c>
      <c r="L182" s="140"/>
      <c r="M182" s="140"/>
      <c r="N182" s="141"/>
      <c r="O182" s="142">
        <v>0.49608570000000002</v>
      </c>
      <c r="P182" s="141">
        <v>0.52196460300000003</v>
      </c>
      <c r="Q182" s="141">
        <v>0.66106715155860996</v>
      </c>
      <c r="R182" s="141">
        <v>-1.6572449999999999E-3</v>
      </c>
      <c r="S182" s="146"/>
      <c r="T182" s="146">
        <v>0.757382</v>
      </c>
      <c r="U182" s="146">
        <v>8.9023092301607001E-2</v>
      </c>
      <c r="V182" s="146">
        <v>-3.624676</v>
      </c>
      <c r="W182" s="146">
        <v>6.7228474802671079E-2</v>
      </c>
      <c r="X182" s="144">
        <v>2.7994634</v>
      </c>
      <c r="Y182" s="141">
        <v>0.20005829999999999</v>
      </c>
      <c r="Z182" s="145">
        <v>0.42708374999999998</v>
      </c>
      <c r="AA182" s="145">
        <v>0.42312500000000003</v>
      </c>
    </row>
    <row r="183" spans="1:27" x14ac:dyDescent="0.25">
      <c r="A183" s="136">
        <v>181</v>
      </c>
      <c r="B183" s="138" t="s">
        <v>432</v>
      </c>
      <c r="C183" s="138" t="s">
        <v>433</v>
      </c>
      <c r="D183" s="138"/>
      <c r="E183" s="139">
        <v>85</v>
      </c>
      <c r="F183" s="139">
        <v>1459</v>
      </c>
      <c r="G183" s="139" t="s">
        <v>532</v>
      </c>
      <c r="H183" s="139">
        <v>113750</v>
      </c>
      <c r="I183" s="139" t="s">
        <v>533</v>
      </c>
      <c r="J183" s="139">
        <v>3295</v>
      </c>
      <c r="K183" s="140" t="s">
        <v>534</v>
      </c>
      <c r="L183" s="140" t="s">
        <v>535</v>
      </c>
      <c r="M183" s="140" t="s">
        <v>536</v>
      </c>
      <c r="N183" s="141"/>
      <c r="O183" s="142">
        <v>0.49608570000000002</v>
      </c>
      <c r="P183" s="141">
        <v>0.52196460300000003</v>
      </c>
      <c r="Q183" s="141">
        <v>0.66106715155860996</v>
      </c>
      <c r="R183" s="141">
        <v>-1.6572449999999999E-3</v>
      </c>
      <c r="S183" s="146"/>
      <c r="T183" s="146">
        <v>0.757382</v>
      </c>
      <c r="U183" s="146">
        <v>8.9023092301607001E-2</v>
      </c>
      <c r="V183" s="146">
        <v>-3.624676</v>
      </c>
      <c r="W183" s="146">
        <v>6.7228474802671079E-2</v>
      </c>
      <c r="X183" s="144">
        <v>2.7994634</v>
      </c>
      <c r="Y183" s="141">
        <v>0.20005829999999999</v>
      </c>
      <c r="Z183" s="145">
        <v>0.42708374999999998</v>
      </c>
      <c r="AA183" s="145">
        <v>0.42312500000000003</v>
      </c>
    </row>
    <row r="184" spans="1:27" x14ac:dyDescent="0.25">
      <c r="A184" s="136">
        <v>182</v>
      </c>
      <c r="B184" s="138" t="s">
        <v>432</v>
      </c>
      <c r="C184" s="138" t="s">
        <v>433</v>
      </c>
      <c r="D184" s="138"/>
      <c r="E184" s="139">
        <v>86</v>
      </c>
      <c r="F184" s="139">
        <v>1939</v>
      </c>
      <c r="G184" s="139" t="s">
        <v>537</v>
      </c>
      <c r="H184" s="139">
        <v>160932</v>
      </c>
      <c r="I184" s="139" t="s">
        <v>538</v>
      </c>
      <c r="J184" s="139">
        <v>4414</v>
      </c>
      <c r="K184" s="140" t="s">
        <v>539</v>
      </c>
      <c r="L184" s="140"/>
      <c r="M184" s="140"/>
      <c r="N184" s="141"/>
      <c r="O184" s="142">
        <v>0.49608570000000002</v>
      </c>
      <c r="P184" s="141">
        <v>0.52196460300000003</v>
      </c>
      <c r="Q184" s="141">
        <v>0.66106715155860996</v>
      </c>
      <c r="R184" s="141">
        <v>-1.6572449999999999E-3</v>
      </c>
      <c r="S184" s="143">
        <v>8398</v>
      </c>
      <c r="T184" s="143">
        <v>0.85731635910327997</v>
      </c>
      <c r="U184" s="143">
        <v>8.6766642226222004E-2</v>
      </c>
      <c r="V184" s="143">
        <v>-4.3423796273494197</v>
      </c>
      <c r="W184" s="143">
        <v>5.5331760334129176E-2</v>
      </c>
      <c r="X184" s="144">
        <v>2.7994634</v>
      </c>
      <c r="Y184" s="141">
        <v>0.20005829999999999</v>
      </c>
      <c r="Z184" s="145">
        <v>0.42188999999999999</v>
      </c>
      <c r="AA184" s="145">
        <v>0.41499999999999998</v>
      </c>
    </row>
    <row r="185" spans="1:27" x14ac:dyDescent="0.25">
      <c r="A185" s="136">
        <v>183</v>
      </c>
      <c r="B185" s="138" t="s">
        <v>432</v>
      </c>
      <c r="C185" s="138" t="s">
        <v>433</v>
      </c>
      <c r="D185" s="138"/>
      <c r="E185" s="139">
        <v>87</v>
      </c>
      <c r="F185" s="139">
        <v>2033</v>
      </c>
      <c r="G185" s="139" t="s">
        <v>540</v>
      </c>
      <c r="H185" s="139">
        <v>126662</v>
      </c>
      <c r="I185" s="139" t="s">
        <v>541</v>
      </c>
      <c r="J185" s="139">
        <v>4418</v>
      </c>
      <c r="K185" s="140" t="s">
        <v>542</v>
      </c>
      <c r="L185" s="140" t="s">
        <v>543</v>
      </c>
      <c r="M185" s="140" t="s">
        <v>544</v>
      </c>
      <c r="N185" s="141"/>
      <c r="O185" s="142">
        <v>0.49608570000000002</v>
      </c>
      <c r="P185" s="141">
        <v>0.52196460300000003</v>
      </c>
      <c r="Q185" s="141">
        <v>0.66106715155860996</v>
      </c>
      <c r="R185" s="141">
        <v>-1.6572449999999999E-3</v>
      </c>
      <c r="S185" s="143">
        <v>8398</v>
      </c>
      <c r="T185" s="143">
        <v>0.85731635910327997</v>
      </c>
      <c r="U185" s="143">
        <v>8.6766642226222004E-2</v>
      </c>
      <c r="V185" s="143">
        <v>-4.3423796273494197</v>
      </c>
      <c r="W185" s="143">
        <v>5.5331760334129176E-2</v>
      </c>
      <c r="X185" s="144">
        <v>2.7994634</v>
      </c>
      <c r="Y185" s="141">
        <v>0.20005829999999999</v>
      </c>
      <c r="Z185" s="145">
        <v>0.42188999999999999</v>
      </c>
      <c r="AA185" s="145">
        <v>0.41499999999999998</v>
      </c>
    </row>
    <row r="186" spans="1:27" x14ac:dyDescent="0.25">
      <c r="A186" s="136">
        <v>184</v>
      </c>
      <c r="B186" s="138" t="s">
        <v>432</v>
      </c>
      <c r="C186" s="138" t="s">
        <v>433</v>
      </c>
      <c r="D186" s="138"/>
      <c r="E186" s="139">
        <v>88</v>
      </c>
      <c r="F186" s="139">
        <v>1942</v>
      </c>
      <c r="G186" s="139" t="s">
        <v>545</v>
      </c>
      <c r="H186" s="139">
        <v>126667</v>
      </c>
      <c r="I186" s="139" t="s">
        <v>546</v>
      </c>
      <c r="J186" s="139">
        <v>4416</v>
      </c>
      <c r="K186" s="140" t="s">
        <v>547</v>
      </c>
      <c r="L186" s="140"/>
      <c r="M186" s="140"/>
      <c r="N186" s="141"/>
      <c r="O186" s="142">
        <v>0.49608570000000002</v>
      </c>
      <c r="P186" s="141">
        <v>0.52196460300000003</v>
      </c>
      <c r="Q186" s="141">
        <v>0.66106715155860996</v>
      </c>
      <c r="R186" s="141">
        <v>-1.6572449999999999E-3</v>
      </c>
      <c r="S186" s="143">
        <v>8398</v>
      </c>
      <c r="T186" s="143">
        <v>0.85731635910327997</v>
      </c>
      <c r="U186" s="143">
        <v>8.6766642226222004E-2</v>
      </c>
      <c r="V186" s="143">
        <v>-4.3423796273494197</v>
      </c>
      <c r="W186" s="143">
        <v>5.5331760334129176E-2</v>
      </c>
      <c r="X186" s="144">
        <v>2.7994634</v>
      </c>
      <c r="Y186" s="141">
        <v>0.20005829999999999</v>
      </c>
      <c r="Z186" s="145">
        <v>0.42188999999999999</v>
      </c>
      <c r="AA186" s="145">
        <v>0.41499999999999998</v>
      </c>
    </row>
    <row r="187" spans="1:27" x14ac:dyDescent="0.25">
      <c r="A187" s="136">
        <v>185</v>
      </c>
      <c r="B187" s="138" t="s">
        <v>432</v>
      </c>
      <c r="C187" s="138" t="s">
        <v>433</v>
      </c>
      <c r="D187" s="138"/>
      <c r="E187" s="139">
        <v>91</v>
      </c>
      <c r="F187" s="139">
        <v>1406</v>
      </c>
      <c r="G187" s="139" t="s">
        <v>548</v>
      </c>
      <c r="H187" s="139">
        <v>115110</v>
      </c>
      <c r="I187" s="139" t="s">
        <v>549</v>
      </c>
      <c r="J187" s="139">
        <v>3403</v>
      </c>
      <c r="K187" s="140" t="s">
        <v>550</v>
      </c>
      <c r="L187" s="140" t="s">
        <v>551</v>
      </c>
      <c r="M187" s="140" t="s">
        <v>552</v>
      </c>
      <c r="N187" s="141"/>
      <c r="O187" s="142">
        <v>0.49608570000000002</v>
      </c>
      <c r="P187" s="141">
        <v>0.52196460300000003</v>
      </c>
      <c r="Q187" s="141">
        <v>0.66106715155860996</v>
      </c>
      <c r="R187" s="141">
        <v>-1.6572449999999999E-3</v>
      </c>
      <c r="S187" s="143">
        <v>577</v>
      </c>
      <c r="T187" s="143">
        <v>0.81469589866345804</v>
      </c>
      <c r="U187" s="143">
        <v>3.4659390317150998E-2</v>
      </c>
      <c r="V187" s="143">
        <v>-3.6847888343061399</v>
      </c>
      <c r="W187" s="143">
        <v>3.8637538712879081E-2</v>
      </c>
      <c r="X187" s="144">
        <v>2.7994634</v>
      </c>
      <c r="Y187" s="141">
        <v>0.20005829999999999</v>
      </c>
      <c r="Z187" s="148">
        <v>0.42708374999999998</v>
      </c>
      <c r="AA187" s="148">
        <v>0.42312500000000003</v>
      </c>
    </row>
    <row r="188" spans="1:27" x14ac:dyDescent="0.25">
      <c r="A188" s="136">
        <v>186</v>
      </c>
      <c r="B188" s="138" t="s">
        <v>432</v>
      </c>
      <c r="C188" s="138" t="s">
        <v>433</v>
      </c>
      <c r="D188" s="138"/>
      <c r="E188" s="139">
        <v>92</v>
      </c>
      <c r="F188" s="139">
        <v>1408</v>
      </c>
      <c r="G188" s="139" t="s">
        <v>553</v>
      </c>
      <c r="H188" s="139">
        <v>115168</v>
      </c>
      <c r="I188" s="139" t="s">
        <v>554</v>
      </c>
      <c r="J188" s="139">
        <v>3405</v>
      </c>
      <c r="K188" s="140" t="s">
        <v>555</v>
      </c>
      <c r="L188" s="140" t="s">
        <v>556</v>
      </c>
      <c r="M188" s="140" t="s">
        <v>557</v>
      </c>
      <c r="N188" s="141"/>
      <c r="O188" s="142">
        <v>0.49608570000000002</v>
      </c>
      <c r="P188" s="141">
        <v>0.52196460300000003</v>
      </c>
      <c r="Q188" s="141">
        <v>0.66106715155860996</v>
      </c>
      <c r="R188" s="141">
        <v>-1.6572449999999999E-3</v>
      </c>
      <c r="S188" s="143">
        <v>577</v>
      </c>
      <c r="T188" s="143">
        <v>0.81469589866345804</v>
      </c>
      <c r="U188" s="143">
        <v>3.4659390317150998E-2</v>
      </c>
      <c r="V188" s="143">
        <v>-3.6847888343061399</v>
      </c>
      <c r="W188" s="143">
        <v>3.8637538712879081E-2</v>
      </c>
      <c r="X188" s="144">
        <v>2.7994634</v>
      </c>
      <c r="Y188" s="141">
        <v>0.20005829999999999</v>
      </c>
      <c r="Z188" s="148">
        <v>0.42708374999999998</v>
      </c>
      <c r="AA188" s="148">
        <v>0.42312500000000003</v>
      </c>
    </row>
    <row r="189" spans="1:27" x14ac:dyDescent="0.25">
      <c r="A189" s="136">
        <v>187</v>
      </c>
      <c r="B189" s="149" t="s">
        <v>432</v>
      </c>
      <c r="C189" s="149" t="s">
        <v>433</v>
      </c>
      <c r="D189" s="149" t="s">
        <v>434</v>
      </c>
      <c r="E189" s="139">
        <v>93</v>
      </c>
      <c r="F189" s="139">
        <v>1411</v>
      </c>
      <c r="G189" s="139" t="s">
        <v>558</v>
      </c>
      <c r="H189" s="139">
        <v>115145</v>
      </c>
      <c r="I189" s="139" t="s">
        <v>559</v>
      </c>
      <c r="J189" s="139">
        <v>3406</v>
      </c>
      <c r="K189" s="140" t="s">
        <v>560</v>
      </c>
      <c r="L189" s="140" t="s">
        <v>561</v>
      </c>
      <c r="M189" s="140" t="s">
        <v>562</v>
      </c>
      <c r="N189" s="141"/>
      <c r="O189" s="142">
        <v>0.49608570000000002</v>
      </c>
      <c r="P189" s="141">
        <v>0.52196460300000003</v>
      </c>
      <c r="Q189" s="141">
        <v>0.66106715155860996</v>
      </c>
      <c r="R189" s="141">
        <v>-1.6572449999999999E-3</v>
      </c>
      <c r="S189" s="143">
        <v>2206</v>
      </c>
      <c r="T189" s="143">
        <v>0.68822412699410096</v>
      </c>
      <c r="U189" s="143">
        <v>6.5447196267932981E-2</v>
      </c>
      <c r="V189" s="143">
        <v>-2.19838322356371</v>
      </c>
      <c r="W189" s="143">
        <v>6.043135580992838E-2</v>
      </c>
      <c r="X189" s="144">
        <v>2.7994634</v>
      </c>
      <c r="Y189" s="141">
        <v>0.20005829999999999</v>
      </c>
      <c r="Z189" s="150">
        <v>0.35300999999999999</v>
      </c>
      <c r="AA189" s="150">
        <v>0.34</v>
      </c>
    </row>
    <row r="190" spans="1:27" x14ac:dyDescent="0.25">
      <c r="A190" s="136">
        <v>188</v>
      </c>
      <c r="B190" s="138" t="s">
        <v>432</v>
      </c>
      <c r="C190" s="138" t="s">
        <v>433</v>
      </c>
      <c r="D190" s="138"/>
      <c r="E190" s="139">
        <v>97</v>
      </c>
      <c r="F190" s="139">
        <v>530</v>
      </c>
      <c r="G190" s="139" t="s">
        <v>563</v>
      </c>
      <c r="H190" s="139">
        <v>104715</v>
      </c>
      <c r="I190" s="139" t="s">
        <v>564</v>
      </c>
      <c r="J190" s="139">
        <v>2358</v>
      </c>
      <c r="K190" s="140" t="s">
        <v>565</v>
      </c>
      <c r="L190" s="140" t="s">
        <v>566</v>
      </c>
      <c r="M190" s="140" t="s">
        <v>567</v>
      </c>
      <c r="N190" s="141"/>
      <c r="O190" s="142">
        <v>0.49608570000000002</v>
      </c>
      <c r="P190" s="141">
        <v>0.52196460300000003</v>
      </c>
      <c r="Q190" s="141">
        <v>0.66106715155860996</v>
      </c>
      <c r="R190" s="141">
        <v>-1.6572449999999999E-3</v>
      </c>
      <c r="S190" s="146"/>
      <c r="T190" s="146">
        <v>0.757382</v>
      </c>
      <c r="U190" s="146">
        <v>8.9023092301607001E-2</v>
      </c>
      <c r="V190" s="146">
        <v>-3.624676</v>
      </c>
      <c r="W190" s="146">
        <v>6.7228474802671079E-2</v>
      </c>
      <c r="X190" s="144">
        <v>2.7994634</v>
      </c>
      <c r="Y190" s="141">
        <v>0.20005829999999999</v>
      </c>
      <c r="Z190" s="145">
        <v>0.42708374999999998</v>
      </c>
      <c r="AA190" s="145">
        <v>0.42312500000000003</v>
      </c>
    </row>
    <row r="191" spans="1:27" x14ac:dyDescent="0.25">
      <c r="A191" s="136">
        <v>189</v>
      </c>
      <c r="B191" s="151" t="s">
        <v>432</v>
      </c>
      <c r="C191" s="151" t="s">
        <v>433</v>
      </c>
      <c r="D191" s="151"/>
      <c r="E191" s="139">
        <v>98</v>
      </c>
      <c r="F191" s="139">
        <v>526</v>
      </c>
      <c r="G191" s="139" t="s">
        <v>568</v>
      </c>
      <c r="H191" s="139">
        <v>137048</v>
      </c>
      <c r="I191" s="139" t="s">
        <v>569</v>
      </c>
      <c r="J191" s="139">
        <v>2357</v>
      </c>
      <c r="K191" s="140" t="s">
        <v>570</v>
      </c>
      <c r="L191" s="140" t="s">
        <v>571</v>
      </c>
      <c r="M191" s="140" t="s">
        <v>572</v>
      </c>
      <c r="N191" s="141"/>
      <c r="O191" s="142">
        <v>0.49608570000000002</v>
      </c>
      <c r="P191" s="141">
        <v>0.52196460300000003</v>
      </c>
      <c r="Q191" s="141">
        <v>0.66106715155860996</v>
      </c>
      <c r="R191" s="141">
        <v>-1.6572449999999999E-3</v>
      </c>
      <c r="S191" s="143">
        <v>93</v>
      </c>
      <c r="T191" s="143">
        <v>0.53463816811609999</v>
      </c>
      <c r="U191" s="143">
        <v>0.18672780245639198</v>
      </c>
      <c r="V191" s="143">
        <v>-4.41534883171422</v>
      </c>
      <c r="W191" s="143">
        <v>0.16269330236931009</v>
      </c>
      <c r="X191" s="144">
        <v>2.7994634</v>
      </c>
      <c r="Y191" s="141">
        <v>0.20005829999999999</v>
      </c>
      <c r="Z191" s="148">
        <v>0.42708374999999998</v>
      </c>
      <c r="AA191" s="148">
        <v>0.42312500000000003</v>
      </c>
    </row>
    <row r="192" spans="1:27" x14ac:dyDescent="0.25">
      <c r="A192" s="136">
        <v>190</v>
      </c>
      <c r="B192" s="138" t="s">
        <v>432</v>
      </c>
      <c r="C192" s="138" t="s">
        <v>433</v>
      </c>
      <c r="D192" s="138"/>
      <c r="E192" s="139">
        <v>103</v>
      </c>
      <c r="F192" s="139">
        <v>148</v>
      </c>
      <c r="G192" s="139" t="s">
        <v>573</v>
      </c>
      <c r="H192" s="139">
        <v>92824</v>
      </c>
      <c r="I192" s="139" t="s">
        <v>574</v>
      </c>
      <c r="J192" s="139">
        <v>1258</v>
      </c>
      <c r="K192" s="140" t="s">
        <v>575</v>
      </c>
      <c r="L192" s="140"/>
      <c r="M192" s="140"/>
      <c r="N192" s="141"/>
      <c r="O192" s="142">
        <v>0.49608570000000002</v>
      </c>
      <c r="P192" s="141">
        <v>0.52196460300000003</v>
      </c>
      <c r="Q192" s="141">
        <v>0.66106715155860996</v>
      </c>
      <c r="R192" s="141">
        <v>-1.6572449999999999E-3</v>
      </c>
      <c r="S192" s="146"/>
      <c r="T192" s="146">
        <v>0.757382</v>
      </c>
      <c r="U192" s="146">
        <v>8.9023092301607001E-2</v>
      </c>
      <c r="V192" s="146">
        <v>-3.624676</v>
      </c>
      <c r="W192" s="146">
        <v>6.7228474802671079E-2</v>
      </c>
      <c r="X192" s="144">
        <v>2.7994634</v>
      </c>
      <c r="Y192" s="141">
        <v>0.20005829999999999</v>
      </c>
      <c r="Z192" s="145">
        <v>0.42708374999999998</v>
      </c>
      <c r="AA192" s="145">
        <v>0.42312500000000003</v>
      </c>
    </row>
    <row r="193" spans="1:27" x14ac:dyDescent="0.25">
      <c r="A193" s="136">
        <v>191</v>
      </c>
      <c r="B193" s="138" t="s">
        <v>432</v>
      </c>
      <c r="C193" s="138" t="s">
        <v>433</v>
      </c>
      <c r="D193" s="138"/>
      <c r="E193" s="139">
        <v>104</v>
      </c>
      <c r="F193" s="139">
        <v>149</v>
      </c>
      <c r="G193" s="139" t="s">
        <v>576</v>
      </c>
      <c r="H193" s="139">
        <v>92864</v>
      </c>
      <c r="I193" s="139" t="s">
        <v>577</v>
      </c>
      <c r="J193" s="139">
        <v>1261</v>
      </c>
      <c r="K193" s="140" t="s">
        <v>578</v>
      </c>
      <c r="L193" s="140" t="s">
        <v>579</v>
      </c>
      <c r="M193" s="140" t="s">
        <v>580</v>
      </c>
      <c r="N193" s="141"/>
      <c r="O193" s="142">
        <v>0.49608570000000002</v>
      </c>
      <c r="P193" s="141">
        <v>0.52196460300000003</v>
      </c>
      <c r="Q193" s="141">
        <v>0.66106715155860996</v>
      </c>
      <c r="R193" s="141">
        <v>-1.6572449999999999E-3</v>
      </c>
      <c r="S193" s="146"/>
      <c r="T193" s="146">
        <v>0.757382</v>
      </c>
      <c r="U193" s="146">
        <v>8.9023092301607001E-2</v>
      </c>
      <c r="V193" s="146">
        <v>-3.624676</v>
      </c>
      <c r="W193" s="146">
        <v>6.7228474802671079E-2</v>
      </c>
      <c r="X193" s="144">
        <v>2.7994634</v>
      </c>
      <c r="Y193" s="141">
        <v>0.20005829999999999</v>
      </c>
      <c r="Z193" s="145">
        <v>0.42708374999999998</v>
      </c>
      <c r="AA193" s="145">
        <v>0.42312500000000003</v>
      </c>
    </row>
    <row r="194" spans="1:27" x14ac:dyDescent="0.25">
      <c r="A194" s="136">
        <v>192</v>
      </c>
      <c r="B194" s="138" t="s">
        <v>432</v>
      </c>
      <c r="C194" s="138" t="s">
        <v>433</v>
      </c>
      <c r="D194" s="138"/>
      <c r="E194" s="139">
        <v>105</v>
      </c>
      <c r="F194" s="139">
        <v>151</v>
      </c>
      <c r="G194" s="139" t="s">
        <v>581</v>
      </c>
      <c r="H194" s="139">
        <v>92876</v>
      </c>
      <c r="I194" s="139" t="s">
        <v>582</v>
      </c>
      <c r="J194" s="139">
        <v>1260</v>
      </c>
      <c r="K194" s="140" t="s">
        <v>583</v>
      </c>
      <c r="L194" s="140" t="s">
        <v>584</v>
      </c>
      <c r="M194" s="140" t="s">
        <v>585</v>
      </c>
      <c r="N194" s="141"/>
      <c r="O194" s="142">
        <v>0.49608570000000002</v>
      </c>
      <c r="P194" s="141">
        <v>0.52196460300000003</v>
      </c>
      <c r="Q194" s="141">
        <v>0.66106715155860996</v>
      </c>
      <c r="R194" s="141">
        <v>-1.6572449999999999E-3</v>
      </c>
      <c r="S194" s="146"/>
      <c r="T194" s="146">
        <v>0.757382</v>
      </c>
      <c r="U194" s="146">
        <v>8.9023092301607001E-2</v>
      </c>
      <c r="V194" s="146">
        <v>-3.624676</v>
      </c>
      <c r="W194" s="146">
        <v>6.7228474802671079E-2</v>
      </c>
      <c r="X194" s="144">
        <v>2.7994634</v>
      </c>
      <c r="Y194" s="141">
        <v>0.20005829999999999</v>
      </c>
      <c r="Z194" s="145">
        <v>0.42708374999999998</v>
      </c>
      <c r="AA194" s="145">
        <v>0.42312500000000003</v>
      </c>
    </row>
    <row r="195" spans="1:27" x14ac:dyDescent="0.25">
      <c r="A195" s="136">
        <v>193</v>
      </c>
      <c r="B195" s="138" t="s">
        <v>432</v>
      </c>
      <c r="C195" s="138" t="s">
        <v>433</v>
      </c>
      <c r="D195" s="138"/>
      <c r="E195" s="139">
        <v>107</v>
      </c>
      <c r="F195" s="139">
        <v>248</v>
      </c>
      <c r="G195" s="139" t="s">
        <v>586</v>
      </c>
      <c r="H195" s="139">
        <v>87143</v>
      </c>
      <c r="I195" s="139" t="s">
        <v>587</v>
      </c>
      <c r="J195" s="139">
        <v>716</v>
      </c>
      <c r="K195" s="140" t="s">
        <v>588</v>
      </c>
      <c r="L195" s="140" t="s">
        <v>589</v>
      </c>
      <c r="M195" s="140" t="s">
        <v>590</v>
      </c>
      <c r="N195" s="141"/>
      <c r="O195" s="142">
        <v>0.49608570000000002</v>
      </c>
      <c r="P195" s="141">
        <v>0.52196460300000003</v>
      </c>
      <c r="Q195" s="141">
        <v>0.66106715155860996</v>
      </c>
      <c r="R195" s="141">
        <v>-1.6572449999999999E-3</v>
      </c>
      <c r="S195" s="146"/>
      <c r="T195" s="146">
        <v>0.757382</v>
      </c>
      <c r="U195" s="146">
        <v>8.9023092301607001E-2</v>
      </c>
      <c r="V195" s="146">
        <v>-3.624676</v>
      </c>
      <c r="W195" s="146">
        <v>6.7228474802671079E-2</v>
      </c>
      <c r="X195" s="144">
        <v>2.7994634</v>
      </c>
      <c r="Y195" s="141">
        <v>0.20005829999999999</v>
      </c>
      <c r="Z195" s="145">
        <v>0.42708374999999998</v>
      </c>
      <c r="AA195" s="145">
        <v>0.42312500000000003</v>
      </c>
    </row>
    <row r="196" spans="1:27" x14ac:dyDescent="0.25">
      <c r="A196" s="136">
        <v>194</v>
      </c>
      <c r="B196" s="147" t="s">
        <v>432</v>
      </c>
      <c r="C196" s="147" t="s">
        <v>433</v>
      </c>
      <c r="D196" s="147"/>
      <c r="E196" s="139">
        <v>136</v>
      </c>
      <c r="F196" s="139">
        <v>1905</v>
      </c>
      <c r="G196" s="139" t="s">
        <v>591</v>
      </c>
      <c r="H196" s="139">
        <v>117723</v>
      </c>
      <c r="I196" s="139" t="s">
        <v>592</v>
      </c>
      <c r="J196" s="139">
        <v>3633</v>
      </c>
      <c r="K196" s="140" t="s">
        <v>593</v>
      </c>
      <c r="L196" s="140"/>
      <c r="M196" s="140"/>
      <c r="N196" s="141"/>
      <c r="O196" s="142">
        <v>0.49608570000000002</v>
      </c>
      <c r="P196" s="141">
        <v>0.52196460300000003</v>
      </c>
      <c r="Q196" s="141">
        <v>0.66106715155860996</v>
      </c>
      <c r="R196" s="141">
        <v>-1.6572449999999999E-3</v>
      </c>
      <c r="S196" s="146"/>
      <c r="T196" s="146">
        <v>0.757382</v>
      </c>
      <c r="U196" s="146">
        <v>8.9023092301607001E-2</v>
      </c>
      <c r="V196" s="146">
        <v>-3.624676</v>
      </c>
      <c r="W196" s="146">
        <v>6.7228474802671079E-2</v>
      </c>
      <c r="X196" s="144">
        <v>2.7994634</v>
      </c>
      <c r="Y196" s="141">
        <v>0.20005829999999999</v>
      </c>
      <c r="Z196" s="145">
        <v>0.42708374999999998</v>
      </c>
      <c r="AA196" s="145">
        <v>0.42312500000000003</v>
      </c>
    </row>
    <row r="197" spans="1:27" x14ac:dyDescent="0.25">
      <c r="A197" s="136">
        <v>195</v>
      </c>
      <c r="B197" s="147" t="s">
        <v>432</v>
      </c>
      <c r="C197" s="147" t="s">
        <v>433</v>
      </c>
      <c r="D197" s="147"/>
      <c r="E197" s="139">
        <v>139</v>
      </c>
      <c r="F197" s="139">
        <v>1918</v>
      </c>
      <c r="G197" s="139" t="s">
        <v>594</v>
      </c>
      <c r="H197" s="139">
        <v>125426</v>
      </c>
      <c r="I197" s="139" t="s">
        <v>595</v>
      </c>
      <c r="J197" s="139">
        <v>4337</v>
      </c>
      <c r="K197" s="140" t="s">
        <v>596</v>
      </c>
      <c r="L197" s="140" t="s">
        <v>597</v>
      </c>
      <c r="M197" s="140" t="s">
        <v>598</v>
      </c>
      <c r="N197" s="141"/>
      <c r="O197" s="142">
        <v>0.49608570000000002</v>
      </c>
      <c r="P197" s="141">
        <v>0.52196460300000003</v>
      </c>
      <c r="Q197" s="141">
        <v>0.66106715155860996</v>
      </c>
      <c r="R197" s="141">
        <v>-1.6572449999999999E-3</v>
      </c>
      <c r="S197" s="146"/>
      <c r="T197" s="146">
        <v>0.757382</v>
      </c>
      <c r="U197" s="146">
        <v>8.9023092301607001E-2</v>
      </c>
      <c r="V197" s="146">
        <v>-3.624676</v>
      </c>
      <c r="W197" s="146">
        <v>6.7228474802671079E-2</v>
      </c>
      <c r="X197" s="144">
        <v>2.7994634</v>
      </c>
      <c r="Y197" s="141">
        <v>0.20005829999999999</v>
      </c>
      <c r="Z197" s="145">
        <v>0.42708374999999998</v>
      </c>
      <c r="AA197" s="145">
        <v>0.42312500000000003</v>
      </c>
    </row>
    <row r="198" spans="1:27" x14ac:dyDescent="0.25">
      <c r="A198" s="136">
        <v>196</v>
      </c>
      <c r="B198" s="147" t="s">
        <v>432</v>
      </c>
      <c r="C198" s="147" t="s">
        <v>433</v>
      </c>
      <c r="D198" s="147"/>
      <c r="E198" s="139">
        <v>140</v>
      </c>
      <c r="F198" s="139">
        <v>1917</v>
      </c>
      <c r="G198" s="139" t="s">
        <v>599</v>
      </c>
      <c r="H198" s="139">
        <v>125412</v>
      </c>
      <c r="I198" s="139" t="s">
        <v>600</v>
      </c>
      <c r="J198" s="139">
        <v>4336</v>
      </c>
      <c r="K198" s="140" t="s">
        <v>601</v>
      </c>
      <c r="L198" s="140"/>
      <c r="M198" s="140"/>
      <c r="N198" s="141"/>
      <c r="O198" s="142">
        <v>0.49608570000000002</v>
      </c>
      <c r="P198" s="141">
        <v>0.52196460300000003</v>
      </c>
      <c r="Q198" s="141">
        <v>0.66106715155860996</v>
      </c>
      <c r="R198" s="141">
        <v>-1.6572449999999999E-3</v>
      </c>
      <c r="S198" s="146"/>
      <c r="T198" s="146">
        <v>0.757382</v>
      </c>
      <c r="U198" s="146">
        <v>8.9023092301607001E-2</v>
      </c>
      <c r="V198" s="146">
        <v>-3.624676</v>
      </c>
      <c r="W198" s="146">
        <v>6.7228474802671079E-2</v>
      </c>
      <c r="X198" s="144">
        <v>2.7994634</v>
      </c>
      <c r="Y198" s="141">
        <v>0.20005829999999999</v>
      </c>
      <c r="Z198" s="145">
        <v>0.42708374999999998</v>
      </c>
      <c r="AA198" s="145">
        <v>0.42312500000000003</v>
      </c>
    </row>
    <row r="199" spans="1:27" x14ac:dyDescent="0.25">
      <c r="A199" s="136">
        <v>197</v>
      </c>
      <c r="B199" s="151" t="s">
        <v>432</v>
      </c>
      <c r="C199" s="151" t="s">
        <v>433</v>
      </c>
      <c r="D199" s="151"/>
      <c r="E199" s="139">
        <v>141</v>
      </c>
      <c r="F199" s="139">
        <v>1918</v>
      </c>
      <c r="G199" s="139" t="s">
        <v>594</v>
      </c>
      <c r="H199" s="139">
        <v>125426</v>
      </c>
      <c r="I199" s="139" t="s">
        <v>595</v>
      </c>
      <c r="J199" s="139">
        <v>4338</v>
      </c>
      <c r="K199" s="140" t="s">
        <v>602</v>
      </c>
      <c r="L199" s="140" t="s">
        <v>597</v>
      </c>
      <c r="M199" s="140" t="s">
        <v>598</v>
      </c>
      <c r="N199" s="141"/>
      <c r="O199" s="142">
        <v>0.49608570000000002</v>
      </c>
      <c r="P199" s="141">
        <v>0.52196460300000003</v>
      </c>
      <c r="Q199" s="141">
        <v>0.66106715155860996</v>
      </c>
      <c r="R199" s="141">
        <v>-1.6572449999999999E-3</v>
      </c>
      <c r="S199" s="143">
        <v>5</v>
      </c>
      <c r="T199" s="143">
        <v>0.77436482293182796</v>
      </c>
      <c r="U199" s="143">
        <v>8.0097690988867001E-2</v>
      </c>
      <c r="V199" s="143">
        <v>-3.4997801714194501</v>
      </c>
      <c r="W199" s="143">
        <v>5.8482100769572484E-2</v>
      </c>
      <c r="X199" s="144">
        <v>2.7994634</v>
      </c>
      <c r="Y199" s="141">
        <v>0.20005829999999999</v>
      </c>
      <c r="Z199" s="148">
        <v>0.42708374999999998</v>
      </c>
      <c r="AA199" s="148">
        <v>0.42312500000000003</v>
      </c>
    </row>
    <row r="200" spans="1:27" x14ac:dyDescent="0.25">
      <c r="A200" s="136">
        <v>198</v>
      </c>
      <c r="B200" s="147" t="s">
        <v>432</v>
      </c>
      <c r="C200" s="147" t="s">
        <v>433</v>
      </c>
      <c r="D200" s="147"/>
      <c r="E200" s="139">
        <v>142</v>
      </c>
      <c r="F200" s="139">
        <v>1988</v>
      </c>
      <c r="G200" s="139" t="s">
        <v>603</v>
      </c>
      <c r="H200" s="139">
        <v>160246</v>
      </c>
      <c r="I200" s="139" t="s">
        <v>604</v>
      </c>
      <c r="J200" s="139">
        <v>3634</v>
      </c>
      <c r="K200" s="140" t="s">
        <v>605</v>
      </c>
      <c r="L200" s="140"/>
      <c r="M200" s="140"/>
      <c r="N200" s="141"/>
      <c r="O200" s="142">
        <v>0.49608570000000002</v>
      </c>
      <c r="P200" s="141">
        <v>0.52196460300000003</v>
      </c>
      <c r="Q200" s="141">
        <v>0.66106715155860996</v>
      </c>
      <c r="R200" s="141">
        <v>-1.6572449999999999E-3</v>
      </c>
      <c r="S200" s="146"/>
      <c r="T200" s="146">
        <v>0.757382</v>
      </c>
      <c r="U200" s="146">
        <v>8.9023092301607001E-2</v>
      </c>
      <c r="V200" s="146">
        <v>-3.624676</v>
      </c>
      <c r="W200" s="146">
        <v>6.7228474802671079E-2</v>
      </c>
      <c r="X200" s="144">
        <v>2.7994634</v>
      </c>
      <c r="Y200" s="141">
        <v>0.20005829999999999</v>
      </c>
      <c r="Z200" s="145">
        <v>0.42708374999999998</v>
      </c>
      <c r="AA200" s="145">
        <v>0.42312500000000003</v>
      </c>
    </row>
    <row r="201" spans="1:27" x14ac:dyDescent="0.25">
      <c r="A201" s="136">
        <v>199</v>
      </c>
      <c r="B201" s="149" t="s">
        <v>432</v>
      </c>
      <c r="C201" s="149" t="s">
        <v>433</v>
      </c>
      <c r="D201" s="149" t="s">
        <v>434</v>
      </c>
      <c r="E201" s="139"/>
      <c r="F201" s="139"/>
      <c r="G201" s="139" t="s">
        <v>606</v>
      </c>
      <c r="H201" s="139">
        <v>188987</v>
      </c>
      <c r="I201" s="152" t="s">
        <v>607</v>
      </c>
      <c r="J201" s="139"/>
      <c r="K201" s="140"/>
      <c r="L201" s="140"/>
      <c r="M201" s="140"/>
      <c r="N201" s="141"/>
      <c r="O201" s="142">
        <v>0.49608570000000002</v>
      </c>
      <c r="P201" s="141">
        <v>0.52196460300000003</v>
      </c>
      <c r="Q201" s="141">
        <v>0.66106715155860996</v>
      </c>
      <c r="R201" s="141">
        <v>-1.6572449999999999E-3</v>
      </c>
      <c r="S201" s="146"/>
      <c r="T201" s="146">
        <v>0.757382</v>
      </c>
      <c r="U201" s="146">
        <v>8.9023092301607001E-2</v>
      </c>
      <c r="V201" s="146">
        <v>-3.624676</v>
      </c>
      <c r="W201" s="146">
        <v>6.7228474802671079E-2</v>
      </c>
      <c r="X201" s="144">
        <v>2.7994634</v>
      </c>
      <c r="Y201" s="141">
        <v>0.20005829999999999</v>
      </c>
      <c r="Z201" s="145">
        <v>0.43911</v>
      </c>
      <c r="AA201" s="145">
        <v>0.43</v>
      </c>
    </row>
    <row r="202" spans="1:27" x14ac:dyDescent="0.25">
      <c r="A202" s="136">
        <v>200</v>
      </c>
      <c r="B202" s="149" t="s">
        <v>432</v>
      </c>
      <c r="C202" s="149" t="s">
        <v>433</v>
      </c>
      <c r="D202" s="149" t="s">
        <v>434</v>
      </c>
      <c r="E202" s="139"/>
      <c r="F202" s="139"/>
      <c r="G202" s="139" t="s">
        <v>608</v>
      </c>
      <c r="H202" s="139">
        <v>189857</v>
      </c>
      <c r="I202" s="152" t="s">
        <v>609</v>
      </c>
      <c r="J202" s="139"/>
      <c r="K202" s="140"/>
      <c r="L202" s="140"/>
      <c r="M202" s="140"/>
      <c r="N202" s="139">
        <v>16</v>
      </c>
      <c r="O202" s="153">
        <v>0.47213569993541898</v>
      </c>
      <c r="P202" s="139">
        <v>0.49335246997405202</v>
      </c>
      <c r="Q202" s="139">
        <v>0.66106715155860996</v>
      </c>
      <c r="R202" s="139">
        <v>-1.58540708791217E-3</v>
      </c>
      <c r="S202" s="139">
        <v>37549</v>
      </c>
      <c r="T202" s="143">
        <v>0.70973388267623805</v>
      </c>
      <c r="U202" s="143">
        <v>0.12596588350028298</v>
      </c>
      <c r="V202" s="143">
        <v>-4.2978465261248298</v>
      </c>
      <c r="W202" s="143">
        <v>0.10620186714031808</v>
      </c>
      <c r="X202" s="139">
        <v>2.7994634</v>
      </c>
      <c r="Y202" s="139">
        <v>0.20005829999999999</v>
      </c>
      <c r="Z202" s="145">
        <v>0.52520999999999995</v>
      </c>
      <c r="AA202" s="145">
        <v>0.5</v>
      </c>
    </row>
    <row r="203" spans="1:27" x14ac:dyDescent="0.25">
      <c r="A203" s="136">
        <v>201</v>
      </c>
      <c r="B203" s="147" t="s">
        <v>432</v>
      </c>
      <c r="C203" s="147" t="s">
        <v>433</v>
      </c>
      <c r="D203" s="147" t="s">
        <v>610</v>
      </c>
      <c r="E203" s="139"/>
      <c r="F203" s="139"/>
      <c r="G203" s="139" t="s">
        <v>611</v>
      </c>
      <c r="H203" s="139"/>
      <c r="I203" s="139" t="s">
        <v>612</v>
      </c>
      <c r="J203" s="139"/>
      <c r="K203" s="140"/>
      <c r="L203" s="140"/>
      <c r="M203" s="140"/>
      <c r="N203" s="141"/>
      <c r="O203" s="142">
        <v>0.49608570000000002</v>
      </c>
      <c r="P203" s="141">
        <v>0.52196460300000003</v>
      </c>
      <c r="Q203" s="141">
        <v>0.66106715155860996</v>
      </c>
      <c r="R203" s="141">
        <v>-1.6572449999999999E-3</v>
      </c>
      <c r="S203" s="146"/>
      <c r="T203" s="146">
        <v>0.757382</v>
      </c>
      <c r="U203" s="146">
        <v>8.9023092301607001E-2</v>
      </c>
      <c r="V203" s="146">
        <v>-3.624676</v>
      </c>
      <c r="W203" s="146">
        <v>6.7228474802671079E-2</v>
      </c>
      <c r="X203" s="144">
        <v>2.7994634</v>
      </c>
      <c r="Y203" s="141">
        <v>0.20005829999999999</v>
      </c>
      <c r="Z203" s="145">
        <v>0.42708374999999998</v>
      </c>
      <c r="AA203" s="145">
        <v>0.42312500000000003</v>
      </c>
    </row>
    <row r="204" spans="1:27" x14ac:dyDescent="0.25">
      <c r="A204" s="136">
        <v>202</v>
      </c>
      <c r="B204" s="147" t="s">
        <v>432</v>
      </c>
      <c r="C204" s="147" t="s">
        <v>433</v>
      </c>
      <c r="D204" s="147"/>
      <c r="E204" s="139"/>
      <c r="F204" s="139"/>
      <c r="G204" s="139" t="s">
        <v>613</v>
      </c>
      <c r="H204" s="139"/>
      <c r="I204" s="139" t="s">
        <v>613</v>
      </c>
      <c r="J204" s="139"/>
      <c r="K204" s="140"/>
      <c r="L204" s="140"/>
      <c r="M204" s="140"/>
      <c r="N204" s="141"/>
      <c r="O204" s="142">
        <v>0.49608570000000002</v>
      </c>
      <c r="P204" s="141">
        <v>0.52196460300000003</v>
      </c>
      <c r="Q204" s="141">
        <v>0.66106715155860996</v>
      </c>
      <c r="R204" s="141">
        <v>-1.6572449999999999E-3</v>
      </c>
      <c r="S204" s="143">
        <v>164</v>
      </c>
      <c r="T204" s="143">
        <v>0.796706841193079</v>
      </c>
      <c r="U204" s="143">
        <v>5.4717818937213988E-2</v>
      </c>
      <c r="V204" s="143">
        <v>-2.68352905495518</v>
      </c>
      <c r="W204" s="143">
        <v>2.5241417081536682E-2</v>
      </c>
      <c r="X204" s="144">
        <v>2.7994634</v>
      </c>
      <c r="Y204" s="141">
        <v>0.20005829999999999</v>
      </c>
      <c r="Z204" s="148">
        <v>0.42708374999999998</v>
      </c>
      <c r="AA204" s="148">
        <v>0.42312500000000003</v>
      </c>
    </row>
    <row r="205" spans="1:27" x14ac:dyDescent="0.25">
      <c r="A205" s="136">
        <v>203</v>
      </c>
      <c r="B205" s="147" t="s">
        <v>432</v>
      </c>
      <c r="C205" s="147" t="s">
        <v>433</v>
      </c>
      <c r="D205" s="147" t="s">
        <v>614</v>
      </c>
      <c r="E205" s="139"/>
      <c r="F205" s="139"/>
      <c r="G205" s="139" t="s">
        <v>615</v>
      </c>
      <c r="H205" s="139">
        <v>193767</v>
      </c>
      <c r="I205" s="139" t="s">
        <v>616</v>
      </c>
      <c r="J205" s="139"/>
      <c r="K205" s="140"/>
      <c r="L205" s="140" t="s">
        <v>617</v>
      </c>
      <c r="M205" s="140" t="s">
        <v>618</v>
      </c>
      <c r="N205" s="141"/>
      <c r="O205" s="142">
        <v>0.49608570000000002</v>
      </c>
      <c r="P205" s="141">
        <v>0.52196460300000003</v>
      </c>
      <c r="Q205" s="141">
        <v>0.66106715155860996</v>
      </c>
      <c r="R205" s="141">
        <v>-1.6572449999999999E-3</v>
      </c>
      <c r="S205" s="146"/>
      <c r="T205" s="146">
        <v>0.757382</v>
      </c>
      <c r="U205" s="146">
        <v>8.9023092301607001E-2</v>
      </c>
      <c r="V205" s="146">
        <v>-3.624676</v>
      </c>
      <c r="W205" s="146">
        <v>6.7228474802671079E-2</v>
      </c>
      <c r="X205" s="144">
        <v>2.7994634</v>
      </c>
      <c r="Y205" s="141">
        <v>0.20005829999999999</v>
      </c>
      <c r="Z205" s="148">
        <v>0.42708374999999998</v>
      </c>
      <c r="AA205" s="148">
        <v>0.42312500000000003</v>
      </c>
    </row>
    <row r="206" spans="1:27" x14ac:dyDescent="0.25">
      <c r="A206" s="136">
        <v>204</v>
      </c>
      <c r="B206" s="147" t="s">
        <v>432</v>
      </c>
      <c r="C206" s="147" t="s">
        <v>433</v>
      </c>
      <c r="D206" s="147"/>
      <c r="E206" s="139"/>
      <c r="F206" s="139"/>
      <c r="G206" s="139" t="s">
        <v>619</v>
      </c>
      <c r="H206" s="139">
        <v>196579</v>
      </c>
      <c r="I206" s="139" t="s">
        <v>620</v>
      </c>
      <c r="J206" s="139"/>
      <c r="K206" s="140" t="s">
        <v>621</v>
      </c>
      <c r="L206" s="140" t="s">
        <v>622</v>
      </c>
      <c r="M206" s="140"/>
      <c r="N206" s="141"/>
      <c r="O206" s="142">
        <v>0.49608570000000002</v>
      </c>
      <c r="P206" s="141">
        <v>0.52196460300000003</v>
      </c>
      <c r="Q206" s="141">
        <v>0.66106715155860996</v>
      </c>
      <c r="R206" s="141">
        <v>-1.6572449999999999E-3</v>
      </c>
      <c r="S206" s="143">
        <v>577</v>
      </c>
      <c r="T206" s="143">
        <v>0.81469589866345804</v>
      </c>
      <c r="U206" s="143">
        <v>3.4659390317150998E-2</v>
      </c>
      <c r="V206" s="143">
        <v>-3.6847888343061399</v>
      </c>
      <c r="W206" s="143">
        <v>3.8637538712879081E-2</v>
      </c>
      <c r="X206" s="144">
        <v>2.7994634</v>
      </c>
      <c r="Y206" s="141">
        <v>0.20005829999999999</v>
      </c>
      <c r="Z206" s="148">
        <v>0.42708374999999998</v>
      </c>
      <c r="AA206" s="148">
        <v>0.42312500000000003</v>
      </c>
    </row>
    <row r="207" spans="1:27" x14ac:dyDescent="0.25">
      <c r="A207" s="136">
        <v>205</v>
      </c>
      <c r="B207" s="149" t="s">
        <v>432</v>
      </c>
      <c r="C207" s="149" t="s">
        <v>433</v>
      </c>
      <c r="D207" s="149" t="s">
        <v>434</v>
      </c>
      <c r="E207" s="139"/>
      <c r="F207" s="139"/>
      <c r="G207" s="152" t="s">
        <v>623</v>
      </c>
      <c r="H207" s="139">
        <v>197334</v>
      </c>
      <c r="I207" s="152" t="s">
        <v>624</v>
      </c>
      <c r="J207" s="139"/>
      <c r="K207" s="140"/>
      <c r="L207" s="140" t="s">
        <v>625</v>
      </c>
      <c r="M207" s="140"/>
      <c r="N207" s="141"/>
      <c r="O207" s="142">
        <v>0.49608570000000002</v>
      </c>
      <c r="P207" s="141">
        <v>0.52196460300000003</v>
      </c>
      <c r="Q207" s="141">
        <v>0.66106715155860996</v>
      </c>
      <c r="R207" s="141">
        <v>-1.6572449999999999E-3</v>
      </c>
      <c r="S207" s="143">
        <v>8556</v>
      </c>
      <c r="T207" s="143">
        <v>0.66067096035320905</v>
      </c>
      <c r="U207" s="143">
        <v>0.12853331502211102</v>
      </c>
      <c r="V207" s="143">
        <v>-3.6504090323060301</v>
      </c>
      <c r="W207" s="143">
        <v>0.10285501387252508</v>
      </c>
      <c r="X207" s="144">
        <v>2.7994634</v>
      </c>
      <c r="Y207" s="141">
        <v>0.20005829999999999</v>
      </c>
      <c r="Z207" s="145">
        <v>0.32</v>
      </c>
      <c r="AA207" s="145">
        <v>0.37</v>
      </c>
    </row>
    <row r="208" spans="1:27" x14ac:dyDescent="0.25">
      <c r="A208" s="136">
        <v>206</v>
      </c>
      <c r="B208" s="154" t="s">
        <v>432</v>
      </c>
      <c r="C208" s="154" t="s">
        <v>433</v>
      </c>
      <c r="D208" s="154" t="s">
        <v>434</v>
      </c>
      <c r="E208" s="139"/>
      <c r="F208" s="139"/>
      <c r="G208" s="155" t="s">
        <v>626</v>
      </c>
      <c r="H208" s="139">
        <v>198461</v>
      </c>
      <c r="I208" s="155" t="s">
        <v>627</v>
      </c>
      <c r="J208" s="139"/>
      <c r="K208" s="140"/>
      <c r="L208" s="140" t="s">
        <v>628</v>
      </c>
      <c r="M208" s="140"/>
      <c r="N208" s="141"/>
      <c r="O208" s="142">
        <v>0.49608570000000002</v>
      </c>
      <c r="P208" s="141">
        <v>0.52196460300000003</v>
      </c>
      <c r="Q208" s="141">
        <v>0.66106715155860996</v>
      </c>
      <c r="R208" s="141">
        <v>-1.6572449999999999E-3</v>
      </c>
      <c r="S208" s="143">
        <v>8398</v>
      </c>
      <c r="T208" s="143">
        <v>0.85731635910327997</v>
      </c>
      <c r="U208" s="143">
        <v>8.6766642226222004E-2</v>
      </c>
      <c r="V208" s="143">
        <v>-4.3423796273494197</v>
      </c>
      <c r="W208" s="143">
        <v>5.5331760334129176E-2</v>
      </c>
      <c r="X208" s="144">
        <v>2.7994634</v>
      </c>
      <c r="Y208" s="141">
        <v>0.20005829999999999</v>
      </c>
      <c r="Z208" s="145">
        <v>0.42188999999999999</v>
      </c>
      <c r="AA208" s="145">
        <v>0.41499999999999998</v>
      </c>
    </row>
    <row r="209" spans="1:27" x14ac:dyDescent="0.25">
      <c r="A209" s="136">
        <v>207</v>
      </c>
      <c r="B209" s="156" t="s">
        <v>629</v>
      </c>
      <c r="C209" s="156" t="s">
        <v>630</v>
      </c>
      <c r="D209" s="156" t="s">
        <v>434</v>
      </c>
      <c r="E209" s="157">
        <v>3</v>
      </c>
      <c r="F209" s="157">
        <v>394</v>
      </c>
      <c r="G209" s="157" t="s">
        <v>631</v>
      </c>
      <c r="H209" s="157">
        <v>116762</v>
      </c>
      <c r="I209" s="157" t="s">
        <v>632</v>
      </c>
      <c r="J209" s="157">
        <v>3548</v>
      </c>
      <c r="K209" s="158" t="s">
        <v>633</v>
      </c>
      <c r="L209" s="158" t="s">
        <v>634</v>
      </c>
      <c r="M209" s="158" t="s">
        <v>635</v>
      </c>
      <c r="N209" s="157">
        <v>111</v>
      </c>
      <c r="O209" s="159">
        <v>0.47705213831723098</v>
      </c>
      <c r="P209" s="157">
        <v>0.51112289425019497</v>
      </c>
      <c r="Q209" s="157">
        <v>0.66106715155860996</v>
      </c>
      <c r="R209" s="157">
        <v>-1.6647869170515099E-3</v>
      </c>
      <c r="S209" s="157">
        <v>723</v>
      </c>
      <c r="T209" s="160">
        <v>0.83976509053116299</v>
      </c>
      <c r="U209" s="160">
        <v>6.4796099971613397E-2</v>
      </c>
      <c r="V209" s="160">
        <v>-4.0214734848220601</v>
      </c>
      <c r="W209" s="160">
        <v>5.6999216827718885E-2</v>
      </c>
      <c r="X209" s="157">
        <v>2.4096113000000003</v>
      </c>
      <c r="Y209" s="157">
        <v>0.20005829999999999</v>
      </c>
      <c r="Z209" s="161">
        <v>0.56000000000000005</v>
      </c>
      <c r="AA209" s="161">
        <v>0.56000000000000005</v>
      </c>
    </row>
    <row r="210" spans="1:27" x14ac:dyDescent="0.25">
      <c r="A210" s="136">
        <v>208</v>
      </c>
      <c r="B210" s="156" t="s">
        <v>629</v>
      </c>
      <c r="C210" s="156" t="s">
        <v>630</v>
      </c>
      <c r="D210" s="156" t="s">
        <v>434</v>
      </c>
      <c r="E210" s="157">
        <v>5</v>
      </c>
      <c r="F210" s="157">
        <v>397</v>
      </c>
      <c r="G210" s="157" t="s">
        <v>636</v>
      </c>
      <c r="H210" s="157">
        <v>116704</v>
      </c>
      <c r="I210" s="157" t="s">
        <v>637</v>
      </c>
      <c r="J210" s="157">
        <v>3543</v>
      </c>
      <c r="K210" s="158" t="s">
        <v>638</v>
      </c>
      <c r="L210" s="158" t="s">
        <v>639</v>
      </c>
      <c r="M210" s="158" t="s">
        <v>640</v>
      </c>
      <c r="N210" s="141"/>
      <c r="O210" s="142">
        <v>0.49608570000000002</v>
      </c>
      <c r="P210" s="141">
        <v>0.52196460300000003</v>
      </c>
      <c r="Q210" s="141">
        <v>0.66106715155860996</v>
      </c>
      <c r="R210" s="141">
        <v>-1.6572449999999999E-3</v>
      </c>
      <c r="S210" s="160">
        <v>6408</v>
      </c>
      <c r="T210" s="160">
        <v>0.78332000471751595</v>
      </c>
      <c r="U210" s="160">
        <v>7.4261788261033412E-2</v>
      </c>
      <c r="V210" s="160">
        <v>-2.8576942589267</v>
      </c>
      <c r="W210" s="160">
        <v>4.5235260042562182E-2</v>
      </c>
      <c r="X210" s="144">
        <v>2.4096113000000003</v>
      </c>
      <c r="Y210" s="141">
        <v>0.20005829999999999</v>
      </c>
      <c r="Z210" s="161">
        <v>0.82</v>
      </c>
      <c r="AA210" s="161">
        <v>0.73</v>
      </c>
    </row>
    <row r="211" spans="1:27" x14ac:dyDescent="0.25">
      <c r="A211" s="136">
        <v>209</v>
      </c>
      <c r="B211" s="156" t="s">
        <v>629</v>
      </c>
      <c r="C211" s="156" t="s">
        <v>630</v>
      </c>
      <c r="D211" s="156" t="s">
        <v>434</v>
      </c>
      <c r="E211" s="157">
        <v>10</v>
      </c>
      <c r="F211" s="157">
        <v>383</v>
      </c>
      <c r="G211" s="157" t="s">
        <v>641</v>
      </c>
      <c r="H211" s="157">
        <v>89304</v>
      </c>
      <c r="I211" s="157" t="s">
        <v>642</v>
      </c>
      <c r="J211" s="157">
        <v>954</v>
      </c>
      <c r="K211" s="158">
        <v>10</v>
      </c>
      <c r="L211" s="158" t="s">
        <v>643</v>
      </c>
      <c r="M211" s="158" t="s">
        <v>644</v>
      </c>
      <c r="N211" s="141"/>
      <c r="O211" s="142">
        <v>0.49608570000000002</v>
      </c>
      <c r="P211" s="141">
        <v>0.52196460300000003</v>
      </c>
      <c r="Q211" s="141">
        <v>0.66106715155860996</v>
      </c>
      <c r="R211" s="141">
        <v>-1.6572449999999999E-3</v>
      </c>
      <c r="S211" s="160">
        <v>59300</v>
      </c>
      <c r="T211" s="160">
        <v>0.66166834944902098</v>
      </c>
      <c r="U211" s="160">
        <v>0.1031190326368234</v>
      </c>
      <c r="V211" s="160">
        <v>-2.5407335386877299</v>
      </c>
      <c r="W211" s="160">
        <v>8.1687218131612782E-2</v>
      </c>
      <c r="X211" s="144">
        <v>2.4096113000000003</v>
      </c>
      <c r="Y211" s="141">
        <v>0.20005829999999999</v>
      </c>
      <c r="Z211" s="161">
        <v>0.44</v>
      </c>
      <c r="AA211" s="161">
        <v>0.47</v>
      </c>
    </row>
    <row r="212" spans="1:27" x14ac:dyDescent="0.25">
      <c r="A212" s="136">
        <v>210</v>
      </c>
      <c r="B212" s="162" t="s">
        <v>629</v>
      </c>
      <c r="C212" s="162" t="s">
        <v>630</v>
      </c>
      <c r="D212" s="162" t="s">
        <v>610</v>
      </c>
      <c r="E212" s="157"/>
      <c r="F212" s="157"/>
      <c r="G212" s="157" t="s">
        <v>645</v>
      </c>
      <c r="H212" s="157"/>
      <c r="I212" s="157" t="s">
        <v>646</v>
      </c>
      <c r="J212" s="157"/>
      <c r="K212" s="158"/>
      <c r="L212" s="158"/>
      <c r="M212" s="158"/>
      <c r="N212" s="141"/>
      <c r="O212" s="142">
        <v>0.49608570000000002</v>
      </c>
      <c r="P212" s="141">
        <v>0.52196460300000003</v>
      </c>
      <c r="Q212" s="141">
        <v>0.66106715155860996</v>
      </c>
      <c r="R212" s="141">
        <v>-1.6572449999999999E-3</v>
      </c>
      <c r="S212" s="146"/>
      <c r="T212" s="146">
        <v>0.757382</v>
      </c>
      <c r="U212" s="146">
        <v>9.1104119270983414E-2</v>
      </c>
      <c r="V212" s="146">
        <v>-3.624676</v>
      </c>
      <c r="W212" s="146">
        <v>6.7228474802671079E-2</v>
      </c>
      <c r="X212" s="144">
        <v>2.4096113000000003</v>
      </c>
      <c r="Y212" s="141">
        <v>0.20005829999999999</v>
      </c>
      <c r="Z212" s="161">
        <v>0.60666666666666669</v>
      </c>
      <c r="AA212" s="161">
        <v>0.58666666666666667</v>
      </c>
    </row>
    <row r="213" spans="1:27" x14ac:dyDescent="0.25">
      <c r="A213" s="136">
        <v>211</v>
      </c>
      <c r="B213" s="163" t="s">
        <v>629</v>
      </c>
      <c r="C213" s="163" t="s">
        <v>647</v>
      </c>
      <c r="D213" s="163"/>
      <c r="E213" s="164">
        <v>1</v>
      </c>
      <c r="F213" s="164">
        <v>392</v>
      </c>
      <c r="G213" s="164" t="s">
        <v>388</v>
      </c>
      <c r="H213" s="164">
        <v>139596</v>
      </c>
      <c r="I213" s="164" t="s">
        <v>648</v>
      </c>
      <c r="J213" s="164">
        <v>3546</v>
      </c>
      <c r="K213" s="165" t="s">
        <v>649</v>
      </c>
      <c r="L213" s="165" t="s">
        <v>69</v>
      </c>
      <c r="M213" s="165" t="s">
        <v>650</v>
      </c>
      <c r="N213" s="164">
        <v>2079</v>
      </c>
      <c r="O213" s="166">
        <v>0.51202918129707098</v>
      </c>
      <c r="P213" s="164">
        <v>0.56104230804168298</v>
      </c>
      <c r="Q213" s="164">
        <v>0.66106715155860996</v>
      </c>
      <c r="R213" s="164">
        <v>-2.3506074795573801E-3</v>
      </c>
      <c r="S213" s="167">
        <v>114034</v>
      </c>
      <c r="T213" s="167">
        <v>0.89821056360732199</v>
      </c>
      <c r="U213" s="167">
        <v>6.6947004368685115E-2</v>
      </c>
      <c r="V213" s="167">
        <v>-4.0587285540406297</v>
      </c>
      <c r="W213" s="167">
        <v>2.4523428928112184E-2</v>
      </c>
      <c r="X213" s="164">
        <v>2.4096113000000003</v>
      </c>
      <c r="Y213" s="164">
        <v>0.20005829999999999</v>
      </c>
      <c r="Z213" s="168">
        <v>0.55964999999999998</v>
      </c>
      <c r="AA213" s="168">
        <v>0.56999999999999995</v>
      </c>
    </row>
    <row r="214" spans="1:27" x14ac:dyDescent="0.25">
      <c r="A214" s="136">
        <v>212</v>
      </c>
      <c r="B214" s="163" t="s">
        <v>629</v>
      </c>
      <c r="C214" s="163" t="s">
        <v>647</v>
      </c>
      <c r="D214" s="163"/>
      <c r="E214" s="164">
        <v>2</v>
      </c>
      <c r="F214" s="164">
        <v>395</v>
      </c>
      <c r="G214" s="164" t="s">
        <v>389</v>
      </c>
      <c r="H214" s="164">
        <v>139584</v>
      </c>
      <c r="I214" s="164" t="s">
        <v>651</v>
      </c>
      <c r="J214" s="164">
        <v>3549</v>
      </c>
      <c r="K214" s="165" t="s">
        <v>652</v>
      </c>
      <c r="L214" s="165" t="s">
        <v>17</v>
      </c>
      <c r="M214" s="165" t="s">
        <v>653</v>
      </c>
      <c r="N214" s="164">
        <v>2079</v>
      </c>
      <c r="O214" s="166">
        <v>0.51202918129707098</v>
      </c>
      <c r="P214" s="164">
        <v>0.56104230804168298</v>
      </c>
      <c r="Q214" s="164">
        <v>0.66106715155860996</v>
      </c>
      <c r="R214" s="164">
        <v>-2.3506074795573801E-3</v>
      </c>
      <c r="S214" s="167">
        <v>97169</v>
      </c>
      <c r="T214" s="167">
        <v>0.90954561504142795</v>
      </c>
      <c r="U214" s="167">
        <v>6.9981567319617105E-2</v>
      </c>
      <c r="V214" s="167">
        <v>-4.24117035097085</v>
      </c>
      <c r="W214" s="167">
        <v>2.8518728146522981E-2</v>
      </c>
      <c r="X214" s="164">
        <v>2.4096113000000003</v>
      </c>
      <c r="Y214" s="164">
        <v>0.20005829999999999</v>
      </c>
      <c r="Z214" s="168">
        <v>0.55964999999999998</v>
      </c>
      <c r="AA214" s="168">
        <v>0.55000000000000004</v>
      </c>
    </row>
    <row r="215" spans="1:27" x14ac:dyDescent="0.25">
      <c r="A215" s="136">
        <v>213</v>
      </c>
      <c r="B215" s="163" t="s">
        <v>629</v>
      </c>
      <c r="C215" s="163" t="s">
        <v>647</v>
      </c>
      <c r="D215" s="163"/>
      <c r="E215" s="164">
        <v>4</v>
      </c>
      <c r="F215" s="164">
        <v>393</v>
      </c>
      <c r="G215" s="164" t="s">
        <v>654</v>
      </c>
      <c r="H215" s="164">
        <v>116751</v>
      </c>
      <c r="I215" s="164" t="s">
        <v>655</v>
      </c>
      <c r="J215" s="164">
        <v>3544</v>
      </c>
      <c r="K215" s="165" t="s">
        <v>656</v>
      </c>
      <c r="L215" s="165" t="s">
        <v>657</v>
      </c>
      <c r="M215" s="165" t="s">
        <v>658</v>
      </c>
      <c r="N215" s="141"/>
      <c r="O215" s="142">
        <v>0.49608570000000002</v>
      </c>
      <c r="P215" s="141">
        <v>0.52196460300000003</v>
      </c>
      <c r="Q215" s="141">
        <v>0.66106715155860996</v>
      </c>
      <c r="R215" s="141">
        <v>-1.6572449999999999E-3</v>
      </c>
      <c r="S215" s="167">
        <v>36543</v>
      </c>
      <c r="T215" s="167">
        <v>0.77968136916833497</v>
      </c>
      <c r="U215" s="167">
        <v>9.6474361409816106E-2</v>
      </c>
      <c r="V215" s="167">
        <v>-3.2290435458858302</v>
      </c>
      <c r="W215" s="167">
        <v>5.563988286133878E-2</v>
      </c>
      <c r="X215" s="144">
        <v>2.4096113000000003</v>
      </c>
      <c r="Y215" s="141">
        <v>0.20005829999999999</v>
      </c>
      <c r="Z215" s="148">
        <v>0.61732500000000001</v>
      </c>
      <c r="AA215" s="168">
        <v>0.6</v>
      </c>
    </row>
    <row r="216" spans="1:27" x14ac:dyDescent="0.25">
      <c r="A216" s="136">
        <v>214</v>
      </c>
      <c r="B216" s="169" t="s">
        <v>629</v>
      </c>
      <c r="C216" s="169" t="s">
        <v>647</v>
      </c>
      <c r="D216" s="169" t="s">
        <v>434</v>
      </c>
      <c r="E216" s="164">
        <v>6</v>
      </c>
      <c r="F216" s="164">
        <v>396</v>
      </c>
      <c r="G216" s="164" t="s">
        <v>659</v>
      </c>
      <c r="H216" s="164">
        <v>116754</v>
      </c>
      <c r="I216" s="164" t="s">
        <v>660</v>
      </c>
      <c r="J216" s="164">
        <v>3551</v>
      </c>
      <c r="K216" s="165" t="s">
        <v>661</v>
      </c>
      <c r="L216" s="165" t="s">
        <v>662</v>
      </c>
      <c r="M216" s="165" t="s">
        <v>663</v>
      </c>
      <c r="N216" s="141"/>
      <c r="O216" s="142">
        <v>0.49608570000000002</v>
      </c>
      <c r="P216" s="141">
        <v>0.52196460300000003</v>
      </c>
      <c r="Q216" s="141">
        <v>0.66106715155860996</v>
      </c>
      <c r="R216" s="141">
        <v>-1.6572449999999999E-3</v>
      </c>
      <c r="S216" s="167">
        <v>1986</v>
      </c>
      <c r="T216" s="167">
        <v>0.81204214073666603</v>
      </c>
      <c r="U216" s="167">
        <v>7.7551591754385085E-2</v>
      </c>
      <c r="V216" s="167">
        <v>-3.3903178845053001</v>
      </c>
      <c r="W216" s="167">
        <v>4.2167802309813582E-2</v>
      </c>
      <c r="X216" s="144">
        <v>2.4096113000000003</v>
      </c>
      <c r="Y216" s="141">
        <v>0.20005829999999999</v>
      </c>
      <c r="Z216" s="148">
        <v>0.61732500000000001</v>
      </c>
      <c r="AA216" s="168">
        <v>0.84</v>
      </c>
    </row>
    <row r="217" spans="1:27" x14ac:dyDescent="0.25">
      <c r="A217" s="136">
        <v>215</v>
      </c>
      <c r="B217" s="170" t="s">
        <v>629</v>
      </c>
      <c r="C217" s="170" t="s">
        <v>647</v>
      </c>
      <c r="D217" s="170"/>
      <c r="E217" s="164">
        <v>20</v>
      </c>
      <c r="F217" s="164">
        <v>1198</v>
      </c>
      <c r="G217" s="164" t="s">
        <v>664</v>
      </c>
      <c r="H217" s="164">
        <v>89468</v>
      </c>
      <c r="I217" s="164" t="s">
        <v>665</v>
      </c>
      <c r="J217" s="164">
        <v>964</v>
      </c>
      <c r="K217" s="165">
        <v>16</v>
      </c>
      <c r="L217" s="165" t="s">
        <v>666</v>
      </c>
      <c r="M217" s="165" t="s">
        <v>667</v>
      </c>
      <c r="N217" s="141"/>
      <c r="O217" s="142">
        <v>0.49608570000000002</v>
      </c>
      <c r="P217" s="141">
        <v>0.52196460300000003</v>
      </c>
      <c r="Q217" s="141">
        <v>0.66106715155860996</v>
      </c>
      <c r="R217" s="141">
        <v>-1.6572449999999999E-3</v>
      </c>
      <c r="S217" s="146"/>
      <c r="T217" s="146">
        <v>0.757382</v>
      </c>
      <c r="U217" s="146">
        <v>0.1037222157110981</v>
      </c>
      <c r="V217" s="146">
        <v>-3.624676</v>
      </c>
      <c r="W217" s="146">
        <v>6.7228474802671079E-2</v>
      </c>
      <c r="X217" s="144">
        <v>2.4096113000000003</v>
      </c>
      <c r="Y217" s="141">
        <v>0.20005829999999999</v>
      </c>
      <c r="Z217" s="148">
        <v>0.61732500000000001</v>
      </c>
      <c r="AA217" s="148">
        <v>0.64166666666666661</v>
      </c>
    </row>
    <row r="218" spans="1:27" x14ac:dyDescent="0.25">
      <c r="A218" s="136">
        <v>216</v>
      </c>
      <c r="B218" s="169" t="s">
        <v>629</v>
      </c>
      <c r="C218" s="169" t="s">
        <v>647</v>
      </c>
      <c r="D218" s="169" t="s">
        <v>434</v>
      </c>
      <c r="E218" s="164">
        <v>94</v>
      </c>
      <c r="F218" s="164">
        <v>385</v>
      </c>
      <c r="G218" s="164" t="s">
        <v>668</v>
      </c>
      <c r="H218" s="164">
        <v>116670</v>
      </c>
      <c r="I218" s="164" t="s">
        <v>669</v>
      </c>
      <c r="J218" s="164">
        <v>3540</v>
      </c>
      <c r="K218" s="165">
        <v>34</v>
      </c>
      <c r="L218" s="165" t="s">
        <v>670</v>
      </c>
      <c r="M218" s="165" t="s">
        <v>671</v>
      </c>
      <c r="N218" s="141"/>
      <c r="O218" s="142">
        <v>0.49608570000000002</v>
      </c>
      <c r="P218" s="141">
        <v>0.56104230804168298</v>
      </c>
      <c r="Q218" s="141">
        <v>0.66106715155860996</v>
      </c>
      <c r="R218" s="141">
        <v>-2.3506074795573801E-3</v>
      </c>
      <c r="S218" s="164">
        <v>183</v>
      </c>
      <c r="T218" s="167">
        <v>0.81997648598718498</v>
      </c>
      <c r="U218" s="167">
        <v>5.9174352210382107E-2</v>
      </c>
      <c r="V218" s="167">
        <v>-3.67762744626345</v>
      </c>
      <c r="W218" s="167">
        <v>4.0606069746898781E-2</v>
      </c>
      <c r="X218" s="144">
        <v>2.4096113000000003</v>
      </c>
      <c r="Y218" s="141">
        <v>0.20005829999999999</v>
      </c>
      <c r="Z218" s="148">
        <v>0.61732500000000001</v>
      </c>
      <c r="AA218" s="148">
        <v>0.64166666666666661</v>
      </c>
    </row>
    <row r="219" spans="1:27" x14ac:dyDescent="0.25">
      <c r="A219" s="136">
        <v>217</v>
      </c>
      <c r="B219" s="163" t="s">
        <v>629</v>
      </c>
      <c r="C219" s="170" t="s">
        <v>647</v>
      </c>
      <c r="D219" s="170"/>
      <c r="E219" s="164">
        <v>7</v>
      </c>
      <c r="F219" s="164">
        <v>388</v>
      </c>
      <c r="G219" s="164" t="s">
        <v>672</v>
      </c>
      <c r="H219" s="164">
        <v>116677</v>
      </c>
      <c r="I219" s="164" t="s">
        <v>673</v>
      </c>
      <c r="J219" s="164">
        <v>3547</v>
      </c>
      <c r="K219" s="165" t="s">
        <v>674</v>
      </c>
      <c r="L219" s="165"/>
      <c r="M219" s="165"/>
      <c r="N219" s="164">
        <v>2079</v>
      </c>
      <c r="O219" s="166">
        <v>0.51202918129707098</v>
      </c>
      <c r="P219" s="164">
        <v>0.56104230804168298</v>
      </c>
      <c r="Q219" s="164">
        <v>0.66106715155860996</v>
      </c>
      <c r="R219" s="164">
        <v>-2.3506074795573801E-3</v>
      </c>
      <c r="S219" s="146"/>
      <c r="T219" s="146">
        <v>0.757382</v>
      </c>
      <c r="U219" s="146">
        <v>0.1037222157110981</v>
      </c>
      <c r="V219" s="146">
        <v>-3.624676</v>
      </c>
      <c r="W219" s="146">
        <v>6.7228474802671079E-2</v>
      </c>
      <c r="X219" s="164">
        <v>2.4096113000000003</v>
      </c>
      <c r="Y219" s="164">
        <v>0.20005829999999999</v>
      </c>
      <c r="Z219" s="168">
        <v>0.55964999999999998</v>
      </c>
      <c r="AA219" s="148">
        <v>0.56000000000000005</v>
      </c>
    </row>
    <row r="220" spans="1:27" x14ac:dyDescent="0.25">
      <c r="A220" s="136">
        <v>218</v>
      </c>
      <c r="B220" s="169" t="s">
        <v>629</v>
      </c>
      <c r="C220" s="169" t="s">
        <v>647</v>
      </c>
      <c r="D220" s="169" t="s">
        <v>434</v>
      </c>
      <c r="E220" s="164">
        <v>8</v>
      </c>
      <c r="F220" s="164">
        <v>391</v>
      </c>
      <c r="G220" s="164" t="s">
        <v>675</v>
      </c>
      <c r="H220" s="164">
        <v>116774</v>
      </c>
      <c r="I220" s="164" t="s">
        <v>676</v>
      </c>
      <c r="J220" s="164">
        <v>3550</v>
      </c>
      <c r="K220" s="165" t="s">
        <v>677</v>
      </c>
      <c r="L220" s="165" t="s">
        <v>678</v>
      </c>
      <c r="M220" s="165" t="s">
        <v>679</v>
      </c>
      <c r="N220" s="141"/>
      <c r="O220" s="142">
        <v>0.49608570000000002</v>
      </c>
      <c r="P220" s="141">
        <v>0.52196460300000003</v>
      </c>
      <c r="Q220" s="141">
        <v>0.66106715155860996</v>
      </c>
      <c r="R220" s="141">
        <v>-1.6572449999999999E-3</v>
      </c>
      <c r="S220" s="167">
        <v>718</v>
      </c>
      <c r="T220" s="167">
        <v>0.79204926213816795</v>
      </c>
      <c r="U220" s="167">
        <v>5.08075541338441E-2</v>
      </c>
      <c r="V220" s="167">
        <v>-1.8303390973514899</v>
      </c>
      <c r="W220" s="167">
        <v>-5.1948344004546102E-3</v>
      </c>
      <c r="X220" s="144">
        <v>2.4096113000000003</v>
      </c>
      <c r="Y220" s="141">
        <v>0.20005829999999999</v>
      </c>
      <c r="Z220" s="168">
        <v>0.77</v>
      </c>
      <c r="AA220" s="168">
        <v>0.71</v>
      </c>
    </row>
    <row r="221" spans="1:27" x14ac:dyDescent="0.25">
      <c r="A221" s="136">
        <v>219</v>
      </c>
      <c r="B221" s="163" t="s">
        <v>629</v>
      </c>
      <c r="C221" s="163" t="s">
        <v>647</v>
      </c>
      <c r="D221" s="163"/>
      <c r="E221" s="164">
        <v>74</v>
      </c>
      <c r="F221" s="164">
        <v>387</v>
      </c>
      <c r="G221" s="164" t="s">
        <v>680</v>
      </c>
      <c r="H221" s="164">
        <v>159897</v>
      </c>
      <c r="I221" s="164" t="s">
        <v>681</v>
      </c>
      <c r="J221" s="164">
        <v>3542</v>
      </c>
      <c r="K221" s="165" t="s">
        <v>682</v>
      </c>
      <c r="L221" s="165" t="s">
        <v>683</v>
      </c>
      <c r="M221" s="165" t="s">
        <v>684</v>
      </c>
      <c r="N221" s="164">
        <v>2079</v>
      </c>
      <c r="O221" s="166">
        <v>0.51202918129707098</v>
      </c>
      <c r="P221" s="164">
        <v>0.56104230804168298</v>
      </c>
      <c r="Q221" s="164">
        <v>0.66106715155860996</v>
      </c>
      <c r="R221" s="164">
        <v>-2.3506074795573801E-3</v>
      </c>
      <c r="S221" s="146"/>
      <c r="T221" s="146">
        <v>0.757382</v>
      </c>
      <c r="U221" s="146">
        <v>0.1037222157110981</v>
      </c>
      <c r="V221" s="146">
        <v>-3.624676</v>
      </c>
      <c r="W221" s="146">
        <v>6.7228474802671079E-2</v>
      </c>
      <c r="X221" s="164">
        <v>2.4096113000000003</v>
      </c>
      <c r="Y221" s="164">
        <v>0.20005829999999999</v>
      </c>
      <c r="Z221" s="168">
        <v>0.55964999999999998</v>
      </c>
      <c r="AA221" s="148">
        <v>0.56000000000000005</v>
      </c>
    </row>
    <row r="222" spans="1:27" x14ac:dyDescent="0.25">
      <c r="A222" s="136">
        <v>220</v>
      </c>
      <c r="B222" s="169" t="s">
        <v>629</v>
      </c>
      <c r="C222" s="169" t="s">
        <v>647</v>
      </c>
      <c r="D222" s="169" t="s">
        <v>434</v>
      </c>
      <c r="E222" s="164">
        <v>75</v>
      </c>
      <c r="F222" s="164">
        <v>386</v>
      </c>
      <c r="G222" s="164" t="s">
        <v>685</v>
      </c>
      <c r="H222" s="164">
        <v>116740</v>
      </c>
      <c r="I222" s="164" t="s">
        <v>686</v>
      </c>
      <c r="J222" s="164">
        <v>3545</v>
      </c>
      <c r="K222" s="165" t="s">
        <v>687</v>
      </c>
      <c r="L222" s="165" t="s">
        <v>688</v>
      </c>
      <c r="M222" s="165" t="s">
        <v>689</v>
      </c>
      <c r="N222" s="164">
        <v>27</v>
      </c>
      <c r="O222" s="166">
        <v>0.47860843885131099</v>
      </c>
      <c r="P222" s="164">
        <v>0.51345508387185201</v>
      </c>
      <c r="Q222" s="164">
        <v>0.66106715155860996</v>
      </c>
      <c r="R222" s="164">
        <v>-2.13372226924474E-3</v>
      </c>
      <c r="S222" s="146"/>
      <c r="T222" s="146">
        <v>0.757382</v>
      </c>
      <c r="U222" s="146">
        <v>0.1037222157110981</v>
      </c>
      <c r="V222" s="146">
        <v>-3.624676</v>
      </c>
      <c r="W222" s="146">
        <v>6.7228474802671079E-2</v>
      </c>
      <c r="X222" s="164">
        <v>2.4096113000000003</v>
      </c>
      <c r="Y222" s="164">
        <v>0.20005829999999999</v>
      </c>
      <c r="Z222" s="168">
        <v>0.57999999999999996</v>
      </c>
      <c r="AA222" s="168">
        <v>0.57999999999999996</v>
      </c>
    </row>
    <row r="223" spans="1:27" x14ac:dyDescent="0.25">
      <c r="A223" s="136">
        <v>221</v>
      </c>
      <c r="B223" s="170" t="s">
        <v>629</v>
      </c>
      <c r="C223" s="170" t="s">
        <v>647</v>
      </c>
      <c r="D223" s="170"/>
      <c r="E223" s="164">
        <v>120</v>
      </c>
      <c r="F223" s="164">
        <v>1237</v>
      </c>
      <c r="G223" s="164" t="s">
        <v>690</v>
      </c>
      <c r="H223" s="164">
        <v>108810</v>
      </c>
      <c r="I223" s="164" t="s">
        <v>691</v>
      </c>
      <c r="J223" s="164">
        <v>2832</v>
      </c>
      <c r="K223" s="165" t="s">
        <v>692</v>
      </c>
      <c r="L223" s="165" t="s">
        <v>693</v>
      </c>
      <c r="M223" s="165" t="s">
        <v>694</v>
      </c>
      <c r="N223" s="141"/>
      <c r="O223" s="142">
        <v>0.49608570000000002</v>
      </c>
      <c r="P223" s="141">
        <v>0.52196460300000003</v>
      </c>
      <c r="Q223" s="141">
        <v>0.66106715155860996</v>
      </c>
      <c r="R223" s="141">
        <v>-1.6572449999999999E-3</v>
      </c>
      <c r="S223" s="167">
        <v>4</v>
      </c>
      <c r="T223" s="167">
        <v>0.80969374215100498</v>
      </c>
      <c r="U223" s="167">
        <v>7.4428430741464102E-2</v>
      </c>
      <c r="V223" s="167">
        <v>-3.1383375036276102</v>
      </c>
      <c r="W223" s="167">
        <v>3.7258783055734983E-2</v>
      </c>
      <c r="X223" s="144">
        <v>2.4096113000000003</v>
      </c>
      <c r="Y223" s="141">
        <v>0.20005829999999999</v>
      </c>
      <c r="Z223" s="148">
        <v>0.61732500000000001</v>
      </c>
      <c r="AA223" s="148">
        <v>0.64166666666666661</v>
      </c>
    </row>
    <row r="224" spans="1:27" x14ac:dyDescent="0.25">
      <c r="A224" s="136">
        <v>222</v>
      </c>
      <c r="B224" s="163" t="s">
        <v>629</v>
      </c>
      <c r="C224" s="163" t="s">
        <v>647</v>
      </c>
      <c r="D224" s="163"/>
      <c r="E224" s="164">
        <v>121</v>
      </c>
      <c r="F224" s="164">
        <v>1238</v>
      </c>
      <c r="G224" s="164" t="s">
        <v>695</v>
      </c>
      <c r="H224" s="164">
        <v>86817</v>
      </c>
      <c r="I224" s="164" t="s">
        <v>696</v>
      </c>
      <c r="J224" s="164">
        <v>675</v>
      </c>
      <c r="K224" s="165" t="s">
        <v>697</v>
      </c>
      <c r="L224" s="165"/>
      <c r="M224" s="165"/>
      <c r="N224" s="141"/>
      <c r="O224" s="142">
        <v>0.49608570000000002</v>
      </c>
      <c r="P224" s="141">
        <v>0.52196460300000003</v>
      </c>
      <c r="Q224" s="141">
        <v>0.66106715155860996</v>
      </c>
      <c r="R224" s="141">
        <v>-1.6572449999999999E-3</v>
      </c>
      <c r="S224" s="146"/>
      <c r="T224" s="146">
        <v>0.757382</v>
      </c>
      <c r="U224" s="146">
        <v>0.1037222157110981</v>
      </c>
      <c r="V224" s="146">
        <v>-3.624676</v>
      </c>
      <c r="W224" s="146">
        <v>6.7228474802671079E-2</v>
      </c>
      <c r="X224" s="144">
        <v>2.4096113000000003</v>
      </c>
      <c r="Y224" s="141">
        <v>0.20005829999999999</v>
      </c>
      <c r="Z224" s="168">
        <v>0.61732500000000001</v>
      </c>
      <c r="AA224" s="168">
        <v>0.64166666666666661</v>
      </c>
    </row>
    <row r="225" spans="1:27" x14ac:dyDescent="0.25">
      <c r="A225" s="136">
        <v>223</v>
      </c>
      <c r="B225" s="163" t="s">
        <v>629</v>
      </c>
      <c r="C225" s="163" t="s">
        <v>647</v>
      </c>
      <c r="D225" s="163"/>
      <c r="E225" s="164">
        <v>122</v>
      </c>
      <c r="F225" s="164">
        <v>1240</v>
      </c>
      <c r="G225" s="164" t="s">
        <v>698</v>
      </c>
      <c r="H225" s="164">
        <v>108822</v>
      </c>
      <c r="I225" s="164" t="s">
        <v>699</v>
      </c>
      <c r="J225" s="164">
        <v>2833</v>
      </c>
      <c r="K225" s="165" t="s">
        <v>700</v>
      </c>
      <c r="L225" s="165" t="s">
        <v>701</v>
      </c>
      <c r="M225" s="165" t="s">
        <v>702</v>
      </c>
      <c r="N225" s="141"/>
      <c r="O225" s="142">
        <v>0.49608570000000002</v>
      </c>
      <c r="P225" s="141">
        <v>0.52196460300000003</v>
      </c>
      <c r="Q225" s="141">
        <v>0.66106715155860996</v>
      </c>
      <c r="R225" s="141">
        <v>-1.6572449999999999E-3</v>
      </c>
      <c r="S225" s="146"/>
      <c r="T225" s="146">
        <v>0.757382</v>
      </c>
      <c r="U225" s="146">
        <v>0.1037222157110981</v>
      </c>
      <c r="V225" s="146">
        <v>-3.624676</v>
      </c>
      <c r="W225" s="146">
        <v>6.7228474802671079E-2</v>
      </c>
      <c r="X225" s="144">
        <v>2.4096113000000003</v>
      </c>
      <c r="Y225" s="141">
        <v>0.20005829999999999</v>
      </c>
      <c r="Z225" s="148">
        <v>0.61732500000000001</v>
      </c>
      <c r="AA225" s="148">
        <v>0.64166666666666661</v>
      </c>
    </row>
    <row r="226" spans="1:27" x14ac:dyDescent="0.25">
      <c r="A226" s="136">
        <v>224</v>
      </c>
      <c r="B226" s="163" t="s">
        <v>629</v>
      </c>
      <c r="C226" s="163" t="s">
        <v>647</v>
      </c>
      <c r="D226" s="163" t="s">
        <v>610</v>
      </c>
      <c r="E226" s="164"/>
      <c r="F226" s="164"/>
      <c r="G226" s="164" t="s">
        <v>703</v>
      </c>
      <c r="H226" s="164"/>
      <c r="I226" s="164" t="s">
        <v>704</v>
      </c>
      <c r="J226" s="164"/>
      <c r="K226" s="165"/>
      <c r="L226" s="165"/>
      <c r="M226" s="165"/>
      <c r="N226" s="141"/>
      <c r="O226" s="142">
        <v>0.49608570000000002</v>
      </c>
      <c r="P226" s="141">
        <v>0.52196460300000003</v>
      </c>
      <c r="Q226" s="141">
        <v>0.66106715155860996</v>
      </c>
      <c r="R226" s="141">
        <v>-1.6572449999999999E-3</v>
      </c>
      <c r="S226" s="146"/>
      <c r="T226" s="146">
        <v>0.757382</v>
      </c>
      <c r="U226" s="146">
        <v>0.1037222157110981</v>
      </c>
      <c r="V226" s="146">
        <v>-3.624676</v>
      </c>
      <c r="W226" s="146">
        <v>6.7228474802671079E-2</v>
      </c>
      <c r="X226" s="144">
        <v>2.4096113000000003</v>
      </c>
      <c r="Y226" s="141">
        <v>0.20005829999999999</v>
      </c>
      <c r="Z226" s="168">
        <v>0.61732500000000001</v>
      </c>
      <c r="AA226" s="168">
        <v>0.64166666666666661</v>
      </c>
    </row>
    <row r="227" spans="1:27" x14ac:dyDescent="0.25">
      <c r="A227" s="136">
        <v>225</v>
      </c>
      <c r="B227" s="163" t="s">
        <v>629</v>
      </c>
      <c r="C227" s="163" t="s">
        <v>647</v>
      </c>
      <c r="D227" s="163" t="s">
        <v>614</v>
      </c>
      <c r="E227" s="164"/>
      <c r="F227" s="164"/>
      <c r="G227" s="164" t="s">
        <v>705</v>
      </c>
      <c r="H227" s="164">
        <v>194913</v>
      </c>
      <c r="I227" s="164" t="s">
        <v>706</v>
      </c>
      <c r="J227" s="164"/>
      <c r="K227" s="165"/>
      <c r="L227" s="165"/>
      <c r="M227" s="165"/>
      <c r="N227" s="141"/>
      <c r="O227" s="142">
        <v>0.49608570000000002</v>
      </c>
      <c r="P227" s="141">
        <v>0.52196460300000003</v>
      </c>
      <c r="Q227" s="141">
        <v>0.66106715155860996</v>
      </c>
      <c r="R227" s="141">
        <v>-1.6572449999999999E-3</v>
      </c>
      <c r="S227" s="146"/>
      <c r="T227" s="146">
        <v>0.757382</v>
      </c>
      <c r="U227" s="146">
        <v>0.1037222157110981</v>
      </c>
      <c r="V227" s="146">
        <v>-3.624676</v>
      </c>
      <c r="W227" s="146">
        <v>6.7228474802671079E-2</v>
      </c>
      <c r="X227" s="144">
        <v>2.4096113000000003</v>
      </c>
      <c r="Y227" s="141">
        <v>0.20005829999999999</v>
      </c>
      <c r="Z227" s="148">
        <v>0.61732500000000001</v>
      </c>
      <c r="AA227" s="148">
        <v>0.64166666666666661</v>
      </c>
    </row>
    <row r="228" spans="1:27" x14ac:dyDescent="0.25">
      <c r="A228" s="136">
        <v>226</v>
      </c>
      <c r="B228" s="163" t="s">
        <v>629</v>
      </c>
      <c r="C228" s="163" t="s">
        <v>647</v>
      </c>
      <c r="D228" s="163"/>
      <c r="E228" s="164"/>
      <c r="F228" s="164"/>
      <c r="G228" s="164" t="s">
        <v>707</v>
      </c>
      <c r="H228" s="164">
        <v>197006</v>
      </c>
      <c r="I228" s="164" t="s">
        <v>708</v>
      </c>
      <c r="J228" s="164"/>
      <c r="K228" s="165"/>
      <c r="L228" s="165" t="s">
        <v>709</v>
      </c>
      <c r="M228" s="165"/>
      <c r="N228" s="164">
        <v>2079</v>
      </c>
      <c r="O228" s="166">
        <v>0.51202918129707098</v>
      </c>
      <c r="P228" s="164">
        <v>0.56104230804168298</v>
      </c>
      <c r="Q228" s="164">
        <v>0.66106715155860996</v>
      </c>
      <c r="R228" s="164">
        <v>-2.3506074795573801E-3</v>
      </c>
      <c r="S228" s="146"/>
      <c r="T228" s="146">
        <v>0.757382</v>
      </c>
      <c r="U228" s="146">
        <v>0.1037222157110981</v>
      </c>
      <c r="V228" s="146">
        <v>-3.624676</v>
      </c>
      <c r="W228" s="146">
        <v>6.7228474802671079E-2</v>
      </c>
      <c r="X228" s="164">
        <v>2.4096113000000003</v>
      </c>
      <c r="Y228" s="164">
        <v>0.20005829999999999</v>
      </c>
      <c r="Z228" s="168">
        <v>0.55964999999999998</v>
      </c>
      <c r="AA228" s="148">
        <v>0.56000000000000005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8"/>
  <sheetViews>
    <sheetView workbookViewId="0">
      <selection activeCell="C24" sqref="C24"/>
    </sheetView>
  </sheetViews>
  <sheetFormatPr baseColWidth="10" defaultRowHeight="15" x14ac:dyDescent="0.25"/>
  <cols>
    <col min="1" max="1" width="16.42578125" bestFit="1" customWidth="1"/>
    <col min="3" max="3" width="42.140625" bestFit="1" customWidth="1"/>
  </cols>
  <sheetData>
    <row r="1" spans="1:3" ht="18.75" x14ac:dyDescent="0.3">
      <c r="A1" s="407" t="s">
        <v>48</v>
      </c>
      <c r="B1" s="407"/>
      <c r="C1" s="407"/>
    </row>
    <row r="2" spans="1:3" x14ac:dyDescent="0.25">
      <c r="A2" s="1" t="s">
        <v>128</v>
      </c>
      <c r="B2" s="1" t="s">
        <v>129</v>
      </c>
      <c r="C2" s="1" t="s">
        <v>130</v>
      </c>
    </row>
    <row r="3" spans="1:3" x14ac:dyDescent="0.25">
      <c r="A3" s="1" t="s">
        <v>0</v>
      </c>
      <c r="B3" s="1" t="s">
        <v>8</v>
      </c>
      <c r="C3" s="1" t="s">
        <v>131</v>
      </c>
    </row>
    <row r="4" spans="1:3" x14ac:dyDescent="0.25">
      <c r="A4" s="1" t="s">
        <v>0</v>
      </c>
      <c r="B4" s="1" t="s">
        <v>15</v>
      </c>
      <c r="C4" s="1" t="s">
        <v>132</v>
      </c>
    </row>
    <row r="5" spans="1:3" x14ac:dyDescent="0.25">
      <c r="A5" s="1" t="s">
        <v>0</v>
      </c>
      <c r="B5" s="1" t="s">
        <v>69</v>
      </c>
      <c r="C5" s="1" t="s">
        <v>133</v>
      </c>
    </row>
    <row r="6" spans="1:3" x14ac:dyDescent="0.25">
      <c r="A6" s="1" t="s">
        <v>0</v>
      </c>
      <c r="B6" s="1" t="s">
        <v>17</v>
      </c>
      <c r="C6" s="1" t="s">
        <v>134</v>
      </c>
    </row>
    <row r="7" spans="1:3" x14ac:dyDescent="0.25">
      <c r="A7" s="1" t="s">
        <v>0</v>
      </c>
      <c r="B7" s="1" t="s">
        <v>180</v>
      </c>
      <c r="C7" s="1" t="s">
        <v>179</v>
      </c>
    </row>
    <row r="8" spans="1:3" x14ac:dyDescent="0.25">
      <c r="A8" s="1" t="s">
        <v>29</v>
      </c>
      <c r="B8" s="1" t="s">
        <v>11</v>
      </c>
      <c r="C8" s="1" t="s">
        <v>135</v>
      </c>
    </row>
    <row r="9" spans="1:3" x14ac:dyDescent="0.25">
      <c r="A9" s="1" t="s">
        <v>29</v>
      </c>
      <c r="B9" s="1" t="s">
        <v>21</v>
      </c>
      <c r="C9" s="1" t="s">
        <v>136</v>
      </c>
    </row>
    <row r="10" spans="1:3" x14ac:dyDescent="0.25">
      <c r="A10" s="1" t="s">
        <v>29</v>
      </c>
      <c r="B10" s="1" t="s">
        <v>20</v>
      </c>
      <c r="C10" s="1" t="s">
        <v>137</v>
      </c>
    </row>
    <row r="11" spans="1:3" x14ac:dyDescent="0.25">
      <c r="A11" s="1" t="s">
        <v>29</v>
      </c>
      <c r="B11" s="1" t="s">
        <v>22</v>
      </c>
      <c r="C11" s="1" t="s">
        <v>138</v>
      </c>
    </row>
    <row r="12" spans="1:3" x14ac:dyDescent="0.25">
      <c r="A12" s="1" t="s">
        <v>172</v>
      </c>
      <c r="B12" s="1" t="s">
        <v>171</v>
      </c>
      <c r="C12" s="1" t="s">
        <v>174</v>
      </c>
    </row>
    <row r="13" spans="1:3" x14ac:dyDescent="0.25">
      <c r="A13" s="1" t="s">
        <v>172</v>
      </c>
      <c r="B13" s="1" t="s">
        <v>170</v>
      </c>
      <c r="C13" s="1" t="s">
        <v>175</v>
      </c>
    </row>
    <row r="14" spans="1:3" ht="45" x14ac:dyDescent="0.25">
      <c r="A14" s="1" t="s">
        <v>85</v>
      </c>
      <c r="B14" s="1" t="s">
        <v>50</v>
      </c>
      <c r="C14" s="40" t="s">
        <v>139</v>
      </c>
    </row>
    <row r="15" spans="1:3" ht="45" x14ac:dyDescent="0.25">
      <c r="A15" s="1" t="s">
        <v>85</v>
      </c>
      <c r="B15" s="1" t="s">
        <v>84</v>
      </c>
      <c r="C15" s="40" t="s">
        <v>140</v>
      </c>
    </row>
    <row r="16" spans="1:3" ht="45" x14ac:dyDescent="0.25">
      <c r="A16" s="1" t="s">
        <v>85</v>
      </c>
      <c r="B16" s="1" t="s">
        <v>2</v>
      </c>
      <c r="C16" s="40" t="s">
        <v>149</v>
      </c>
    </row>
    <row r="17" spans="1:3" x14ac:dyDescent="0.25">
      <c r="A17" s="1" t="s">
        <v>51</v>
      </c>
      <c r="B17" s="1" t="s">
        <v>52</v>
      </c>
      <c r="C17" s="1" t="s">
        <v>141</v>
      </c>
    </row>
    <row r="18" spans="1:3" x14ac:dyDescent="0.25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3"/>
  <sheetViews>
    <sheetView topLeftCell="B28" workbookViewId="0">
      <selection activeCell="C36" sqref="C36"/>
    </sheetView>
  </sheetViews>
  <sheetFormatPr baseColWidth="10" defaultRowHeight="15" x14ac:dyDescent="0.25"/>
  <cols>
    <col min="1" max="1" width="23.5703125" bestFit="1" customWidth="1"/>
    <col min="2" max="2" width="18" bestFit="1" customWidth="1"/>
    <col min="3" max="3" width="97.140625" bestFit="1" customWidth="1"/>
  </cols>
  <sheetData>
    <row r="1" spans="1:4" ht="19.5" thickBot="1" x14ac:dyDescent="0.35">
      <c r="A1" s="408" t="s">
        <v>24</v>
      </c>
      <c r="B1" s="409"/>
      <c r="C1" s="409"/>
      <c r="D1" s="410"/>
    </row>
    <row r="2" spans="1:4" ht="15.75" thickBot="1" x14ac:dyDescent="0.3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25">
      <c r="A3" s="47" t="s">
        <v>122</v>
      </c>
      <c r="B3" s="48" t="s">
        <v>54</v>
      </c>
      <c r="C3" s="49" t="s">
        <v>89</v>
      </c>
      <c r="D3" s="50"/>
    </row>
    <row r="4" spans="1:4" x14ac:dyDescent="0.25">
      <c r="A4" s="51"/>
      <c r="B4" s="52" t="s">
        <v>55</v>
      </c>
      <c r="C4" s="53" t="s">
        <v>91</v>
      </c>
      <c r="D4" s="54"/>
    </row>
    <row r="5" spans="1:4" x14ac:dyDescent="0.25">
      <c r="A5" s="51"/>
      <c r="B5" s="52" t="s">
        <v>57</v>
      </c>
      <c r="C5" s="53" t="s">
        <v>92</v>
      </c>
      <c r="D5" s="54"/>
    </row>
    <row r="6" spans="1:4" x14ac:dyDescent="0.25">
      <c r="A6" s="51"/>
      <c r="B6" s="52" t="s">
        <v>86</v>
      </c>
      <c r="C6" s="53" t="s">
        <v>93</v>
      </c>
      <c r="D6" s="54"/>
    </row>
    <row r="7" spans="1:4" ht="15.75" thickBot="1" x14ac:dyDescent="0.3">
      <c r="A7" s="55"/>
      <c r="B7" s="56" t="s">
        <v>58</v>
      </c>
      <c r="C7" s="57" t="s">
        <v>94</v>
      </c>
      <c r="D7" s="58"/>
    </row>
    <row r="8" spans="1:4" x14ac:dyDescent="0.25">
      <c r="A8" s="59" t="s">
        <v>123</v>
      </c>
      <c r="B8" s="26" t="s">
        <v>0</v>
      </c>
      <c r="C8" s="26" t="s">
        <v>28</v>
      </c>
      <c r="D8" s="27"/>
    </row>
    <row r="9" spans="1:4" ht="30" x14ac:dyDescent="0.25">
      <c r="A9" s="60"/>
      <c r="B9" s="14" t="s">
        <v>29</v>
      </c>
      <c r="C9" s="41" t="s">
        <v>32</v>
      </c>
      <c r="D9" s="15"/>
    </row>
    <row r="10" spans="1:4" x14ac:dyDescent="0.25">
      <c r="A10" s="60"/>
      <c r="B10" s="14" t="s">
        <v>30</v>
      </c>
      <c r="C10" s="14" t="s">
        <v>33</v>
      </c>
      <c r="D10" s="15"/>
    </row>
    <row r="11" spans="1:4" x14ac:dyDescent="0.25">
      <c r="A11" s="60"/>
      <c r="B11" s="14" t="s">
        <v>1</v>
      </c>
      <c r="C11" s="14" t="s">
        <v>31</v>
      </c>
      <c r="D11" s="15"/>
    </row>
    <row r="12" spans="1:4" x14ac:dyDescent="0.25">
      <c r="A12" s="60"/>
      <c r="B12" s="14" t="s">
        <v>60</v>
      </c>
      <c r="C12" s="14" t="s">
        <v>95</v>
      </c>
      <c r="D12" s="15" t="s">
        <v>35</v>
      </c>
    </row>
    <row r="13" spans="1:4" x14ac:dyDescent="0.25">
      <c r="A13" s="60"/>
      <c r="B13" s="14" t="s">
        <v>189</v>
      </c>
      <c r="C13" s="14" t="s">
        <v>195</v>
      </c>
      <c r="D13" s="15" t="s">
        <v>38</v>
      </c>
    </row>
    <row r="14" spans="1:4" x14ac:dyDescent="0.25">
      <c r="A14" s="60"/>
      <c r="B14" s="14" t="s">
        <v>150</v>
      </c>
      <c r="C14" s="14" t="s">
        <v>178</v>
      </c>
      <c r="D14" s="15" t="s">
        <v>36</v>
      </c>
    </row>
    <row r="15" spans="1:4" ht="15.75" thickBot="1" x14ac:dyDescent="0.3">
      <c r="A15" s="60"/>
      <c r="B15" s="14" t="s">
        <v>172</v>
      </c>
      <c r="C15" s="14" t="s">
        <v>173</v>
      </c>
      <c r="D15" s="15"/>
    </row>
    <row r="16" spans="1:4" x14ac:dyDescent="0.25">
      <c r="A16" s="61" t="s">
        <v>124</v>
      </c>
      <c r="B16" s="28" t="s">
        <v>71</v>
      </c>
      <c r="C16" s="28" t="s">
        <v>96</v>
      </c>
      <c r="D16" s="29"/>
    </row>
    <row r="17" spans="1:4" x14ac:dyDescent="0.25">
      <c r="A17" s="62"/>
      <c r="B17" s="16" t="s">
        <v>79</v>
      </c>
      <c r="C17" s="16" t="s">
        <v>97</v>
      </c>
      <c r="D17" s="17"/>
    </row>
    <row r="18" spans="1:4" x14ac:dyDescent="0.25">
      <c r="A18" s="62"/>
      <c r="B18" s="16" t="s">
        <v>82</v>
      </c>
      <c r="C18" s="16" t="s">
        <v>98</v>
      </c>
      <c r="D18" s="17"/>
    </row>
    <row r="19" spans="1:4" x14ac:dyDescent="0.25">
      <c r="A19" s="62"/>
      <c r="B19" s="16" t="s">
        <v>85</v>
      </c>
      <c r="C19" s="16" t="s">
        <v>99</v>
      </c>
      <c r="D19" s="17"/>
    </row>
    <row r="20" spans="1:4" x14ac:dyDescent="0.25">
      <c r="A20" s="62"/>
      <c r="B20" s="16" t="s">
        <v>61</v>
      </c>
      <c r="C20" s="16" t="s">
        <v>119</v>
      </c>
      <c r="D20" s="17" t="s">
        <v>101</v>
      </c>
    </row>
    <row r="21" spans="1:4" x14ac:dyDescent="0.25">
      <c r="A21" s="62"/>
      <c r="B21" s="16" t="s">
        <v>59</v>
      </c>
      <c r="C21" s="16" t="s">
        <v>100</v>
      </c>
      <c r="D21" s="17" t="s">
        <v>35</v>
      </c>
    </row>
    <row r="22" spans="1:4" x14ac:dyDescent="0.25">
      <c r="A22" s="62"/>
      <c r="B22" s="16" t="s">
        <v>76</v>
      </c>
      <c r="C22" s="16" t="s">
        <v>102</v>
      </c>
      <c r="D22" s="17" t="s">
        <v>36</v>
      </c>
    </row>
    <row r="23" spans="1:4" x14ac:dyDescent="0.25">
      <c r="A23" s="62"/>
      <c r="B23" s="16" t="s">
        <v>77</v>
      </c>
      <c r="C23" s="16" t="s">
        <v>112</v>
      </c>
      <c r="D23" s="17" t="s">
        <v>118</v>
      </c>
    </row>
    <row r="24" spans="1:4" x14ac:dyDescent="0.25">
      <c r="A24" s="62"/>
      <c r="B24" s="16" t="s">
        <v>70</v>
      </c>
      <c r="C24" s="16" t="s">
        <v>113</v>
      </c>
      <c r="D24" s="17" t="s">
        <v>36</v>
      </c>
    </row>
    <row r="25" spans="1:4" x14ac:dyDescent="0.25">
      <c r="A25" s="62"/>
      <c r="B25" s="16" t="s">
        <v>72</v>
      </c>
      <c r="C25" s="16" t="s">
        <v>114</v>
      </c>
      <c r="D25" s="17" t="s">
        <v>36</v>
      </c>
    </row>
    <row r="26" spans="1:4" x14ac:dyDescent="0.25">
      <c r="A26" s="62"/>
      <c r="B26" s="16" t="s">
        <v>73</v>
      </c>
      <c r="C26" s="16" t="s">
        <v>115</v>
      </c>
      <c r="D26" s="17" t="s">
        <v>36</v>
      </c>
    </row>
    <row r="27" spans="1:4" x14ac:dyDescent="0.25">
      <c r="A27" s="62"/>
      <c r="B27" s="16" t="s">
        <v>74</v>
      </c>
      <c r="C27" s="16" t="s">
        <v>116</v>
      </c>
      <c r="D27" s="17" t="s">
        <v>36</v>
      </c>
    </row>
    <row r="28" spans="1:4" ht="15.75" thickBot="1" x14ac:dyDescent="0.3">
      <c r="A28" s="63"/>
      <c r="B28" s="30" t="s">
        <v>75</v>
      </c>
      <c r="C28" s="30" t="s">
        <v>117</v>
      </c>
      <c r="D28" s="31" t="s">
        <v>36</v>
      </c>
    </row>
    <row r="29" spans="1:4" x14ac:dyDescent="0.25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25">
      <c r="A30" s="65"/>
      <c r="B30" s="18" t="s">
        <v>51</v>
      </c>
      <c r="C30" s="18" t="s">
        <v>120</v>
      </c>
      <c r="D30" s="19"/>
    </row>
    <row r="31" spans="1:4" x14ac:dyDescent="0.25">
      <c r="A31" s="65"/>
      <c r="B31" s="18" t="s">
        <v>2</v>
      </c>
      <c r="C31" s="18" t="s">
        <v>103</v>
      </c>
      <c r="D31" s="19" t="s">
        <v>35</v>
      </c>
    </row>
    <row r="32" spans="1:4" x14ac:dyDescent="0.25">
      <c r="A32" s="65"/>
      <c r="B32" s="18" t="s">
        <v>4</v>
      </c>
      <c r="C32" s="18" t="s">
        <v>105</v>
      </c>
      <c r="D32" s="19" t="s">
        <v>36</v>
      </c>
    </row>
    <row r="33" spans="1:4" x14ac:dyDescent="0.25">
      <c r="A33" s="65"/>
      <c r="B33" s="18" t="s">
        <v>5</v>
      </c>
      <c r="C33" s="18" t="s">
        <v>104</v>
      </c>
      <c r="D33" s="19" t="s">
        <v>37</v>
      </c>
    </row>
    <row r="34" spans="1:4" x14ac:dyDescent="0.25">
      <c r="A34" s="65"/>
      <c r="B34" s="18" t="s">
        <v>6</v>
      </c>
      <c r="C34" s="18" t="s">
        <v>106</v>
      </c>
      <c r="D34" s="19" t="s">
        <v>38</v>
      </c>
    </row>
    <row r="35" spans="1:4" x14ac:dyDescent="0.25">
      <c r="A35" s="65"/>
      <c r="B35" s="18" t="s">
        <v>7</v>
      </c>
      <c r="C35" s="18" t="s">
        <v>107</v>
      </c>
      <c r="D35" s="19" t="s">
        <v>38</v>
      </c>
    </row>
    <row r="36" spans="1:4" x14ac:dyDescent="0.25">
      <c r="A36" s="65"/>
      <c r="B36" s="18" t="s">
        <v>152</v>
      </c>
      <c r="C36" s="18" t="s">
        <v>154</v>
      </c>
      <c r="D36" s="19" t="s">
        <v>39</v>
      </c>
    </row>
    <row r="37" spans="1:4" x14ac:dyDescent="0.25">
      <c r="A37" s="65"/>
      <c r="B37" s="18" t="s">
        <v>151</v>
      </c>
      <c r="C37" s="18" t="s">
        <v>157</v>
      </c>
      <c r="D37" s="19" t="s">
        <v>39</v>
      </c>
    </row>
    <row r="38" spans="1:4" ht="15.75" thickBot="1" x14ac:dyDescent="0.3">
      <c r="A38" s="66"/>
      <c r="B38" s="34" t="s">
        <v>153</v>
      </c>
      <c r="C38" s="34" t="s">
        <v>108</v>
      </c>
      <c r="D38" s="35" t="s">
        <v>39</v>
      </c>
    </row>
    <row r="39" spans="1:4" x14ac:dyDescent="0.25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25">
      <c r="A40" s="68"/>
      <c r="B40" s="20" t="s">
        <v>23</v>
      </c>
      <c r="C40" s="20" t="s">
        <v>110</v>
      </c>
      <c r="D40" s="21" t="s">
        <v>39</v>
      </c>
    </row>
    <row r="41" spans="1:4" x14ac:dyDescent="0.25">
      <c r="A41" s="68"/>
      <c r="B41" s="20" t="s">
        <v>14</v>
      </c>
      <c r="C41" s="20" t="s">
        <v>40</v>
      </c>
      <c r="D41" s="21"/>
    </row>
    <row r="42" spans="1:4" x14ac:dyDescent="0.25">
      <c r="A42" s="68"/>
      <c r="B42" s="20" t="s">
        <v>167</v>
      </c>
      <c r="C42" s="20" t="s">
        <v>177</v>
      </c>
      <c r="D42" s="21" t="s">
        <v>176</v>
      </c>
    </row>
    <row r="43" spans="1:4" x14ac:dyDescent="0.25">
      <c r="A43" s="68"/>
      <c r="B43" s="20" t="s">
        <v>164</v>
      </c>
      <c r="C43" s="20"/>
      <c r="D43" s="21"/>
    </row>
    <row r="44" spans="1:4" x14ac:dyDescent="0.25">
      <c r="A44" s="68"/>
      <c r="B44" s="20" t="s">
        <v>165</v>
      </c>
      <c r="C44" s="20"/>
      <c r="D44" s="21"/>
    </row>
    <row r="45" spans="1:4" ht="15.75" thickBot="1" x14ac:dyDescent="0.3">
      <c r="A45" s="69"/>
      <c r="B45" s="38" t="s">
        <v>166</v>
      </c>
      <c r="C45" s="38"/>
      <c r="D45" s="39"/>
    </row>
    <row r="46" spans="1:4" x14ac:dyDescent="0.25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25">
      <c r="A47" s="72"/>
      <c r="B47" s="22" t="s">
        <v>155</v>
      </c>
      <c r="C47" s="22" t="s">
        <v>160</v>
      </c>
      <c r="D47" s="23" t="s">
        <v>42</v>
      </c>
    </row>
    <row r="48" spans="1:4" x14ac:dyDescent="0.25">
      <c r="A48" s="70"/>
      <c r="B48" s="22" t="s">
        <v>156</v>
      </c>
      <c r="C48" s="22" t="s">
        <v>159</v>
      </c>
      <c r="D48" s="23" t="s">
        <v>42</v>
      </c>
    </row>
    <row r="49" spans="1:4" x14ac:dyDescent="0.25">
      <c r="A49" s="70"/>
      <c r="B49" s="22" t="s">
        <v>41</v>
      </c>
      <c r="C49" s="22" t="s">
        <v>158</v>
      </c>
      <c r="D49" s="23" t="s">
        <v>42</v>
      </c>
    </row>
    <row r="50" spans="1:4" x14ac:dyDescent="0.25">
      <c r="A50" s="70"/>
      <c r="B50" s="22" t="s">
        <v>45</v>
      </c>
      <c r="C50" s="22" t="s">
        <v>111</v>
      </c>
      <c r="D50" s="23" t="s">
        <v>42</v>
      </c>
    </row>
    <row r="51" spans="1:4" x14ac:dyDescent="0.25">
      <c r="A51" s="70"/>
      <c r="B51" s="22" t="s">
        <v>19</v>
      </c>
      <c r="C51" s="22" t="s">
        <v>49</v>
      </c>
      <c r="D51" s="23" t="s">
        <v>42</v>
      </c>
    </row>
    <row r="52" spans="1:4" x14ac:dyDescent="0.25">
      <c r="A52" s="70"/>
      <c r="B52" s="22" t="s">
        <v>43</v>
      </c>
      <c r="C52" s="22" t="s">
        <v>46</v>
      </c>
      <c r="D52" s="23" t="s">
        <v>42</v>
      </c>
    </row>
    <row r="53" spans="1:4" ht="30.75" thickBot="1" x14ac:dyDescent="0.3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7"/>
  <sheetViews>
    <sheetView topLeftCell="A37" workbookViewId="0">
      <selection activeCell="C45" sqref="C45"/>
    </sheetView>
  </sheetViews>
  <sheetFormatPr baseColWidth="10" defaultRowHeight="15" x14ac:dyDescent="0.25"/>
  <cols>
    <col min="1" max="2" width="24.42578125" style="77" customWidth="1"/>
  </cols>
  <sheetData>
    <row r="1" spans="1:9" ht="14.45" customHeight="1" thickBot="1" x14ac:dyDescent="0.3">
      <c r="A1" s="102" t="s">
        <v>326</v>
      </c>
      <c r="B1" s="102" t="s">
        <v>327</v>
      </c>
    </row>
    <row r="2" spans="1:9" ht="14.45" customHeight="1" thickBot="1" x14ac:dyDescent="0.3">
      <c r="A2" s="103" t="s">
        <v>328</v>
      </c>
      <c r="B2" s="103">
        <v>0.62</v>
      </c>
    </row>
    <row r="3" spans="1:9" ht="15.75" thickBot="1" x14ac:dyDescent="0.3">
      <c r="A3" s="104" t="s">
        <v>329</v>
      </c>
      <c r="B3" s="104">
        <v>0.64</v>
      </c>
    </row>
    <row r="4" spans="1:9" ht="15.75" thickBot="1" x14ac:dyDescent="0.3">
      <c r="A4" s="103" t="s">
        <v>330</v>
      </c>
      <c r="B4" s="103">
        <v>0.42</v>
      </c>
    </row>
    <row r="5" spans="1:9" ht="15.75" thickBot="1" x14ac:dyDescent="0.3">
      <c r="A5" s="104" t="s">
        <v>331</v>
      </c>
      <c r="B5" s="104">
        <v>0.42</v>
      </c>
      <c r="C5" s="105"/>
    </row>
    <row r="6" spans="1:9" ht="15.75" thickBot="1" x14ac:dyDescent="0.3">
      <c r="A6" s="103" t="s">
        <v>332</v>
      </c>
      <c r="B6" s="103">
        <v>0.52</v>
      </c>
    </row>
    <row r="7" spans="1:9" ht="15.75" thickBot="1" x14ac:dyDescent="0.3">
      <c r="A7" s="104" t="s">
        <v>308</v>
      </c>
      <c r="B7" s="104">
        <v>0.36</v>
      </c>
    </row>
    <row r="8" spans="1:9" ht="15.75" thickBot="1" x14ac:dyDescent="0.3">
      <c r="A8" s="103" t="s">
        <v>333</v>
      </c>
      <c r="B8" s="103">
        <v>0.61</v>
      </c>
    </row>
    <row r="9" spans="1:9" ht="15.75" thickBot="1" x14ac:dyDescent="0.3">
      <c r="A9" s="104" t="s">
        <v>334</v>
      </c>
      <c r="B9" s="104">
        <v>0.66</v>
      </c>
      <c r="I9" s="105"/>
    </row>
    <row r="10" spans="1:9" ht="15.75" thickBot="1" x14ac:dyDescent="0.3">
      <c r="A10" s="103" t="s">
        <v>335</v>
      </c>
      <c r="B10" s="103">
        <v>0.47</v>
      </c>
      <c r="I10" s="105"/>
    </row>
    <row r="11" spans="1:9" ht="15.75" thickBot="1" x14ac:dyDescent="0.3">
      <c r="A11" s="104" t="s">
        <v>336</v>
      </c>
      <c r="B11" s="104">
        <v>0.67</v>
      </c>
    </row>
    <row r="12" spans="1:9" ht="15.75" thickBot="1" x14ac:dyDescent="0.3">
      <c r="A12" s="103" t="s">
        <v>337</v>
      </c>
      <c r="B12" s="103">
        <v>0.7</v>
      </c>
    </row>
    <row r="13" spans="1:9" ht="15.75" thickBot="1" x14ac:dyDescent="0.3">
      <c r="A13" s="104" t="s">
        <v>338</v>
      </c>
      <c r="B13" s="104">
        <v>0.54</v>
      </c>
    </row>
    <row r="14" spans="1:9" ht="15.75" thickBot="1" x14ac:dyDescent="0.3">
      <c r="A14" s="103" t="s">
        <v>339</v>
      </c>
      <c r="B14" s="103">
        <v>0.65</v>
      </c>
    </row>
    <row r="15" spans="1:9" ht="15.75" thickBot="1" x14ac:dyDescent="0.3">
      <c r="A15" s="104" t="s">
        <v>340</v>
      </c>
      <c r="B15" s="104">
        <v>0.56000000000000005</v>
      </c>
    </row>
    <row r="16" spans="1:9" ht="15.75" thickBot="1" x14ac:dyDescent="0.3">
      <c r="A16" s="103" t="s">
        <v>389</v>
      </c>
      <c r="B16" s="103">
        <v>0.57999999999999996</v>
      </c>
    </row>
    <row r="17" spans="1:2" ht="15.75" thickBot="1" x14ac:dyDescent="0.3">
      <c r="A17" s="104" t="s">
        <v>341</v>
      </c>
      <c r="B17" s="104">
        <v>0.64</v>
      </c>
    </row>
    <row r="18" spans="1:2" ht="15.75" thickBot="1" x14ac:dyDescent="0.3">
      <c r="A18" s="103" t="s">
        <v>342</v>
      </c>
      <c r="B18" s="103">
        <v>0.73</v>
      </c>
    </row>
    <row r="19" spans="1:2" ht="15.75" thickBot="1" x14ac:dyDescent="0.3">
      <c r="A19" s="104" t="s">
        <v>343</v>
      </c>
      <c r="B19" s="104">
        <v>0.56000000000000005</v>
      </c>
    </row>
    <row r="20" spans="1:2" ht="15.75" thickBot="1" x14ac:dyDescent="0.3">
      <c r="A20" s="103" t="s">
        <v>344</v>
      </c>
      <c r="B20" s="103">
        <v>0.74</v>
      </c>
    </row>
    <row r="21" spans="1:2" ht="15.75" thickBot="1" x14ac:dyDescent="0.3">
      <c r="A21" s="104" t="s">
        <v>345</v>
      </c>
      <c r="B21" s="104">
        <v>0.4</v>
      </c>
    </row>
    <row r="22" spans="1:2" ht="15.75" thickBot="1" x14ac:dyDescent="0.3">
      <c r="A22" s="103" t="s">
        <v>346</v>
      </c>
      <c r="B22" s="103">
        <v>0.6</v>
      </c>
    </row>
    <row r="23" spans="1:2" ht="15.75" thickBot="1" x14ac:dyDescent="0.3">
      <c r="A23" s="104" t="s">
        <v>347</v>
      </c>
      <c r="B23" s="104">
        <v>0.43</v>
      </c>
    </row>
    <row r="24" spans="1:2" ht="15.75" thickBot="1" x14ac:dyDescent="0.3">
      <c r="A24" s="106" t="s">
        <v>229</v>
      </c>
      <c r="B24" s="103">
        <v>0.37</v>
      </c>
    </row>
    <row r="25" spans="1:2" ht="15.75" thickBot="1" x14ac:dyDescent="0.3">
      <c r="A25" s="104" t="s">
        <v>348</v>
      </c>
      <c r="B25" s="104">
        <v>0.36</v>
      </c>
    </row>
    <row r="26" spans="1:2" ht="15.75" thickBot="1" x14ac:dyDescent="0.3">
      <c r="A26" s="103" t="s">
        <v>349</v>
      </c>
      <c r="B26" s="103">
        <v>0.51</v>
      </c>
    </row>
    <row r="27" spans="1:2" ht="15.75" thickBot="1" x14ac:dyDescent="0.3">
      <c r="A27" s="104" t="s">
        <v>350</v>
      </c>
      <c r="B27" s="104">
        <v>0.56000000000000005</v>
      </c>
    </row>
    <row r="28" spans="1:2" ht="15.75" thickBot="1" x14ac:dyDescent="0.3">
      <c r="A28" s="103" t="s">
        <v>351</v>
      </c>
      <c r="B28" s="103">
        <v>0.56000000000000005</v>
      </c>
    </row>
    <row r="29" spans="1:2" ht="15.75" thickBot="1" x14ac:dyDescent="0.3">
      <c r="A29" s="104" t="s">
        <v>352</v>
      </c>
      <c r="B29" s="104">
        <v>0.48</v>
      </c>
    </row>
    <row r="30" spans="1:2" ht="15.75" thickBot="1" x14ac:dyDescent="0.3">
      <c r="A30" s="103" t="s">
        <v>238</v>
      </c>
      <c r="B30" s="103">
        <v>0.55000000000000004</v>
      </c>
    </row>
    <row r="31" spans="1:2" ht="15.75" thickBot="1" x14ac:dyDescent="0.3">
      <c r="A31" s="104" t="s">
        <v>353</v>
      </c>
      <c r="B31" s="104">
        <v>0.56000000000000005</v>
      </c>
    </row>
    <row r="32" spans="1:2" ht="15.75" thickBot="1" x14ac:dyDescent="0.3">
      <c r="A32" s="103" t="s">
        <v>354</v>
      </c>
      <c r="B32" s="103">
        <v>0.57999999999999996</v>
      </c>
    </row>
    <row r="33" spans="1:2" ht="15.75" thickBot="1" x14ac:dyDescent="0.3">
      <c r="A33" s="104" t="s">
        <v>355</v>
      </c>
      <c r="B33" s="104">
        <v>0.57999999999999996</v>
      </c>
    </row>
    <row r="34" spans="1:2" x14ac:dyDescent="0.25">
      <c r="A34" s="107" t="s">
        <v>356</v>
      </c>
      <c r="B34" s="107">
        <v>0.48</v>
      </c>
    </row>
    <row r="35" spans="1:2" ht="15.75" thickBot="1" x14ac:dyDescent="0.3">
      <c r="A35" s="104" t="s">
        <v>357</v>
      </c>
      <c r="B35" s="104">
        <v>0.42</v>
      </c>
    </row>
    <row r="36" spans="1:2" ht="15.75" thickBot="1" x14ac:dyDescent="0.3">
      <c r="A36" s="103" t="s">
        <v>358</v>
      </c>
      <c r="B36" s="103">
        <v>0.5</v>
      </c>
    </row>
    <row r="37" spans="1:2" ht="15.75" thickBot="1" x14ac:dyDescent="0.3">
      <c r="A37" s="104" t="s">
        <v>359</v>
      </c>
      <c r="B37" s="104">
        <v>0.55000000000000004</v>
      </c>
    </row>
    <row r="38" spans="1:2" ht="15.75" thickBot="1" x14ac:dyDescent="0.3">
      <c r="A38" s="103" t="s">
        <v>360</v>
      </c>
      <c r="B38" s="103">
        <v>0.53</v>
      </c>
    </row>
    <row r="39" spans="1:2" ht="15.75" thickBot="1" x14ac:dyDescent="0.3">
      <c r="A39" s="104" t="s">
        <v>361</v>
      </c>
      <c r="B39" s="104">
        <v>0.52</v>
      </c>
    </row>
    <row r="40" spans="1:2" ht="15.75" thickBot="1" x14ac:dyDescent="0.3">
      <c r="A40" s="103" t="s">
        <v>362</v>
      </c>
      <c r="B40" s="103">
        <v>0.52</v>
      </c>
    </row>
    <row r="41" spans="1:2" ht="15.75" thickBot="1" x14ac:dyDescent="0.3">
      <c r="A41" s="104" t="s">
        <v>363</v>
      </c>
      <c r="B41" s="104">
        <v>0.75</v>
      </c>
    </row>
    <row r="42" spans="1:2" ht="15.75" thickBot="1" x14ac:dyDescent="0.3">
      <c r="A42" s="103" t="s">
        <v>364</v>
      </c>
      <c r="B42" s="103">
        <v>0.52</v>
      </c>
    </row>
    <row r="43" spans="1:2" ht="15.75" thickBot="1" x14ac:dyDescent="0.3">
      <c r="A43" s="104" t="s">
        <v>365</v>
      </c>
      <c r="B43" s="104">
        <v>0.35</v>
      </c>
    </row>
    <row r="44" spans="1:2" ht="15.75" thickBot="1" x14ac:dyDescent="0.3">
      <c r="A44" s="103" t="s">
        <v>366</v>
      </c>
      <c r="B44" s="103">
        <v>0.37</v>
      </c>
    </row>
    <row r="45" spans="1:2" ht="15.75" thickBot="1" x14ac:dyDescent="0.3">
      <c r="A45" s="108" t="s">
        <v>367</v>
      </c>
      <c r="B45" s="108">
        <v>0.45</v>
      </c>
    </row>
    <row r="46" spans="1:2" ht="15.75" thickBot="1" x14ac:dyDescent="0.3">
      <c r="A46" s="103" t="s">
        <v>368</v>
      </c>
      <c r="B46" s="103">
        <v>0.39</v>
      </c>
    </row>
    <row r="47" spans="1:2" ht="15.75" thickBot="1" x14ac:dyDescent="0.3">
      <c r="A47" s="104" t="s">
        <v>369</v>
      </c>
      <c r="B47" s="104">
        <v>0.44</v>
      </c>
    </row>
    <row r="48" spans="1:2" ht="15.75" thickBot="1" x14ac:dyDescent="0.3">
      <c r="A48" s="109" t="s">
        <v>234</v>
      </c>
      <c r="B48" s="103">
        <v>0.46</v>
      </c>
    </row>
    <row r="49" spans="1:2" ht="15.75" thickBot="1" x14ac:dyDescent="0.3">
      <c r="A49" s="109" t="s">
        <v>236</v>
      </c>
      <c r="B49" s="104">
        <v>0.46</v>
      </c>
    </row>
    <row r="50" spans="1:2" ht="15.75" thickBot="1" x14ac:dyDescent="0.3">
      <c r="A50" s="103" t="s">
        <v>370</v>
      </c>
      <c r="B50" s="103">
        <v>0.44</v>
      </c>
    </row>
    <row r="51" spans="1:2" ht="15.75" thickBot="1" x14ac:dyDescent="0.3">
      <c r="A51" s="104" t="s">
        <v>371</v>
      </c>
      <c r="B51" s="104">
        <v>0.46</v>
      </c>
    </row>
    <row r="52" spans="1:2" ht="15.75" thickBot="1" x14ac:dyDescent="0.3">
      <c r="A52" s="103" t="s">
        <v>372</v>
      </c>
      <c r="B52" s="103">
        <v>0.48</v>
      </c>
    </row>
    <row r="53" spans="1:2" ht="15.75" thickBot="1" x14ac:dyDescent="0.3">
      <c r="A53" s="104" t="s">
        <v>373</v>
      </c>
      <c r="B53" s="104">
        <v>0.44</v>
      </c>
    </row>
    <row r="54" spans="1:2" ht="15.75" thickBot="1" x14ac:dyDescent="0.3">
      <c r="A54" s="103" t="s">
        <v>374</v>
      </c>
      <c r="B54" s="103">
        <v>0.34</v>
      </c>
    </row>
    <row r="55" spans="1:2" ht="15.75" thickBot="1" x14ac:dyDescent="0.3">
      <c r="A55" s="104" t="s">
        <v>375</v>
      </c>
      <c r="B55" s="104">
        <v>0.5</v>
      </c>
    </row>
    <row r="56" spans="1:2" ht="15.75" thickBot="1" x14ac:dyDescent="0.3">
      <c r="A56" s="103" t="s">
        <v>376</v>
      </c>
      <c r="B56" s="103">
        <v>0.57999999999999996</v>
      </c>
    </row>
    <row r="57" spans="1:2" ht="15.75" thickBot="1" x14ac:dyDescent="0.3">
      <c r="A57" s="104" t="s">
        <v>377</v>
      </c>
      <c r="B57" s="104">
        <v>0.37</v>
      </c>
    </row>
    <row r="58" spans="1:2" ht="15.75" thickBot="1" x14ac:dyDescent="0.3">
      <c r="A58" s="103" t="s">
        <v>378</v>
      </c>
      <c r="B58" s="103">
        <v>0.37</v>
      </c>
    </row>
    <row r="59" spans="1:2" ht="15.75" thickBot="1" x14ac:dyDescent="0.3">
      <c r="A59" s="104" t="s">
        <v>221</v>
      </c>
      <c r="B59" s="104">
        <v>0.38</v>
      </c>
    </row>
    <row r="60" spans="1:2" ht="15.75" thickBot="1" x14ac:dyDescent="0.3">
      <c r="A60" s="103" t="s">
        <v>379</v>
      </c>
      <c r="B60" s="103">
        <v>0.36</v>
      </c>
    </row>
    <row r="61" spans="1:2" ht="15.75" thickBot="1" x14ac:dyDescent="0.3">
      <c r="A61" s="104" t="s">
        <v>380</v>
      </c>
      <c r="B61" s="104">
        <v>0.37</v>
      </c>
    </row>
    <row r="62" spans="1:2" ht="15.75" thickBot="1" x14ac:dyDescent="0.3">
      <c r="A62" s="103" t="s">
        <v>381</v>
      </c>
      <c r="B62" s="103">
        <v>0.53</v>
      </c>
    </row>
    <row r="63" spans="1:2" ht="15.75" thickBot="1" x14ac:dyDescent="0.3">
      <c r="A63" s="104" t="s">
        <v>382</v>
      </c>
      <c r="B63" s="104">
        <v>0.43</v>
      </c>
    </row>
    <row r="64" spans="1:2" ht="15.75" thickBot="1" x14ac:dyDescent="0.3">
      <c r="A64" s="103" t="s">
        <v>383</v>
      </c>
      <c r="B64" s="103">
        <v>0.38</v>
      </c>
    </row>
    <row r="65" spans="1:2" ht="15.75" thickBot="1" x14ac:dyDescent="0.3">
      <c r="A65" s="104" t="s">
        <v>384</v>
      </c>
      <c r="B65" s="104">
        <v>0.42</v>
      </c>
    </row>
    <row r="66" spans="1:2" ht="15.75" thickBot="1" x14ac:dyDescent="0.3">
      <c r="A66" s="103" t="s">
        <v>385</v>
      </c>
      <c r="B66" s="103">
        <v>0.56999999999999995</v>
      </c>
    </row>
    <row r="67" spans="1:2" ht="15.75" thickBot="1" x14ac:dyDescent="0.3">
      <c r="A67" s="104" t="s">
        <v>386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CO1677"/>
  <sheetViews>
    <sheetView topLeftCell="E1" zoomScale="70" zoomScaleNormal="70" workbookViewId="0">
      <pane ySplit="2" topLeftCell="A1035" activePane="bottomLeft" state="frozen"/>
      <selection activeCell="C1" sqref="C1"/>
      <selection pane="bottomLeft" activeCell="I1048" sqref="I1048"/>
    </sheetView>
  </sheetViews>
  <sheetFormatPr baseColWidth="10" defaultRowHeight="15" x14ac:dyDescent="0.25"/>
  <cols>
    <col min="1" max="2" width="10.85546875" style="4"/>
    <col min="3" max="3" width="26.85546875" style="4" bestFit="1" customWidth="1"/>
    <col min="4" max="4" width="29" style="4" bestFit="1" customWidth="1"/>
    <col min="5" max="5" width="65.5703125" style="4" bestFit="1" customWidth="1"/>
    <col min="6" max="6" width="10.85546875" style="4"/>
    <col min="7" max="8" width="10.85546875" style="5"/>
    <col min="9" max="9" width="27.42578125" style="5" bestFit="1" customWidth="1"/>
    <col min="10" max="14" width="10.85546875" style="5"/>
    <col min="15" max="15" width="20.140625" style="6" bestFit="1" customWidth="1"/>
    <col min="16" max="16" width="30.85546875" style="6" bestFit="1" customWidth="1"/>
    <col min="17" max="17" width="10.85546875" style="6"/>
    <col min="18" max="18" width="22.5703125" style="6" customWidth="1"/>
    <col min="19" max="28" width="10.85546875" style="6"/>
    <col min="29" max="29" width="10.85546875" style="7" customWidth="1"/>
    <col min="30" max="30" width="10.85546875" style="7"/>
    <col min="31" max="31" width="15.5703125" style="7" bestFit="1" customWidth="1"/>
    <col min="32" max="32" width="12.85546875" style="7" bestFit="1" customWidth="1"/>
    <col min="33" max="35" width="12.85546875" style="7" customWidth="1"/>
    <col min="36" max="36" width="15.85546875" style="7" bestFit="1" customWidth="1"/>
    <col min="37" max="38" width="16" style="7" bestFit="1" customWidth="1"/>
    <col min="39" max="44" width="16" style="7" customWidth="1"/>
    <col min="45" max="45" width="9.5703125" style="8" customWidth="1"/>
    <col min="46" max="46" width="10.85546875" style="8"/>
    <col min="47" max="47" width="14.140625" style="8" bestFit="1" customWidth="1"/>
    <col min="48" max="48" width="12.5703125" style="8" bestFit="1" customWidth="1"/>
    <col min="49" max="49" width="15.42578125" style="8" bestFit="1" customWidth="1"/>
    <col min="50" max="57" width="12.5703125" style="8" customWidth="1"/>
    <col min="58" max="58" width="17.5703125" style="12" bestFit="1" customWidth="1"/>
    <col min="59" max="59" width="12.5703125" style="12" customWidth="1"/>
    <col min="60" max="61" width="10.85546875" style="96"/>
    <col min="62" max="62" width="9.5703125" style="96" customWidth="1"/>
    <col min="63" max="63" width="62.140625" style="96" customWidth="1"/>
    <col min="64" max="64" width="4.42578125" style="4" customWidth="1"/>
    <col min="65" max="65" width="12.5703125" style="12" customWidth="1"/>
    <col min="66" max="67" width="14.42578125" style="12" bestFit="1" customWidth="1"/>
    <col min="68" max="68" width="18" style="12" bestFit="1" customWidth="1"/>
    <col min="69" max="70" width="15.85546875" style="12" bestFit="1" customWidth="1"/>
    <col min="71" max="71" width="15.85546875" style="12" customWidth="1"/>
    <col min="72" max="72" width="10.85546875" style="297" customWidth="1"/>
    <col min="73" max="73" width="12.140625" style="297" customWidth="1"/>
    <col min="74" max="74" width="11.5703125" style="299" bestFit="1" customWidth="1"/>
    <col min="75" max="75" width="12.42578125" style="297" bestFit="1" customWidth="1"/>
    <col min="76" max="76" width="25.42578125" style="297" customWidth="1"/>
    <col min="78" max="78" width="10.85546875" style="303"/>
  </cols>
  <sheetData>
    <row r="1" spans="1:93" x14ac:dyDescent="0.25">
      <c r="AV1" s="8">
        <v>0</v>
      </c>
      <c r="CI1" t="s">
        <v>1462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5" x14ac:dyDescent="0.25">
      <c r="A2" s="4" t="s">
        <v>54</v>
      </c>
      <c r="B2" s="4" t="s">
        <v>1476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416</v>
      </c>
      <c r="AN2" s="7" t="s">
        <v>1477</v>
      </c>
      <c r="AO2" s="7" t="s">
        <v>1478</v>
      </c>
      <c r="AP2" s="7" t="s">
        <v>1479</v>
      </c>
      <c r="AQ2" s="7" t="s">
        <v>1480</v>
      </c>
      <c r="AR2" s="7" t="s">
        <v>1481</v>
      </c>
      <c r="AS2" s="8" t="s">
        <v>168</v>
      </c>
      <c r="AT2" s="8" t="s">
        <v>13</v>
      </c>
      <c r="AU2" s="8" t="s">
        <v>1482</v>
      </c>
      <c r="AV2" s="8" t="s">
        <v>23</v>
      </c>
      <c r="AW2" s="8" t="s">
        <v>14</v>
      </c>
      <c r="AX2" s="8" t="s">
        <v>167</v>
      </c>
      <c r="AY2" s="8" t="s">
        <v>1483</v>
      </c>
      <c r="AZ2" s="8" t="s">
        <v>1484</v>
      </c>
      <c r="BA2" s="8" t="s">
        <v>1485</v>
      </c>
      <c r="BB2" s="8" t="s">
        <v>1486</v>
      </c>
      <c r="BC2" s="8" t="s">
        <v>1487</v>
      </c>
      <c r="BD2" s="8" t="s">
        <v>1488</v>
      </c>
      <c r="BE2" s="8" t="s">
        <v>1489</v>
      </c>
      <c r="BF2" s="12" t="s">
        <v>161</v>
      </c>
      <c r="BG2" s="12" t="s">
        <v>155</v>
      </c>
      <c r="BH2" s="300" t="s">
        <v>420</v>
      </c>
      <c r="BI2" s="300" t="s">
        <v>408</v>
      </c>
      <c r="BJ2" s="300" t="s">
        <v>321</v>
      </c>
      <c r="BK2" s="300" t="s">
        <v>1504</v>
      </c>
      <c r="BL2" s="11" t="s">
        <v>1509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1490</v>
      </c>
      <c r="BR2" s="12" t="s">
        <v>43</v>
      </c>
      <c r="BS2" s="12" t="s">
        <v>44</v>
      </c>
      <c r="BT2" s="300" t="s">
        <v>1444</v>
      </c>
      <c r="BU2" s="300" t="s">
        <v>1445</v>
      </c>
      <c r="BV2" s="301" t="s">
        <v>1446</v>
      </c>
      <c r="BW2" s="300" t="s">
        <v>1447</v>
      </c>
      <c r="BX2" s="300" t="s">
        <v>1448</v>
      </c>
      <c r="BY2" s="112" t="s">
        <v>1455</v>
      </c>
      <c r="BZ2" s="302" t="s">
        <v>1449</v>
      </c>
      <c r="CA2" s="112" t="s">
        <v>1452</v>
      </c>
      <c r="CB2" s="112" t="s">
        <v>1453</v>
      </c>
      <c r="CC2" s="112" t="s">
        <v>1454</v>
      </c>
      <c r="CD2" s="112" t="s">
        <v>1456</v>
      </c>
      <c r="CE2" s="112" t="s">
        <v>1458</v>
      </c>
      <c r="CF2" s="112" t="s">
        <v>1457</v>
      </c>
      <c r="CG2" s="112" t="s">
        <v>1459</v>
      </c>
      <c r="CH2" s="112" t="s">
        <v>1460</v>
      </c>
      <c r="CI2" s="112" t="s">
        <v>1461</v>
      </c>
      <c r="CJ2" s="112" t="s">
        <v>1463</v>
      </c>
      <c r="CK2" s="112" t="s">
        <v>1464</v>
      </c>
      <c r="CL2" s="112" t="s">
        <v>1465</v>
      </c>
      <c r="CM2" s="112" t="s">
        <v>1466</v>
      </c>
      <c r="CN2" s="112" t="s">
        <v>1467</v>
      </c>
      <c r="CO2" s="112" t="s">
        <v>1468</v>
      </c>
    </row>
    <row r="3" spans="1:93" ht="14.45" hidden="1" customHeight="1" x14ac:dyDescent="0.25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6" t="str">
        <f>+VLOOKUP(G3,Liste!$A$7:$G$69,3,FALSE)</f>
        <v>Douglas</v>
      </c>
      <c r="BI3" s="96" t="str">
        <f>+VLOOKUP(H3,Liste!$B$7:$G$69,5,FALSE)</f>
        <v>National</v>
      </c>
      <c r="BJ3" s="135">
        <f t="shared" ref="BJ3:BJ66" si="0">+AC3</f>
        <v>17</v>
      </c>
      <c r="BK3" s="135" t="str">
        <f>+_xlfn.CONCAT(BH3,"_",J3,"_",I3,"_",BI3,"_",BJ3,"_")</f>
        <v>Douglas_F1_Entree 17-18m, densité haute_National_17_</v>
      </c>
      <c r="BL3" s="319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97" t="str">
        <f>+VLOOKUP(G3,Liste!$A$7:$H$69,8,FALSE)</f>
        <v>Résineux</v>
      </c>
      <c r="BU3" s="297">
        <f>IF(BT3="Résineux",0%,100%)</f>
        <v>0</v>
      </c>
      <c r="BV3" s="299">
        <f>+IF(BT3="Résineux",100%,0%)</f>
        <v>1</v>
      </c>
      <c r="BW3" s="318">
        <v>0</v>
      </c>
      <c r="BX3" s="297">
        <f>+IF(BV3&lt;&gt;0,0.43,0.25)</f>
        <v>0.43</v>
      </c>
      <c r="BY3">
        <f>+IF(BJ3&lt;=30,AV3*BX3,0)</f>
        <v>0</v>
      </c>
      <c r="BZ3" s="303">
        <v>0</v>
      </c>
      <c r="CB3" s="298">
        <v>0.6</v>
      </c>
      <c r="CC3" s="298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45" hidden="1" customHeight="1" x14ac:dyDescent="0.25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6" t="str">
        <f>+VLOOKUP(G4,Liste!$A$7:$G$69,3,FALSE)</f>
        <v>Douglas</v>
      </c>
      <c r="BI4" s="96" t="str">
        <f>+VLOOKUP(H4,Liste!$B$7:$G$69,5,FALSE)</f>
        <v>National</v>
      </c>
      <c r="BJ4" s="135">
        <f t="shared" si="0"/>
        <v>18</v>
      </c>
      <c r="BK4" s="135" t="str">
        <f t="shared" ref="BK4:BK67" si="2">+_xlfn.CONCAT(BH4,"_",J4,"_",I4,"_",BI4,"_",BJ4,"_")</f>
        <v>Douglas_F1_Entree 17-18m, densité haute_National_18_</v>
      </c>
      <c r="BL4" s="319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97" t="str">
        <f>+VLOOKUP(G4,Liste!$A$7:$H$69,8,FALSE)</f>
        <v>Résineux</v>
      </c>
      <c r="BU4" s="297">
        <f t="shared" ref="BU4:BU67" si="3">IF(BT4="Résineux",0%,100%)</f>
        <v>0</v>
      </c>
      <c r="BV4" s="299">
        <f t="shared" ref="BV4:BV67" si="4">+IF(BT4="Résineux",100%,0%)</f>
        <v>1</v>
      </c>
      <c r="BW4" s="318">
        <v>0</v>
      </c>
      <c r="BX4" s="297">
        <f t="shared" ref="BX4:BX67" si="5">+IF(BV4&lt;&gt;0,0.43,0.25)</f>
        <v>0.43</v>
      </c>
      <c r="BY4">
        <f t="shared" ref="BY4:BY67" si="6">+IF(BJ4&lt;=30,AV4*BX4,0)</f>
        <v>0</v>
      </c>
      <c r="BZ4" s="303">
        <f t="shared" ref="BZ4:BZ67" si="7">+IF(BJ4&gt;=31,0,BY4+BZ3)</f>
        <v>0</v>
      </c>
      <c r="CB4" s="298">
        <v>0.6</v>
      </c>
      <c r="CC4" s="298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>+CJ4+CK4+CL4</f>
        <v>0</v>
      </c>
      <c r="CN4">
        <f t="shared" ref="CN4:CN67" si="17">+IF(BJ4&lt;=31,CM4+CN3,0)</f>
        <v>0</v>
      </c>
      <c r="CO4">
        <f t="shared" si="1"/>
        <v>0</v>
      </c>
    </row>
    <row r="5" spans="1:93" ht="14.45" hidden="1" customHeight="1" x14ac:dyDescent="0.25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11">
        <f t="shared" ref="AY5:AY47" si="18">IF(AD5="ap",IF(AU5&lt;=45,0,1.80306-(53.52431/AU5)-(1182.78539/(AU5^2))),"")</f>
        <v>0</v>
      </c>
      <c r="AZ5" s="311">
        <f t="shared" ref="AZ5:AZ47" si="19">IF(AD5="ap",IF(AU5&lt;=20,0,(0.76104+(25.23841/AU5)-(764.19392/AU5^2))-AY5),"")</f>
        <v>0</v>
      </c>
      <c r="BA5" s="312">
        <f t="shared" ref="BA5:BA47" si="20">IF(AD5="ap",(1.00532-(0.17086/AU5)-(9.5151/ AU5^2))-(AY5+AZ5),"")</f>
        <v>0.93785885065534613</v>
      </c>
      <c r="BB5" s="10">
        <f t="shared" ref="BB5:BB47" si="21">IF(AD5="ap",(AY5+AZ5)*47.01%*AV5+BA5*AV5*0%,"")</f>
        <v>0</v>
      </c>
      <c r="BC5" s="10">
        <f t="shared" ref="BC5:BC47" si="22">IF(AD5="ap",(AY5+AZ5)*10.36%*AV5+BA5*AV5*54.06%,"")</f>
        <v>35.120376150113124</v>
      </c>
      <c r="BD5" s="10">
        <f t="shared" ref="BD5:BD47" si="23">IF(AD5="ap",(AY5+AZ5)*7.36%*AV5+BA5*AV5*28%,"")</f>
        <v>18.190353906828847</v>
      </c>
      <c r="BE5" s="10">
        <f t="shared" ref="BE5:BE47" si="24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+VLOOKUP(G5,Liste!$A$7:$G$69,3,FALSE)</f>
        <v>Douglas</v>
      </c>
      <c r="BI5" s="96" t="str">
        <f>+VLOOKUP(H5,Liste!$B$7:$G$69,5,FALSE)</f>
        <v>National</v>
      </c>
      <c r="BJ5" s="135">
        <f t="shared" si="0"/>
        <v>18</v>
      </c>
      <c r="BK5" s="135" t="str">
        <f t="shared" si="2"/>
        <v>Douglas_F1_Entree 17-18m, densité haute_National_18_</v>
      </c>
      <c r="BL5" s="319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97" t="str">
        <f>+VLOOKUP(G5,Liste!$A$7:$H$69,8,FALSE)</f>
        <v>Résineux</v>
      </c>
      <c r="BU5" s="297">
        <f t="shared" si="3"/>
        <v>0</v>
      </c>
      <c r="BV5" s="299">
        <f t="shared" si="4"/>
        <v>1</v>
      </c>
      <c r="BW5" s="318">
        <v>0</v>
      </c>
      <c r="BX5" s="297">
        <f t="shared" si="5"/>
        <v>0.43</v>
      </c>
      <c r="BY5">
        <f t="shared" si="6"/>
        <v>29.786130756665038</v>
      </c>
      <c r="BZ5" s="303">
        <f t="shared" si="7"/>
        <v>29.786130756665038</v>
      </c>
      <c r="CB5" s="298">
        <v>0.6</v>
      </c>
      <c r="CC5" s="298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5">+CJ5+CK5+CL5</f>
        <v>0</v>
      </c>
      <c r="CN5">
        <f t="shared" si="17"/>
        <v>0</v>
      </c>
      <c r="CO5">
        <f t="shared" si="1"/>
        <v>0</v>
      </c>
    </row>
    <row r="6" spans="1:93" ht="14.45" hidden="1" customHeight="1" x14ac:dyDescent="0.25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10">
        <v>0</v>
      </c>
      <c r="AX6" s="74" t="s">
        <v>169</v>
      </c>
      <c r="AY6" s="311" t="str">
        <f t="shared" si="18"/>
        <v/>
      </c>
      <c r="AZ6" s="311" t="str">
        <f t="shared" si="19"/>
        <v/>
      </c>
      <c r="BA6" s="312" t="str">
        <f t="shared" si="20"/>
        <v/>
      </c>
      <c r="BB6" s="10" t="str">
        <f t="shared" si="21"/>
        <v/>
      </c>
      <c r="BC6" s="10" t="str">
        <f t="shared" si="22"/>
        <v/>
      </c>
      <c r="BD6" s="10" t="str">
        <f t="shared" si="23"/>
        <v/>
      </c>
      <c r="BE6" s="10" t="str">
        <f t="shared" si="24"/>
        <v/>
      </c>
      <c r="BF6" s="12">
        <v>0.43</v>
      </c>
      <c r="BG6" s="13">
        <v>128.18332303333332</v>
      </c>
      <c r="BH6" s="96" t="str">
        <f>+VLOOKUP(G6,Liste!$A$7:$G$69,3,FALSE)</f>
        <v>Douglas</v>
      </c>
      <c r="BI6" s="96" t="str">
        <f>+VLOOKUP(H6,Liste!$B$7:$G$69,5,FALSE)</f>
        <v>National</v>
      </c>
      <c r="BJ6" s="135">
        <f t="shared" si="0"/>
        <v>19</v>
      </c>
      <c r="BK6" s="135" t="str">
        <f t="shared" si="2"/>
        <v>Douglas_F1_Entree 17-18m, densité haute_National_19_</v>
      </c>
      <c r="BL6" s="319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97" t="str">
        <f>+VLOOKUP(G6,Liste!$A$7:$H$69,8,FALSE)</f>
        <v>Résineux</v>
      </c>
      <c r="BU6" s="297">
        <f t="shared" si="3"/>
        <v>0</v>
      </c>
      <c r="BV6" s="299">
        <f t="shared" si="4"/>
        <v>1</v>
      </c>
      <c r="BW6" s="318">
        <v>0</v>
      </c>
      <c r="BX6" s="297">
        <f t="shared" si="5"/>
        <v>0.43</v>
      </c>
      <c r="BY6">
        <f t="shared" si="6"/>
        <v>0</v>
      </c>
      <c r="BZ6" s="303">
        <f t="shared" si="7"/>
        <v>29.786130756665038</v>
      </c>
      <c r="CB6" s="298">
        <v>0.6</v>
      </c>
      <c r="CC6" s="298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5"/>
        <v>48.235868113323079</v>
      </c>
      <c r="CN6">
        <f t="shared" si="17"/>
        <v>48.235868113323079</v>
      </c>
      <c r="CO6">
        <f t="shared" si="1"/>
        <v>0</v>
      </c>
    </row>
    <row r="7" spans="1:93" ht="14.45" hidden="1" customHeight="1" x14ac:dyDescent="0.25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10">
        <v>0</v>
      </c>
      <c r="AX7" s="74" t="s">
        <v>169</v>
      </c>
      <c r="AY7" s="311" t="str">
        <f t="shared" si="18"/>
        <v/>
      </c>
      <c r="AZ7" s="311" t="str">
        <f t="shared" si="19"/>
        <v/>
      </c>
      <c r="BA7" s="312" t="str">
        <f t="shared" si="20"/>
        <v/>
      </c>
      <c r="BB7" s="10" t="str">
        <f t="shared" si="21"/>
        <v/>
      </c>
      <c r="BC7" s="10" t="str">
        <f t="shared" si="22"/>
        <v/>
      </c>
      <c r="BD7" s="10" t="str">
        <f t="shared" si="23"/>
        <v/>
      </c>
      <c r="BE7" s="10" t="str">
        <f t="shared" si="24"/>
        <v/>
      </c>
      <c r="BF7" s="12">
        <v>0.43</v>
      </c>
      <c r="BG7" s="13">
        <v>146.86440952333331</v>
      </c>
      <c r="BH7" s="96" t="str">
        <f>+VLOOKUP(G7,Liste!$A$7:$G$69,3,FALSE)</f>
        <v>Douglas</v>
      </c>
      <c r="BI7" s="96" t="str">
        <f>+VLOOKUP(H7,Liste!$B$7:$G$69,5,FALSE)</f>
        <v>National</v>
      </c>
      <c r="BJ7" s="135">
        <f t="shared" si="0"/>
        <v>20</v>
      </c>
      <c r="BK7" s="135" t="str">
        <f t="shared" si="2"/>
        <v>Douglas_F1_Entree 17-18m, densité haute_National_20_</v>
      </c>
      <c r="BL7" s="319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97" t="str">
        <f>+VLOOKUP(G7,Liste!$A$7:$H$69,8,FALSE)</f>
        <v>Résineux</v>
      </c>
      <c r="BU7" s="297">
        <f t="shared" si="3"/>
        <v>0</v>
      </c>
      <c r="BV7" s="299">
        <f t="shared" si="4"/>
        <v>1</v>
      </c>
      <c r="BW7" s="318">
        <v>0</v>
      </c>
      <c r="BX7" s="297">
        <f t="shared" si="5"/>
        <v>0.43</v>
      </c>
      <c r="BY7">
        <f t="shared" si="6"/>
        <v>0</v>
      </c>
      <c r="BZ7" s="303">
        <f t="shared" si="7"/>
        <v>29.786130756665038</v>
      </c>
      <c r="CB7" s="298">
        <v>0.6</v>
      </c>
      <c r="CC7" s="298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5"/>
        <v>42.259962529396766</v>
      </c>
      <c r="CN7">
        <f t="shared" si="17"/>
        <v>90.495830642719852</v>
      </c>
      <c r="CO7">
        <f t="shared" si="1"/>
        <v>0</v>
      </c>
    </row>
    <row r="8" spans="1:93" ht="14.45" hidden="1" customHeight="1" x14ac:dyDescent="0.25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10">
        <v>0</v>
      </c>
      <c r="AX8" s="74" t="s">
        <v>169</v>
      </c>
      <c r="AY8" s="311" t="str">
        <f t="shared" si="18"/>
        <v/>
      </c>
      <c r="AZ8" s="311" t="str">
        <f t="shared" si="19"/>
        <v/>
      </c>
      <c r="BA8" s="312" t="str">
        <f t="shared" si="20"/>
        <v/>
      </c>
      <c r="BB8" s="10" t="str">
        <f t="shared" si="21"/>
        <v/>
      </c>
      <c r="BC8" s="10" t="str">
        <f t="shared" si="22"/>
        <v/>
      </c>
      <c r="BD8" s="10" t="str">
        <f t="shared" si="23"/>
        <v/>
      </c>
      <c r="BE8" s="10" t="str">
        <f t="shared" si="24"/>
        <v/>
      </c>
      <c r="BF8" s="12">
        <v>0.43</v>
      </c>
      <c r="BG8" s="13">
        <v>166.58732621666667</v>
      </c>
      <c r="BH8" s="96" t="str">
        <f>+VLOOKUP(G8,Liste!$A$7:$G$69,3,FALSE)</f>
        <v>Douglas</v>
      </c>
      <c r="BI8" s="96" t="str">
        <f>+VLOOKUP(H8,Liste!$B$7:$G$69,5,FALSE)</f>
        <v>National</v>
      </c>
      <c r="BJ8" s="135">
        <f t="shared" si="0"/>
        <v>21</v>
      </c>
      <c r="BK8" s="135" t="str">
        <f t="shared" si="2"/>
        <v>Douglas_F1_Entree 17-18m, densité haute_National_21_</v>
      </c>
      <c r="BL8" s="319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97" t="str">
        <f>+VLOOKUP(G8,Liste!$A$7:$H$69,8,FALSE)</f>
        <v>Résineux</v>
      </c>
      <c r="BU8" s="297">
        <f t="shared" si="3"/>
        <v>0</v>
      </c>
      <c r="BV8" s="299">
        <f t="shared" si="4"/>
        <v>1</v>
      </c>
      <c r="BW8" s="318">
        <v>0</v>
      </c>
      <c r="BX8" s="297">
        <f t="shared" si="5"/>
        <v>0.43</v>
      </c>
      <c r="BY8">
        <f t="shared" si="6"/>
        <v>0</v>
      </c>
      <c r="BZ8" s="303">
        <f t="shared" si="7"/>
        <v>29.786130756665038</v>
      </c>
      <c r="CB8" s="298">
        <v>0.6</v>
      </c>
      <c r="CC8" s="298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5"/>
        <v>37.811440846826763</v>
      </c>
      <c r="CN8">
        <f t="shared" si="17"/>
        <v>128.30727148954662</v>
      </c>
      <c r="CO8">
        <f t="shared" si="1"/>
        <v>0</v>
      </c>
    </row>
    <row r="9" spans="1:93" ht="14.45" hidden="1" customHeight="1" x14ac:dyDescent="0.25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10">
        <v>0</v>
      </c>
      <c r="AX9" s="74" t="s">
        <v>169</v>
      </c>
      <c r="AY9" s="311" t="str">
        <f t="shared" si="18"/>
        <v/>
      </c>
      <c r="AZ9" s="311" t="str">
        <f t="shared" si="19"/>
        <v/>
      </c>
      <c r="BA9" s="312" t="str">
        <f t="shared" si="20"/>
        <v/>
      </c>
      <c r="BB9" s="10" t="str">
        <f t="shared" si="21"/>
        <v/>
      </c>
      <c r="BC9" s="10" t="str">
        <f t="shared" si="22"/>
        <v/>
      </c>
      <c r="BD9" s="10" t="str">
        <f t="shared" si="23"/>
        <v/>
      </c>
      <c r="BE9" s="10" t="str">
        <f t="shared" si="24"/>
        <v/>
      </c>
      <c r="BF9" s="12">
        <v>0.43</v>
      </c>
      <c r="BG9" s="13">
        <v>187.24686453000001</v>
      </c>
      <c r="BH9" s="96" t="str">
        <f>+VLOOKUP(G9,Liste!$A$7:$G$69,3,FALSE)</f>
        <v>Douglas</v>
      </c>
      <c r="BI9" s="96" t="str">
        <f>+VLOOKUP(H9,Liste!$B$7:$G$69,5,FALSE)</f>
        <v>National</v>
      </c>
      <c r="BJ9" s="135">
        <f t="shared" si="0"/>
        <v>22</v>
      </c>
      <c r="BK9" s="135" t="str">
        <f t="shared" si="2"/>
        <v>Douglas_F1_Entree 17-18m, densité haute_National_22_</v>
      </c>
      <c r="BL9" s="319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97" t="str">
        <f>+VLOOKUP(G9,Liste!$A$7:$H$69,8,FALSE)</f>
        <v>Résineux</v>
      </c>
      <c r="BU9" s="297">
        <f t="shared" si="3"/>
        <v>0</v>
      </c>
      <c r="BV9" s="299">
        <f t="shared" si="4"/>
        <v>1</v>
      </c>
      <c r="BW9" s="318">
        <v>0</v>
      </c>
      <c r="BX9" s="297">
        <f t="shared" si="5"/>
        <v>0.43</v>
      </c>
      <c r="BY9">
        <f t="shared" si="6"/>
        <v>0</v>
      </c>
      <c r="BZ9" s="303">
        <f t="shared" si="7"/>
        <v>29.786130756665038</v>
      </c>
      <c r="CB9" s="298">
        <v>0.6</v>
      </c>
      <c r="CC9" s="298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5"/>
        <v>34.449038391576309</v>
      </c>
      <c r="CN9">
        <f t="shared" si="17"/>
        <v>162.75630988112295</v>
      </c>
      <c r="CO9">
        <f t="shared" si="1"/>
        <v>0</v>
      </c>
    </row>
    <row r="10" spans="1:93" ht="14.45" hidden="1" customHeight="1" x14ac:dyDescent="0.25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10">
        <v>0</v>
      </c>
      <c r="AX10" s="74" t="s">
        <v>169</v>
      </c>
      <c r="AY10" s="311" t="str">
        <f t="shared" si="18"/>
        <v/>
      </c>
      <c r="AZ10" s="311" t="str">
        <f t="shared" si="19"/>
        <v/>
      </c>
      <c r="BA10" s="312" t="str">
        <f t="shared" si="20"/>
        <v/>
      </c>
      <c r="BB10" s="10" t="str">
        <f t="shared" si="21"/>
        <v/>
      </c>
      <c r="BC10" s="10" t="str">
        <f t="shared" si="22"/>
        <v/>
      </c>
      <c r="BD10" s="10" t="str">
        <f t="shared" si="23"/>
        <v/>
      </c>
      <c r="BE10" s="10" t="str">
        <f t="shared" si="24"/>
        <v/>
      </c>
      <c r="BF10" s="12">
        <v>0.43</v>
      </c>
      <c r="BG10" s="13">
        <v>208.89995030666668</v>
      </c>
      <c r="BH10" s="96" t="str">
        <f>+VLOOKUP(G10,Liste!$A$7:$G$69,3,FALSE)</f>
        <v>Douglas</v>
      </c>
      <c r="BI10" s="96" t="str">
        <f>+VLOOKUP(H10,Liste!$B$7:$G$69,5,FALSE)</f>
        <v>National</v>
      </c>
      <c r="BJ10" s="135">
        <f t="shared" si="0"/>
        <v>23</v>
      </c>
      <c r="BK10" s="135" t="str">
        <f t="shared" si="2"/>
        <v>Douglas_F1_Entree 17-18m, densité haute_National_23_</v>
      </c>
      <c r="BL10" s="319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97" t="str">
        <f>+VLOOKUP(G10,Liste!$A$7:$H$69,8,FALSE)</f>
        <v>Résineux</v>
      </c>
      <c r="BU10" s="297">
        <f t="shared" si="3"/>
        <v>0</v>
      </c>
      <c r="BV10" s="299">
        <f t="shared" si="4"/>
        <v>1</v>
      </c>
      <c r="BW10" s="318">
        <v>0</v>
      </c>
      <c r="BX10" s="297">
        <f t="shared" si="5"/>
        <v>0.43</v>
      </c>
      <c r="BY10">
        <f t="shared" si="6"/>
        <v>0</v>
      </c>
      <c r="BZ10" s="303">
        <f t="shared" si="7"/>
        <v>29.786130756665038</v>
      </c>
      <c r="CB10" s="298">
        <v>0.6</v>
      </c>
      <c r="CC10" s="298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5"/>
        <v>31.860567232738056</v>
      </c>
      <c r="CN10">
        <f t="shared" si="17"/>
        <v>194.61687711386099</v>
      </c>
      <c r="CO10">
        <f t="shared" si="1"/>
        <v>0</v>
      </c>
    </row>
    <row r="11" spans="1:93" ht="14.45" hidden="1" customHeight="1" x14ac:dyDescent="0.25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10">
        <v>0</v>
      </c>
      <c r="AX11" s="74" t="s">
        <v>169</v>
      </c>
      <c r="AY11" s="311" t="str">
        <f t="shared" si="18"/>
        <v/>
      </c>
      <c r="AZ11" s="311" t="str">
        <f t="shared" si="19"/>
        <v/>
      </c>
      <c r="BA11" s="312" t="str">
        <f t="shared" si="20"/>
        <v/>
      </c>
      <c r="BB11" s="10" t="str">
        <f t="shared" si="21"/>
        <v/>
      </c>
      <c r="BC11" s="10" t="str">
        <f t="shared" si="22"/>
        <v/>
      </c>
      <c r="BD11" s="10" t="str">
        <f t="shared" si="23"/>
        <v/>
      </c>
      <c r="BE11" s="10" t="str">
        <f t="shared" si="24"/>
        <v/>
      </c>
      <c r="BF11" s="12">
        <v>0.43</v>
      </c>
      <c r="BG11" s="13">
        <v>231.28817396666668</v>
      </c>
      <c r="BH11" s="96" t="str">
        <f>+VLOOKUP(G11,Liste!$A$7:$G$69,3,FALSE)</f>
        <v>Douglas</v>
      </c>
      <c r="BI11" s="96" t="str">
        <f>+VLOOKUP(H11,Liste!$B$7:$G$69,5,FALSE)</f>
        <v>National</v>
      </c>
      <c r="BJ11" s="135">
        <f t="shared" si="0"/>
        <v>24</v>
      </c>
      <c r="BK11" s="135" t="str">
        <f t="shared" si="2"/>
        <v>Douglas_F1_Entree 17-18m, densité haute_National_24_</v>
      </c>
      <c r="BL11" s="319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97" t="str">
        <f>+VLOOKUP(G11,Liste!$A$7:$H$69,8,FALSE)</f>
        <v>Résineux</v>
      </c>
      <c r="BU11" s="297">
        <f t="shared" si="3"/>
        <v>0</v>
      </c>
      <c r="BV11" s="299">
        <f t="shared" si="4"/>
        <v>1</v>
      </c>
      <c r="BW11" s="318">
        <v>0</v>
      </c>
      <c r="BX11" s="297">
        <f t="shared" si="5"/>
        <v>0.43</v>
      </c>
      <c r="BY11">
        <f t="shared" si="6"/>
        <v>0</v>
      </c>
      <c r="BZ11" s="303">
        <f t="shared" si="7"/>
        <v>29.786130756665038</v>
      </c>
      <c r="CB11" s="298">
        <v>0.6</v>
      </c>
      <c r="CC11" s="298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5"/>
        <v>29.825115037846064</v>
      </c>
      <c r="CN11">
        <f t="shared" si="17"/>
        <v>224.44199215170707</v>
      </c>
      <c r="CO11">
        <f t="shared" si="1"/>
        <v>0</v>
      </c>
    </row>
    <row r="12" spans="1:93" ht="14.45" hidden="1" customHeight="1" x14ac:dyDescent="0.25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11">
        <f t="shared" si="18"/>
        <v>0</v>
      </c>
      <c r="AZ12" s="311">
        <f t="shared" si="19"/>
        <v>0.15287668880541894</v>
      </c>
      <c r="BA12" s="312">
        <f t="shared" si="20"/>
        <v>0.82100315502911247</v>
      </c>
      <c r="BB12" s="10">
        <f t="shared" si="21"/>
        <v>3.1304696467180877</v>
      </c>
      <c r="BC12" s="10">
        <f t="shared" si="22"/>
        <v>20.022870615919864</v>
      </c>
      <c r="BD12" s="10">
        <f t="shared" si="23"/>
        <v>10.50349713102133</v>
      </c>
      <c r="BE12" s="10">
        <f t="shared" si="24"/>
        <v>4.298926583351439</v>
      </c>
      <c r="BF12" s="12">
        <v>0.43</v>
      </c>
      <c r="BG12" s="13">
        <v>189.75392468999999</v>
      </c>
      <c r="BH12" s="96" t="str">
        <f>+VLOOKUP(G12,Liste!$A$7:$G$69,3,FALSE)</f>
        <v>Douglas</v>
      </c>
      <c r="BI12" s="96" t="str">
        <f>+VLOOKUP(H12,Liste!$B$7:$G$69,5,FALSE)</f>
        <v>National</v>
      </c>
      <c r="BJ12" s="135">
        <f t="shared" si="0"/>
        <v>24</v>
      </c>
      <c r="BK12" s="135" t="str">
        <f t="shared" si="2"/>
        <v>Douglas_F1_Entree 17-18m, densité haute_National_24_</v>
      </c>
      <c r="BL12" s="319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97" t="str">
        <f>+VLOOKUP(G12,Liste!$A$7:$H$69,8,FALSE)</f>
        <v>Résineux</v>
      </c>
      <c r="BU12" s="297">
        <f t="shared" si="3"/>
        <v>0</v>
      </c>
      <c r="BV12" s="299">
        <f t="shared" si="4"/>
        <v>1</v>
      </c>
      <c r="BW12" s="318">
        <v>0</v>
      </c>
      <c r="BX12" s="297">
        <f t="shared" si="5"/>
        <v>0.43</v>
      </c>
      <c r="BY12">
        <f t="shared" si="6"/>
        <v>18.730373338304574</v>
      </c>
      <c r="BZ12" s="303">
        <f t="shared" si="7"/>
        <v>48.516504094969612</v>
      </c>
      <c r="CB12" s="298">
        <v>0.6</v>
      </c>
      <c r="CC12" s="298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5"/>
        <v>28.186315502489325</v>
      </c>
      <c r="CN12">
        <f t="shared" si="17"/>
        <v>252.62830765419639</v>
      </c>
      <c r="CO12">
        <f t="shared" si="1"/>
        <v>0</v>
      </c>
    </row>
    <row r="13" spans="1:93" ht="14.45" hidden="1" customHeight="1" x14ac:dyDescent="0.25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10">
        <v>0</v>
      </c>
      <c r="AX13" s="74" t="s">
        <v>169</v>
      </c>
      <c r="AY13" s="311" t="str">
        <f t="shared" si="18"/>
        <v/>
      </c>
      <c r="AZ13" s="311" t="str">
        <f t="shared" si="19"/>
        <v/>
      </c>
      <c r="BA13" s="312" t="str">
        <f t="shared" si="20"/>
        <v/>
      </c>
      <c r="BB13" s="10" t="str">
        <f t="shared" si="21"/>
        <v/>
      </c>
      <c r="BC13" s="10" t="str">
        <f t="shared" si="22"/>
        <v/>
      </c>
      <c r="BD13" s="10" t="str">
        <f t="shared" si="23"/>
        <v/>
      </c>
      <c r="BE13" s="10" t="str">
        <f t="shared" si="24"/>
        <v/>
      </c>
      <c r="BF13" s="12">
        <v>0.43</v>
      </c>
      <c r="BG13" s="13">
        <v>210.24575429000001</v>
      </c>
      <c r="BH13" s="96" t="str">
        <f>+VLOOKUP(G13,Liste!$A$7:$G$69,3,FALSE)</f>
        <v>Douglas</v>
      </c>
      <c r="BI13" s="96" t="str">
        <f>+VLOOKUP(H13,Liste!$B$7:$G$69,5,FALSE)</f>
        <v>National</v>
      </c>
      <c r="BJ13" s="135">
        <f t="shared" si="0"/>
        <v>25</v>
      </c>
      <c r="BK13" s="135" t="str">
        <f t="shared" si="2"/>
        <v>Douglas_F1_Entree 17-18m, densité haute_National_25_</v>
      </c>
      <c r="BL13" s="319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97" t="str">
        <f>+VLOOKUP(G13,Liste!$A$7:$H$69,8,FALSE)</f>
        <v>Résineux</v>
      </c>
      <c r="BU13" s="297">
        <f t="shared" si="3"/>
        <v>0</v>
      </c>
      <c r="BV13" s="299">
        <f t="shared" si="4"/>
        <v>1</v>
      </c>
      <c r="BW13" s="318">
        <v>0</v>
      </c>
      <c r="BX13" s="297">
        <f t="shared" si="5"/>
        <v>0.43</v>
      </c>
      <c r="BY13">
        <f t="shared" si="6"/>
        <v>0</v>
      </c>
      <c r="BZ13" s="303">
        <f t="shared" si="7"/>
        <v>48.516504094969612</v>
      </c>
      <c r="CB13" s="298">
        <v>0.6</v>
      </c>
      <c r="CC13" s="298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5"/>
        <v>57.165544927623969</v>
      </c>
      <c r="CN13">
        <f t="shared" si="17"/>
        <v>309.79385258182037</v>
      </c>
      <c r="CO13">
        <f t="shared" si="1"/>
        <v>0</v>
      </c>
    </row>
    <row r="14" spans="1:93" ht="14.45" hidden="1" customHeight="1" x14ac:dyDescent="0.25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10">
        <v>0</v>
      </c>
      <c r="AX14" s="74" t="s">
        <v>169</v>
      </c>
      <c r="AY14" s="311" t="str">
        <f t="shared" si="18"/>
        <v/>
      </c>
      <c r="AZ14" s="311" t="str">
        <f t="shared" si="19"/>
        <v/>
      </c>
      <c r="BA14" s="312" t="str">
        <f t="shared" si="20"/>
        <v/>
      </c>
      <c r="BB14" s="10" t="str">
        <f t="shared" si="21"/>
        <v/>
      </c>
      <c r="BC14" s="10" t="str">
        <f t="shared" si="22"/>
        <v/>
      </c>
      <c r="BD14" s="10" t="str">
        <f t="shared" si="23"/>
        <v/>
      </c>
      <c r="BE14" s="10" t="str">
        <f t="shared" si="24"/>
        <v/>
      </c>
      <c r="BF14" s="12">
        <v>0.43</v>
      </c>
      <c r="BG14" s="13">
        <v>231.45425794333335</v>
      </c>
      <c r="BH14" s="96" t="str">
        <f>+VLOOKUP(G14,Liste!$A$7:$G$69,3,FALSE)</f>
        <v>Douglas</v>
      </c>
      <c r="BI14" s="96" t="str">
        <f>+VLOOKUP(H14,Liste!$B$7:$G$69,5,FALSE)</f>
        <v>National</v>
      </c>
      <c r="BJ14" s="135">
        <f t="shared" si="0"/>
        <v>26</v>
      </c>
      <c r="BK14" s="135" t="str">
        <f t="shared" si="2"/>
        <v>Douglas_F1_Entree 17-18m, densité haute_National_26_</v>
      </c>
      <c r="BL14" s="319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97" t="str">
        <f>+VLOOKUP(G14,Liste!$A$7:$H$69,8,FALSE)</f>
        <v>Résineux</v>
      </c>
      <c r="BU14" s="297">
        <f t="shared" si="3"/>
        <v>0</v>
      </c>
      <c r="BV14" s="299">
        <f t="shared" si="4"/>
        <v>1</v>
      </c>
      <c r="BW14" s="318">
        <v>0</v>
      </c>
      <c r="BX14" s="297">
        <f t="shared" si="5"/>
        <v>0.43</v>
      </c>
      <c r="BY14">
        <f t="shared" si="6"/>
        <v>0</v>
      </c>
      <c r="BZ14" s="303">
        <f t="shared" si="7"/>
        <v>48.516504094969612</v>
      </c>
      <c r="CB14" s="298">
        <v>0.6</v>
      </c>
      <c r="CC14" s="298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5"/>
        <v>52.262346964010305</v>
      </c>
      <c r="CN14">
        <f t="shared" si="17"/>
        <v>362.05619954583068</v>
      </c>
      <c r="CO14">
        <f t="shared" si="1"/>
        <v>0</v>
      </c>
    </row>
    <row r="15" spans="1:93" ht="14.45" hidden="1" customHeight="1" x14ac:dyDescent="0.25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10">
        <v>0</v>
      </c>
      <c r="AX15" s="74" t="s">
        <v>169</v>
      </c>
      <c r="AY15" s="311" t="str">
        <f t="shared" si="18"/>
        <v/>
      </c>
      <c r="AZ15" s="311" t="str">
        <f t="shared" si="19"/>
        <v/>
      </c>
      <c r="BA15" s="312" t="str">
        <f t="shared" si="20"/>
        <v/>
      </c>
      <c r="BB15" s="10" t="str">
        <f t="shared" si="21"/>
        <v/>
      </c>
      <c r="BC15" s="10" t="str">
        <f t="shared" si="22"/>
        <v/>
      </c>
      <c r="BD15" s="10" t="str">
        <f t="shared" si="23"/>
        <v/>
      </c>
      <c r="BE15" s="10" t="str">
        <f t="shared" si="24"/>
        <v/>
      </c>
      <c r="BF15" s="12">
        <v>0.43</v>
      </c>
      <c r="BG15" s="13">
        <v>253.38807684666668</v>
      </c>
      <c r="BH15" s="96" t="str">
        <f>+VLOOKUP(G15,Liste!$A$7:$G$69,3,FALSE)</f>
        <v>Douglas</v>
      </c>
      <c r="BI15" s="96" t="str">
        <f>+VLOOKUP(H15,Liste!$B$7:$G$69,5,FALSE)</f>
        <v>National</v>
      </c>
      <c r="BJ15" s="135">
        <f t="shared" si="0"/>
        <v>27</v>
      </c>
      <c r="BK15" s="135" t="str">
        <f t="shared" si="2"/>
        <v>Douglas_F1_Entree 17-18m, densité haute_National_27_</v>
      </c>
      <c r="BL15" s="319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97" t="str">
        <f>+VLOOKUP(G15,Liste!$A$7:$H$69,8,FALSE)</f>
        <v>Résineux</v>
      </c>
      <c r="BU15" s="297">
        <f t="shared" si="3"/>
        <v>0</v>
      </c>
      <c r="BV15" s="299">
        <f t="shared" si="4"/>
        <v>1</v>
      </c>
      <c r="BW15" s="318">
        <v>0</v>
      </c>
      <c r="BX15" s="297">
        <f t="shared" si="5"/>
        <v>0.43</v>
      </c>
      <c r="BY15">
        <f t="shared" si="6"/>
        <v>0</v>
      </c>
      <c r="BZ15" s="303">
        <f t="shared" si="7"/>
        <v>48.516504094969612</v>
      </c>
      <c r="CB15" s="298">
        <v>0.6</v>
      </c>
      <c r="CC15" s="298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5"/>
        <v>48.471491474551385</v>
      </c>
      <c r="CN15">
        <f t="shared" si="17"/>
        <v>410.52769102038206</v>
      </c>
      <c r="CO15">
        <f t="shared" si="1"/>
        <v>0</v>
      </c>
    </row>
    <row r="16" spans="1:93" ht="14.45" hidden="1" customHeight="1" x14ac:dyDescent="0.25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10">
        <v>0</v>
      </c>
      <c r="AX16" s="74" t="s">
        <v>169</v>
      </c>
      <c r="AY16" s="311" t="str">
        <f t="shared" si="18"/>
        <v/>
      </c>
      <c r="AZ16" s="311" t="str">
        <f t="shared" si="19"/>
        <v/>
      </c>
      <c r="BA16" s="312" t="str">
        <f t="shared" si="20"/>
        <v/>
      </c>
      <c r="BB16" s="10" t="str">
        <f t="shared" si="21"/>
        <v/>
      </c>
      <c r="BC16" s="10" t="str">
        <f t="shared" si="22"/>
        <v/>
      </c>
      <c r="BD16" s="10" t="str">
        <f t="shared" si="23"/>
        <v/>
      </c>
      <c r="BE16" s="10" t="str">
        <f t="shared" si="24"/>
        <v/>
      </c>
      <c r="BF16" s="12">
        <v>0.43</v>
      </c>
      <c r="BG16" s="13">
        <v>276.00852887666667</v>
      </c>
      <c r="BH16" s="96" t="str">
        <f>+VLOOKUP(G16,Liste!$A$7:$G$69,3,FALSE)</f>
        <v>Douglas</v>
      </c>
      <c r="BI16" s="96" t="str">
        <f>+VLOOKUP(H16,Liste!$B$7:$G$69,5,FALSE)</f>
        <v>National</v>
      </c>
      <c r="BJ16" s="135">
        <f t="shared" si="0"/>
        <v>28</v>
      </c>
      <c r="BK16" s="135" t="str">
        <f t="shared" si="2"/>
        <v>Douglas_F1_Entree 17-18m, densité haute_National_28_</v>
      </c>
      <c r="BL16" s="319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97" t="str">
        <f>+VLOOKUP(G16,Liste!$A$7:$H$69,8,FALSE)</f>
        <v>Résineux</v>
      </c>
      <c r="BU16" s="297">
        <f t="shared" si="3"/>
        <v>0</v>
      </c>
      <c r="BV16" s="299">
        <f t="shared" si="4"/>
        <v>1</v>
      </c>
      <c r="BW16" s="318">
        <v>0</v>
      </c>
      <c r="BX16" s="297">
        <f t="shared" si="5"/>
        <v>0.43</v>
      </c>
      <c r="BY16">
        <f t="shared" si="6"/>
        <v>0</v>
      </c>
      <c r="BZ16" s="303">
        <f t="shared" si="7"/>
        <v>48.516504094969612</v>
      </c>
      <c r="CB16" s="298">
        <v>0.6</v>
      </c>
      <c r="CC16" s="298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5"/>
        <v>45.476034425493602</v>
      </c>
      <c r="CN16">
        <f t="shared" si="17"/>
        <v>456.00372544587566</v>
      </c>
      <c r="CO16">
        <f t="shared" si="1"/>
        <v>0</v>
      </c>
    </row>
    <row r="17" spans="1:93" ht="14.45" hidden="1" customHeight="1" x14ac:dyDescent="0.25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10">
        <v>0</v>
      </c>
      <c r="AX17" s="74" t="s">
        <v>169</v>
      </c>
      <c r="AY17" s="311" t="str">
        <f t="shared" si="18"/>
        <v/>
      </c>
      <c r="AZ17" s="311" t="str">
        <f t="shared" si="19"/>
        <v/>
      </c>
      <c r="BA17" s="312" t="str">
        <f t="shared" si="20"/>
        <v/>
      </c>
      <c r="BB17" s="10" t="str">
        <f t="shared" si="21"/>
        <v/>
      </c>
      <c r="BC17" s="10" t="str">
        <f t="shared" si="22"/>
        <v/>
      </c>
      <c r="BD17" s="10" t="str">
        <f t="shared" si="23"/>
        <v/>
      </c>
      <c r="BE17" s="10" t="str">
        <f t="shared" si="24"/>
        <v/>
      </c>
      <c r="BF17" s="12">
        <v>0.43</v>
      </c>
      <c r="BG17" s="13">
        <v>299.27948438666664</v>
      </c>
      <c r="BH17" s="96" t="str">
        <f>+VLOOKUP(G17,Liste!$A$7:$G$69,3,FALSE)</f>
        <v>Douglas</v>
      </c>
      <c r="BI17" s="96" t="str">
        <f>+VLOOKUP(H17,Liste!$B$7:$G$69,5,FALSE)</f>
        <v>National</v>
      </c>
      <c r="BJ17" s="135">
        <f t="shared" si="0"/>
        <v>29</v>
      </c>
      <c r="BK17" s="135" t="str">
        <f t="shared" si="2"/>
        <v>Douglas_F1_Entree 17-18m, densité haute_National_29_</v>
      </c>
      <c r="BL17" s="319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97" t="str">
        <f>+VLOOKUP(G17,Liste!$A$7:$H$69,8,FALSE)</f>
        <v>Résineux</v>
      </c>
      <c r="BU17" s="297">
        <f t="shared" si="3"/>
        <v>0</v>
      </c>
      <c r="BV17" s="299">
        <f t="shared" si="4"/>
        <v>1</v>
      </c>
      <c r="BW17" s="318">
        <v>0</v>
      </c>
      <c r="BX17" s="297">
        <f t="shared" si="5"/>
        <v>0.43</v>
      </c>
      <c r="BY17">
        <f t="shared" si="6"/>
        <v>0</v>
      </c>
      <c r="BZ17" s="303">
        <f t="shared" si="7"/>
        <v>48.516504094969612</v>
      </c>
      <c r="CB17" s="298">
        <v>0.6</v>
      </c>
      <c r="CC17" s="298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5"/>
        <v>43.051620440962424</v>
      </c>
      <c r="CN17">
        <f t="shared" si="17"/>
        <v>499.0553458868381</v>
      </c>
      <c r="CO17">
        <f t="shared" si="1"/>
        <v>0</v>
      </c>
    </row>
    <row r="18" spans="1:93" s="12" customFormat="1" ht="14.45" hidden="1" customHeight="1" x14ac:dyDescent="0.25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10">
        <v>0</v>
      </c>
      <c r="AW18" s="8"/>
      <c r="AX18" s="74" t="s">
        <v>169</v>
      </c>
      <c r="AY18" s="311" t="str">
        <f t="shared" si="18"/>
        <v/>
      </c>
      <c r="AZ18" s="311" t="str">
        <f t="shared" si="19"/>
        <v/>
      </c>
      <c r="BA18" s="312" t="str">
        <f t="shared" si="20"/>
        <v/>
      </c>
      <c r="BB18" s="10" t="str">
        <f t="shared" si="21"/>
        <v/>
      </c>
      <c r="BC18" s="10" t="str">
        <f t="shared" si="22"/>
        <v/>
      </c>
      <c r="BD18" s="10" t="str">
        <f t="shared" si="23"/>
        <v/>
      </c>
      <c r="BE18" s="10" t="str">
        <f t="shared" si="24"/>
        <v/>
      </c>
      <c r="BF18" s="12">
        <v>0.43</v>
      </c>
      <c r="BG18" s="13">
        <v>323.10564348333332</v>
      </c>
      <c r="BH18" s="96" t="str">
        <f>+VLOOKUP(G18,Liste!$A$7:$G$69,3,FALSE)</f>
        <v>Douglas</v>
      </c>
      <c r="BI18" s="96" t="str">
        <f>+VLOOKUP(H18,Liste!$B$7:$G$69,5,FALSE)</f>
        <v>National</v>
      </c>
      <c r="BJ18" s="135">
        <f t="shared" si="0"/>
        <v>30</v>
      </c>
      <c r="BK18" s="135" t="str">
        <f t="shared" si="2"/>
        <v>Douglas_F1_Entree 17-18m, densité haute_National_30_</v>
      </c>
      <c r="BL18" s="319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97" t="str">
        <f>+VLOOKUP(G18,Liste!$A$7:$H$69,8,FALSE)</f>
        <v>Résineux</v>
      </c>
      <c r="BU18" s="297">
        <f t="shared" si="3"/>
        <v>0</v>
      </c>
      <c r="BV18" s="299">
        <f t="shared" si="4"/>
        <v>1</v>
      </c>
      <c r="BW18" s="318">
        <v>0</v>
      </c>
      <c r="BX18" s="297">
        <f t="shared" si="5"/>
        <v>0.43</v>
      </c>
      <c r="BY18">
        <f t="shared" si="6"/>
        <v>0</v>
      </c>
      <c r="BZ18" s="303">
        <f t="shared" si="7"/>
        <v>48.516504094969612</v>
      </c>
      <c r="CB18" s="298">
        <v>0.6</v>
      </c>
      <c r="CC18" s="298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5"/>
        <v>41.039370833177379</v>
      </c>
      <c r="CN18">
        <f t="shared" si="17"/>
        <v>540.09471672001553</v>
      </c>
      <c r="CO18">
        <f t="shared" si="1"/>
        <v>18.003157224000518</v>
      </c>
    </row>
    <row r="19" spans="1:93" s="12" customFormat="1" ht="14.45" hidden="1" customHeight="1" x14ac:dyDescent="0.25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11">
        <f t="shared" si="18"/>
        <v>0</v>
      </c>
      <c r="AZ19" s="311">
        <f t="shared" si="19"/>
        <v>0.66212530919026324</v>
      </c>
      <c r="BA19" s="312">
        <f t="shared" si="20"/>
        <v>0.32422465180098836</v>
      </c>
      <c r="BB19" s="10">
        <f t="shared" si="21"/>
        <v>20.936882407342043</v>
      </c>
      <c r="BC19" s="10">
        <f t="shared" si="22"/>
        <v>16.403765987773298</v>
      </c>
      <c r="BD19" s="10">
        <f t="shared" si="23"/>
        <v>9.3843347209009078</v>
      </c>
      <c r="BE19" s="10">
        <f t="shared" si="24"/>
        <v>16.622296154867634</v>
      </c>
      <c r="BF19" s="12">
        <v>0.43</v>
      </c>
      <c r="BG19" s="13">
        <v>259.16854395666667</v>
      </c>
      <c r="BH19" s="96" t="str">
        <f>+VLOOKUP(G19,Liste!$A$7:$G$69,3,FALSE)</f>
        <v>Douglas</v>
      </c>
      <c r="BI19" s="96" t="str">
        <f>+VLOOKUP(H19,Liste!$B$7:$G$69,5,FALSE)</f>
        <v>National</v>
      </c>
      <c r="BJ19" s="135">
        <f t="shared" si="0"/>
        <v>30</v>
      </c>
      <c r="BK19" s="135" t="str">
        <f t="shared" si="2"/>
        <v>Douglas_F1_Entree 17-18m, densité haute_National_30_</v>
      </c>
      <c r="BL19" s="319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97" t="str">
        <f>+VLOOKUP(G19,Liste!$A$7:$H$69,8,FALSE)</f>
        <v>Résineux</v>
      </c>
      <c r="BU19" s="297">
        <f t="shared" si="3"/>
        <v>0</v>
      </c>
      <c r="BV19" s="299">
        <f t="shared" si="4"/>
        <v>1</v>
      </c>
      <c r="BW19" s="318">
        <v>0</v>
      </c>
      <c r="BX19" s="297">
        <f t="shared" si="5"/>
        <v>0.43</v>
      </c>
      <c r="BY19">
        <f t="shared" si="6"/>
        <v>28.923445667690075</v>
      </c>
      <c r="BZ19" s="303">
        <f t="shared" si="7"/>
        <v>77.439949762659694</v>
      </c>
      <c r="CB19" s="298">
        <v>0.6</v>
      </c>
      <c r="CC19" s="298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5"/>
        <v>39.326712363734757</v>
      </c>
      <c r="CN19">
        <f t="shared" si="17"/>
        <v>579.42142908375024</v>
      </c>
      <c r="CO19">
        <f t="shared" si="1"/>
        <v>19.314047636125007</v>
      </c>
    </row>
    <row r="20" spans="1:93" s="12" customFormat="1" ht="14.45" hidden="1" customHeight="1" x14ac:dyDescent="0.25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10">
        <v>0</v>
      </c>
      <c r="AW20" s="8"/>
      <c r="AX20" s="74" t="s">
        <v>169</v>
      </c>
      <c r="AY20" s="311" t="str">
        <f t="shared" si="18"/>
        <v/>
      </c>
      <c r="AZ20" s="311" t="str">
        <f t="shared" si="19"/>
        <v/>
      </c>
      <c r="BA20" s="312" t="str">
        <f t="shared" si="20"/>
        <v/>
      </c>
      <c r="BB20" s="10" t="str">
        <f t="shared" si="21"/>
        <v/>
      </c>
      <c r="BC20" s="10" t="str">
        <f t="shared" si="22"/>
        <v/>
      </c>
      <c r="BD20" s="10" t="str">
        <f t="shared" si="23"/>
        <v/>
      </c>
      <c r="BE20" s="10" t="str">
        <f t="shared" si="24"/>
        <v/>
      </c>
      <c r="BF20" s="12">
        <v>0.43</v>
      </c>
      <c r="BG20" s="13">
        <v>280.27822485666667</v>
      </c>
      <c r="BH20" s="96" t="str">
        <f>+VLOOKUP(G20,Liste!$A$7:$G$69,3,FALSE)</f>
        <v>Douglas</v>
      </c>
      <c r="BI20" s="96" t="str">
        <f>+VLOOKUP(H20,Liste!$B$7:$G$69,5,FALSE)</f>
        <v>National</v>
      </c>
      <c r="BJ20" s="135">
        <f t="shared" si="0"/>
        <v>31</v>
      </c>
      <c r="BK20" s="135" t="str">
        <f t="shared" si="2"/>
        <v>Douglas_F1_Entree 17-18m, densité haute_National_31_</v>
      </c>
      <c r="BL20" s="319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97" t="str">
        <f>+VLOOKUP(G20,Liste!$A$7:$H$69,8,FALSE)</f>
        <v>Résineux</v>
      </c>
      <c r="BU20" s="297">
        <f t="shared" si="3"/>
        <v>0</v>
      </c>
      <c r="BV20" s="299">
        <f t="shared" si="4"/>
        <v>1</v>
      </c>
      <c r="BW20" s="318">
        <v>0</v>
      </c>
      <c r="BX20" s="297">
        <f t="shared" si="5"/>
        <v>0.43</v>
      </c>
      <c r="BY20">
        <f t="shared" si="6"/>
        <v>0</v>
      </c>
      <c r="BZ20" s="303">
        <f t="shared" si="7"/>
        <v>0</v>
      </c>
      <c r="CB20" s="298">
        <v>0.6</v>
      </c>
      <c r="CC20" s="298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5"/>
        <v>84.672650811618681</v>
      </c>
      <c r="CN20">
        <f t="shared" si="17"/>
        <v>664.09407989536896</v>
      </c>
      <c r="CO20">
        <f t="shared" si="1"/>
        <v>0</v>
      </c>
    </row>
    <row r="21" spans="1:93" s="12" customFormat="1" ht="14.45" hidden="1" customHeight="1" x14ac:dyDescent="0.25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10">
        <v>0</v>
      </c>
      <c r="AW21" s="8"/>
      <c r="AX21" s="74" t="s">
        <v>169</v>
      </c>
      <c r="AY21" s="311" t="str">
        <f t="shared" si="18"/>
        <v/>
      </c>
      <c r="AZ21" s="311" t="str">
        <f t="shared" si="19"/>
        <v/>
      </c>
      <c r="BA21" s="312" t="str">
        <f t="shared" si="20"/>
        <v/>
      </c>
      <c r="BB21" s="10" t="str">
        <f t="shared" si="21"/>
        <v/>
      </c>
      <c r="BC21" s="10" t="str">
        <f t="shared" si="22"/>
        <v/>
      </c>
      <c r="BD21" s="10" t="str">
        <f t="shared" si="23"/>
        <v/>
      </c>
      <c r="BE21" s="10" t="str">
        <f t="shared" si="24"/>
        <v/>
      </c>
      <c r="BF21" s="12">
        <v>0.43</v>
      </c>
      <c r="BG21" s="13">
        <v>301.86014118333338</v>
      </c>
      <c r="BH21" s="96" t="str">
        <f>+VLOOKUP(G21,Liste!$A$7:$G$69,3,FALSE)</f>
        <v>Douglas</v>
      </c>
      <c r="BI21" s="96" t="str">
        <f>+VLOOKUP(H21,Liste!$B$7:$G$69,5,FALSE)</f>
        <v>National</v>
      </c>
      <c r="BJ21" s="135">
        <f t="shared" si="0"/>
        <v>32</v>
      </c>
      <c r="BK21" s="135" t="str">
        <f t="shared" si="2"/>
        <v>Douglas_F1_Entree 17-18m, densité haute_National_32_</v>
      </c>
      <c r="BL21" s="319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97" t="str">
        <f>+VLOOKUP(G21,Liste!$A$7:$H$69,8,FALSE)</f>
        <v>Résineux</v>
      </c>
      <c r="BU21" s="297">
        <f t="shared" si="3"/>
        <v>0</v>
      </c>
      <c r="BV21" s="299">
        <f t="shared" si="4"/>
        <v>1</v>
      </c>
      <c r="BW21" s="318">
        <v>0</v>
      </c>
      <c r="BX21" s="297">
        <f t="shared" si="5"/>
        <v>0.43</v>
      </c>
      <c r="BY21">
        <f t="shared" si="6"/>
        <v>0</v>
      </c>
      <c r="BZ21" s="303">
        <f t="shared" si="7"/>
        <v>0</v>
      </c>
      <c r="CB21" s="298">
        <v>0.6</v>
      </c>
      <c r="CC21" s="298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5"/>
        <v>0</v>
      </c>
      <c r="CN21">
        <f t="shared" si="17"/>
        <v>0</v>
      </c>
      <c r="CO21">
        <f t="shared" si="1"/>
        <v>0</v>
      </c>
    </row>
    <row r="22" spans="1:93" s="12" customFormat="1" ht="14.45" hidden="1" customHeight="1" x14ac:dyDescent="0.25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10">
        <v>0</v>
      </c>
      <c r="AW22" s="8"/>
      <c r="AX22" s="74" t="s">
        <v>169</v>
      </c>
      <c r="AY22" s="311" t="str">
        <f t="shared" si="18"/>
        <v/>
      </c>
      <c r="AZ22" s="311" t="str">
        <f t="shared" si="19"/>
        <v/>
      </c>
      <c r="BA22" s="312" t="str">
        <f t="shared" si="20"/>
        <v/>
      </c>
      <c r="BB22" s="10" t="str">
        <f t="shared" si="21"/>
        <v/>
      </c>
      <c r="BC22" s="10" t="str">
        <f t="shared" si="22"/>
        <v/>
      </c>
      <c r="BD22" s="10" t="str">
        <f t="shared" si="23"/>
        <v/>
      </c>
      <c r="BE22" s="10" t="str">
        <f t="shared" si="24"/>
        <v/>
      </c>
      <c r="BF22" s="12">
        <v>0.43</v>
      </c>
      <c r="BG22" s="13">
        <v>324.00140820666667</v>
      </c>
      <c r="BH22" s="96" t="str">
        <f>+VLOOKUP(G22,Liste!$A$7:$G$69,3,FALSE)</f>
        <v>Douglas</v>
      </c>
      <c r="BI22" s="96" t="str">
        <f>+VLOOKUP(H22,Liste!$B$7:$G$69,5,FALSE)</f>
        <v>National</v>
      </c>
      <c r="BJ22" s="135">
        <f t="shared" si="0"/>
        <v>33</v>
      </c>
      <c r="BK22" s="135" t="str">
        <f t="shared" si="2"/>
        <v>Douglas_F1_Entree 17-18m, densité haute_National_33_</v>
      </c>
      <c r="BL22" s="319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97" t="str">
        <f>+VLOOKUP(G22,Liste!$A$7:$H$69,8,FALSE)</f>
        <v>Résineux</v>
      </c>
      <c r="BU22" s="297">
        <f t="shared" si="3"/>
        <v>0</v>
      </c>
      <c r="BV22" s="299">
        <f t="shared" si="4"/>
        <v>1</v>
      </c>
      <c r="BW22" s="318">
        <v>0</v>
      </c>
      <c r="BX22" s="297">
        <f t="shared" si="5"/>
        <v>0.43</v>
      </c>
      <c r="BY22">
        <f t="shared" si="6"/>
        <v>0</v>
      </c>
      <c r="BZ22" s="303">
        <f t="shared" si="7"/>
        <v>0</v>
      </c>
      <c r="CB22" s="298">
        <v>0.6</v>
      </c>
      <c r="CC22" s="298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5"/>
        <v>0</v>
      </c>
      <c r="CN22">
        <f t="shared" si="17"/>
        <v>0</v>
      </c>
      <c r="CO22">
        <f t="shared" si="1"/>
        <v>0</v>
      </c>
    </row>
    <row r="23" spans="1:93" s="12" customFormat="1" ht="14.45" hidden="1" customHeight="1" x14ac:dyDescent="0.25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10">
        <v>0</v>
      </c>
      <c r="AW23" s="8"/>
      <c r="AX23" s="74" t="s">
        <v>169</v>
      </c>
      <c r="AY23" s="311" t="str">
        <f t="shared" si="18"/>
        <v/>
      </c>
      <c r="AZ23" s="311" t="str">
        <f t="shared" si="19"/>
        <v/>
      </c>
      <c r="BA23" s="312" t="str">
        <f t="shared" si="20"/>
        <v/>
      </c>
      <c r="BB23" s="10" t="str">
        <f t="shared" si="21"/>
        <v/>
      </c>
      <c r="BC23" s="10" t="str">
        <f t="shared" si="22"/>
        <v/>
      </c>
      <c r="BD23" s="10" t="str">
        <f t="shared" si="23"/>
        <v/>
      </c>
      <c r="BE23" s="10" t="str">
        <f t="shared" si="24"/>
        <v/>
      </c>
      <c r="BF23" s="12">
        <v>0.43</v>
      </c>
      <c r="BG23" s="13">
        <v>346.51889843999999</v>
      </c>
      <c r="BH23" s="96" t="str">
        <f>+VLOOKUP(G23,Liste!$A$7:$G$69,3,FALSE)</f>
        <v>Douglas</v>
      </c>
      <c r="BI23" s="96" t="str">
        <f>+VLOOKUP(H23,Liste!$B$7:$G$69,5,FALSE)</f>
        <v>National</v>
      </c>
      <c r="BJ23" s="135">
        <f t="shared" si="0"/>
        <v>34</v>
      </c>
      <c r="BK23" s="135" t="str">
        <f t="shared" si="2"/>
        <v>Douglas_F1_Entree 17-18m, densité haute_National_34_</v>
      </c>
      <c r="BL23" s="319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97" t="str">
        <f>+VLOOKUP(G23,Liste!$A$7:$H$69,8,FALSE)</f>
        <v>Résineux</v>
      </c>
      <c r="BU23" s="297">
        <f t="shared" si="3"/>
        <v>0</v>
      </c>
      <c r="BV23" s="299">
        <f t="shared" si="4"/>
        <v>1</v>
      </c>
      <c r="BW23" s="318">
        <v>0</v>
      </c>
      <c r="BX23" s="297">
        <f t="shared" si="5"/>
        <v>0.43</v>
      </c>
      <c r="BY23">
        <f t="shared" si="6"/>
        <v>0</v>
      </c>
      <c r="BZ23" s="303">
        <f t="shared" si="7"/>
        <v>0</v>
      </c>
      <c r="CB23" s="298">
        <v>0.6</v>
      </c>
      <c r="CC23" s="298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5"/>
        <v>0</v>
      </c>
      <c r="CN23">
        <f t="shared" si="17"/>
        <v>0</v>
      </c>
      <c r="CO23">
        <f t="shared" si="1"/>
        <v>0</v>
      </c>
    </row>
    <row r="24" spans="1:93" s="12" customFormat="1" ht="14.45" hidden="1" customHeight="1" x14ac:dyDescent="0.25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10">
        <v>0</v>
      </c>
      <c r="AW24" s="8"/>
      <c r="AX24" s="74" t="s">
        <v>169</v>
      </c>
      <c r="AY24" s="311" t="str">
        <f t="shared" si="18"/>
        <v/>
      </c>
      <c r="AZ24" s="311" t="str">
        <f t="shared" si="19"/>
        <v/>
      </c>
      <c r="BA24" s="312" t="str">
        <f t="shared" si="20"/>
        <v/>
      </c>
      <c r="BB24" s="10" t="str">
        <f t="shared" si="21"/>
        <v/>
      </c>
      <c r="BC24" s="10" t="str">
        <f t="shared" si="22"/>
        <v/>
      </c>
      <c r="BD24" s="10" t="str">
        <f t="shared" si="23"/>
        <v/>
      </c>
      <c r="BE24" s="10" t="str">
        <f t="shared" si="24"/>
        <v/>
      </c>
      <c r="BF24" s="12">
        <v>0.43</v>
      </c>
      <c r="BG24" s="13">
        <v>369.52455466666669</v>
      </c>
      <c r="BH24" s="96" t="str">
        <f>+VLOOKUP(G24,Liste!$A$7:$G$69,3,FALSE)</f>
        <v>Douglas</v>
      </c>
      <c r="BI24" s="96" t="str">
        <f>+VLOOKUP(H24,Liste!$B$7:$G$69,5,FALSE)</f>
        <v>National</v>
      </c>
      <c r="BJ24" s="135">
        <f t="shared" si="0"/>
        <v>35</v>
      </c>
      <c r="BK24" s="135" t="str">
        <f t="shared" si="2"/>
        <v>Douglas_F1_Entree 17-18m, densité haute_National_35_</v>
      </c>
      <c r="BL24" s="319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97" t="str">
        <f>+VLOOKUP(G24,Liste!$A$7:$H$69,8,FALSE)</f>
        <v>Résineux</v>
      </c>
      <c r="BU24" s="297">
        <f t="shared" si="3"/>
        <v>0</v>
      </c>
      <c r="BV24" s="299">
        <f t="shared" si="4"/>
        <v>1</v>
      </c>
      <c r="BW24" s="318">
        <v>0</v>
      </c>
      <c r="BX24" s="297">
        <f t="shared" si="5"/>
        <v>0.43</v>
      </c>
      <c r="BY24">
        <f t="shared" si="6"/>
        <v>0</v>
      </c>
      <c r="BZ24" s="303">
        <f t="shared" si="7"/>
        <v>0</v>
      </c>
      <c r="CB24" s="298">
        <v>0.6</v>
      </c>
      <c r="CC24" s="298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5"/>
        <v>0</v>
      </c>
      <c r="CN24">
        <f t="shared" si="17"/>
        <v>0</v>
      </c>
      <c r="CO24">
        <f t="shared" si="1"/>
        <v>0</v>
      </c>
    </row>
    <row r="25" spans="1:93" s="12" customFormat="1" ht="14.45" hidden="1" customHeight="1" x14ac:dyDescent="0.25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10">
        <v>0</v>
      </c>
      <c r="AW25" s="8"/>
      <c r="AX25" s="74" t="s">
        <v>169</v>
      </c>
      <c r="AY25" s="311" t="str">
        <f t="shared" si="18"/>
        <v/>
      </c>
      <c r="AZ25" s="311" t="str">
        <f t="shared" si="19"/>
        <v/>
      </c>
      <c r="BA25" s="312" t="str">
        <f t="shared" si="20"/>
        <v/>
      </c>
      <c r="BB25" s="10" t="str">
        <f t="shared" si="21"/>
        <v/>
      </c>
      <c r="BC25" s="10" t="str">
        <f t="shared" si="22"/>
        <v/>
      </c>
      <c r="BD25" s="10" t="str">
        <f t="shared" si="23"/>
        <v/>
      </c>
      <c r="BE25" s="10" t="str">
        <f t="shared" si="24"/>
        <v/>
      </c>
      <c r="BF25" s="12">
        <v>0.43</v>
      </c>
      <c r="BG25" s="13">
        <v>392.84834563333334</v>
      </c>
      <c r="BH25" s="96" t="str">
        <f>+VLOOKUP(G25,Liste!$A$7:$G$69,3,FALSE)</f>
        <v>Douglas</v>
      </c>
      <c r="BI25" s="96" t="str">
        <f>+VLOOKUP(H25,Liste!$B$7:$G$69,5,FALSE)</f>
        <v>National</v>
      </c>
      <c r="BJ25" s="135">
        <f t="shared" si="0"/>
        <v>36</v>
      </c>
      <c r="BK25" s="135" t="str">
        <f t="shared" si="2"/>
        <v>Douglas_F1_Entree 17-18m, densité haute_National_36_</v>
      </c>
      <c r="BL25" s="319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97" t="str">
        <f>+VLOOKUP(G25,Liste!$A$7:$H$69,8,FALSE)</f>
        <v>Résineux</v>
      </c>
      <c r="BU25" s="297">
        <f t="shared" si="3"/>
        <v>0</v>
      </c>
      <c r="BV25" s="299">
        <f t="shared" si="4"/>
        <v>1</v>
      </c>
      <c r="BW25" s="318">
        <v>0</v>
      </c>
      <c r="BX25" s="297">
        <f t="shared" si="5"/>
        <v>0.43</v>
      </c>
      <c r="BY25">
        <f t="shared" si="6"/>
        <v>0</v>
      </c>
      <c r="BZ25" s="303">
        <f t="shared" si="7"/>
        <v>0</v>
      </c>
      <c r="CB25" s="298">
        <v>0.6</v>
      </c>
      <c r="CC25" s="298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5"/>
        <v>0</v>
      </c>
      <c r="CN25">
        <f t="shared" si="17"/>
        <v>0</v>
      </c>
      <c r="CO25">
        <f t="shared" si="1"/>
        <v>0</v>
      </c>
    </row>
    <row r="26" spans="1:93" s="12" customFormat="1" ht="14.45" hidden="1" customHeight="1" x14ac:dyDescent="0.25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11">
        <f t="shared" si="18"/>
        <v>0</v>
      </c>
      <c r="AZ26" s="311">
        <f t="shared" si="19"/>
        <v>0.78597461227368504</v>
      </c>
      <c r="BA26" s="312">
        <f t="shared" si="20"/>
        <v>0.20412913690394296</v>
      </c>
      <c r="BB26" s="10">
        <f t="shared" si="21"/>
        <v>26.359973903741334</v>
      </c>
      <c r="BC26" s="10">
        <f t="shared" si="22"/>
        <v>13.681939535410496</v>
      </c>
      <c r="BD26" s="10">
        <f t="shared" si="23"/>
        <v>8.2046250085295629</v>
      </c>
      <c r="BE26" s="10">
        <f t="shared" si="24"/>
        <v>20.208308415995099</v>
      </c>
      <c r="BF26" s="12">
        <v>0.43</v>
      </c>
      <c r="BG26" s="13">
        <v>325.37911662666664</v>
      </c>
      <c r="BH26" s="96" t="str">
        <f>+VLOOKUP(G26,Liste!$A$7:$G$69,3,FALSE)</f>
        <v>Douglas</v>
      </c>
      <c r="BI26" s="96" t="str">
        <f>+VLOOKUP(H26,Liste!$B$7:$G$69,5,FALSE)</f>
        <v>National</v>
      </c>
      <c r="BJ26" s="135">
        <f t="shared" si="0"/>
        <v>36</v>
      </c>
      <c r="BK26" s="135" t="str">
        <f t="shared" si="2"/>
        <v>Douglas_F1_Entree 17-18m, densité haute_National_36_</v>
      </c>
      <c r="BL26" s="319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97" t="str">
        <f>+VLOOKUP(G26,Liste!$A$7:$H$69,8,FALSE)</f>
        <v>Résineux</v>
      </c>
      <c r="BU26" s="297">
        <f t="shared" si="3"/>
        <v>0</v>
      </c>
      <c r="BV26" s="299">
        <f t="shared" si="4"/>
        <v>1</v>
      </c>
      <c r="BW26" s="318">
        <v>0</v>
      </c>
      <c r="BX26" s="297">
        <f t="shared" si="5"/>
        <v>0.43</v>
      </c>
      <c r="BY26">
        <f t="shared" si="6"/>
        <v>0</v>
      </c>
      <c r="BZ26" s="303">
        <f t="shared" si="7"/>
        <v>0</v>
      </c>
      <c r="CB26" s="298">
        <v>0.6</v>
      </c>
      <c r="CC26" s="298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5"/>
        <v>0</v>
      </c>
      <c r="CN26">
        <f t="shared" si="17"/>
        <v>0</v>
      </c>
      <c r="CO26">
        <f t="shared" si="1"/>
        <v>0</v>
      </c>
    </row>
    <row r="27" spans="1:93" s="12" customFormat="1" ht="14.45" hidden="1" customHeight="1" x14ac:dyDescent="0.25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10">
        <v>0</v>
      </c>
      <c r="AW27" s="8"/>
      <c r="AX27" s="74" t="s">
        <v>169</v>
      </c>
      <c r="AY27" s="311" t="str">
        <f t="shared" si="18"/>
        <v/>
      </c>
      <c r="AZ27" s="311" t="str">
        <f t="shared" si="19"/>
        <v/>
      </c>
      <c r="BA27" s="312" t="str">
        <f t="shared" si="20"/>
        <v/>
      </c>
      <c r="BB27" s="10" t="str">
        <f t="shared" si="21"/>
        <v/>
      </c>
      <c r="BC27" s="10" t="str">
        <f t="shared" si="22"/>
        <v/>
      </c>
      <c r="BD27" s="10" t="str">
        <f t="shared" si="23"/>
        <v/>
      </c>
      <c r="BE27" s="10" t="str">
        <f t="shared" si="24"/>
        <v/>
      </c>
      <c r="BF27" s="12">
        <v>0.43</v>
      </c>
      <c r="BG27" s="13">
        <v>346.40259239666665</v>
      </c>
      <c r="BH27" s="96" t="str">
        <f>+VLOOKUP(G27,Liste!$A$7:$G$69,3,FALSE)</f>
        <v>Douglas</v>
      </c>
      <c r="BI27" s="96" t="str">
        <f>+VLOOKUP(H27,Liste!$B$7:$G$69,5,FALSE)</f>
        <v>National</v>
      </c>
      <c r="BJ27" s="135">
        <f t="shared" si="0"/>
        <v>37</v>
      </c>
      <c r="BK27" s="135" t="str">
        <f t="shared" si="2"/>
        <v>Douglas_F1_Entree 17-18m, densité haute_National_37_</v>
      </c>
      <c r="BL27" s="319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97" t="str">
        <f>+VLOOKUP(G27,Liste!$A$7:$H$69,8,FALSE)</f>
        <v>Résineux</v>
      </c>
      <c r="BU27" s="297">
        <f t="shared" si="3"/>
        <v>0</v>
      </c>
      <c r="BV27" s="299">
        <f t="shared" si="4"/>
        <v>1</v>
      </c>
      <c r="BW27" s="318">
        <v>0</v>
      </c>
      <c r="BX27" s="297">
        <f t="shared" si="5"/>
        <v>0.43</v>
      </c>
      <c r="BY27">
        <f t="shared" si="6"/>
        <v>0</v>
      </c>
      <c r="BZ27" s="303">
        <f t="shared" si="7"/>
        <v>0</v>
      </c>
      <c r="CB27" s="298">
        <v>0.6</v>
      </c>
      <c r="CC27" s="298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5"/>
        <v>0</v>
      </c>
      <c r="CN27">
        <f t="shared" si="17"/>
        <v>0</v>
      </c>
      <c r="CO27">
        <f t="shared" si="1"/>
        <v>0</v>
      </c>
    </row>
    <row r="28" spans="1:93" s="12" customFormat="1" ht="14.45" hidden="1" customHeight="1" x14ac:dyDescent="0.25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10">
        <v>0</v>
      </c>
      <c r="AW28" s="8"/>
      <c r="AX28" s="74" t="s">
        <v>169</v>
      </c>
      <c r="AY28" s="311" t="str">
        <f t="shared" si="18"/>
        <v/>
      </c>
      <c r="AZ28" s="311" t="str">
        <f t="shared" si="19"/>
        <v/>
      </c>
      <c r="BA28" s="312" t="str">
        <f t="shared" si="20"/>
        <v/>
      </c>
      <c r="BB28" s="10" t="str">
        <f t="shared" si="21"/>
        <v/>
      </c>
      <c r="BC28" s="10" t="str">
        <f t="shared" si="22"/>
        <v/>
      </c>
      <c r="BD28" s="10" t="str">
        <f t="shared" si="23"/>
        <v/>
      </c>
      <c r="BE28" s="10" t="str">
        <f t="shared" si="24"/>
        <v/>
      </c>
      <c r="BF28" s="12">
        <v>0.43</v>
      </c>
      <c r="BG28" s="13">
        <v>367.74777343333335</v>
      </c>
      <c r="BH28" s="96" t="str">
        <f>+VLOOKUP(G28,Liste!$A$7:$G$69,3,FALSE)</f>
        <v>Douglas</v>
      </c>
      <c r="BI28" s="96" t="str">
        <f>+VLOOKUP(H28,Liste!$B$7:$G$69,5,FALSE)</f>
        <v>National</v>
      </c>
      <c r="BJ28" s="135">
        <f t="shared" si="0"/>
        <v>38</v>
      </c>
      <c r="BK28" s="135" t="str">
        <f t="shared" si="2"/>
        <v>Douglas_F1_Entree 17-18m, densité haute_National_38_</v>
      </c>
      <c r="BL28" s="319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97" t="str">
        <f>+VLOOKUP(G28,Liste!$A$7:$H$69,8,FALSE)</f>
        <v>Résineux</v>
      </c>
      <c r="BU28" s="297">
        <f t="shared" si="3"/>
        <v>0</v>
      </c>
      <c r="BV28" s="299">
        <f t="shared" si="4"/>
        <v>1</v>
      </c>
      <c r="BW28" s="318">
        <v>0</v>
      </c>
      <c r="BX28" s="297">
        <f t="shared" si="5"/>
        <v>0.43</v>
      </c>
      <c r="BY28">
        <f t="shared" si="6"/>
        <v>0</v>
      </c>
      <c r="BZ28" s="303">
        <f t="shared" si="7"/>
        <v>0</v>
      </c>
      <c r="CB28" s="298">
        <v>0.6</v>
      </c>
      <c r="CC28" s="298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5"/>
        <v>0</v>
      </c>
      <c r="CN28">
        <f t="shared" si="17"/>
        <v>0</v>
      </c>
      <c r="CO28">
        <f t="shared" si="1"/>
        <v>0</v>
      </c>
    </row>
    <row r="29" spans="1:93" s="12" customFormat="1" ht="14.45" hidden="1" customHeight="1" x14ac:dyDescent="0.25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10">
        <v>0</v>
      </c>
      <c r="AW29" s="8"/>
      <c r="AX29" s="74" t="s">
        <v>169</v>
      </c>
      <c r="AY29" s="311" t="str">
        <f t="shared" si="18"/>
        <v/>
      </c>
      <c r="AZ29" s="311" t="str">
        <f t="shared" si="19"/>
        <v/>
      </c>
      <c r="BA29" s="312" t="str">
        <f t="shared" si="20"/>
        <v/>
      </c>
      <c r="BB29" s="10" t="str">
        <f t="shared" si="21"/>
        <v/>
      </c>
      <c r="BC29" s="10" t="str">
        <f t="shared" si="22"/>
        <v/>
      </c>
      <c r="BD29" s="10" t="str">
        <f t="shared" si="23"/>
        <v/>
      </c>
      <c r="BE29" s="10" t="str">
        <f t="shared" si="24"/>
        <v/>
      </c>
      <c r="BF29" s="12">
        <v>0.43</v>
      </c>
      <c r="BG29" s="13">
        <v>389.47547943333331</v>
      </c>
      <c r="BH29" s="96" t="str">
        <f>+VLOOKUP(G29,Liste!$A$7:$G$69,3,FALSE)</f>
        <v>Douglas</v>
      </c>
      <c r="BI29" s="96" t="str">
        <f>+VLOOKUP(H29,Liste!$B$7:$G$69,5,FALSE)</f>
        <v>National</v>
      </c>
      <c r="BJ29" s="135">
        <f t="shared" si="0"/>
        <v>39</v>
      </c>
      <c r="BK29" s="135" t="str">
        <f t="shared" si="2"/>
        <v>Douglas_F1_Entree 17-18m, densité haute_National_39_</v>
      </c>
      <c r="BL29" s="319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97" t="str">
        <f>+VLOOKUP(G29,Liste!$A$7:$H$69,8,FALSE)</f>
        <v>Résineux</v>
      </c>
      <c r="BU29" s="297">
        <f t="shared" si="3"/>
        <v>0</v>
      </c>
      <c r="BV29" s="299">
        <f t="shared" si="4"/>
        <v>1</v>
      </c>
      <c r="BW29" s="318">
        <v>0</v>
      </c>
      <c r="BX29" s="297">
        <f t="shared" si="5"/>
        <v>0.43</v>
      </c>
      <c r="BY29">
        <f t="shared" si="6"/>
        <v>0</v>
      </c>
      <c r="BZ29" s="303">
        <f t="shared" si="7"/>
        <v>0</v>
      </c>
      <c r="CB29" s="298">
        <v>0.6</v>
      </c>
      <c r="CC29" s="298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5"/>
        <v>0</v>
      </c>
      <c r="CN29">
        <f t="shared" si="17"/>
        <v>0</v>
      </c>
      <c r="CO29">
        <f t="shared" si="1"/>
        <v>0</v>
      </c>
    </row>
    <row r="30" spans="1:93" s="12" customFormat="1" ht="14.45" hidden="1" customHeight="1" x14ac:dyDescent="0.25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10">
        <v>0</v>
      </c>
      <c r="AW30" s="8"/>
      <c r="AX30" s="74" t="s">
        <v>169</v>
      </c>
      <c r="AY30" s="311" t="str">
        <f t="shared" si="18"/>
        <v/>
      </c>
      <c r="AZ30" s="311" t="str">
        <f t="shared" si="19"/>
        <v/>
      </c>
      <c r="BA30" s="312" t="str">
        <f t="shared" si="20"/>
        <v/>
      </c>
      <c r="BB30" s="10" t="str">
        <f t="shared" si="21"/>
        <v/>
      </c>
      <c r="BC30" s="10" t="str">
        <f t="shared" si="22"/>
        <v/>
      </c>
      <c r="BD30" s="10" t="str">
        <f t="shared" si="23"/>
        <v/>
      </c>
      <c r="BE30" s="10" t="str">
        <f t="shared" si="24"/>
        <v/>
      </c>
      <c r="BF30" s="12">
        <v>0.43</v>
      </c>
      <c r="BG30" s="13">
        <v>411.46258779999999</v>
      </c>
      <c r="BH30" s="96" t="str">
        <f>+VLOOKUP(G30,Liste!$A$7:$G$69,3,FALSE)</f>
        <v>Douglas</v>
      </c>
      <c r="BI30" s="96" t="str">
        <f>+VLOOKUP(H30,Liste!$B$7:$G$69,5,FALSE)</f>
        <v>National</v>
      </c>
      <c r="BJ30" s="135">
        <f t="shared" si="0"/>
        <v>40</v>
      </c>
      <c r="BK30" s="135" t="str">
        <f t="shared" si="2"/>
        <v>Douglas_F1_Entree 17-18m, densité haute_National_40_</v>
      </c>
      <c r="BL30" s="319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97" t="str">
        <f>+VLOOKUP(G30,Liste!$A$7:$H$69,8,FALSE)</f>
        <v>Résineux</v>
      </c>
      <c r="BU30" s="297">
        <f t="shared" si="3"/>
        <v>0</v>
      </c>
      <c r="BV30" s="299">
        <f t="shared" si="4"/>
        <v>1</v>
      </c>
      <c r="BW30" s="318">
        <v>0</v>
      </c>
      <c r="BX30" s="297">
        <f t="shared" si="5"/>
        <v>0.43</v>
      </c>
      <c r="BY30">
        <f t="shared" si="6"/>
        <v>0</v>
      </c>
      <c r="BZ30" s="303">
        <f t="shared" si="7"/>
        <v>0</v>
      </c>
      <c r="CB30" s="298">
        <v>0.6</v>
      </c>
      <c r="CC30" s="298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5"/>
        <v>0</v>
      </c>
      <c r="CN30">
        <f t="shared" si="17"/>
        <v>0</v>
      </c>
      <c r="CO30">
        <f t="shared" si="1"/>
        <v>0</v>
      </c>
    </row>
    <row r="31" spans="1:93" s="12" customFormat="1" ht="14.45" hidden="1" customHeight="1" x14ac:dyDescent="0.25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10">
        <v>0</v>
      </c>
      <c r="AW31" s="8"/>
      <c r="AX31" s="74" t="s">
        <v>169</v>
      </c>
      <c r="AY31" s="311" t="str">
        <f t="shared" si="18"/>
        <v/>
      </c>
      <c r="AZ31" s="311" t="str">
        <f t="shared" si="19"/>
        <v/>
      </c>
      <c r="BA31" s="312" t="str">
        <f t="shared" si="20"/>
        <v/>
      </c>
      <c r="BB31" s="10" t="str">
        <f t="shared" si="21"/>
        <v/>
      </c>
      <c r="BC31" s="10" t="str">
        <f t="shared" si="22"/>
        <v/>
      </c>
      <c r="BD31" s="10" t="str">
        <f t="shared" si="23"/>
        <v/>
      </c>
      <c r="BE31" s="10" t="str">
        <f t="shared" si="24"/>
        <v/>
      </c>
      <c r="BF31" s="12">
        <v>0.43</v>
      </c>
      <c r="BG31" s="13">
        <v>433.77165259999998</v>
      </c>
      <c r="BH31" s="96" t="str">
        <f>+VLOOKUP(G31,Liste!$A$7:$G$69,3,FALSE)</f>
        <v>Douglas</v>
      </c>
      <c r="BI31" s="96" t="str">
        <f>+VLOOKUP(H31,Liste!$B$7:$G$69,5,FALSE)</f>
        <v>National</v>
      </c>
      <c r="BJ31" s="135">
        <f t="shared" si="0"/>
        <v>41</v>
      </c>
      <c r="BK31" s="135" t="str">
        <f t="shared" si="2"/>
        <v>Douglas_F1_Entree 17-18m, densité haute_National_41_</v>
      </c>
      <c r="BL31" s="319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97" t="str">
        <f>+VLOOKUP(G31,Liste!$A$7:$H$69,8,FALSE)</f>
        <v>Résineux</v>
      </c>
      <c r="BU31" s="297">
        <f t="shared" si="3"/>
        <v>0</v>
      </c>
      <c r="BV31" s="299">
        <f t="shared" si="4"/>
        <v>1</v>
      </c>
      <c r="BW31" s="318">
        <v>0</v>
      </c>
      <c r="BX31" s="297">
        <f t="shared" si="5"/>
        <v>0.43</v>
      </c>
      <c r="BY31">
        <f t="shared" si="6"/>
        <v>0</v>
      </c>
      <c r="BZ31" s="303">
        <f t="shared" si="7"/>
        <v>0</v>
      </c>
      <c r="CB31" s="298">
        <v>0.6</v>
      </c>
      <c r="CC31" s="298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5"/>
        <v>0</v>
      </c>
      <c r="CN31">
        <f t="shared" si="17"/>
        <v>0</v>
      </c>
      <c r="CO31">
        <f t="shared" si="1"/>
        <v>0</v>
      </c>
    </row>
    <row r="32" spans="1:93" s="12" customFormat="1" ht="14.45" hidden="1" customHeight="1" x14ac:dyDescent="0.25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10">
        <v>0</v>
      </c>
      <c r="AW32" s="8"/>
      <c r="AX32" s="74" t="s">
        <v>169</v>
      </c>
      <c r="AY32" s="311" t="str">
        <f t="shared" si="18"/>
        <v/>
      </c>
      <c r="AZ32" s="311" t="str">
        <f t="shared" si="19"/>
        <v/>
      </c>
      <c r="BA32" s="312" t="str">
        <f t="shared" si="20"/>
        <v/>
      </c>
      <c r="BB32" s="10" t="str">
        <f t="shared" si="21"/>
        <v/>
      </c>
      <c r="BC32" s="10" t="str">
        <f t="shared" si="22"/>
        <v/>
      </c>
      <c r="BD32" s="10" t="str">
        <f t="shared" si="23"/>
        <v/>
      </c>
      <c r="BE32" s="10" t="str">
        <f t="shared" si="24"/>
        <v/>
      </c>
      <c r="BF32" s="12">
        <v>0.43</v>
      </c>
      <c r="BG32" s="13">
        <v>456.3452666666667</v>
      </c>
      <c r="BH32" s="96" t="str">
        <f>+VLOOKUP(G32,Liste!$A$7:$G$69,3,FALSE)</f>
        <v>Douglas</v>
      </c>
      <c r="BI32" s="96" t="str">
        <f>+VLOOKUP(H32,Liste!$B$7:$G$69,5,FALSE)</f>
        <v>National</v>
      </c>
      <c r="BJ32" s="135">
        <f t="shared" si="0"/>
        <v>42</v>
      </c>
      <c r="BK32" s="135" t="str">
        <f t="shared" si="2"/>
        <v>Douglas_F1_Entree 17-18m, densité haute_National_42_</v>
      </c>
      <c r="BL32" s="319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97" t="str">
        <f>+VLOOKUP(G32,Liste!$A$7:$H$69,8,FALSE)</f>
        <v>Résineux</v>
      </c>
      <c r="BU32" s="297">
        <f t="shared" si="3"/>
        <v>0</v>
      </c>
      <c r="BV32" s="299">
        <f t="shared" si="4"/>
        <v>1</v>
      </c>
      <c r="BW32" s="318">
        <v>0</v>
      </c>
      <c r="BX32" s="297">
        <f t="shared" si="5"/>
        <v>0.43</v>
      </c>
      <c r="BY32">
        <f t="shared" si="6"/>
        <v>0</v>
      </c>
      <c r="BZ32" s="303">
        <f t="shared" si="7"/>
        <v>0</v>
      </c>
      <c r="CB32" s="298">
        <v>0.6</v>
      </c>
      <c r="CC32" s="298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5"/>
        <v>0</v>
      </c>
      <c r="CN32">
        <f t="shared" si="17"/>
        <v>0</v>
      </c>
      <c r="CO32">
        <f t="shared" si="1"/>
        <v>0</v>
      </c>
    </row>
    <row r="33" spans="1:93" s="12" customFormat="1" ht="14.45" hidden="1" customHeight="1" x14ac:dyDescent="0.25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11">
        <f t="shared" si="18"/>
        <v>0</v>
      </c>
      <c r="AZ33" s="311">
        <f t="shared" si="19"/>
        <v>0.87265621923334813</v>
      </c>
      <c r="BA33" s="312">
        <f t="shared" si="20"/>
        <v>0.1205841063516131</v>
      </c>
      <c r="BB33" s="10">
        <f t="shared" si="21"/>
        <v>31.099403301136668</v>
      </c>
      <c r="BC33" s="10">
        <f t="shared" si="22"/>
        <v>11.795439314581625</v>
      </c>
      <c r="BD33" s="10">
        <f t="shared" si="23"/>
        <v>7.4285665308202695</v>
      </c>
      <c r="BE33" s="10">
        <f t="shared" si="24"/>
        <v>23.393054124736771</v>
      </c>
      <c r="BF33" s="12">
        <v>0.43</v>
      </c>
      <c r="BG33" s="13">
        <v>384.89308990000001</v>
      </c>
      <c r="BH33" s="96" t="str">
        <f>+VLOOKUP(G33,Liste!$A$7:$G$69,3,FALSE)</f>
        <v>Douglas</v>
      </c>
      <c r="BI33" s="96" t="str">
        <f>+VLOOKUP(H33,Liste!$B$7:$G$69,5,FALSE)</f>
        <v>National</v>
      </c>
      <c r="BJ33" s="135">
        <f t="shared" si="0"/>
        <v>42</v>
      </c>
      <c r="BK33" s="135" t="str">
        <f t="shared" si="2"/>
        <v>Douglas_F1_Entree 17-18m, densité haute_National_42_</v>
      </c>
      <c r="BL33" s="319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97" t="str">
        <f>+VLOOKUP(G33,Liste!$A$7:$H$69,8,FALSE)</f>
        <v>Résineux</v>
      </c>
      <c r="BU33" s="297">
        <f t="shared" si="3"/>
        <v>0</v>
      </c>
      <c r="BV33" s="299">
        <f t="shared" si="4"/>
        <v>1</v>
      </c>
      <c r="BW33" s="318">
        <v>0</v>
      </c>
      <c r="BX33" s="297">
        <f t="shared" si="5"/>
        <v>0.43</v>
      </c>
      <c r="BY33">
        <f t="shared" si="6"/>
        <v>0</v>
      </c>
      <c r="BZ33" s="303">
        <f t="shared" si="7"/>
        <v>0</v>
      </c>
      <c r="CB33" s="298">
        <v>0.6</v>
      </c>
      <c r="CC33" s="298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5"/>
        <v>0</v>
      </c>
      <c r="CN33">
        <f t="shared" si="17"/>
        <v>0</v>
      </c>
      <c r="CO33">
        <f t="shared" si="1"/>
        <v>0</v>
      </c>
    </row>
    <row r="34" spans="1:93" s="12" customFormat="1" ht="14.45" hidden="1" customHeight="1" x14ac:dyDescent="0.25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10">
        <v>0</v>
      </c>
      <c r="AW34" s="8"/>
      <c r="AX34" s="74" t="s">
        <v>169</v>
      </c>
      <c r="AY34" s="311" t="str">
        <f t="shared" si="18"/>
        <v/>
      </c>
      <c r="AZ34" s="311" t="str">
        <f t="shared" si="19"/>
        <v/>
      </c>
      <c r="BA34" s="312" t="str">
        <f t="shared" si="20"/>
        <v/>
      </c>
      <c r="BB34" s="10" t="str">
        <f t="shared" si="21"/>
        <v/>
      </c>
      <c r="BC34" s="10" t="str">
        <f t="shared" si="22"/>
        <v/>
      </c>
      <c r="BD34" s="10" t="str">
        <f t="shared" si="23"/>
        <v/>
      </c>
      <c r="BE34" s="10" t="str">
        <f t="shared" si="24"/>
        <v/>
      </c>
      <c r="BF34" s="12">
        <v>0.43</v>
      </c>
      <c r="BG34" s="13">
        <v>405.3327153333334</v>
      </c>
      <c r="BH34" s="96" t="str">
        <f>+VLOOKUP(G34,Liste!$A$7:$G$69,3,FALSE)</f>
        <v>Douglas</v>
      </c>
      <c r="BI34" s="96" t="str">
        <f>+VLOOKUP(H34,Liste!$B$7:$G$69,5,FALSE)</f>
        <v>National</v>
      </c>
      <c r="BJ34" s="135">
        <f t="shared" si="0"/>
        <v>43</v>
      </c>
      <c r="BK34" s="135" t="str">
        <f t="shared" si="2"/>
        <v>Douglas_F1_Entree 17-18m, densité haute_National_43_</v>
      </c>
      <c r="BL34" s="319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97" t="str">
        <f>+VLOOKUP(G34,Liste!$A$7:$H$69,8,FALSE)</f>
        <v>Résineux</v>
      </c>
      <c r="BU34" s="297">
        <f t="shared" si="3"/>
        <v>0</v>
      </c>
      <c r="BV34" s="299">
        <f t="shared" si="4"/>
        <v>1</v>
      </c>
      <c r="BW34" s="318">
        <v>0</v>
      </c>
      <c r="BX34" s="297">
        <f t="shared" si="5"/>
        <v>0.43</v>
      </c>
      <c r="BY34">
        <f t="shared" si="6"/>
        <v>0</v>
      </c>
      <c r="BZ34" s="303">
        <f t="shared" si="7"/>
        <v>0</v>
      </c>
      <c r="CB34" s="298">
        <v>0.6</v>
      </c>
      <c r="CC34" s="298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5"/>
        <v>0</v>
      </c>
      <c r="CN34">
        <f t="shared" si="17"/>
        <v>0</v>
      </c>
      <c r="CO34">
        <f t="shared" si="1"/>
        <v>0</v>
      </c>
    </row>
    <row r="35" spans="1:93" s="12" customFormat="1" ht="14.45" hidden="1" customHeight="1" x14ac:dyDescent="0.25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10">
        <v>0</v>
      </c>
      <c r="AW35" s="8"/>
      <c r="AX35" s="74" t="s">
        <v>169</v>
      </c>
      <c r="AY35" s="311" t="str">
        <f t="shared" si="18"/>
        <v/>
      </c>
      <c r="AZ35" s="311" t="str">
        <f t="shared" si="19"/>
        <v/>
      </c>
      <c r="BA35" s="312" t="str">
        <f t="shared" si="20"/>
        <v/>
      </c>
      <c r="BB35" s="10" t="str">
        <f t="shared" si="21"/>
        <v/>
      </c>
      <c r="BC35" s="10" t="str">
        <f t="shared" si="22"/>
        <v/>
      </c>
      <c r="BD35" s="10" t="str">
        <f t="shared" si="23"/>
        <v/>
      </c>
      <c r="BE35" s="10" t="str">
        <f t="shared" si="24"/>
        <v/>
      </c>
      <c r="BF35" s="12">
        <v>0.43</v>
      </c>
      <c r="BG35" s="13">
        <v>426.10890483333333</v>
      </c>
      <c r="BH35" s="96" t="str">
        <f>+VLOOKUP(G35,Liste!$A$7:$G$69,3,FALSE)</f>
        <v>Douglas</v>
      </c>
      <c r="BI35" s="96" t="str">
        <f>+VLOOKUP(H35,Liste!$B$7:$G$69,5,FALSE)</f>
        <v>National</v>
      </c>
      <c r="BJ35" s="135">
        <f t="shared" si="0"/>
        <v>44</v>
      </c>
      <c r="BK35" s="135" t="str">
        <f t="shared" si="2"/>
        <v>Douglas_F1_Entree 17-18m, densité haute_National_44_</v>
      </c>
      <c r="BL35" s="319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97" t="str">
        <f>+VLOOKUP(G35,Liste!$A$7:$H$69,8,FALSE)</f>
        <v>Résineux</v>
      </c>
      <c r="BU35" s="297">
        <f t="shared" si="3"/>
        <v>0</v>
      </c>
      <c r="BV35" s="299">
        <f t="shared" si="4"/>
        <v>1</v>
      </c>
      <c r="BW35" s="318">
        <v>0</v>
      </c>
      <c r="BX35" s="297">
        <f t="shared" si="5"/>
        <v>0.43</v>
      </c>
      <c r="BY35">
        <f t="shared" si="6"/>
        <v>0</v>
      </c>
      <c r="BZ35" s="303">
        <f t="shared" si="7"/>
        <v>0</v>
      </c>
      <c r="CB35" s="298">
        <v>0.6</v>
      </c>
      <c r="CC35" s="298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5"/>
        <v>0</v>
      </c>
      <c r="CN35">
        <f t="shared" si="17"/>
        <v>0</v>
      </c>
      <c r="CO35">
        <f t="shared" si="1"/>
        <v>0</v>
      </c>
    </row>
    <row r="36" spans="1:93" s="12" customFormat="1" ht="14.45" hidden="1" customHeight="1" x14ac:dyDescent="0.25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10">
        <v>0</v>
      </c>
      <c r="AW36" s="8"/>
      <c r="AX36" s="74" t="s">
        <v>169</v>
      </c>
      <c r="AY36" s="311" t="str">
        <f t="shared" si="18"/>
        <v/>
      </c>
      <c r="AZ36" s="311" t="str">
        <f t="shared" si="19"/>
        <v/>
      </c>
      <c r="BA36" s="312" t="str">
        <f t="shared" si="20"/>
        <v/>
      </c>
      <c r="BB36" s="10" t="str">
        <f t="shared" si="21"/>
        <v/>
      </c>
      <c r="BC36" s="10" t="str">
        <f t="shared" si="22"/>
        <v/>
      </c>
      <c r="BD36" s="10" t="str">
        <f t="shared" si="23"/>
        <v/>
      </c>
      <c r="BE36" s="10" t="str">
        <f t="shared" si="24"/>
        <v/>
      </c>
      <c r="BF36" s="12">
        <v>0.43</v>
      </c>
      <c r="BG36" s="13">
        <v>447.01596793333334</v>
      </c>
      <c r="BH36" s="96" t="str">
        <f>+VLOOKUP(G36,Liste!$A$7:$G$69,3,FALSE)</f>
        <v>Douglas</v>
      </c>
      <c r="BI36" s="96" t="str">
        <f>+VLOOKUP(H36,Liste!$B$7:$G$69,5,FALSE)</f>
        <v>National</v>
      </c>
      <c r="BJ36" s="135">
        <f t="shared" si="0"/>
        <v>45</v>
      </c>
      <c r="BK36" s="135" t="str">
        <f t="shared" si="2"/>
        <v>Douglas_F1_Entree 17-18m, densité haute_National_45_</v>
      </c>
      <c r="BL36" s="319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97" t="str">
        <f>+VLOOKUP(G36,Liste!$A$7:$H$69,8,FALSE)</f>
        <v>Résineux</v>
      </c>
      <c r="BU36" s="297">
        <f t="shared" si="3"/>
        <v>0</v>
      </c>
      <c r="BV36" s="299">
        <f t="shared" si="4"/>
        <v>1</v>
      </c>
      <c r="BW36" s="318">
        <v>0</v>
      </c>
      <c r="BX36" s="297">
        <f t="shared" si="5"/>
        <v>0.43</v>
      </c>
      <c r="BY36">
        <f t="shared" si="6"/>
        <v>0</v>
      </c>
      <c r="BZ36" s="303">
        <f t="shared" si="7"/>
        <v>0</v>
      </c>
      <c r="CB36" s="298">
        <v>0.6</v>
      </c>
      <c r="CC36" s="298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5"/>
        <v>0</v>
      </c>
      <c r="CN36">
        <f t="shared" si="17"/>
        <v>0</v>
      </c>
      <c r="CO36">
        <f t="shared" si="1"/>
        <v>0</v>
      </c>
    </row>
    <row r="37" spans="1:93" s="12" customFormat="1" ht="14.45" hidden="1" customHeight="1" x14ac:dyDescent="0.25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10">
        <v>0</v>
      </c>
      <c r="AW37" s="8"/>
      <c r="AX37" s="74" t="s">
        <v>169</v>
      </c>
      <c r="AY37" s="311" t="str">
        <f t="shared" si="18"/>
        <v/>
      </c>
      <c r="AZ37" s="311" t="str">
        <f t="shared" si="19"/>
        <v/>
      </c>
      <c r="BA37" s="312" t="str">
        <f t="shared" si="20"/>
        <v/>
      </c>
      <c r="BB37" s="10" t="str">
        <f t="shared" si="21"/>
        <v/>
      </c>
      <c r="BC37" s="10" t="str">
        <f t="shared" si="22"/>
        <v/>
      </c>
      <c r="BD37" s="10" t="str">
        <f t="shared" si="23"/>
        <v/>
      </c>
      <c r="BE37" s="10" t="str">
        <f t="shared" si="24"/>
        <v/>
      </c>
      <c r="BF37" s="12">
        <v>0.43</v>
      </c>
      <c r="BG37" s="13">
        <v>468.24415476666667</v>
      </c>
      <c r="BH37" s="96" t="str">
        <f>+VLOOKUP(G37,Liste!$A$7:$G$69,3,FALSE)</f>
        <v>Douglas</v>
      </c>
      <c r="BI37" s="96" t="str">
        <f>+VLOOKUP(H37,Liste!$B$7:$G$69,5,FALSE)</f>
        <v>National</v>
      </c>
      <c r="BJ37" s="135">
        <f t="shared" si="0"/>
        <v>46</v>
      </c>
      <c r="BK37" s="135" t="str">
        <f t="shared" si="2"/>
        <v>Douglas_F1_Entree 17-18m, densité haute_National_46_</v>
      </c>
      <c r="BL37" s="319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97" t="str">
        <f>+VLOOKUP(G37,Liste!$A$7:$H$69,8,FALSE)</f>
        <v>Résineux</v>
      </c>
      <c r="BU37" s="297">
        <f t="shared" si="3"/>
        <v>0</v>
      </c>
      <c r="BV37" s="299">
        <f t="shared" si="4"/>
        <v>1</v>
      </c>
      <c r="BW37" s="318">
        <v>0</v>
      </c>
      <c r="BX37" s="297">
        <f t="shared" si="5"/>
        <v>0.43</v>
      </c>
      <c r="BY37">
        <f t="shared" si="6"/>
        <v>0</v>
      </c>
      <c r="BZ37" s="303">
        <f t="shared" si="7"/>
        <v>0</v>
      </c>
      <c r="CB37" s="298">
        <v>0.6</v>
      </c>
      <c r="CC37" s="298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5"/>
        <v>0</v>
      </c>
      <c r="CN37">
        <f t="shared" si="17"/>
        <v>0</v>
      </c>
      <c r="CO37">
        <f t="shared" si="1"/>
        <v>0</v>
      </c>
    </row>
    <row r="38" spans="1:93" s="12" customFormat="1" ht="14.45" hidden="1" customHeight="1" x14ac:dyDescent="0.25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10">
        <v>0</v>
      </c>
      <c r="AW38" s="8"/>
      <c r="AX38" s="74" t="s">
        <v>169</v>
      </c>
      <c r="AY38" s="311" t="str">
        <f t="shared" si="18"/>
        <v/>
      </c>
      <c r="AZ38" s="311" t="str">
        <f t="shared" si="19"/>
        <v/>
      </c>
      <c r="BA38" s="312" t="str">
        <f t="shared" si="20"/>
        <v/>
      </c>
      <c r="BB38" s="10" t="str">
        <f t="shared" si="21"/>
        <v/>
      </c>
      <c r="BC38" s="10" t="str">
        <f t="shared" si="22"/>
        <v/>
      </c>
      <c r="BD38" s="10" t="str">
        <f t="shared" si="23"/>
        <v/>
      </c>
      <c r="BE38" s="10" t="str">
        <f t="shared" si="24"/>
        <v/>
      </c>
      <c r="BF38" s="12">
        <v>0.43</v>
      </c>
      <c r="BG38" s="13">
        <v>489.64295086666658</v>
      </c>
      <c r="BH38" s="96" t="str">
        <f>+VLOOKUP(G38,Liste!$A$7:$G$69,3,FALSE)</f>
        <v>Douglas</v>
      </c>
      <c r="BI38" s="96" t="str">
        <f>+VLOOKUP(H38,Liste!$B$7:$G$69,5,FALSE)</f>
        <v>National</v>
      </c>
      <c r="BJ38" s="135">
        <f t="shared" si="0"/>
        <v>47</v>
      </c>
      <c r="BK38" s="135" t="str">
        <f t="shared" si="2"/>
        <v>Douglas_F1_Entree 17-18m, densité haute_National_47_</v>
      </c>
      <c r="BL38" s="319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97" t="str">
        <f>+VLOOKUP(G38,Liste!$A$7:$H$69,8,FALSE)</f>
        <v>Résineux</v>
      </c>
      <c r="BU38" s="297">
        <f t="shared" si="3"/>
        <v>0</v>
      </c>
      <c r="BV38" s="299">
        <f t="shared" si="4"/>
        <v>1</v>
      </c>
      <c r="BW38" s="318">
        <v>0</v>
      </c>
      <c r="BX38" s="297">
        <f t="shared" si="5"/>
        <v>0.43</v>
      </c>
      <c r="BY38">
        <f t="shared" si="6"/>
        <v>0</v>
      </c>
      <c r="BZ38" s="303">
        <f t="shared" si="7"/>
        <v>0</v>
      </c>
      <c r="CB38" s="298">
        <v>0.6</v>
      </c>
      <c r="CC38" s="298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5"/>
        <v>0</v>
      </c>
      <c r="CN38">
        <f t="shared" si="17"/>
        <v>0</v>
      </c>
      <c r="CO38">
        <f t="shared" si="1"/>
        <v>0</v>
      </c>
    </row>
    <row r="39" spans="1:93" s="12" customFormat="1" ht="14.45" hidden="1" customHeight="1" x14ac:dyDescent="0.25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10">
        <v>0</v>
      </c>
      <c r="AW39" s="8"/>
      <c r="AX39" s="74" t="s">
        <v>169</v>
      </c>
      <c r="AY39" s="311" t="str">
        <f t="shared" si="18"/>
        <v/>
      </c>
      <c r="AZ39" s="311" t="str">
        <f t="shared" si="19"/>
        <v/>
      </c>
      <c r="BA39" s="312" t="str">
        <f t="shared" si="20"/>
        <v/>
      </c>
      <c r="BB39" s="10" t="str">
        <f t="shared" si="21"/>
        <v/>
      </c>
      <c r="BC39" s="10" t="str">
        <f t="shared" si="22"/>
        <v/>
      </c>
      <c r="BD39" s="10" t="str">
        <f t="shared" si="23"/>
        <v/>
      </c>
      <c r="BE39" s="10" t="str">
        <f t="shared" si="24"/>
        <v/>
      </c>
      <c r="BF39" s="12">
        <v>0.43</v>
      </c>
      <c r="BG39" s="13">
        <v>511.21825223333343</v>
      </c>
      <c r="BH39" s="96" t="str">
        <f>+VLOOKUP(G39,Liste!$A$7:$G$69,3,FALSE)</f>
        <v>Douglas</v>
      </c>
      <c r="BI39" s="96" t="str">
        <f>+VLOOKUP(H39,Liste!$B$7:$G$69,5,FALSE)</f>
        <v>National</v>
      </c>
      <c r="BJ39" s="135">
        <f t="shared" si="0"/>
        <v>48</v>
      </c>
      <c r="BK39" s="135" t="str">
        <f t="shared" si="2"/>
        <v>Douglas_F1_Entree 17-18m, densité haute_National_48_</v>
      </c>
      <c r="BL39" s="319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97" t="str">
        <f>+VLOOKUP(G39,Liste!$A$7:$H$69,8,FALSE)</f>
        <v>Résineux</v>
      </c>
      <c r="BU39" s="297">
        <f t="shared" si="3"/>
        <v>0</v>
      </c>
      <c r="BV39" s="299">
        <f t="shared" si="4"/>
        <v>1</v>
      </c>
      <c r="BW39" s="318">
        <v>0</v>
      </c>
      <c r="BX39" s="297">
        <f t="shared" si="5"/>
        <v>0.43</v>
      </c>
      <c r="BY39">
        <f t="shared" si="6"/>
        <v>0</v>
      </c>
      <c r="BZ39" s="303">
        <f t="shared" si="7"/>
        <v>0</v>
      </c>
      <c r="CB39" s="298">
        <v>0.6</v>
      </c>
      <c r="CC39" s="298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5"/>
        <v>0</v>
      </c>
      <c r="CN39">
        <f t="shared" si="17"/>
        <v>0</v>
      </c>
      <c r="CO39">
        <f t="shared" si="1"/>
        <v>0</v>
      </c>
    </row>
    <row r="40" spans="1:93" s="12" customFormat="1" ht="14.45" hidden="1" customHeight="1" x14ac:dyDescent="0.25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11">
        <f t="shared" si="18"/>
        <v>0</v>
      </c>
      <c r="AZ40" s="311">
        <f t="shared" si="19"/>
        <v>0.91900789075703981</v>
      </c>
      <c r="BA40" s="312">
        <f t="shared" si="20"/>
        <v>7.6328219205725523E-2</v>
      </c>
      <c r="BB40" s="10">
        <f t="shared" si="21"/>
        <v>36.373394195031835</v>
      </c>
      <c r="BC40" s="10">
        <f t="shared" si="22"/>
        <v>11.489964804662193</v>
      </c>
      <c r="BD40" s="10">
        <f t="shared" si="23"/>
        <v>7.4940647796050257</v>
      </c>
      <c r="BE40" s="10">
        <f t="shared" si="24"/>
        <v>27.122162223971518</v>
      </c>
      <c r="BF40" s="12">
        <v>0.43</v>
      </c>
      <c r="BG40" s="13">
        <v>432.03384913333338</v>
      </c>
      <c r="BH40" s="96" t="str">
        <f>+VLOOKUP(G40,Liste!$A$7:$G$69,3,FALSE)</f>
        <v>Douglas</v>
      </c>
      <c r="BI40" s="96" t="str">
        <f>+VLOOKUP(H40,Liste!$B$7:$G$69,5,FALSE)</f>
        <v>National</v>
      </c>
      <c r="BJ40" s="135">
        <f t="shared" si="0"/>
        <v>48</v>
      </c>
      <c r="BK40" s="135" t="str">
        <f t="shared" si="2"/>
        <v>Douglas_F1_Entree 17-18m, densité haute_National_48_</v>
      </c>
      <c r="BL40" s="319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97" t="str">
        <f>+VLOOKUP(G40,Liste!$A$7:$H$69,8,FALSE)</f>
        <v>Résineux</v>
      </c>
      <c r="BU40" s="297">
        <f t="shared" si="3"/>
        <v>0</v>
      </c>
      <c r="BV40" s="299">
        <f t="shared" si="4"/>
        <v>1</v>
      </c>
      <c r="BW40" s="318">
        <v>0</v>
      </c>
      <c r="BX40" s="297">
        <f t="shared" si="5"/>
        <v>0.43</v>
      </c>
      <c r="BY40">
        <f t="shared" si="6"/>
        <v>0</v>
      </c>
      <c r="BZ40" s="303">
        <f t="shared" si="7"/>
        <v>0</v>
      </c>
      <c r="CB40" s="298">
        <v>0.6</v>
      </c>
      <c r="CC40" s="298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5"/>
        <v>0</v>
      </c>
      <c r="CN40">
        <f t="shared" si="17"/>
        <v>0</v>
      </c>
      <c r="CO40">
        <f t="shared" si="1"/>
        <v>0</v>
      </c>
    </row>
    <row r="41" spans="1:93" s="12" customFormat="1" ht="14.45" hidden="1" customHeight="1" x14ac:dyDescent="0.25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10">
        <v>0</v>
      </c>
      <c r="AW41" s="8"/>
      <c r="AX41" s="74" t="s">
        <v>169</v>
      </c>
      <c r="AY41" s="311" t="str">
        <f t="shared" si="18"/>
        <v/>
      </c>
      <c r="AZ41" s="311" t="str">
        <f t="shared" si="19"/>
        <v/>
      </c>
      <c r="BA41" s="312" t="str">
        <f t="shared" si="20"/>
        <v/>
      </c>
      <c r="BB41" s="10" t="str">
        <f t="shared" si="21"/>
        <v/>
      </c>
      <c r="BC41" s="10" t="str">
        <f t="shared" si="22"/>
        <v/>
      </c>
      <c r="BD41" s="10" t="str">
        <f t="shared" si="23"/>
        <v/>
      </c>
      <c r="BE41" s="10" t="str">
        <f t="shared" si="24"/>
        <v/>
      </c>
      <c r="BF41" s="12">
        <v>0.43</v>
      </c>
      <c r="BG41" s="13">
        <v>451.55770329999996</v>
      </c>
      <c r="BH41" s="96" t="str">
        <f>+VLOOKUP(G41,Liste!$A$7:$G$69,3,FALSE)</f>
        <v>Douglas</v>
      </c>
      <c r="BI41" s="96" t="str">
        <f>+VLOOKUP(H41,Liste!$B$7:$G$69,5,FALSE)</f>
        <v>National</v>
      </c>
      <c r="BJ41" s="135">
        <f t="shared" si="0"/>
        <v>49</v>
      </c>
      <c r="BK41" s="135" t="str">
        <f t="shared" si="2"/>
        <v>Douglas_F1_Entree 17-18m, densité haute_National_49_</v>
      </c>
      <c r="BL41" s="319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97" t="str">
        <f>+VLOOKUP(G41,Liste!$A$7:$H$69,8,FALSE)</f>
        <v>Résineux</v>
      </c>
      <c r="BU41" s="297">
        <f t="shared" si="3"/>
        <v>0</v>
      </c>
      <c r="BV41" s="299">
        <f t="shared" si="4"/>
        <v>1</v>
      </c>
      <c r="BW41" s="318">
        <v>0</v>
      </c>
      <c r="BX41" s="297">
        <f t="shared" si="5"/>
        <v>0.43</v>
      </c>
      <c r="BY41">
        <f t="shared" si="6"/>
        <v>0</v>
      </c>
      <c r="BZ41" s="303">
        <f t="shared" si="7"/>
        <v>0</v>
      </c>
      <c r="CB41" s="298">
        <v>0.6</v>
      </c>
      <c r="CC41" s="298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5"/>
        <v>0</v>
      </c>
      <c r="CN41">
        <f t="shared" si="17"/>
        <v>0</v>
      </c>
      <c r="CO41">
        <f t="shared" si="1"/>
        <v>0</v>
      </c>
    </row>
    <row r="42" spans="1:93" s="12" customFormat="1" ht="14.45" hidden="1" customHeight="1" x14ac:dyDescent="0.25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10">
        <v>0</v>
      </c>
      <c r="AW42" s="8"/>
      <c r="AX42" s="74" t="s">
        <v>169</v>
      </c>
      <c r="AY42" s="311" t="str">
        <f t="shared" si="18"/>
        <v/>
      </c>
      <c r="AZ42" s="311" t="str">
        <f t="shared" si="19"/>
        <v/>
      </c>
      <c r="BA42" s="312" t="str">
        <f t="shared" si="20"/>
        <v/>
      </c>
      <c r="BB42" s="10" t="str">
        <f t="shared" si="21"/>
        <v/>
      </c>
      <c r="BC42" s="10" t="str">
        <f t="shared" si="22"/>
        <v/>
      </c>
      <c r="BD42" s="10" t="str">
        <f t="shared" si="23"/>
        <v/>
      </c>
      <c r="BE42" s="10" t="str">
        <f t="shared" si="24"/>
        <v/>
      </c>
      <c r="BF42" s="12">
        <v>0.43</v>
      </c>
      <c r="BG42" s="13">
        <v>471.24175963333329</v>
      </c>
      <c r="BH42" s="96" t="str">
        <f>+VLOOKUP(G42,Liste!$A$7:$G$69,3,FALSE)</f>
        <v>Douglas</v>
      </c>
      <c r="BI42" s="96" t="str">
        <f>+VLOOKUP(H42,Liste!$B$7:$G$69,5,FALSE)</f>
        <v>National</v>
      </c>
      <c r="BJ42" s="135">
        <f t="shared" si="0"/>
        <v>50</v>
      </c>
      <c r="BK42" s="135" t="str">
        <f t="shared" si="2"/>
        <v>Douglas_F1_Entree 17-18m, densité haute_National_50_</v>
      </c>
      <c r="BL42" s="319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97" t="str">
        <f>+VLOOKUP(G42,Liste!$A$7:$H$69,8,FALSE)</f>
        <v>Résineux</v>
      </c>
      <c r="BU42" s="297">
        <f t="shared" si="3"/>
        <v>0</v>
      </c>
      <c r="BV42" s="299">
        <f t="shared" si="4"/>
        <v>1</v>
      </c>
      <c r="BW42" s="318">
        <v>0</v>
      </c>
      <c r="BX42" s="297">
        <f t="shared" si="5"/>
        <v>0.43</v>
      </c>
      <c r="BY42">
        <f t="shared" si="6"/>
        <v>0</v>
      </c>
      <c r="BZ42" s="303">
        <f t="shared" si="7"/>
        <v>0</v>
      </c>
      <c r="CB42" s="298">
        <v>0.6</v>
      </c>
      <c r="CC42" s="298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5"/>
        <v>0</v>
      </c>
      <c r="CN42">
        <f t="shared" si="17"/>
        <v>0</v>
      </c>
      <c r="CO42">
        <f t="shared" si="1"/>
        <v>0</v>
      </c>
    </row>
    <row r="43" spans="1:93" s="12" customFormat="1" ht="14.45" hidden="1" customHeight="1" x14ac:dyDescent="0.25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10">
        <v>0</v>
      </c>
      <c r="AW43" s="8"/>
      <c r="AX43" s="74" t="s">
        <v>169</v>
      </c>
      <c r="AY43" s="311" t="str">
        <f t="shared" si="18"/>
        <v/>
      </c>
      <c r="AZ43" s="311" t="str">
        <f t="shared" si="19"/>
        <v/>
      </c>
      <c r="BA43" s="312" t="str">
        <f t="shared" si="20"/>
        <v/>
      </c>
      <c r="BB43" s="10" t="str">
        <f t="shared" si="21"/>
        <v/>
      </c>
      <c r="BC43" s="10" t="str">
        <f t="shared" si="22"/>
        <v/>
      </c>
      <c r="BD43" s="10" t="str">
        <f t="shared" si="23"/>
        <v/>
      </c>
      <c r="BE43" s="10" t="str">
        <f t="shared" si="24"/>
        <v/>
      </c>
      <c r="BF43" s="12">
        <v>0.43</v>
      </c>
      <c r="BG43" s="13">
        <v>491.1564166666667</v>
      </c>
      <c r="BH43" s="96" t="str">
        <f>+VLOOKUP(G43,Liste!$A$7:$G$69,3,FALSE)</f>
        <v>Douglas</v>
      </c>
      <c r="BI43" s="96" t="str">
        <f>+VLOOKUP(H43,Liste!$B$7:$G$69,5,FALSE)</f>
        <v>National</v>
      </c>
      <c r="BJ43" s="135">
        <f t="shared" si="0"/>
        <v>51</v>
      </c>
      <c r="BK43" s="135" t="str">
        <f t="shared" si="2"/>
        <v>Douglas_F1_Entree 17-18m, densité haute_National_51_</v>
      </c>
      <c r="BL43" s="319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97" t="str">
        <f>+VLOOKUP(G43,Liste!$A$7:$H$69,8,FALSE)</f>
        <v>Résineux</v>
      </c>
      <c r="BU43" s="297">
        <f t="shared" si="3"/>
        <v>0</v>
      </c>
      <c r="BV43" s="299">
        <f t="shared" si="4"/>
        <v>1</v>
      </c>
      <c r="BW43" s="318">
        <v>0</v>
      </c>
      <c r="BX43" s="297">
        <f t="shared" si="5"/>
        <v>0.43</v>
      </c>
      <c r="BY43">
        <f t="shared" si="6"/>
        <v>0</v>
      </c>
      <c r="BZ43" s="303">
        <f t="shared" si="7"/>
        <v>0</v>
      </c>
      <c r="CB43" s="298">
        <v>0.6</v>
      </c>
      <c r="CC43" s="298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5"/>
        <v>0</v>
      </c>
      <c r="CN43">
        <f t="shared" si="17"/>
        <v>0</v>
      </c>
      <c r="CO43">
        <f t="shared" si="1"/>
        <v>0</v>
      </c>
    </row>
    <row r="44" spans="1:93" s="12" customFormat="1" ht="14.45" hidden="1" customHeight="1" x14ac:dyDescent="0.25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10">
        <v>0</v>
      </c>
      <c r="AW44" s="8"/>
      <c r="AX44" s="74" t="s">
        <v>169</v>
      </c>
      <c r="AY44" s="311" t="str">
        <f t="shared" si="18"/>
        <v/>
      </c>
      <c r="AZ44" s="311" t="str">
        <f t="shared" si="19"/>
        <v/>
      </c>
      <c r="BA44" s="312" t="str">
        <f t="shared" si="20"/>
        <v/>
      </c>
      <c r="BB44" s="10" t="str">
        <f t="shared" si="21"/>
        <v/>
      </c>
      <c r="BC44" s="10" t="str">
        <f t="shared" si="22"/>
        <v/>
      </c>
      <c r="BD44" s="10" t="str">
        <f t="shared" si="23"/>
        <v/>
      </c>
      <c r="BE44" s="10" t="str">
        <f t="shared" si="24"/>
        <v/>
      </c>
      <c r="BF44" s="12">
        <v>0.43</v>
      </c>
      <c r="BG44" s="13">
        <v>511.24741689999996</v>
      </c>
      <c r="BH44" s="96" t="str">
        <f>+VLOOKUP(G44,Liste!$A$7:$G$69,3,FALSE)</f>
        <v>Douglas</v>
      </c>
      <c r="BI44" s="96" t="str">
        <f>+VLOOKUP(H44,Liste!$B$7:$G$69,5,FALSE)</f>
        <v>National</v>
      </c>
      <c r="BJ44" s="135">
        <f t="shared" si="0"/>
        <v>52</v>
      </c>
      <c r="BK44" s="135" t="str">
        <f t="shared" si="2"/>
        <v>Douglas_F1_Entree 17-18m, densité haute_National_52_</v>
      </c>
      <c r="BL44" s="319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97" t="str">
        <f>+VLOOKUP(G44,Liste!$A$7:$H$69,8,FALSE)</f>
        <v>Résineux</v>
      </c>
      <c r="BU44" s="297">
        <f t="shared" si="3"/>
        <v>0</v>
      </c>
      <c r="BV44" s="299">
        <f t="shared" si="4"/>
        <v>1</v>
      </c>
      <c r="BW44" s="318">
        <v>0</v>
      </c>
      <c r="BX44" s="297">
        <f t="shared" si="5"/>
        <v>0.43</v>
      </c>
      <c r="BY44">
        <f t="shared" si="6"/>
        <v>0</v>
      </c>
      <c r="BZ44" s="303">
        <f t="shared" si="7"/>
        <v>0</v>
      </c>
      <c r="CB44" s="298">
        <v>0.6</v>
      </c>
      <c r="CC44" s="298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5"/>
        <v>0</v>
      </c>
      <c r="CN44">
        <f t="shared" si="17"/>
        <v>0</v>
      </c>
      <c r="CO44">
        <f t="shared" si="1"/>
        <v>0</v>
      </c>
    </row>
    <row r="45" spans="1:93" s="12" customFormat="1" ht="14.45" hidden="1" customHeight="1" x14ac:dyDescent="0.25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10">
        <v>0</v>
      </c>
      <c r="AW45" s="8"/>
      <c r="AX45" s="74" t="s">
        <v>169</v>
      </c>
      <c r="AY45" s="311" t="str">
        <f t="shared" si="18"/>
        <v/>
      </c>
      <c r="AZ45" s="311" t="str">
        <f t="shared" si="19"/>
        <v/>
      </c>
      <c r="BA45" s="312" t="str">
        <f t="shared" si="20"/>
        <v/>
      </c>
      <c r="BB45" s="10" t="str">
        <f t="shared" si="21"/>
        <v/>
      </c>
      <c r="BC45" s="10" t="str">
        <f t="shared" si="22"/>
        <v/>
      </c>
      <c r="BD45" s="10" t="str">
        <f t="shared" si="23"/>
        <v/>
      </c>
      <c r="BE45" s="10" t="str">
        <f t="shared" si="24"/>
        <v/>
      </c>
      <c r="BF45" s="12">
        <v>0.43</v>
      </c>
      <c r="BG45" s="13">
        <v>531.44531293333341</v>
      </c>
      <c r="BH45" s="96" t="str">
        <f>+VLOOKUP(G45,Liste!$A$7:$G$69,3,FALSE)</f>
        <v>Douglas</v>
      </c>
      <c r="BI45" s="96" t="str">
        <f>+VLOOKUP(H45,Liste!$B$7:$G$69,5,FALSE)</f>
        <v>National</v>
      </c>
      <c r="BJ45" s="135">
        <f t="shared" si="0"/>
        <v>53</v>
      </c>
      <c r="BK45" s="135" t="str">
        <f t="shared" si="2"/>
        <v>Douglas_F1_Entree 17-18m, densité haute_National_53_</v>
      </c>
      <c r="BL45" s="319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97" t="str">
        <f>+VLOOKUP(G45,Liste!$A$7:$H$69,8,FALSE)</f>
        <v>Résineux</v>
      </c>
      <c r="BU45" s="297">
        <f t="shared" si="3"/>
        <v>0</v>
      </c>
      <c r="BV45" s="299">
        <f t="shared" si="4"/>
        <v>1</v>
      </c>
      <c r="BW45" s="318">
        <v>0</v>
      </c>
      <c r="BX45" s="297">
        <f t="shared" si="5"/>
        <v>0.43</v>
      </c>
      <c r="BY45">
        <f t="shared" si="6"/>
        <v>0</v>
      </c>
      <c r="BZ45" s="303">
        <f t="shared" si="7"/>
        <v>0</v>
      </c>
      <c r="CB45" s="298">
        <v>0.6</v>
      </c>
      <c r="CC45" s="298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5"/>
        <v>0</v>
      </c>
      <c r="CN45">
        <f t="shared" si="17"/>
        <v>0</v>
      </c>
      <c r="CO45">
        <f t="shared" si="1"/>
        <v>0</v>
      </c>
    </row>
    <row r="46" spans="1:93" s="12" customFormat="1" ht="14.45" hidden="1" customHeight="1" x14ac:dyDescent="0.25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10">
        <v>0</v>
      </c>
      <c r="AW46" s="8"/>
      <c r="AX46" s="74" t="s">
        <v>169</v>
      </c>
      <c r="AY46" s="311" t="str">
        <f t="shared" si="18"/>
        <v/>
      </c>
      <c r="AZ46" s="311" t="str">
        <f t="shared" si="19"/>
        <v/>
      </c>
      <c r="BA46" s="312" t="str">
        <f t="shared" si="20"/>
        <v/>
      </c>
      <c r="BB46" s="10" t="str">
        <f t="shared" si="21"/>
        <v/>
      </c>
      <c r="BC46" s="10" t="str">
        <f t="shared" si="22"/>
        <v/>
      </c>
      <c r="BD46" s="10" t="str">
        <f t="shared" si="23"/>
        <v/>
      </c>
      <c r="BE46" s="10" t="str">
        <f t="shared" si="24"/>
        <v/>
      </c>
      <c r="BF46" s="12">
        <v>0.43</v>
      </c>
      <c r="BG46" s="13">
        <v>551.83208153333328</v>
      </c>
      <c r="BH46" s="96" t="str">
        <f>+VLOOKUP(G46,Liste!$A$7:$G$69,3,FALSE)</f>
        <v>Douglas</v>
      </c>
      <c r="BI46" s="96" t="str">
        <f>+VLOOKUP(H46,Liste!$B$7:$G$69,5,FALSE)</f>
        <v>National</v>
      </c>
      <c r="BJ46" s="135">
        <f t="shared" si="0"/>
        <v>54</v>
      </c>
      <c r="BK46" s="135" t="str">
        <f t="shared" si="2"/>
        <v>Douglas_F1_Entree 17-18m, densité haute_National_54_</v>
      </c>
      <c r="BL46" s="319"/>
      <c r="BM46" s="13">
        <v>130.09512196666674</v>
      </c>
      <c r="BN46" s="13">
        <v>681.92720354675032</v>
      </c>
      <c r="BP46" s="13">
        <v>323.23</v>
      </c>
      <c r="BQ46" s="13"/>
      <c r="BT46" s="297" t="str">
        <f>+VLOOKUP(G46,Liste!$A$7:$H$69,8,FALSE)</f>
        <v>Résineux</v>
      </c>
      <c r="BU46" s="297">
        <f t="shared" si="3"/>
        <v>0</v>
      </c>
      <c r="BV46" s="299">
        <f t="shared" si="4"/>
        <v>1</v>
      </c>
      <c r="BW46" s="318">
        <v>0</v>
      </c>
      <c r="BX46" s="297">
        <f t="shared" si="5"/>
        <v>0.43</v>
      </c>
      <c r="BY46">
        <f t="shared" si="6"/>
        <v>0</v>
      </c>
      <c r="BZ46" s="303">
        <f t="shared" si="7"/>
        <v>0</v>
      </c>
      <c r="CB46" s="298">
        <v>0.6</v>
      </c>
      <c r="CC46" s="298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5"/>
        <v>0</v>
      </c>
      <c r="CN46">
        <f t="shared" si="17"/>
        <v>0</v>
      </c>
      <c r="CO46">
        <f t="shared" si="1"/>
        <v>0</v>
      </c>
    </row>
    <row r="47" spans="1:93" s="12" customFormat="1" ht="14.45" hidden="1" customHeight="1" x14ac:dyDescent="0.25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11">
        <f t="shared" si="18"/>
        <v>0.24649664870468208</v>
      </c>
      <c r="AZ47" s="311">
        <f t="shared" si="19"/>
        <v>0.71293730449516746</v>
      </c>
      <c r="BA47" s="312">
        <f t="shared" si="20"/>
        <v>3.8591862827983991E-2</v>
      </c>
      <c r="BB47" s="10">
        <f t="shared" si="21"/>
        <v>265.18403516242682</v>
      </c>
      <c r="BC47" s="10">
        <f t="shared" si="22"/>
        <v>70.707204598952686</v>
      </c>
      <c r="BD47" s="10">
        <f t="shared" si="23"/>
        <v>47.871105955792068</v>
      </c>
      <c r="BE47" s="10">
        <f t="shared" si="24"/>
        <v>196.38876157649844</v>
      </c>
      <c r="BF47" s="12">
        <v>0.43</v>
      </c>
      <c r="BG47" s="13">
        <v>0</v>
      </c>
      <c r="BH47" s="96" t="str">
        <f>+VLOOKUP(G47,Liste!$A$7:$G$69,3,FALSE)</f>
        <v>Douglas</v>
      </c>
      <c r="BI47" s="96" t="str">
        <f>+VLOOKUP(H47,Liste!$B$7:$G$69,5,FALSE)</f>
        <v>National</v>
      </c>
      <c r="BJ47" s="135">
        <f t="shared" si="0"/>
        <v>54</v>
      </c>
      <c r="BK47" s="135" t="str">
        <f t="shared" si="2"/>
        <v>Douglas_F1_Entree 17-18m, densité haute_National_54_</v>
      </c>
      <c r="BL47" s="319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97" t="str">
        <f>+VLOOKUP(G47,Liste!$A$7:$H$69,8,FALSE)</f>
        <v>Résineux</v>
      </c>
      <c r="BU47" s="297">
        <f t="shared" si="3"/>
        <v>0</v>
      </c>
      <c r="BV47" s="299">
        <f t="shared" si="4"/>
        <v>1</v>
      </c>
      <c r="BW47" s="318">
        <v>0</v>
      </c>
      <c r="BX47" s="297">
        <f t="shared" si="5"/>
        <v>0.43</v>
      </c>
      <c r="BY47">
        <f t="shared" si="6"/>
        <v>0</v>
      </c>
      <c r="BZ47" s="303">
        <f t="shared" si="7"/>
        <v>0</v>
      </c>
      <c r="CB47" s="298">
        <v>0.6</v>
      </c>
      <c r="CC47" s="298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5"/>
        <v>0</v>
      </c>
      <c r="CN47">
        <f t="shared" si="17"/>
        <v>0</v>
      </c>
      <c r="CO47">
        <f t="shared" si="1"/>
        <v>0</v>
      </c>
    </row>
    <row r="48" spans="1:93" s="12" customFormat="1" ht="14.45" customHeight="1" x14ac:dyDescent="0.25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10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+VLOOKUP(G48,Liste!$A$7:$G$69,3,FALSE)</f>
        <v>Pin sylvestre</v>
      </c>
      <c r="BI48" s="96" t="str">
        <f>+VLOOKUP(H48,Liste!$B$7:$G$69,5,FALSE)</f>
        <v>GS Pineraies des plaines du Centre et du Nord Ouest</v>
      </c>
      <c r="BJ48" s="135">
        <f t="shared" si="0"/>
        <v>24</v>
      </c>
      <c r="BK48" s="135" t="str">
        <f t="shared" si="2"/>
        <v>Pin sylvestre_F2_Eclaircie précoce_GS Pineraies des plaines du Centre et du Nord Ouest_24_</v>
      </c>
      <c r="BL48" s="319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97" t="str">
        <f>+VLOOKUP(G48,Liste!$A$7:$H$69,8,FALSE)</f>
        <v>Résineux</v>
      </c>
      <c r="BU48" s="297">
        <f t="shared" si="3"/>
        <v>0</v>
      </c>
      <c r="BV48" s="299">
        <f t="shared" si="4"/>
        <v>1</v>
      </c>
      <c r="BW48" s="318">
        <v>0</v>
      </c>
      <c r="BX48" s="297">
        <f t="shared" si="5"/>
        <v>0.43</v>
      </c>
      <c r="BY48">
        <f t="shared" si="6"/>
        <v>0</v>
      </c>
      <c r="BZ48" s="303">
        <f t="shared" si="7"/>
        <v>0</v>
      </c>
      <c r="CB48" s="298">
        <v>0.6</v>
      </c>
      <c r="CC48" s="298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5"/>
        <v>0</v>
      </c>
      <c r="CN48">
        <f t="shared" si="17"/>
        <v>0</v>
      </c>
      <c r="CO48">
        <f t="shared" si="1"/>
        <v>0</v>
      </c>
    </row>
    <row r="49" spans="1:93" s="12" customFormat="1" ht="14.45" customHeight="1" x14ac:dyDescent="0.25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+VLOOKUP(G49,Liste!$A$7:$G$69,3,FALSE)</f>
        <v>Pin sylvestre</v>
      </c>
      <c r="BI49" s="96" t="str">
        <f>+VLOOKUP(H49,Liste!$B$7:$G$69,5,FALSE)</f>
        <v>GS Pineraies des plaines du Centre et du Nord Ouest</v>
      </c>
      <c r="BJ49" s="135">
        <f t="shared" si="0"/>
        <v>24</v>
      </c>
      <c r="BK49" s="135" t="str">
        <f t="shared" si="2"/>
        <v>Pin sylvestre_F2_Eclaircie précoce_GS Pineraies des plaines du Centre et du Nord Ouest_24_</v>
      </c>
      <c r="BL49" s="319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97" t="str">
        <f>+VLOOKUP(G49,Liste!$A$7:$H$69,8,FALSE)</f>
        <v>Résineux</v>
      </c>
      <c r="BU49" s="297">
        <f t="shared" si="3"/>
        <v>0</v>
      </c>
      <c r="BV49" s="299">
        <f t="shared" si="4"/>
        <v>1</v>
      </c>
      <c r="BW49" s="318">
        <v>0</v>
      </c>
      <c r="BX49" s="297">
        <f t="shared" si="5"/>
        <v>0.43</v>
      </c>
      <c r="BY49">
        <f t="shared" si="6"/>
        <v>53.26416562814839</v>
      </c>
      <c r="BZ49" s="303">
        <f t="shared" si="7"/>
        <v>53.26416562814839</v>
      </c>
      <c r="CB49" s="298">
        <v>0.6</v>
      </c>
      <c r="CC49" s="298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5"/>
        <v>0</v>
      </c>
      <c r="CN49">
        <f t="shared" si="17"/>
        <v>0</v>
      </c>
      <c r="CO49">
        <f t="shared" si="1"/>
        <v>0</v>
      </c>
    </row>
    <row r="50" spans="1:93" s="12" customFormat="1" ht="14.45" customHeight="1" x14ac:dyDescent="0.25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10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+VLOOKUP(G50,Liste!$A$7:$G$69,3,FALSE)</f>
        <v>Pin sylvestre</v>
      </c>
      <c r="BI50" s="96" t="str">
        <f>+VLOOKUP(H50,Liste!$B$7:$G$69,5,FALSE)</f>
        <v>GS Pineraies des plaines du Centre et du Nord Ouest</v>
      </c>
      <c r="BJ50" s="135">
        <f t="shared" si="0"/>
        <v>25</v>
      </c>
      <c r="BK50" s="135" t="str">
        <f t="shared" si="2"/>
        <v>Pin sylvestre_F2_Eclaircie précoce_GS Pineraies des plaines du Centre et du Nord Ouest_25_</v>
      </c>
      <c r="BL50" s="319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97" t="str">
        <f>+VLOOKUP(G50,Liste!$A$7:$H$69,8,FALSE)</f>
        <v>Résineux</v>
      </c>
      <c r="BU50" s="297">
        <f t="shared" si="3"/>
        <v>0</v>
      </c>
      <c r="BV50" s="299">
        <f t="shared" si="4"/>
        <v>1</v>
      </c>
      <c r="BW50" s="318">
        <v>0</v>
      </c>
      <c r="BX50" s="297">
        <f t="shared" si="5"/>
        <v>0.43</v>
      </c>
      <c r="BY50">
        <f t="shared" si="6"/>
        <v>0</v>
      </c>
      <c r="BZ50" s="303">
        <f t="shared" si="7"/>
        <v>53.26416562814839</v>
      </c>
      <c r="CB50" s="298">
        <v>0.6</v>
      </c>
      <c r="CC50" s="298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5"/>
        <v>88.262323607391778</v>
      </c>
      <c r="CN50">
        <f t="shared" si="17"/>
        <v>88.262323607391778</v>
      </c>
      <c r="CO50">
        <f t="shared" si="1"/>
        <v>0</v>
      </c>
    </row>
    <row r="51" spans="1:93" s="12" customFormat="1" ht="14.45" customHeight="1" x14ac:dyDescent="0.25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10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+VLOOKUP(G51,Liste!$A$7:$G$69,3,FALSE)</f>
        <v>Pin sylvestre</v>
      </c>
      <c r="BI51" s="96" t="str">
        <f>+VLOOKUP(H51,Liste!$B$7:$G$69,5,FALSE)</f>
        <v>GS Pineraies des plaines du Centre et du Nord Ouest</v>
      </c>
      <c r="BJ51" s="135">
        <f t="shared" si="0"/>
        <v>26</v>
      </c>
      <c r="BK51" s="135" t="str">
        <f t="shared" si="2"/>
        <v>Pin sylvestre_F2_Eclaircie précoce_GS Pineraies des plaines du Centre et du Nord Ouest_26_</v>
      </c>
      <c r="BL51" s="319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97" t="str">
        <f>+VLOOKUP(G51,Liste!$A$7:$H$69,8,FALSE)</f>
        <v>Résineux</v>
      </c>
      <c r="BU51" s="297">
        <f t="shared" si="3"/>
        <v>0</v>
      </c>
      <c r="BV51" s="299">
        <f t="shared" si="4"/>
        <v>1</v>
      </c>
      <c r="BW51" s="318">
        <v>0</v>
      </c>
      <c r="BX51" s="297">
        <f t="shared" si="5"/>
        <v>0.43</v>
      </c>
      <c r="BY51">
        <f t="shared" si="6"/>
        <v>0</v>
      </c>
      <c r="BZ51" s="303">
        <f t="shared" si="7"/>
        <v>53.26416562814839</v>
      </c>
      <c r="CB51" s="298">
        <v>0.6</v>
      </c>
      <c r="CC51" s="298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5"/>
        <v>77.327570422136262</v>
      </c>
      <c r="CN51">
        <f t="shared" si="17"/>
        <v>165.58989402952804</v>
      </c>
      <c r="CO51">
        <f t="shared" si="1"/>
        <v>0</v>
      </c>
    </row>
    <row r="52" spans="1:93" s="12" customFormat="1" ht="14.45" customHeight="1" x14ac:dyDescent="0.25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10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+VLOOKUP(G52,Liste!$A$7:$G$69,3,FALSE)</f>
        <v>Pin sylvestre</v>
      </c>
      <c r="BI52" s="96" t="str">
        <f>+VLOOKUP(H52,Liste!$B$7:$G$69,5,FALSE)</f>
        <v>GS Pineraies des plaines du Centre et du Nord Ouest</v>
      </c>
      <c r="BJ52" s="135">
        <f t="shared" si="0"/>
        <v>27</v>
      </c>
      <c r="BK52" s="135" t="str">
        <f t="shared" si="2"/>
        <v>Pin sylvestre_F2_Eclaircie précoce_GS Pineraies des plaines du Centre et du Nord Ouest_27_</v>
      </c>
      <c r="BL52" s="319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97" t="str">
        <f>+VLOOKUP(G52,Liste!$A$7:$H$69,8,FALSE)</f>
        <v>Résineux</v>
      </c>
      <c r="BU52" s="297">
        <f t="shared" si="3"/>
        <v>0</v>
      </c>
      <c r="BV52" s="299">
        <f t="shared" si="4"/>
        <v>1</v>
      </c>
      <c r="BW52" s="318">
        <v>0</v>
      </c>
      <c r="BX52" s="297">
        <f t="shared" si="5"/>
        <v>0.43</v>
      </c>
      <c r="BY52">
        <f t="shared" si="6"/>
        <v>0</v>
      </c>
      <c r="BZ52" s="303">
        <f t="shared" si="7"/>
        <v>53.26416562814839</v>
      </c>
      <c r="CB52" s="298">
        <v>0.6</v>
      </c>
      <c r="CC52" s="298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5"/>
        <v>69.187634816560546</v>
      </c>
      <c r="CN52">
        <f t="shared" si="17"/>
        <v>234.77752884608859</v>
      </c>
      <c r="CO52">
        <f t="shared" si="1"/>
        <v>0</v>
      </c>
    </row>
    <row r="53" spans="1:93" s="12" customFormat="1" ht="14.45" customHeight="1" x14ac:dyDescent="0.25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10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+VLOOKUP(G53,Liste!$A$7:$G$69,3,FALSE)</f>
        <v>Pin sylvestre</v>
      </c>
      <c r="BI53" s="96" t="str">
        <f>+VLOOKUP(H53,Liste!$B$7:$G$69,5,FALSE)</f>
        <v>GS Pineraies des plaines du Centre et du Nord Ouest</v>
      </c>
      <c r="BJ53" s="135">
        <f t="shared" si="0"/>
        <v>28</v>
      </c>
      <c r="BK53" s="135" t="str">
        <f t="shared" si="2"/>
        <v>Pin sylvestre_F2_Eclaircie précoce_GS Pineraies des plaines du Centre et du Nord Ouest_28_</v>
      </c>
      <c r="BL53" s="319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97" t="str">
        <f>+VLOOKUP(G53,Liste!$A$7:$H$69,8,FALSE)</f>
        <v>Résineux</v>
      </c>
      <c r="BU53" s="297">
        <f t="shared" si="3"/>
        <v>0</v>
      </c>
      <c r="BV53" s="299">
        <f t="shared" si="4"/>
        <v>1</v>
      </c>
      <c r="BW53" s="318">
        <v>0</v>
      </c>
      <c r="BX53" s="297">
        <f t="shared" si="5"/>
        <v>0.43</v>
      </c>
      <c r="BY53">
        <f t="shared" si="6"/>
        <v>0</v>
      </c>
      <c r="BZ53" s="303">
        <f t="shared" si="7"/>
        <v>53.26416562814839</v>
      </c>
      <c r="CB53" s="298">
        <v>0.6</v>
      </c>
      <c r="CC53" s="298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5"/>
        <v>63.03508765173337</v>
      </c>
      <c r="CN53">
        <f t="shared" si="17"/>
        <v>297.81261649782198</v>
      </c>
      <c r="CO53">
        <f t="shared" si="1"/>
        <v>0</v>
      </c>
    </row>
    <row r="54" spans="1:93" s="12" customFormat="1" ht="14.45" customHeight="1" x14ac:dyDescent="0.25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10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+VLOOKUP(G54,Liste!$A$7:$G$69,3,FALSE)</f>
        <v>Pin sylvestre</v>
      </c>
      <c r="BI54" s="96" t="str">
        <f>+VLOOKUP(H54,Liste!$B$7:$G$69,5,FALSE)</f>
        <v>GS Pineraies des plaines du Centre et du Nord Ouest</v>
      </c>
      <c r="BJ54" s="135">
        <f t="shared" si="0"/>
        <v>29</v>
      </c>
      <c r="BK54" s="135" t="str">
        <f t="shared" si="2"/>
        <v>Pin sylvestre_F2_Eclaircie précoce_GS Pineraies des plaines du Centre et du Nord Ouest_29_</v>
      </c>
      <c r="BL54" s="319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97" t="str">
        <f>+VLOOKUP(G54,Liste!$A$7:$H$69,8,FALSE)</f>
        <v>Résineux</v>
      </c>
      <c r="BU54" s="297">
        <f t="shared" si="3"/>
        <v>0</v>
      </c>
      <c r="BV54" s="299">
        <f t="shared" si="4"/>
        <v>1</v>
      </c>
      <c r="BW54" s="318">
        <v>0</v>
      </c>
      <c r="BX54" s="297">
        <f t="shared" si="5"/>
        <v>0.43</v>
      </c>
      <c r="BY54">
        <f t="shared" si="6"/>
        <v>0</v>
      </c>
      <c r="BZ54" s="303">
        <f t="shared" si="7"/>
        <v>53.26416562814839</v>
      </c>
      <c r="CB54" s="298">
        <v>0.6</v>
      </c>
      <c r="CC54" s="298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5"/>
        <v>58.298685302074425</v>
      </c>
      <c r="CN54">
        <f t="shared" si="17"/>
        <v>356.11130179989641</v>
      </c>
      <c r="CO54">
        <f t="shared" si="1"/>
        <v>0</v>
      </c>
    </row>
    <row r="55" spans="1:93" s="12" customFormat="1" ht="14.45" customHeight="1" x14ac:dyDescent="0.25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10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+VLOOKUP(G55,Liste!$A$7:$G$69,3,FALSE)</f>
        <v>Pin sylvestre</v>
      </c>
      <c r="BI55" s="96" t="str">
        <f>+VLOOKUP(H55,Liste!$B$7:$G$69,5,FALSE)</f>
        <v>GS Pineraies des plaines du Centre et du Nord Ouest</v>
      </c>
      <c r="BJ55" s="135">
        <f t="shared" si="0"/>
        <v>30</v>
      </c>
      <c r="BK55" s="135" t="str">
        <f t="shared" si="2"/>
        <v>Pin sylvestre_F2_Eclaircie précoce_GS Pineraies des plaines du Centre et du Nord Ouest_30_</v>
      </c>
      <c r="BL55" s="319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97" t="str">
        <f>+VLOOKUP(G55,Liste!$A$7:$H$69,8,FALSE)</f>
        <v>Résineux</v>
      </c>
      <c r="BU55" s="297">
        <f t="shared" si="3"/>
        <v>0</v>
      </c>
      <c r="BV55" s="299">
        <f t="shared" si="4"/>
        <v>1</v>
      </c>
      <c r="BW55" s="318">
        <v>0</v>
      </c>
      <c r="BX55" s="297">
        <f t="shared" si="5"/>
        <v>0.43</v>
      </c>
      <c r="BY55">
        <f t="shared" si="6"/>
        <v>0</v>
      </c>
      <c r="BZ55" s="303">
        <f t="shared" si="7"/>
        <v>53.26416562814839</v>
      </c>
      <c r="CB55" s="298">
        <v>0.6</v>
      </c>
      <c r="CC55" s="298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5"/>
        <v>54.574200860520207</v>
      </c>
      <c r="CN55">
        <f t="shared" si="17"/>
        <v>410.6855026604166</v>
      </c>
      <c r="CO55">
        <f t="shared" si="1"/>
        <v>13.689516755347221</v>
      </c>
    </row>
    <row r="56" spans="1:93" s="12" customFormat="1" ht="14.45" customHeight="1" x14ac:dyDescent="0.25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+VLOOKUP(G56,Liste!$A$7:$G$69,3,FALSE)</f>
        <v>Pin sylvestre</v>
      </c>
      <c r="BI56" s="96" t="str">
        <f>+VLOOKUP(H56,Liste!$B$7:$G$69,5,FALSE)</f>
        <v>GS Pineraies des plaines du Centre et du Nord Ouest</v>
      </c>
      <c r="BJ56" s="135">
        <f t="shared" si="0"/>
        <v>30</v>
      </c>
      <c r="BK56" s="135" t="str">
        <f t="shared" si="2"/>
        <v>Pin sylvestre_F2_Eclaircie précoce_GS Pineraies des plaines du Centre et du Nord Ouest_30_</v>
      </c>
      <c r="BL56" s="319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97" t="str">
        <f>+VLOOKUP(G56,Liste!$A$7:$H$69,8,FALSE)</f>
        <v>Résineux</v>
      </c>
      <c r="BU56" s="297">
        <f t="shared" si="3"/>
        <v>0</v>
      </c>
      <c r="BV56" s="299">
        <f t="shared" si="4"/>
        <v>1</v>
      </c>
      <c r="BW56" s="318">
        <v>0</v>
      </c>
      <c r="BX56" s="297">
        <f t="shared" si="5"/>
        <v>0.43</v>
      </c>
      <c r="BY56">
        <f t="shared" si="6"/>
        <v>13.809572879373125</v>
      </c>
      <c r="BZ56" s="303">
        <f t="shared" si="7"/>
        <v>67.073738507521512</v>
      </c>
      <c r="CB56" s="298">
        <v>0.6</v>
      </c>
      <c r="CC56" s="298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5"/>
        <v>51.575514186581245</v>
      </c>
      <c r="CN56">
        <f t="shared" si="17"/>
        <v>462.26101684699785</v>
      </c>
      <c r="CO56">
        <f t="shared" si="1"/>
        <v>15.408700561566596</v>
      </c>
    </row>
    <row r="57" spans="1:93" s="12" customFormat="1" ht="14.45" customHeight="1" x14ac:dyDescent="0.25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10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+VLOOKUP(G57,Liste!$A$7:$G$69,3,FALSE)</f>
        <v>Pin sylvestre</v>
      </c>
      <c r="BI57" s="96" t="str">
        <f>+VLOOKUP(H57,Liste!$B$7:$G$69,5,FALSE)</f>
        <v>GS Pineraies des plaines du Centre et du Nord Ouest</v>
      </c>
      <c r="BJ57" s="135">
        <f t="shared" si="0"/>
        <v>31</v>
      </c>
      <c r="BK57" s="135" t="str">
        <f t="shared" si="2"/>
        <v>Pin sylvestre_F2_Eclaircie précoce_GS Pineraies des plaines du Centre et du Nord Ouest_31_</v>
      </c>
      <c r="BL57" s="319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97" t="str">
        <f>+VLOOKUP(G57,Liste!$A$7:$H$69,8,FALSE)</f>
        <v>Résineux</v>
      </c>
      <c r="BU57" s="297">
        <f t="shared" si="3"/>
        <v>0</v>
      </c>
      <c r="BV57" s="299">
        <f t="shared" si="4"/>
        <v>1</v>
      </c>
      <c r="BW57" s="318">
        <v>0</v>
      </c>
      <c r="BX57" s="297">
        <f t="shared" si="5"/>
        <v>0.43</v>
      </c>
      <c r="BY57">
        <f t="shared" si="6"/>
        <v>0</v>
      </c>
      <c r="BZ57" s="303">
        <f t="shared" si="7"/>
        <v>0</v>
      </c>
      <c r="CB57" s="298">
        <v>0.6</v>
      </c>
      <c r="CC57" s="298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5"/>
        <v>71.983423044729349</v>
      </c>
      <c r="CN57">
        <f t="shared" si="17"/>
        <v>534.24443989172721</v>
      </c>
      <c r="CO57">
        <f t="shared" si="1"/>
        <v>0</v>
      </c>
    </row>
    <row r="58" spans="1:93" s="12" customFormat="1" ht="14.45" customHeight="1" x14ac:dyDescent="0.25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10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+VLOOKUP(G58,Liste!$A$7:$G$69,3,FALSE)</f>
        <v>Pin sylvestre</v>
      </c>
      <c r="BI58" s="96" t="str">
        <f>+VLOOKUP(H58,Liste!$B$7:$G$69,5,FALSE)</f>
        <v>GS Pineraies des plaines du Centre et du Nord Ouest</v>
      </c>
      <c r="BJ58" s="135">
        <f t="shared" si="0"/>
        <v>32</v>
      </c>
      <c r="BK58" s="135" t="str">
        <f t="shared" si="2"/>
        <v>Pin sylvestre_F2_Eclaircie précoce_GS Pineraies des plaines du Centre et du Nord Ouest_32_</v>
      </c>
      <c r="BL58" s="319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97" t="str">
        <f>+VLOOKUP(G58,Liste!$A$7:$H$69,8,FALSE)</f>
        <v>Résineux</v>
      </c>
      <c r="BU58" s="297">
        <f t="shared" si="3"/>
        <v>0</v>
      </c>
      <c r="BV58" s="299">
        <f t="shared" si="4"/>
        <v>1</v>
      </c>
      <c r="BW58" s="318">
        <v>0</v>
      </c>
      <c r="BX58" s="297">
        <f t="shared" si="5"/>
        <v>0.43</v>
      </c>
      <c r="BY58">
        <f t="shared" si="6"/>
        <v>0</v>
      </c>
      <c r="BZ58" s="303">
        <f t="shared" si="7"/>
        <v>0</v>
      </c>
      <c r="CB58" s="298">
        <v>0.6</v>
      </c>
      <c r="CC58" s="298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5"/>
        <v>0</v>
      </c>
      <c r="CN58">
        <f t="shared" si="17"/>
        <v>0</v>
      </c>
      <c r="CO58">
        <f t="shared" si="1"/>
        <v>0</v>
      </c>
    </row>
    <row r="59" spans="1:93" s="12" customFormat="1" ht="14.45" customHeight="1" x14ac:dyDescent="0.25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10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+VLOOKUP(G59,Liste!$A$7:$G$69,3,FALSE)</f>
        <v>Pin sylvestre</v>
      </c>
      <c r="BI59" s="96" t="str">
        <f>+VLOOKUP(H59,Liste!$B$7:$G$69,5,FALSE)</f>
        <v>GS Pineraies des plaines du Centre et du Nord Ouest</v>
      </c>
      <c r="BJ59" s="135">
        <f t="shared" si="0"/>
        <v>33</v>
      </c>
      <c r="BK59" s="135" t="str">
        <f t="shared" si="2"/>
        <v>Pin sylvestre_F2_Eclaircie précoce_GS Pineraies des plaines du Centre et du Nord Ouest_33_</v>
      </c>
      <c r="BL59" s="319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97" t="str">
        <f>+VLOOKUP(G59,Liste!$A$7:$H$69,8,FALSE)</f>
        <v>Résineux</v>
      </c>
      <c r="BU59" s="297">
        <f t="shared" si="3"/>
        <v>0</v>
      </c>
      <c r="BV59" s="299">
        <f t="shared" si="4"/>
        <v>1</v>
      </c>
      <c r="BW59" s="318">
        <v>0</v>
      </c>
      <c r="BX59" s="297">
        <f t="shared" si="5"/>
        <v>0.43</v>
      </c>
      <c r="BY59">
        <f t="shared" si="6"/>
        <v>0</v>
      </c>
      <c r="BZ59" s="303">
        <f t="shared" si="7"/>
        <v>0</v>
      </c>
      <c r="CB59" s="298">
        <v>0.6</v>
      </c>
      <c r="CC59" s="298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5"/>
        <v>0</v>
      </c>
      <c r="CN59">
        <f t="shared" si="17"/>
        <v>0</v>
      </c>
      <c r="CO59">
        <f t="shared" si="1"/>
        <v>0</v>
      </c>
    </row>
    <row r="60" spans="1:93" s="12" customFormat="1" ht="14.45" customHeight="1" x14ac:dyDescent="0.25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10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+VLOOKUP(G60,Liste!$A$7:$G$69,3,FALSE)</f>
        <v>Pin sylvestre</v>
      </c>
      <c r="BI60" s="96" t="str">
        <f>+VLOOKUP(H60,Liste!$B$7:$G$69,5,FALSE)</f>
        <v>GS Pineraies des plaines du Centre et du Nord Ouest</v>
      </c>
      <c r="BJ60" s="135">
        <f t="shared" si="0"/>
        <v>34</v>
      </c>
      <c r="BK60" s="135" t="str">
        <f t="shared" si="2"/>
        <v>Pin sylvestre_F2_Eclaircie précoce_GS Pineraies des plaines du Centre et du Nord Ouest_34_</v>
      </c>
      <c r="BL60" s="319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97" t="str">
        <f>+VLOOKUP(G60,Liste!$A$7:$H$69,8,FALSE)</f>
        <v>Résineux</v>
      </c>
      <c r="BU60" s="297">
        <f t="shared" si="3"/>
        <v>0</v>
      </c>
      <c r="BV60" s="299">
        <f t="shared" si="4"/>
        <v>1</v>
      </c>
      <c r="BW60" s="318">
        <v>0</v>
      </c>
      <c r="BX60" s="297">
        <f t="shared" si="5"/>
        <v>0.43</v>
      </c>
      <c r="BY60">
        <f t="shared" si="6"/>
        <v>0</v>
      </c>
      <c r="BZ60" s="303">
        <f t="shared" si="7"/>
        <v>0</v>
      </c>
      <c r="CB60" s="298">
        <v>0.6</v>
      </c>
      <c r="CC60" s="298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5"/>
        <v>0</v>
      </c>
      <c r="CN60">
        <f t="shared" si="17"/>
        <v>0</v>
      </c>
      <c r="CO60">
        <f t="shared" si="1"/>
        <v>0</v>
      </c>
    </row>
    <row r="61" spans="1:93" s="12" customFormat="1" ht="14.45" customHeight="1" x14ac:dyDescent="0.25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10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+VLOOKUP(G61,Liste!$A$7:$G$69,3,FALSE)</f>
        <v>Pin sylvestre</v>
      </c>
      <c r="BI61" s="96" t="str">
        <f>+VLOOKUP(H61,Liste!$B$7:$G$69,5,FALSE)</f>
        <v>GS Pineraies des plaines du Centre et du Nord Ouest</v>
      </c>
      <c r="BJ61" s="135">
        <f t="shared" si="0"/>
        <v>35</v>
      </c>
      <c r="BK61" s="135" t="str">
        <f t="shared" si="2"/>
        <v>Pin sylvestre_F2_Eclaircie précoce_GS Pineraies des plaines du Centre et du Nord Ouest_35_</v>
      </c>
      <c r="BL61" s="319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97" t="str">
        <f>+VLOOKUP(G61,Liste!$A$7:$H$69,8,FALSE)</f>
        <v>Résineux</v>
      </c>
      <c r="BU61" s="297">
        <f t="shared" si="3"/>
        <v>0</v>
      </c>
      <c r="BV61" s="299">
        <f t="shared" si="4"/>
        <v>1</v>
      </c>
      <c r="BW61" s="318">
        <v>0</v>
      </c>
      <c r="BX61" s="297">
        <f t="shared" si="5"/>
        <v>0.43</v>
      </c>
      <c r="BY61">
        <f t="shared" si="6"/>
        <v>0</v>
      </c>
      <c r="BZ61" s="303">
        <f t="shared" si="7"/>
        <v>0</v>
      </c>
      <c r="CB61" s="298">
        <v>0.6</v>
      </c>
      <c r="CC61" s="298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5"/>
        <v>0</v>
      </c>
      <c r="CN61">
        <f t="shared" si="17"/>
        <v>0</v>
      </c>
      <c r="CO61">
        <f t="shared" si="1"/>
        <v>0</v>
      </c>
    </row>
    <row r="62" spans="1:93" s="12" customFormat="1" ht="14.45" customHeight="1" x14ac:dyDescent="0.25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10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+VLOOKUP(G62,Liste!$A$7:$G$69,3,FALSE)</f>
        <v>Pin sylvestre</v>
      </c>
      <c r="BI62" s="96" t="str">
        <f>+VLOOKUP(H62,Liste!$B$7:$G$69,5,FALSE)</f>
        <v>GS Pineraies des plaines du Centre et du Nord Ouest</v>
      </c>
      <c r="BJ62" s="135">
        <f t="shared" si="0"/>
        <v>36</v>
      </c>
      <c r="BK62" s="135" t="str">
        <f t="shared" si="2"/>
        <v>Pin sylvestre_F2_Eclaircie précoce_GS Pineraies des plaines du Centre et du Nord Ouest_36_</v>
      </c>
      <c r="BL62" s="319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97" t="str">
        <f>+VLOOKUP(G62,Liste!$A$7:$H$69,8,FALSE)</f>
        <v>Résineux</v>
      </c>
      <c r="BU62" s="297">
        <f t="shared" si="3"/>
        <v>0</v>
      </c>
      <c r="BV62" s="299">
        <f t="shared" si="4"/>
        <v>1</v>
      </c>
      <c r="BW62" s="318">
        <v>0</v>
      </c>
      <c r="BX62" s="297">
        <f t="shared" si="5"/>
        <v>0.43</v>
      </c>
      <c r="BY62">
        <f t="shared" si="6"/>
        <v>0</v>
      </c>
      <c r="BZ62" s="303">
        <f t="shared" si="7"/>
        <v>0</v>
      </c>
      <c r="CB62" s="298">
        <v>0.6</v>
      </c>
      <c r="CC62" s="298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5"/>
        <v>0</v>
      </c>
      <c r="CN62">
        <f t="shared" si="17"/>
        <v>0</v>
      </c>
      <c r="CO62">
        <f t="shared" si="1"/>
        <v>0</v>
      </c>
    </row>
    <row r="63" spans="1:93" s="12" customFormat="1" ht="14.45" customHeight="1" x14ac:dyDescent="0.25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10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+VLOOKUP(G63,Liste!$A$7:$G$69,3,FALSE)</f>
        <v>Pin sylvestre</v>
      </c>
      <c r="BI63" s="96" t="str">
        <f>+VLOOKUP(H63,Liste!$B$7:$G$69,5,FALSE)</f>
        <v>GS Pineraies des plaines du Centre et du Nord Ouest</v>
      </c>
      <c r="BJ63" s="135">
        <f t="shared" si="0"/>
        <v>37</v>
      </c>
      <c r="BK63" s="135" t="str">
        <f t="shared" si="2"/>
        <v>Pin sylvestre_F2_Eclaircie précoce_GS Pineraies des plaines du Centre et du Nord Ouest_37_</v>
      </c>
      <c r="BL63" s="319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97" t="str">
        <f>+VLOOKUP(G63,Liste!$A$7:$H$69,8,FALSE)</f>
        <v>Résineux</v>
      </c>
      <c r="BU63" s="297">
        <f t="shared" si="3"/>
        <v>0</v>
      </c>
      <c r="BV63" s="299">
        <f t="shared" si="4"/>
        <v>1</v>
      </c>
      <c r="BW63" s="318">
        <v>0</v>
      </c>
      <c r="BX63" s="297">
        <f t="shared" si="5"/>
        <v>0.43</v>
      </c>
      <c r="BY63">
        <f t="shared" si="6"/>
        <v>0</v>
      </c>
      <c r="BZ63" s="303">
        <f t="shared" si="7"/>
        <v>0</v>
      </c>
      <c r="CB63" s="298">
        <v>0.6</v>
      </c>
      <c r="CC63" s="298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5"/>
        <v>0</v>
      </c>
      <c r="CN63">
        <f t="shared" si="17"/>
        <v>0</v>
      </c>
      <c r="CO63">
        <f t="shared" si="1"/>
        <v>0</v>
      </c>
    </row>
    <row r="64" spans="1:93" s="12" customFormat="1" ht="14.45" customHeight="1" x14ac:dyDescent="0.25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10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+VLOOKUP(G64,Liste!$A$7:$G$69,3,FALSE)</f>
        <v>Pin sylvestre</v>
      </c>
      <c r="BI64" s="96" t="str">
        <f>+VLOOKUP(H64,Liste!$B$7:$G$69,5,FALSE)</f>
        <v>GS Pineraies des plaines du Centre et du Nord Ouest</v>
      </c>
      <c r="BJ64" s="135">
        <f t="shared" si="0"/>
        <v>38</v>
      </c>
      <c r="BK64" s="135" t="str">
        <f t="shared" si="2"/>
        <v>Pin sylvestre_F2_Eclaircie précoce_GS Pineraies des plaines du Centre et du Nord Ouest_38_</v>
      </c>
      <c r="BL64" s="319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97" t="str">
        <f>+VLOOKUP(G64,Liste!$A$7:$H$69,8,FALSE)</f>
        <v>Résineux</v>
      </c>
      <c r="BU64" s="297">
        <f t="shared" si="3"/>
        <v>0</v>
      </c>
      <c r="BV64" s="299">
        <f t="shared" si="4"/>
        <v>1</v>
      </c>
      <c r="BW64" s="318">
        <v>0</v>
      </c>
      <c r="BX64" s="297">
        <f t="shared" si="5"/>
        <v>0.43</v>
      </c>
      <c r="BY64">
        <f t="shared" si="6"/>
        <v>0</v>
      </c>
      <c r="BZ64" s="303">
        <f t="shared" si="7"/>
        <v>0</v>
      </c>
      <c r="CB64" s="298">
        <v>0.6</v>
      </c>
      <c r="CC64" s="298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5"/>
        <v>0</v>
      </c>
      <c r="CN64">
        <f t="shared" si="17"/>
        <v>0</v>
      </c>
      <c r="CO64">
        <f t="shared" si="1"/>
        <v>0</v>
      </c>
    </row>
    <row r="65" spans="1:93" s="12" customFormat="1" ht="14.45" customHeight="1" x14ac:dyDescent="0.25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+VLOOKUP(G65,Liste!$A$7:$G$69,3,FALSE)</f>
        <v>Pin sylvestre</v>
      </c>
      <c r="BI65" s="96" t="str">
        <f>+VLOOKUP(H65,Liste!$B$7:$G$69,5,FALSE)</f>
        <v>GS Pineraies des plaines du Centre et du Nord Ouest</v>
      </c>
      <c r="BJ65" s="135">
        <f t="shared" si="0"/>
        <v>38</v>
      </c>
      <c r="BK65" s="135" t="str">
        <f t="shared" si="2"/>
        <v>Pin sylvestre_F2_Eclaircie précoce_GS Pineraies des plaines du Centre et du Nord Ouest_38_</v>
      </c>
      <c r="BL65" s="319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97" t="str">
        <f>+VLOOKUP(G65,Liste!$A$7:$H$69,8,FALSE)</f>
        <v>Résineux</v>
      </c>
      <c r="BU65" s="297">
        <f t="shared" si="3"/>
        <v>0</v>
      </c>
      <c r="BV65" s="299">
        <f t="shared" si="4"/>
        <v>1</v>
      </c>
      <c r="BW65" s="318">
        <v>0</v>
      </c>
      <c r="BX65" s="297">
        <f t="shared" si="5"/>
        <v>0.43</v>
      </c>
      <c r="BY65">
        <f t="shared" si="6"/>
        <v>0</v>
      </c>
      <c r="BZ65" s="303">
        <f t="shared" si="7"/>
        <v>0</v>
      </c>
      <c r="CB65" s="298">
        <v>0.6</v>
      </c>
      <c r="CC65" s="298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5"/>
        <v>0</v>
      </c>
      <c r="CN65">
        <f t="shared" si="17"/>
        <v>0</v>
      </c>
      <c r="CO65">
        <f t="shared" si="1"/>
        <v>0</v>
      </c>
    </row>
    <row r="66" spans="1:93" s="12" customFormat="1" ht="14.45" customHeight="1" x14ac:dyDescent="0.25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10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+VLOOKUP(G66,Liste!$A$7:$G$69,3,FALSE)</f>
        <v>Pin sylvestre</v>
      </c>
      <c r="BI66" s="96" t="str">
        <f>+VLOOKUP(H66,Liste!$B$7:$G$69,5,FALSE)</f>
        <v>GS Pineraies des plaines du Centre et du Nord Ouest</v>
      </c>
      <c r="BJ66" s="135">
        <f t="shared" si="0"/>
        <v>39</v>
      </c>
      <c r="BK66" s="135" t="str">
        <f t="shared" si="2"/>
        <v>Pin sylvestre_F2_Eclaircie précoce_GS Pineraies des plaines du Centre et du Nord Ouest_39_</v>
      </c>
      <c r="BL66" s="319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97" t="str">
        <f>+VLOOKUP(G66,Liste!$A$7:$H$69,8,FALSE)</f>
        <v>Résineux</v>
      </c>
      <c r="BU66" s="297">
        <f t="shared" si="3"/>
        <v>0</v>
      </c>
      <c r="BV66" s="299">
        <f t="shared" si="4"/>
        <v>1</v>
      </c>
      <c r="BW66" s="318">
        <v>0</v>
      </c>
      <c r="BX66" s="297">
        <f t="shared" si="5"/>
        <v>0.43</v>
      </c>
      <c r="BY66">
        <f t="shared" si="6"/>
        <v>0</v>
      </c>
      <c r="BZ66" s="303">
        <f t="shared" si="7"/>
        <v>0</v>
      </c>
      <c r="CB66" s="298">
        <v>0.6</v>
      </c>
      <c r="CC66" s="298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5"/>
        <v>0</v>
      </c>
      <c r="CN66">
        <f t="shared" si="17"/>
        <v>0</v>
      </c>
      <c r="CO66">
        <f t="shared" si="1"/>
        <v>0</v>
      </c>
    </row>
    <row r="67" spans="1:93" s="12" customFormat="1" ht="14.45" customHeight="1" x14ac:dyDescent="0.25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10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+VLOOKUP(G67,Liste!$A$7:$G$69,3,FALSE)</f>
        <v>Pin sylvestre</v>
      </c>
      <c r="BI67" s="96" t="str">
        <f>+VLOOKUP(H67,Liste!$B$7:$G$69,5,FALSE)</f>
        <v>GS Pineraies des plaines du Centre et du Nord Ouest</v>
      </c>
      <c r="BJ67" s="135">
        <f t="shared" ref="BJ67:BJ130" si="26">+AC67</f>
        <v>40</v>
      </c>
      <c r="BK67" s="135" t="str">
        <f t="shared" si="2"/>
        <v>Pin sylvestre_F2_Eclaircie précoce_GS Pineraies des plaines du Centre et du Nord Ouest_40_</v>
      </c>
      <c r="BL67" s="319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97" t="str">
        <f>+VLOOKUP(G67,Liste!$A$7:$H$69,8,FALSE)</f>
        <v>Résineux</v>
      </c>
      <c r="BU67" s="297">
        <f t="shared" si="3"/>
        <v>0</v>
      </c>
      <c r="BV67" s="299">
        <f t="shared" si="4"/>
        <v>1</v>
      </c>
      <c r="BW67" s="318">
        <v>0</v>
      </c>
      <c r="BX67" s="297">
        <f t="shared" si="5"/>
        <v>0.43</v>
      </c>
      <c r="BY67">
        <f t="shared" si="6"/>
        <v>0</v>
      </c>
      <c r="BZ67" s="303">
        <f t="shared" si="7"/>
        <v>0</v>
      </c>
      <c r="CB67" s="298">
        <v>0.6</v>
      </c>
      <c r="CC67" s="298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5"/>
        <v>0</v>
      </c>
      <c r="CN67">
        <f t="shared" si="17"/>
        <v>0</v>
      </c>
      <c r="CO67">
        <f t="shared" ref="CO67:CO130" si="27">+IF(BJ67=30,CN67/30,0)</f>
        <v>0</v>
      </c>
    </row>
    <row r="68" spans="1:93" s="12" customFormat="1" ht="14.45" customHeight="1" x14ac:dyDescent="0.25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10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+VLOOKUP(G68,Liste!$A$7:$G$69,3,FALSE)</f>
        <v>Pin sylvestre</v>
      </c>
      <c r="BI68" s="96" t="str">
        <f>+VLOOKUP(H68,Liste!$B$7:$G$69,5,FALSE)</f>
        <v>GS Pineraies des plaines du Centre et du Nord Ouest</v>
      </c>
      <c r="BJ68" s="135">
        <f t="shared" si="26"/>
        <v>41</v>
      </c>
      <c r="BK68" s="135" t="str">
        <f t="shared" ref="BK68:BK131" si="28">+_xlfn.CONCAT(BH68,"_",J68,"_",I68,"_",BI68,"_",BJ68,"_")</f>
        <v>Pin sylvestre_F2_Eclaircie précoce_GS Pineraies des plaines du Centre et du Nord Ouest_41_</v>
      </c>
      <c r="BL68" s="319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97" t="str">
        <f>+VLOOKUP(G68,Liste!$A$7:$H$69,8,FALSE)</f>
        <v>Résineux</v>
      </c>
      <c r="BU68" s="297">
        <f t="shared" ref="BU68:BU131" si="29">IF(BT68="Résineux",0%,100%)</f>
        <v>0</v>
      </c>
      <c r="BV68" s="299">
        <f t="shared" ref="BV68:BV131" si="30">+IF(BT68="Résineux",100%,0%)</f>
        <v>1</v>
      </c>
      <c r="BW68" s="318">
        <v>0</v>
      </c>
      <c r="BX68" s="297">
        <f t="shared" ref="BX68:BX131" si="31">+IF(BV68&lt;&gt;0,0.43,0.25)</f>
        <v>0.43</v>
      </c>
      <c r="BY68">
        <f t="shared" ref="BY68:BY131" si="32">+IF(BJ68&lt;=30,AV68*BX68,0)</f>
        <v>0</v>
      </c>
      <c r="BZ68" s="303">
        <f t="shared" ref="BZ68:BZ131" si="33">+IF(BJ68&gt;=31,0,BY68+BZ67)</f>
        <v>0</v>
      </c>
      <c r="CB68" s="298">
        <v>0.6</v>
      </c>
      <c r="CC68" s="298">
        <v>0.4</v>
      </c>
      <c r="CD68">
        <f t="shared" ref="CD68:CD131" si="34">+IF(BJ68&lt;=31,AV68*CA68*0.5,0)</f>
        <v>0</v>
      </c>
      <c r="CE68">
        <f t="shared" ref="CE68:CE131" si="35">IF(BJ68&lt;=31,AV68*CB68,0)</f>
        <v>0</v>
      </c>
      <c r="CF68">
        <f t="shared" ref="CF68:CF131" si="36">IF(BJ68&lt;=31,AV68*CC68,0)</f>
        <v>0</v>
      </c>
      <c r="CG68">
        <f t="shared" ref="CG68:CG131" si="37">CD68*44/12*0.475*BF68</f>
        <v>0</v>
      </c>
      <c r="CH68">
        <f t="shared" ref="CH68:CH131" si="38">CE68*44/12*0.475*BF68</f>
        <v>0</v>
      </c>
      <c r="CI68">
        <f t="shared" ref="CI68:CI131" si="39">CF68*44/12*0.475*BF68</f>
        <v>0</v>
      </c>
      <c r="CJ68">
        <f t="shared" ref="CJ68:CJ131" si="40">+IF(BJ68&lt;=31,CJ67*EXP(-$CJ$1)+CG67*(1-EXP(-$CJ$1))/$CJ$1,0)</f>
        <v>0</v>
      </c>
      <c r="CK68">
        <f t="shared" ref="CK68:CK131" si="41">+IF(BJ68&lt;=31,CK67*EXP(-$CK$1)+CH67*(1-EXP(-$CK$1))/$CK$1,0)</f>
        <v>0</v>
      </c>
      <c r="CL68">
        <f t="shared" ref="CL68:CL131" si="42">+IF(BJ68&lt;=31,CL67*EXP(-$CL$1)+CI67*(1-EXP(-$CL$1))/$CL$1,0)</f>
        <v>0</v>
      </c>
      <c r="CM68">
        <f t="shared" si="25"/>
        <v>0</v>
      </c>
      <c r="CN68">
        <f t="shared" ref="CN68:CN131" si="43">+IF(BJ68&lt;=31,CM68+CN67,0)</f>
        <v>0</v>
      </c>
      <c r="CO68">
        <f t="shared" si="27"/>
        <v>0</v>
      </c>
    </row>
    <row r="69" spans="1:93" s="12" customFormat="1" ht="14.45" customHeight="1" x14ac:dyDescent="0.25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10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+VLOOKUP(G69,Liste!$A$7:$G$69,3,FALSE)</f>
        <v>Pin sylvestre</v>
      </c>
      <c r="BI69" s="96" t="str">
        <f>+VLOOKUP(H69,Liste!$B$7:$G$69,5,FALSE)</f>
        <v>GS Pineraies des plaines du Centre et du Nord Ouest</v>
      </c>
      <c r="BJ69" s="135">
        <f t="shared" si="26"/>
        <v>42</v>
      </c>
      <c r="BK69" s="135" t="str">
        <f t="shared" si="28"/>
        <v>Pin sylvestre_F2_Eclaircie précoce_GS Pineraies des plaines du Centre et du Nord Ouest_42_</v>
      </c>
      <c r="BL69" s="319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97" t="str">
        <f>+VLOOKUP(G69,Liste!$A$7:$H$69,8,FALSE)</f>
        <v>Résineux</v>
      </c>
      <c r="BU69" s="297">
        <f t="shared" si="29"/>
        <v>0</v>
      </c>
      <c r="BV69" s="299">
        <f t="shared" si="30"/>
        <v>1</v>
      </c>
      <c r="BW69" s="318">
        <v>0</v>
      </c>
      <c r="BX69" s="297">
        <f t="shared" si="31"/>
        <v>0.43</v>
      </c>
      <c r="BY69">
        <f t="shared" si="32"/>
        <v>0</v>
      </c>
      <c r="BZ69" s="303">
        <f t="shared" si="33"/>
        <v>0</v>
      </c>
      <c r="CB69" s="298">
        <v>0.6</v>
      </c>
      <c r="CC69" s="298">
        <v>0.4</v>
      </c>
      <c r="CD69">
        <f t="shared" si="34"/>
        <v>0</v>
      </c>
      <c r="CE69">
        <f t="shared" si="35"/>
        <v>0</v>
      </c>
      <c r="CF69">
        <f t="shared" si="36"/>
        <v>0</v>
      </c>
      <c r="CG69">
        <f t="shared" si="37"/>
        <v>0</v>
      </c>
      <c r="CH69">
        <f t="shared" si="38"/>
        <v>0</v>
      </c>
      <c r="CI69">
        <f t="shared" si="39"/>
        <v>0</v>
      </c>
      <c r="CJ69">
        <f t="shared" si="40"/>
        <v>0</v>
      </c>
      <c r="CK69">
        <f t="shared" si="41"/>
        <v>0</v>
      </c>
      <c r="CL69">
        <f t="shared" si="42"/>
        <v>0</v>
      </c>
      <c r="CM69">
        <f t="shared" ref="CM69:CM132" si="44">+CJ69+CK69+CL69</f>
        <v>0</v>
      </c>
      <c r="CN69">
        <f t="shared" si="43"/>
        <v>0</v>
      </c>
      <c r="CO69">
        <f t="shared" si="27"/>
        <v>0</v>
      </c>
    </row>
    <row r="70" spans="1:93" s="12" customFormat="1" ht="14.45" customHeight="1" x14ac:dyDescent="0.25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10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+VLOOKUP(G70,Liste!$A$7:$G$69,3,FALSE)</f>
        <v>Pin sylvestre</v>
      </c>
      <c r="BI70" s="96" t="str">
        <f>+VLOOKUP(H70,Liste!$B$7:$G$69,5,FALSE)</f>
        <v>GS Pineraies des plaines du Centre et du Nord Ouest</v>
      </c>
      <c r="BJ70" s="135">
        <f t="shared" si="26"/>
        <v>43</v>
      </c>
      <c r="BK70" s="135" t="str">
        <f t="shared" si="28"/>
        <v>Pin sylvestre_F2_Eclaircie précoce_GS Pineraies des plaines du Centre et du Nord Ouest_43_</v>
      </c>
      <c r="BL70" s="319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97" t="str">
        <f>+VLOOKUP(G70,Liste!$A$7:$H$69,8,FALSE)</f>
        <v>Résineux</v>
      </c>
      <c r="BU70" s="297">
        <f t="shared" si="29"/>
        <v>0</v>
      </c>
      <c r="BV70" s="299">
        <f t="shared" si="30"/>
        <v>1</v>
      </c>
      <c r="BW70" s="318">
        <v>0</v>
      </c>
      <c r="BX70" s="297">
        <f t="shared" si="31"/>
        <v>0.43</v>
      </c>
      <c r="BY70">
        <f t="shared" si="32"/>
        <v>0</v>
      </c>
      <c r="BZ70" s="303">
        <f t="shared" si="33"/>
        <v>0</v>
      </c>
      <c r="CB70" s="298">
        <v>0.6</v>
      </c>
      <c r="CC70" s="298">
        <v>0.4</v>
      </c>
      <c r="CD70">
        <f t="shared" si="34"/>
        <v>0</v>
      </c>
      <c r="CE70">
        <f t="shared" si="35"/>
        <v>0</v>
      </c>
      <c r="CF70">
        <f t="shared" si="36"/>
        <v>0</v>
      </c>
      <c r="CG70">
        <f t="shared" si="37"/>
        <v>0</v>
      </c>
      <c r="CH70">
        <f t="shared" si="38"/>
        <v>0</v>
      </c>
      <c r="CI70">
        <f t="shared" si="39"/>
        <v>0</v>
      </c>
      <c r="CJ70">
        <f t="shared" si="40"/>
        <v>0</v>
      </c>
      <c r="CK70">
        <f t="shared" si="41"/>
        <v>0</v>
      </c>
      <c r="CL70">
        <f t="shared" si="42"/>
        <v>0</v>
      </c>
      <c r="CM70">
        <f t="shared" si="44"/>
        <v>0</v>
      </c>
      <c r="CN70">
        <f t="shared" si="43"/>
        <v>0</v>
      </c>
      <c r="CO70">
        <f t="shared" si="27"/>
        <v>0</v>
      </c>
    </row>
    <row r="71" spans="1:93" s="12" customFormat="1" ht="14.45" customHeight="1" x14ac:dyDescent="0.25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10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+VLOOKUP(G71,Liste!$A$7:$G$69,3,FALSE)</f>
        <v>Pin sylvestre</v>
      </c>
      <c r="BI71" s="96" t="str">
        <f>+VLOOKUP(H71,Liste!$B$7:$G$69,5,FALSE)</f>
        <v>GS Pineraies des plaines du Centre et du Nord Ouest</v>
      </c>
      <c r="BJ71" s="135">
        <f t="shared" si="26"/>
        <v>44</v>
      </c>
      <c r="BK71" s="135" t="str">
        <f t="shared" si="28"/>
        <v>Pin sylvestre_F2_Eclaircie précoce_GS Pineraies des plaines du Centre et du Nord Ouest_44_</v>
      </c>
      <c r="BL71" s="319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97" t="str">
        <f>+VLOOKUP(G71,Liste!$A$7:$H$69,8,FALSE)</f>
        <v>Résineux</v>
      </c>
      <c r="BU71" s="297">
        <f t="shared" si="29"/>
        <v>0</v>
      </c>
      <c r="BV71" s="299">
        <f t="shared" si="30"/>
        <v>1</v>
      </c>
      <c r="BW71" s="318">
        <v>0</v>
      </c>
      <c r="BX71" s="297">
        <f t="shared" si="31"/>
        <v>0.43</v>
      </c>
      <c r="BY71">
        <f t="shared" si="32"/>
        <v>0</v>
      </c>
      <c r="BZ71" s="303">
        <f t="shared" si="33"/>
        <v>0</v>
      </c>
      <c r="CB71" s="298">
        <v>0.6</v>
      </c>
      <c r="CC71" s="298">
        <v>0.4</v>
      </c>
      <c r="CD71">
        <f t="shared" si="34"/>
        <v>0</v>
      </c>
      <c r="CE71">
        <f t="shared" si="35"/>
        <v>0</v>
      </c>
      <c r="CF71">
        <f t="shared" si="36"/>
        <v>0</v>
      </c>
      <c r="CG71">
        <f t="shared" si="37"/>
        <v>0</v>
      </c>
      <c r="CH71">
        <f t="shared" si="38"/>
        <v>0</v>
      </c>
      <c r="CI71">
        <f t="shared" si="39"/>
        <v>0</v>
      </c>
      <c r="CJ71">
        <f t="shared" si="40"/>
        <v>0</v>
      </c>
      <c r="CK71">
        <f t="shared" si="41"/>
        <v>0</v>
      </c>
      <c r="CL71">
        <f t="shared" si="42"/>
        <v>0</v>
      </c>
      <c r="CM71">
        <f t="shared" si="44"/>
        <v>0</v>
      </c>
      <c r="CN71">
        <f t="shared" si="43"/>
        <v>0</v>
      </c>
      <c r="CO71">
        <f t="shared" si="27"/>
        <v>0</v>
      </c>
    </row>
    <row r="72" spans="1:93" s="12" customFormat="1" ht="14.45" customHeight="1" x14ac:dyDescent="0.25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10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+VLOOKUP(G72,Liste!$A$7:$G$69,3,FALSE)</f>
        <v>Pin sylvestre</v>
      </c>
      <c r="BI72" s="96" t="str">
        <f>+VLOOKUP(H72,Liste!$B$7:$G$69,5,FALSE)</f>
        <v>GS Pineraies des plaines du Centre et du Nord Ouest</v>
      </c>
      <c r="BJ72" s="135">
        <f t="shared" si="26"/>
        <v>45</v>
      </c>
      <c r="BK72" s="135" t="str">
        <f t="shared" si="28"/>
        <v>Pin sylvestre_F2_Eclaircie précoce_GS Pineraies des plaines du Centre et du Nord Ouest_45_</v>
      </c>
      <c r="BL72" s="319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97" t="str">
        <f>+VLOOKUP(G72,Liste!$A$7:$H$69,8,FALSE)</f>
        <v>Résineux</v>
      </c>
      <c r="BU72" s="297">
        <f t="shared" si="29"/>
        <v>0</v>
      </c>
      <c r="BV72" s="299">
        <f t="shared" si="30"/>
        <v>1</v>
      </c>
      <c r="BW72" s="318">
        <v>0</v>
      </c>
      <c r="BX72" s="297">
        <f t="shared" si="31"/>
        <v>0.43</v>
      </c>
      <c r="BY72">
        <f t="shared" si="32"/>
        <v>0</v>
      </c>
      <c r="BZ72" s="303">
        <f t="shared" si="33"/>
        <v>0</v>
      </c>
      <c r="CB72" s="298">
        <v>0.6</v>
      </c>
      <c r="CC72" s="298">
        <v>0.4</v>
      </c>
      <c r="CD72">
        <f t="shared" si="34"/>
        <v>0</v>
      </c>
      <c r="CE72">
        <f t="shared" si="35"/>
        <v>0</v>
      </c>
      <c r="CF72">
        <f t="shared" si="36"/>
        <v>0</v>
      </c>
      <c r="CG72">
        <f t="shared" si="37"/>
        <v>0</v>
      </c>
      <c r="CH72">
        <f t="shared" si="38"/>
        <v>0</v>
      </c>
      <c r="CI72">
        <f t="shared" si="39"/>
        <v>0</v>
      </c>
      <c r="CJ72">
        <f t="shared" si="40"/>
        <v>0</v>
      </c>
      <c r="CK72">
        <f t="shared" si="41"/>
        <v>0</v>
      </c>
      <c r="CL72">
        <f t="shared" si="42"/>
        <v>0</v>
      </c>
      <c r="CM72">
        <f t="shared" si="44"/>
        <v>0</v>
      </c>
      <c r="CN72">
        <f t="shared" si="43"/>
        <v>0</v>
      </c>
      <c r="CO72">
        <f t="shared" si="27"/>
        <v>0</v>
      </c>
    </row>
    <row r="73" spans="1:93" s="12" customFormat="1" ht="14.45" customHeight="1" x14ac:dyDescent="0.25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10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+VLOOKUP(G73,Liste!$A$7:$G$69,3,FALSE)</f>
        <v>Pin sylvestre</v>
      </c>
      <c r="BI73" s="96" t="str">
        <f>+VLOOKUP(H73,Liste!$B$7:$G$69,5,FALSE)</f>
        <v>GS Pineraies des plaines du Centre et du Nord Ouest</v>
      </c>
      <c r="BJ73" s="135">
        <f t="shared" si="26"/>
        <v>46</v>
      </c>
      <c r="BK73" s="135" t="str">
        <f t="shared" si="28"/>
        <v>Pin sylvestre_F2_Eclaircie précoce_GS Pineraies des plaines du Centre et du Nord Ouest_46_</v>
      </c>
      <c r="BL73" s="319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97" t="str">
        <f>+VLOOKUP(G73,Liste!$A$7:$H$69,8,FALSE)</f>
        <v>Résineux</v>
      </c>
      <c r="BU73" s="297">
        <f t="shared" si="29"/>
        <v>0</v>
      </c>
      <c r="BV73" s="299">
        <f t="shared" si="30"/>
        <v>1</v>
      </c>
      <c r="BW73" s="318">
        <v>0</v>
      </c>
      <c r="BX73" s="297">
        <f t="shared" si="31"/>
        <v>0.43</v>
      </c>
      <c r="BY73">
        <f t="shared" si="32"/>
        <v>0</v>
      </c>
      <c r="BZ73" s="303">
        <f t="shared" si="33"/>
        <v>0</v>
      </c>
      <c r="CB73" s="298">
        <v>0.6</v>
      </c>
      <c r="CC73" s="298">
        <v>0.4</v>
      </c>
      <c r="CD73">
        <f t="shared" si="34"/>
        <v>0</v>
      </c>
      <c r="CE73">
        <f t="shared" si="35"/>
        <v>0</v>
      </c>
      <c r="CF73">
        <f t="shared" si="36"/>
        <v>0</v>
      </c>
      <c r="CG73">
        <f t="shared" si="37"/>
        <v>0</v>
      </c>
      <c r="CH73">
        <f t="shared" si="38"/>
        <v>0</v>
      </c>
      <c r="CI73">
        <f t="shared" si="39"/>
        <v>0</v>
      </c>
      <c r="CJ73">
        <f t="shared" si="40"/>
        <v>0</v>
      </c>
      <c r="CK73">
        <f t="shared" si="41"/>
        <v>0</v>
      </c>
      <c r="CL73">
        <f t="shared" si="42"/>
        <v>0</v>
      </c>
      <c r="CM73">
        <f t="shared" si="44"/>
        <v>0</v>
      </c>
      <c r="CN73">
        <f t="shared" si="43"/>
        <v>0</v>
      </c>
      <c r="CO73">
        <f t="shared" si="27"/>
        <v>0</v>
      </c>
    </row>
    <row r="74" spans="1:93" s="12" customFormat="1" ht="14.45" customHeight="1" x14ac:dyDescent="0.25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10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+VLOOKUP(G74,Liste!$A$7:$G$69,3,FALSE)</f>
        <v>Pin sylvestre</v>
      </c>
      <c r="BI74" s="96" t="str">
        <f>+VLOOKUP(H74,Liste!$B$7:$G$69,5,FALSE)</f>
        <v>GS Pineraies des plaines du Centre et du Nord Ouest</v>
      </c>
      <c r="BJ74" s="135">
        <f t="shared" si="26"/>
        <v>47</v>
      </c>
      <c r="BK74" s="135" t="str">
        <f t="shared" si="28"/>
        <v>Pin sylvestre_F2_Eclaircie précoce_GS Pineraies des plaines du Centre et du Nord Ouest_47_</v>
      </c>
      <c r="BL74" s="319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97" t="str">
        <f>+VLOOKUP(G74,Liste!$A$7:$H$69,8,FALSE)</f>
        <v>Résineux</v>
      </c>
      <c r="BU74" s="297">
        <f t="shared" si="29"/>
        <v>0</v>
      </c>
      <c r="BV74" s="299">
        <f t="shared" si="30"/>
        <v>1</v>
      </c>
      <c r="BW74" s="318">
        <v>0</v>
      </c>
      <c r="BX74" s="297">
        <f t="shared" si="31"/>
        <v>0.43</v>
      </c>
      <c r="BY74">
        <f t="shared" si="32"/>
        <v>0</v>
      </c>
      <c r="BZ74" s="303">
        <f t="shared" si="33"/>
        <v>0</v>
      </c>
      <c r="CB74" s="298">
        <v>0.6</v>
      </c>
      <c r="CC74" s="298">
        <v>0.4</v>
      </c>
      <c r="CD74">
        <f t="shared" si="34"/>
        <v>0</v>
      </c>
      <c r="CE74">
        <f t="shared" si="35"/>
        <v>0</v>
      </c>
      <c r="CF74">
        <f t="shared" si="36"/>
        <v>0</v>
      </c>
      <c r="CG74">
        <f t="shared" si="37"/>
        <v>0</v>
      </c>
      <c r="CH74">
        <f t="shared" si="38"/>
        <v>0</v>
      </c>
      <c r="CI74">
        <f t="shared" si="39"/>
        <v>0</v>
      </c>
      <c r="CJ74">
        <f t="shared" si="40"/>
        <v>0</v>
      </c>
      <c r="CK74">
        <f t="shared" si="41"/>
        <v>0</v>
      </c>
      <c r="CL74">
        <f t="shared" si="42"/>
        <v>0</v>
      </c>
      <c r="CM74">
        <f t="shared" si="44"/>
        <v>0</v>
      </c>
      <c r="CN74">
        <f t="shared" si="43"/>
        <v>0</v>
      </c>
      <c r="CO74">
        <f t="shared" si="27"/>
        <v>0</v>
      </c>
    </row>
    <row r="75" spans="1:93" s="12" customFormat="1" ht="14.45" customHeight="1" x14ac:dyDescent="0.25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+VLOOKUP(G75,Liste!$A$7:$G$69,3,FALSE)</f>
        <v>Pin sylvestre</v>
      </c>
      <c r="BI75" s="96" t="str">
        <f>+VLOOKUP(H75,Liste!$B$7:$G$69,5,FALSE)</f>
        <v>GS Pineraies des plaines du Centre et du Nord Ouest</v>
      </c>
      <c r="BJ75" s="135">
        <f t="shared" si="26"/>
        <v>47</v>
      </c>
      <c r="BK75" s="135" t="str">
        <f t="shared" si="28"/>
        <v>Pin sylvestre_F2_Eclaircie précoce_GS Pineraies des plaines du Centre et du Nord Ouest_47_</v>
      </c>
      <c r="BL75" s="319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97" t="str">
        <f>+VLOOKUP(G75,Liste!$A$7:$H$69,8,FALSE)</f>
        <v>Résineux</v>
      </c>
      <c r="BU75" s="297">
        <f t="shared" si="29"/>
        <v>0</v>
      </c>
      <c r="BV75" s="299">
        <f t="shared" si="30"/>
        <v>1</v>
      </c>
      <c r="BW75" s="318">
        <v>0</v>
      </c>
      <c r="BX75" s="297">
        <f t="shared" si="31"/>
        <v>0.43</v>
      </c>
      <c r="BY75">
        <f t="shared" si="32"/>
        <v>0</v>
      </c>
      <c r="BZ75" s="303">
        <f t="shared" si="33"/>
        <v>0</v>
      </c>
      <c r="CB75" s="298">
        <v>0.6</v>
      </c>
      <c r="CC75" s="298">
        <v>0.4</v>
      </c>
      <c r="CD75">
        <f t="shared" si="34"/>
        <v>0</v>
      </c>
      <c r="CE75">
        <f t="shared" si="35"/>
        <v>0</v>
      </c>
      <c r="CF75">
        <f t="shared" si="36"/>
        <v>0</v>
      </c>
      <c r="CG75">
        <f t="shared" si="37"/>
        <v>0</v>
      </c>
      <c r="CH75">
        <f t="shared" si="38"/>
        <v>0</v>
      </c>
      <c r="CI75">
        <f t="shared" si="39"/>
        <v>0</v>
      </c>
      <c r="CJ75">
        <f t="shared" si="40"/>
        <v>0</v>
      </c>
      <c r="CK75">
        <f t="shared" si="41"/>
        <v>0</v>
      </c>
      <c r="CL75">
        <f t="shared" si="42"/>
        <v>0</v>
      </c>
      <c r="CM75">
        <f t="shared" si="44"/>
        <v>0</v>
      </c>
      <c r="CN75">
        <f t="shared" si="43"/>
        <v>0</v>
      </c>
      <c r="CO75">
        <f t="shared" si="27"/>
        <v>0</v>
      </c>
    </row>
    <row r="76" spans="1:93" s="12" customFormat="1" ht="14.45" customHeight="1" x14ac:dyDescent="0.25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10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+VLOOKUP(G76,Liste!$A$7:$G$69,3,FALSE)</f>
        <v>Pin sylvestre</v>
      </c>
      <c r="BI76" s="96" t="str">
        <f>+VLOOKUP(H76,Liste!$B$7:$G$69,5,FALSE)</f>
        <v>GS Pineraies des plaines du Centre et du Nord Ouest</v>
      </c>
      <c r="BJ76" s="135">
        <f t="shared" si="26"/>
        <v>48</v>
      </c>
      <c r="BK76" s="135" t="str">
        <f t="shared" si="28"/>
        <v>Pin sylvestre_F2_Eclaircie précoce_GS Pineraies des plaines du Centre et du Nord Ouest_48_</v>
      </c>
      <c r="BL76" s="319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97" t="str">
        <f>+VLOOKUP(G76,Liste!$A$7:$H$69,8,FALSE)</f>
        <v>Résineux</v>
      </c>
      <c r="BU76" s="297">
        <f t="shared" si="29"/>
        <v>0</v>
      </c>
      <c r="BV76" s="299">
        <f t="shared" si="30"/>
        <v>1</v>
      </c>
      <c r="BW76" s="318">
        <v>0</v>
      </c>
      <c r="BX76" s="297">
        <f t="shared" si="31"/>
        <v>0.43</v>
      </c>
      <c r="BY76">
        <f t="shared" si="32"/>
        <v>0</v>
      </c>
      <c r="BZ76" s="303">
        <f t="shared" si="33"/>
        <v>0</v>
      </c>
      <c r="CB76" s="298">
        <v>0.6</v>
      </c>
      <c r="CC76" s="298">
        <v>0.4</v>
      </c>
      <c r="CD76">
        <f t="shared" si="34"/>
        <v>0</v>
      </c>
      <c r="CE76">
        <f t="shared" si="35"/>
        <v>0</v>
      </c>
      <c r="CF76">
        <f t="shared" si="36"/>
        <v>0</v>
      </c>
      <c r="CG76">
        <f t="shared" si="37"/>
        <v>0</v>
      </c>
      <c r="CH76">
        <f t="shared" si="38"/>
        <v>0</v>
      </c>
      <c r="CI76">
        <f t="shared" si="39"/>
        <v>0</v>
      </c>
      <c r="CJ76">
        <f t="shared" si="40"/>
        <v>0</v>
      </c>
      <c r="CK76">
        <f t="shared" si="41"/>
        <v>0</v>
      </c>
      <c r="CL76">
        <f t="shared" si="42"/>
        <v>0</v>
      </c>
      <c r="CM76">
        <f t="shared" si="44"/>
        <v>0</v>
      </c>
      <c r="CN76">
        <f t="shared" si="43"/>
        <v>0</v>
      </c>
      <c r="CO76">
        <f t="shared" si="27"/>
        <v>0</v>
      </c>
    </row>
    <row r="77" spans="1:93" s="12" customFormat="1" ht="14.45" customHeight="1" x14ac:dyDescent="0.25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10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+VLOOKUP(G77,Liste!$A$7:$G$69,3,FALSE)</f>
        <v>Pin sylvestre</v>
      </c>
      <c r="BI77" s="96" t="str">
        <f>+VLOOKUP(H77,Liste!$B$7:$G$69,5,FALSE)</f>
        <v>GS Pineraies des plaines du Centre et du Nord Ouest</v>
      </c>
      <c r="BJ77" s="135">
        <f t="shared" si="26"/>
        <v>49</v>
      </c>
      <c r="BK77" s="135" t="str">
        <f t="shared" si="28"/>
        <v>Pin sylvestre_F2_Eclaircie précoce_GS Pineraies des plaines du Centre et du Nord Ouest_49_</v>
      </c>
      <c r="BL77" s="319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97" t="str">
        <f>+VLOOKUP(G77,Liste!$A$7:$H$69,8,FALSE)</f>
        <v>Résineux</v>
      </c>
      <c r="BU77" s="297">
        <f t="shared" si="29"/>
        <v>0</v>
      </c>
      <c r="BV77" s="299">
        <f t="shared" si="30"/>
        <v>1</v>
      </c>
      <c r="BW77" s="318">
        <v>0</v>
      </c>
      <c r="BX77" s="297">
        <f t="shared" si="31"/>
        <v>0.43</v>
      </c>
      <c r="BY77">
        <f t="shared" si="32"/>
        <v>0</v>
      </c>
      <c r="BZ77" s="303">
        <f t="shared" si="33"/>
        <v>0</v>
      </c>
      <c r="CB77" s="298">
        <v>0.6</v>
      </c>
      <c r="CC77" s="298">
        <v>0.4</v>
      </c>
      <c r="CD77">
        <f t="shared" si="34"/>
        <v>0</v>
      </c>
      <c r="CE77">
        <f t="shared" si="35"/>
        <v>0</v>
      </c>
      <c r="CF77">
        <f t="shared" si="36"/>
        <v>0</v>
      </c>
      <c r="CG77">
        <f t="shared" si="37"/>
        <v>0</v>
      </c>
      <c r="CH77">
        <f t="shared" si="38"/>
        <v>0</v>
      </c>
      <c r="CI77">
        <f t="shared" si="39"/>
        <v>0</v>
      </c>
      <c r="CJ77">
        <f t="shared" si="40"/>
        <v>0</v>
      </c>
      <c r="CK77">
        <f t="shared" si="41"/>
        <v>0</v>
      </c>
      <c r="CL77">
        <f t="shared" si="42"/>
        <v>0</v>
      </c>
      <c r="CM77">
        <f t="shared" si="44"/>
        <v>0</v>
      </c>
      <c r="CN77">
        <f t="shared" si="43"/>
        <v>0</v>
      </c>
      <c r="CO77">
        <f t="shared" si="27"/>
        <v>0</v>
      </c>
    </row>
    <row r="78" spans="1:93" s="12" customFormat="1" ht="14.45" customHeight="1" x14ac:dyDescent="0.25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10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+VLOOKUP(G78,Liste!$A$7:$G$69,3,FALSE)</f>
        <v>Pin sylvestre</v>
      </c>
      <c r="BI78" s="96" t="str">
        <f>+VLOOKUP(H78,Liste!$B$7:$G$69,5,FALSE)</f>
        <v>GS Pineraies des plaines du Centre et du Nord Ouest</v>
      </c>
      <c r="BJ78" s="135">
        <f t="shared" si="26"/>
        <v>50</v>
      </c>
      <c r="BK78" s="135" t="str">
        <f t="shared" si="28"/>
        <v>Pin sylvestre_F2_Eclaircie précoce_GS Pineraies des plaines du Centre et du Nord Ouest_50_</v>
      </c>
      <c r="BL78" s="319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97" t="str">
        <f>+VLOOKUP(G78,Liste!$A$7:$H$69,8,FALSE)</f>
        <v>Résineux</v>
      </c>
      <c r="BU78" s="297">
        <f t="shared" si="29"/>
        <v>0</v>
      </c>
      <c r="BV78" s="299">
        <f t="shared" si="30"/>
        <v>1</v>
      </c>
      <c r="BW78" s="318">
        <v>0</v>
      </c>
      <c r="BX78" s="297">
        <f t="shared" si="31"/>
        <v>0.43</v>
      </c>
      <c r="BY78">
        <f t="shared" si="32"/>
        <v>0</v>
      </c>
      <c r="BZ78" s="303">
        <f t="shared" si="33"/>
        <v>0</v>
      </c>
      <c r="CB78" s="298">
        <v>0.6</v>
      </c>
      <c r="CC78" s="298">
        <v>0.4</v>
      </c>
      <c r="CD78">
        <f t="shared" si="34"/>
        <v>0</v>
      </c>
      <c r="CE78">
        <f t="shared" si="35"/>
        <v>0</v>
      </c>
      <c r="CF78">
        <f t="shared" si="36"/>
        <v>0</v>
      </c>
      <c r="CG78">
        <f t="shared" si="37"/>
        <v>0</v>
      </c>
      <c r="CH78">
        <f t="shared" si="38"/>
        <v>0</v>
      </c>
      <c r="CI78">
        <f t="shared" si="39"/>
        <v>0</v>
      </c>
      <c r="CJ78">
        <f t="shared" si="40"/>
        <v>0</v>
      </c>
      <c r="CK78">
        <f t="shared" si="41"/>
        <v>0</v>
      </c>
      <c r="CL78">
        <f t="shared" si="42"/>
        <v>0</v>
      </c>
      <c r="CM78">
        <f t="shared" si="44"/>
        <v>0</v>
      </c>
      <c r="CN78">
        <f t="shared" si="43"/>
        <v>0</v>
      </c>
      <c r="CO78">
        <f t="shared" si="27"/>
        <v>0</v>
      </c>
    </row>
    <row r="79" spans="1:93" s="12" customFormat="1" ht="14.45" customHeight="1" x14ac:dyDescent="0.25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10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+VLOOKUP(G79,Liste!$A$7:$G$69,3,FALSE)</f>
        <v>Pin sylvestre</v>
      </c>
      <c r="BI79" s="96" t="str">
        <f>+VLOOKUP(H79,Liste!$B$7:$G$69,5,FALSE)</f>
        <v>GS Pineraies des plaines du Centre et du Nord Ouest</v>
      </c>
      <c r="BJ79" s="135">
        <f t="shared" si="26"/>
        <v>51</v>
      </c>
      <c r="BK79" s="135" t="str">
        <f t="shared" si="28"/>
        <v>Pin sylvestre_F2_Eclaircie précoce_GS Pineraies des plaines du Centre et du Nord Ouest_51_</v>
      </c>
      <c r="BL79" s="319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97" t="str">
        <f>+VLOOKUP(G79,Liste!$A$7:$H$69,8,FALSE)</f>
        <v>Résineux</v>
      </c>
      <c r="BU79" s="297">
        <f t="shared" si="29"/>
        <v>0</v>
      </c>
      <c r="BV79" s="299">
        <f t="shared" si="30"/>
        <v>1</v>
      </c>
      <c r="BW79" s="318">
        <v>0</v>
      </c>
      <c r="BX79" s="297">
        <f t="shared" si="31"/>
        <v>0.43</v>
      </c>
      <c r="BY79">
        <f t="shared" si="32"/>
        <v>0</v>
      </c>
      <c r="BZ79" s="303">
        <f t="shared" si="33"/>
        <v>0</v>
      </c>
      <c r="CB79" s="298">
        <v>0.6</v>
      </c>
      <c r="CC79" s="298">
        <v>0.4</v>
      </c>
      <c r="CD79">
        <f t="shared" si="34"/>
        <v>0</v>
      </c>
      <c r="CE79">
        <f t="shared" si="35"/>
        <v>0</v>
      </c>
      <c r="CF79">
        <f t="shared" si="36"/>
        <v>0</v>
      </c>
      <c r="CG79">
        <f t="shared" si="37"/>
        <v>0</v>
      </c>
      <c r="CH79">
        <f t="shared" si="38"/>
        <v>0</v>
      </c>
      <c r="CI79">
        <f t="shared" si="39"/>
        <v>0</v>
      </c>
      <c r="CJ79">
        <f t="shared" si="40"/>
        <v>0</v>
      </c>
      <c r="CK79">
        <f t="shared" si="41"/>
        <v>0</v>
      </c>
      <c r="CL79">
        <f t="shared" si="42"/>
        <v>0</v>
      </c>
      <c r="CM79">
        <f t="shared" si="44"/>
        <v>0</v>
      </c>
      <c r="CN79">
        <f t="shared" si="43"/>
        <v>0</v>
      </c>
      <c r="CO79">
        <f t="shared" si="27"/>
        <v>0</v>
      </c>
    </row>
    <row r="80" spans="1:93" s="12" customFormat="1" ht="14.45" customHeight="1" x14ac:dyDescent="0.25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10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+VLOOKUP(G80,Liste!$A$7:$G$69,3,FALSE)</f>
        <v>Pin sylvestre</v>
      </c>
      <c r="BI80" s="96" t="str">
        <f>+VLOOKUP(H80,Liste!$B$7:$G$69,5,FALSE)</f>
        <v>GS Pineraies des plaines du Centre et du Nord Ouest</v>
      </c>
      <c r="BJ80" s="135">
        <f t="shared" si="26"/>
        <v>52</v>
      </c>
      <c r="BK80" s="135" t="str">
        <f t="shared" si="28"/>
        <v>Pin sylvestre_F2_Eclaircie précoce_GS Pineraies des plaines du Centre et du Nord Ouest_52_</v>
      </c>
      <c r="BL80" s="319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97" t="str">
        <f>+VLOOKUP(G80,Liste!$A$7:$H$69,8,FALSE)</f>
        <v>Résineux</v>
      </c>
      <c r="BU80" s="297">
        <f t="shared" si="29"/>
        <v>0</v>
      </c>
      <c r="BV80" s="299">
        <f t="shared" si="30"/>
        <v>1</v>
      </c>
      <c r="BW80" s="318">
        <v>0</v>
      </c>
      <c r="BX80" s="297">
        <f t="shared" si="31"/>
        <v>0.43</v>
      </c>
      <c r="BY80">
        <f t="shared" si="32"/>
        <v>0</v>
      </c>
      <c r="BZ80" s="303">
        <f t="shared" si="33"/>
        <v>0</v>
      </c>
      <c r="CB80" s="298">
        <v>0.6</v>
      </c>
      <c r="CC80" s="298">
        <v>0.4</v>
      </c>
      <c r="CD80">
        <f t="shared" si="34"/>
        <v>0</v>
      </c>
      <c r="CE80">
        <f t="shared" si="35"/>
        <v>0</v>
      </c>
      <c r="CF80">
        <f t="shared" si="36"/>
        <v>0</v>
      </c>
      <c r="CG80">
        <f t="shared" si="37"/>
        <v>0</v>
      </c>
      <c r="CH80">
        <f t="shared" si="38"/>
        <v>0</v>
      </c>
      <c r="CI80">
        <f t="shared" si="39"/>
        <v>0</v>
      </c>
      <c r="CJ80">
        <f t="shared" si="40"/>
        <v>0</v>
      </c>
      <c r="CK80">
        <f t="shared" si="41"/>
        <v>0</v>
      </c>
      <c r="CL80">
        <f t="shared" si="42"/>
        <v>0</v>
      </c>
      <c r="CM80">
        <f t="shared" si="44"/>
        <v>0</v>
      </c>
      <c r="CN80">
        <f t="shared" si="43"/>
        <v>0</v>
      </c>
      <c r="CO80">
        <f t="shared" si="27"/>
        <v>0</v>
      </c>
    </row>
    <row r="81" spans="1:93" s="12" customFormat="1" ht="14.45" customHeight="1" x14ac:dyDescent="0.25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10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+VLOOKUP(G81,Liste!$A$7:$G$69,3,FALSE)</f>
        <v>Pin sylvestre</v>
      </c>
      <c r="BI81" s="96" t="str">
        <f>+VLOOKUP(H81,Liste!$B$7:$G$69,5,FALSE)</f>
        <v>GS Pineraies des plaines du Centre et du Nord Ouest</v>
      </c>
      <c r="BJ81" s="135">
        <f t="shared" si="26"/>
        <v>53</v>
      </c>
      <c r="BK81" s="135" t="str">
        <f t="shared" si="28"/>
        <v>Pin sylvestre_F2_Eclaircie précoce_GS Pineraies des plaines du Centre et du Nord Ouest_53_</v>
      </c>
      <c r="BL81" s="319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97" t="str">
        <f>+VLOOKUP(G81,Liste!$A$7:$H$69,8,FALSE)</f>
        <v>Résineux</v>
      </c>
      <c r="BU81" s="297">
        <f t="shared" si="29"/>
        <v>0</v>
      </c>
      <c r="BV81" s="299">
        <f t="shared" si="30"/>
        <v>1</v>
      </c>
      <c r="BW81" s="318">
        <v>0</v>
      </c>
      <c r="BX81" s="297">
        <f t="shared" si="31"/>
        <v>0.43</v>
      </c>
      <c r="BY81">
        <f t="shared" si="32"/>
        <v>0</v>
      </c>
      <c r="BZ81" s="303">
        <f t="shared" si="33"/>
        <v>0</v>
      </c>
      <c r="CB81" s="298">
        <v>0.6</v>
      </c>
      <c r="CC81" s="298">
        <v>0.4</v>
      </c>
      <c r="CD81">
        <f t="shared" si="34"/>
        <v>0</v>
      </c>
      <c r="CE81">
        <f t="shared" si="35"/>
        <v>0</v>
      </c>
      <c r="CF81">
        <f t="shared" si="36"/>
        <v>0</v>
      </c>
      <c r="CG81">
        <f t="shared" si="37"/>
        <v>0</v>
      </c>
      <c r="CH81">
        <f t="shared" si="38"/>
        <v>0</v>
      </c>
      <c r="CI81">
        <f t="shared" si="39"/>
        <v>0</v>
      </c>
      <c r="CJ81">
        <f t="shared" si="40"/>
        <v>0</v>
      </c>
      <c r="CK81">
        <f t="shared" si="41"/>
        <v>0</v>
      </c>
      <c r="CL81">
        <f t="shared" si="42"/>
        <v>0</v>
      </c>
      <c r="CM81">
        <f t="shared" si="44"/>
        <v>0</v>
      </c>
      <c r="CN81">
        <f t="shared" si="43"/>
        <v>0</v>
      </c>
      <c r="CO81">
        <f t="shared" si="27"/>
        <v>0</v>
      </c>
    </row>
    <row r="82" spans="1:93" s="12" customFormat="1" ht="14.45" customHeight="1" x14ac:dyDescent="0.25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10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+VLOOKUP(G82,Liste!$A$7:$G$69,3,FALSE)</f>
        <v>Pin sylvestre</v>
      </c>
      <c r="BI82" s="96" t="str">
        <f>+VLOOKUP(H82,Liste!$B$7:$G$69,5,FALSE)</f>
        <v>GS Pineraies des plaines du Centre et du Nord Ouest</v>
      </c>
      <c r="BJ82" s="135">
        <f t="shared" si="26"/>
        <v>54</v>
      </c>
      <c r="BK82" s="135" t="str">
        <f t="shared" si="28"/>
        <v>Pin sylvestre_F2_Eclaircie précoce_GS Pineraies des plaines du Centre et du Nord Ouest_54_</v>
      </c>
      <c r="BL82" s="319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97" t="str">
        <f>+VLOOKUP(G82,Liste!$A$7:$H$69,8,FALSE)</f>
        <v>Résineux</v>
      </c>
      <c r="BU82" s="297">
        <f t="shared" si="29"/>
        <v>0</v>
      </c>
      <c r="BV82" s="299">
        <f t="shared" si="30"/>
        <v>1</v>
      </c>
      <c r="BW82" s="318">
        <v>0</v>
      </c>
      <c r="BX82" s="297">
        <f t="shared" si="31"/>
        <v>0.43</v>
      </c>
      <c r="BY82">
        <f t="shared" si="32"/>
        <v>0</v>
      </c>
      <c r="BZ82" s="303">
        <f t="shared" si="33"/>
        <v>0</v>
      </c>
      <c r="CB82" s="298">
        <v>0.6</v>
      </c>
      <c r="CC82" s="298">
        <v>0.4</v>
      </c>
      <c r="CD82">
        <f t="shared" si="34"/>
        <v>0</v>
      </c>
      <c r="CE82">
        <f t="shared" si="35"/>
        <v>0</v>
      </c>
      <c r="CF82">
        <f t="shared" si="36"/>
        <v>0</v>
      </c>
      <c r="CG82">
        <f t="shared" si="37"/>
        <v>0</v>
      </c>
      <c r="CH82">
        <f t="shared" si="38"/>
        <v>0</v>
      </c>
      <c r="CI82">
        <f t="shared" si="39"/>
        <v>0</v>
      </c>
      <c r="CJ82">
        <f t="shared" si="40"/>
        <v>0</v>
      </c>
      <c r="CK82">
        <f t="shared" si="41"/>
        <v>0</v>
      </c>
      <c r="CL82">
        <f t="shared" si="42"/>
        <v>0</v>
      </c>
      <c r="CM82">
        <f t="shared" si="44"/>
        <v>0</v>
      </c>
      <c r="CN82">
        <f t="shared" si="43"/>
        <v>0</v>
      </c>
      <c r="CO82">
        <f t="shared" si="27"/>
        <v>0</v>
      </c>
    </row>
    <row r="83" spans="1:93" s="12" customFormat="1" ht="14.45" customHeight="1" x14ac:dyDescent="0.25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10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+VLOOKUP(G83,Liste!$A$7:$G$69,3,FALSE)</f>
        <v>Pin sylvestre</v>
      </c>
      <c r="BI83" s="96" t="str">
        <f>+VLOOKUP(H83,Liste!$B$7:$G$69,5,FALSE)</f>
        <v>GS Pineraies des plaines du Centre et du Nord Ouest</v>
      </c>
      <c r="BJ83" s="135">
        <f t="shared" si="26"/>
        <v>55</v>
      </c>
      <c r="BK83" s="135" t="str">
        <f t="shared" si="28"/>
        <v>Pin sylvestre_F2_Eclaircie précoce_GS Pineraies des plaines du Centre et du Nord Ouest_55_</v>
      </c>
      <c r="BL83" s="319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97" t="str">
        <f>+VLOOKUP(G83,Liste!$A$7:$H$69,8,FALSE)</f>
        <v>Résineux</v>
      </c>
      <c r="BU83" s="297">
        <f t="shared" si="29"/>
        <v>0</v>
      </c>
      <c r="BV83" s="299">
        <f t="shared" si="30"/>
        <v>1</v>
      </c>
      <c r="BW83" s="318">
        <v>0</v>
      </c>
      <c r="BX83" s="297">
        <f t="shared" si="31"/>
        <v>0.43</v>
      </c>
      <c r="BY83">
        <f t="shared" si="32"/>
        <v>0</v>
      </c>
      <c r="BZ83" s="303">
        <f t="shared" si="33"/>
        <v>0</v>
      </c>
      <c r="CB83" s="298">
        <v>0.6</v>
      </c>
      <c r="CC83" s="298">
        <v>0.4</v>
      </c>
      <c r="CD83">
        <f t="shared" si="34"/>
        <v>0</v>
      </c>
      <c r="CE83">
        <f t="shared" si="35"/>
        <v>0</v>
      </c>
      <c r="CF83">
        <f t="shared" si="36"/>
        <v>0</v>
      </c>
      <c r="CG83">
        <f t="shared" si="37"/>
        <v>0</v>
      </c>
      <c r="CH83">
        <f t="shared" si="38"/>
        <v>0</v>
      </c>
      <c r="CI83">
        <f t="shared" si="39"/>
        <v>0</v>
      </c>
      <c r="CJ83">
        <f t="shared" si="40"/>
        <v>0</v>
      </c>
      <c r="CK83">
        <f t="shared" si="41"/>
        <v>0</v>
      </c>
      <c r="CL83">
        <f t="shared" si="42"/>
        <v>0</v>
      </c>
      <c r="CM83">
        <f t="shared" si="44"/>
        <v>0</v>
      </c>
      <c r="CN83">
        <f t="shared" si="43"/>
        <v>0</v>
      </c>
      <c r="CO83">
        <f t="shared" si="27"/>
        <v>0</v>
      </c>
    </row>
    <row r="84" spans="1:93" s="12" customFormat="1" ht="14.45" customHeight="1" x14ac:dyDescent="0.25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10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+VLOOKUP(G84,Liste!$A$7:$G$69,3,FALSE)</f>
        <v>Pin sylvestre</v>
      </c>
      <c r="BI84" s="96" t="str">
        <f>+VLOOKUP(H84,Liste!$B$7:$G$69,5,FALSE)</f>
        <v>GS Pineraies des plaines du Centre et du Nord Ouest</v>
      </c>
      <c r="BJ84" s="135">
        <f t="shared" si="26"/>
        <v>56</v>
      </c>
      <c r="BK84" s="135" t="str">
        <f t="shared" si="28"/>
        <v>Pin sylvestre_F2_Eclaircie précoce_GS Pineraies des plaines du Centre et du Nord Ouest_56_</v>
      </c>
      <c r="BL84" s="319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97" t="str">
        <f>+VLOOKUP(G84,Liste!$A$7:$H$69,8,FALSE)</f>
        <v>Résineux</v>
      </c>
      <c r="BU84" s="297">
        <f t="shared" si="29"/>
        <v>0</v>
      </c>
      <c r="BV84" s="299">
        <f t="shared" si="30"/>
        <v>1</v>
      </c>
      <c r="BW84" s="318">
        <v>0</v>
      </c>
      <c r="BX84" s="297">
        <f t="shared" si="31"/>
        <v>0.43</v>
      </c>
      <c r="BY84">
        <f t="shared" si="32"/>
        <v>0</v>
      </c>
      <c r="BZ84" s="303">
        <f t="shared" si="33"/>
        <v>0</v>
      </c>
      <c r="CB84" s="298">
        <v>0.6</v>
      </c>
      <c r="CC84" s="298">
        <v>0.4</v>
      </c>
      <c r="CD84">
        <f t="shared" si="34"/>
        <v>0</v>
      </c>
      <c r="CE84">
        <f t="shared" si="35"/>
        <v>0</v>
      </c>
      <c r="CF84">
        <f t="shared" si="36"/>
        <v>0</v>
      </c>
      <c r="CG84">
        <f t="shared" si="37"/>
        <v>0</v>
      </c>
      <c r="CH84">
        <f t="shared" si="38"/>
        <v>0</v>
      </c>
      <c r="CI84">
        <f t="shared" si="39"/>
        <v>0</v>
      </c>
      <c r="CJ84">
        <f t="shared" si="40"/>
        <v>0</v>
      </c>
      <c r="CK84">
        <f t="shared" si="41"/>
        <v>0</v>
      </c>
      <c r="CL84">
        <f t="shared" si="42"/>
        <v>0</v>
      </c>
      <c r="CM84">
        <f t="shared" si="44"/>
        <v>0</v>
      </c>
      <c r="CN84">
        <f t="shared" si="43"/>
        <v>0</v>
      </c>
      <c r="CO84">
        <f t="shared" si="27"/>
        <v>0</v>
      </c>
    </row>
    <row r="85" spans="1:93" s="12" customFormat="1" ht="14.45" customHeight="1" x14ac:dyDescent="0.25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+VLOOKUP(G85,Liste!$A$7:$G$69,3,FALSE)</f>
        <v>Pin sylvestre</v>
      </c>
      <c r="BI85" s="96" t="str">
        <f>+VLOOKUP(H85,Liste!$B$7:$G$69,5,FALSE)</f>
        <v>GS Pineraies des plaines du Centre et du Nord Ouest</v>
      </c>
      <c r="BJ85" s="135">
        <f t="shared" si="26"/>
        <v>56</v>
      </c>
      <c r="BK85" s="135" t="str">
        <f t="shared" si="28"/>
        <v>Pin sylvestre_F2_Eclaircie précoce_GS Pineraies des plaines du Centre et du Nord Ouest_56_</v>
      </c>
      <c r="BL85" s="319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97" t="str">
        <f>+VLOOKUP(G85,Liste!$A$7:$H$69,8,FALSE)</f>
        <v>Résineux</v>
      </c>
      <c r="BU85" s="297">
        <f t="shared" si="29"/>
        <v>0</v>
      </c>
      <c r="BV85" s="299">
        <f t="shared" si="30"/>
        <v>1</v>
      </c>
      <c r="BW85" s="318">
        <v>0</v>
      </c>
      <c r="BX85" s="297">
        <f t="shared" si="31"/>
        <v>0.43</v>
      </c>
      <c r="BY85">
        <f t="shared" si="32"/>
        <v>0</v>
      </c>
      <c r="BZ85" s="303">
        <f t="shared" si="33"/>
        <v>0</v>
      </c>
      <c r="CB85" s="298">
        <v>0.6</v>
      </c>
      <c r="CC85" s="298">
        <v>0.4</v>
      </c>
      <c r="CD85">
        <f t="shared" si="34"/>
        <v>0</v>
      </c>
      <c r="CE85">
        <f t="shared" si="35"/>
        <v>0</v>
      </c>
      <c r="CF85">
        <f t="shared" si="36"/>
        <v>0</v>
      </c>
      <c r="CG85">
        <f t="shared" si="37"/>
        <v>0</v>
      </c>
      <c r="CH85">
        <f t="shared" si="38"/>
        <v>0</v>
      </c>
      <c r="CI85">
        <f t="shared" si="39"/>
        <v>0</v>
      </c>
      <c r="CJ85">
        <f t="shared" si="40"/>
        <v>0</v>
      </c>
      <c r="CK85">
        <f t="shared" si="41"/>
        <v>0</v>
      </c>
      <c r="CL85">
        <f t="shared" si="42"/>
        <v>0</v>
      </c>
      <c r="CM85">
        <f t="shared" si="44"/>
        <v>0</v>
      </c>
      <c r="CN85">
        <f t="shared" si="43"/>
        <v>0</v>
      </c>
      <c r="CO85">
        <f t="shared" si="27"/>
        <v>0</v>
      </c>
    </row>
    <row r="86" spans="1:93" s="12" customFormat="1" ht="14.45" customHeight="1" x14ac:dyDescent="0.25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10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+VLOOKUP(G86,Liste!$A$7:$G$69,3,FALSE)</f>
        <v>Pin sylvestre</v>
      </c>
      <c r="BI86" s="96" t="str">
        <f>+VLOOKUP(H86,Liste!$B$7:$G$69,5,FALSE)</f>
        <v>GS Pineraies des plaines du Centre et du Nord Ouest</v>
      </c>
      <c r="BJ86" s="135">
        <f t="shared" si="26"/>
        <v>57</v>
      </c>
      <c r="BK86" s="135" t="str">
        <f t="shared" si="28"/>
        <v>Pin sylvestre_F2_Eclaircie précoce_GS Pineraies des plaines du Centre et du Nord Ouest_57_</v>
      </c>
      <c r="BL86" s="319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97" t="str">
        <f>+VLOOKUP(G86,Liste!$A$7:$H$69,8,FALSE)</f>
        <v>Résineux</v>
      </c>
      <c r="BU86" s="297">
        <f t="shared" si="29"/>
        <v>0</v>
      </c>
      <c r="BV86" s="299">
        <f t="shared" si="30"/>
        <v>1</v>
      </c>
      <c r="BW86" s="318">
        <v>0</v>
      </c>
      <c r="BX86" s="297">
        <f t="shared" si="31"/>
        <v>0.43</v>
      </c>
      <c r="BY86">
        <f t="shared" si="32"/>
        <v>0</v>
      </c>
      <c r="BZ86" s="303">
        <f t="shared" si="33"/>
        <v>0</v>
      </c>
      <c r="CB86" s="298">
        <v>0.6</v>
      </c>
      <c r="CC86" s="298">
        <v>0.4</v>
      </c>
      <c r="CD86">
        <f t="shared" si="34"/>
        <v>0</v>
      </c>
      <c r="CE86">
        <f t="shared" si="35"/>
        <v>0</v>
      </c>
      <c r="CF86">
        <f t="shared" si="36"/>
        <v>0</v>
      </c>
      <c r="CG86">
        <f t="shared" si="37"/>
        <v>0</v>
      </c>
      <c r="CH86">
        <f t="shared" si="38"/>
        <v>0</v>
      </c>
      <c r="CI86">
        <f t="shared" si="39"/>
        <v>0</v>
      </c>
      <c r="CJ86">
        <f t="shared" si="40"/>
        <v>0</v>
      </c>
      <c r="CK86">
        <f t="shared" si="41"/>
        <v>0</v>
      </c>
      <c r="CL86">
        <f t="shared" si="42"/>
        <v>0</v>
      </c>
      <c r="CM86">
        <f t="shared" si="44"/>
        <v>0</v>
      </c>
      <c r="CN86">
        <f t="shared" si="43"/>
        <v>0</v>
      </c>
      <c r="CO86">
        <f t="shared" si="27"/>
        <v>0</v>
      </c>
    </row>
    <row r="87" spans="1:93" s="12" customFormat="1" ht="14.45" customHeight="1" x14ac:dyDescent="0.25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10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+VLOOKUP(G87,Liste!$A$7:$G$69,3,FALSE)</f>
        <v>Pin sylvestre</v>
      </c>
      <c r="BI87" s="96" t="str">
        <f>+VLOOKUP(H87,Liste!$B$7:$G$69,5,FALSE)</f>
        <v>GS Pineraies des plaines du Centre et du Nord Ouest</v>
      </c>
      <c r="BJ87" s="135">
        <f t="shared" si="26"/>
        <v>58</v>
      </c>
      <c r="BK87" s="135" t="str">
        <f t="shared" si="28"/>
        <v>Pin sylvestre_F2_Eclaircie précoce_GS Pineraies des plaines du Centre et du Nord Ouest_58_</v>
      </c>
      <c r="BL87" s="319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97" t="str">
        <f>+VLOOKUP(G87,Liste!$A$7:$H$69,8,FALSE)</f>
        <v>Résineux</v>
      </c>
      <c r="BU87" s="297">
        <f t="shared" si="29"/>
        <v>0</v>
      </c>
      <c r="BV87" s="299">
        <f t="shared" si="30"/>
        <v>1</v>
      </c>
      <c r="BW87" s="318">
        <v>0</v>
      </c>
      <c r="BX87" s="297">
        <f t="shared" si="31"/>
        <v>0.43</v>
      </c>
      <c r="BY87">
        <f t="shared" si="32"/>
        <v>0</v>
      </c>
      <c r="BZ87" s="303">
        <f t="shared" si="33"/>
        <v>0</v>
      </c>
      <c r="CB87" s="298">
        <v>0.6</v>
      </c>
      <c r="CC87" s="298">
        <v>0.4</v>
      </c>
      <c r="CD87">
        <f t="shared" si="34"/>
        <v>0</v>
      </c>
      <c r="CE87">
        <f t="shared" si="35"/>
        <v>0</v>
      </c>
      <c r="CF87">
        <f t="shared" si="36"/>
        <v>0</v>
      </c>
      <c r="CG87">
        <f t="shared" si="37"/>
        <v>0</v>
      </c>
      <c r="CH87">
        <f t="shared" si="38"/>
        <v>0</v>
      </c>
      <c r="CI87">
        <f t="shared" si="39"/>
        <v>0</v>
      </c>
      <c r="CJ87">
        <f t="shared" si="40"/>
        <v>0</v>
      </c>
      <c r="CK87">
        <f t="shared" si="41"/>
        <v>0</v>
      </c>
      <c r="CL87">
        <f t="shared" si="42"/>
        <v>0</v>
      </c>
      <c r="CM87">
        <f t="shared" si="44"/>
        <v>0</v>
      </c>
      <c r="CN87">
        <f t="shared" si="43"/>
        <v>0</v>
      </c>
      <c r="CO87">
        <f t="shared" si="27"/>
        <v>0</v>
      </c>
    </row>
    <row r="88" spans="1:93" s="12" customFormat="1" ht="14.45" customHeight="1" x14ac:dyDescent="0.25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10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+VLOOKUP(G88,Liste!$A$7:$G$69,3,FALSE)</f>
        <v>Pin sylvestre</v>
      </c>
      <c r="BI88" s="96" t="str">
        <f>+VLOOKUP(H88,Liste!$B$7:$G$69,5,FALSE)</f>
        <v>GS Pineraies des plaines du Centre et du Nord Ouest</v>
      </c>
      <c r="BJ88" s="135">
        <f t="shared" si="26"/>
        <v>59</v>
      </c>
      <c r="BK88" s="135" t="str">
        <f t="shared" si="28"/>
        <v>Pin sylvestre_F2_Eclaircie précoce_GS Pineraies des plaines du Centre et du Nord Ouest_59_</v>
      </c>
      <c r="BL88" s="319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97" t="str">
        <f>+VLOOKUP(G88,Liste!$A$7:$H$69,8,FALSE)</f>
        <v>Résineux</v>
      </c>
      <c r="BU88" s="297">
        <f t="shared" si="29"/>
        <v>0</v>
      </c>
      <c r="BV88" s="299">
        <f t="shared" si="30"/>
        <v>1</v>
      </c>
      <c r="BW88" s="318">
        <v>0</v>
      </c>
      <c r="BX88" s="297">
        <f t="shared" si="31"/>
        <v>0.43</v>
      </c>
      <c r="BY88">
        <f t="shared" si="32"/>
        <v>0</v>
      </c>
      <c r="BZ88" s="303">
        <f t="shared" si="33"/>
        <v>0</v>
      </c>
      <c r="CB88" s="298">
        <v>0.6</v>
      </c>
      <c r="CC88" s="298">
        <v>0.4</v>
      </c>
      <c r="CD88">
        <f t="shared" si="34"/>
        <v>0</v>
      </c>
      <c r="CE88">
        <f t="shared" si="35"/>
        <v>0</v>
      </c>
      <c r="CF88">
        <f t="shared" si="36"/>
        <v>0</v>
      </c>
      <c r="CG88">
        <f t="shared" si="37"/>
        <v>0</v>
      </c>
      <c r="CH88">
        <f t="shared" si="38"/>
        <v>0</v>
      </c>
      <c r="CI88">
        <f t="shared" si="39"/>
        <v>0</v>
      </c>
      <c r="CJ88">
        <f t="shared" si="40"/>
        <v>0</v>
      </c>
      <c r="CK88">
        <f t="shared" si="41"/>
        <v>0</v>
      </c>
      <c r="CL88">
        <f t="shared" si="42"/>
        <v>0</v>
      </c>
      <c r="CM88">
        <f t="shared" si="44"/>
        <v>0</v>
      </c>
      <c r="CN88">
        <f t="shared" si="43"/>
        <v>0</v>
      </c>
      <c r="CO88">
        <f t="shared" si="27"/>
        <v>0</v>
      </c>
    </row>
    <row r="89" spans="1:93" s="12" customFormat="1" ht="14.45" customHeight="1" x14ac:dyDescent="0.25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10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+VLOOKUP(G89,Liste!$A$7:$G$69,3,FALSE)</f>
        <v>Pin sylvestre</v>
      </c>
      <c r="BI89" s="96" t="str">
        <f>+VLOOKUP(H89,Liste!$B$7:$G$69,5,FALSE)</f>
        <v>GS Pineraies des plaines du Centre et du Nord Ouest</v>
      </c>
      <c r="BJ89" s="135">
        <f t="shared" si="26"/>
        <v>60</v>
      </c>
      <c r="BK89" s="135" t="str">
        <f t="shared" si="28"/>
        <v>Pin sylvestre_F2_Eclaircie précoce_GS Pineraies des plaines du Centre et du Nord Ouest_60_</v>
      </c>
      <c r="BL89" s="319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97" t="str">
        <f>+VLOOKUP(G89,Liste!$A$7:$H$69,8,FALSE)</f>
        <v>Résineux</v>
      </c>
      <c r="BU89" s="297">
        <f t="shared" si="29"/>
        <v>0</v>
      </c>
      <c r="BV89" s="299">
        <f t="shared" si="30"/>
        <v>1</v>
      </c>
      <c r="BW89" s="318">
        <v>0</v>
      </c>
      <c r="BX89" s="297">
        <f t="shared" si="31"/>
        <v>0.43</v>
      </c>
      <c r="BY89">
        <f t="shared" si="32"/>
        <v>0</v>
      </c>
      <c r="BZ89" s="303">
        <f t="shared" si="33"/>
        <v>0</v>
      </c>
      <c r="CB89" s="298">
        <v>0.6</v>
      </c>
      <c r="CC89" s="298">
        <v>0.4</v>
      </c>
      <c r="CD89">
        <f t="shared" si="34"/>
        <v>0</v>
      </c>
      <c r="CE89">
        <f t="shared" si="35"/>
        <v>0</v>
      </c>
      <c r="CF89">
        <f t="shared" si="36"/>
        <v>0</v>
      </c>
      <c r="CG89">
        <f t="shared" si="37"/>
        <v>0</v>
      </c>
      <c r="CH89">
        <f t="shared" si="38"/>
        <v>0</v>
      </c>
      <c r="CI89">
        <f t="shared" si="39"/>
        <v>0</v>
      </c>
      <c r="CJ89">
        <f t="shared" si="40"/>
        <v>0</v>
      </c>
      <c r="CK89">
        <f t="shared" si="41"/>
        <v>0</v>
      </c>
      <c r="CL89">
        <f t="shared" si="42"/>
        <v>0</v>
      </c>
      <c r="CM89">
        <f t="shared" si="44"/>
        <v>0</v>
      </c>
      <c r="CN89">
        <f t="shared" si="43"/>
        <v>0</v>
      </c>
      <c r="CO89">
        <f t="shared" si="27"/>
        <v>0</v>
      </c>
    </row>
    <row r="90" spans="1:93" s="12" customFormat="1" ht="14.45" customHeight="1" x14ac:dyDescent="0.25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10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+VLOOKUP(G90,Liste!$A$7:$G$69,3,FALSE)</f>
        <v>Pin sylvestre</v>
      </c>
      <c r="BI90" s="96" t="str">
        <f>+VLOOKUP(H90,Liste!$B$7:$G$69,5,FALSE)</f>
        <v>GS Pineraies des plaines du Centre et du Nord Ouest</v>
      </c>
      <c r="BJ90" s="135">
        <f t="shared" si="26"/>
        <v>61</v>
      </c>
      <c r="BK90" s="135" t="str">
        <f t="shared" si="28"/>
        <v>Pin sylvestre_F2_Eclaircie précoce_GS Pineraies des plaines du Centre et du Nord Ouest_61_</v>
      </c>
      <c r="BL90" s="319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97" t="str">
        <f>+VLOOKUP(G90,Liste!$A$7:$H$69,8,FALSE)</f>
        <v>Résineux</v>
      </c>
      <c r="BU90" s="297">
        <f t="shared" si="29"/>
        <v>0</v>
      </c>
      <c r="BV90" s="299">
        <f t="shared" si="30"/>
        <v>1</v>
      </c>
      <c r="BW90" s="318">
        <v>0</v>
      </c>
      <c r="BX90" s="297">
        <f t="shared" si="31"/>
        <v>0.43</v>
      </c>
      <c r="BY90">
        <f t="shared" si="32"/>
        <v>0</v>
      </c>
      <c r="BZ90" s="303">
        <f t="shared" si="33"/>
        <v>0</v>
      </c>
      <c r="CB90" s="298">
        <v>0.6</v>
      </c>
      <c r="CC90" s="298">
        <v>0.4</v>
      </c>
      <c r="CD90">
        <f t="shared" si="34"/>
        <v>0</v>
      </c>
      <c r="CE90">
        <f t="shared" si="35"/>
        <v>0</v>
      </c>
      <c r="CF90">
        <f t="shared" si="36"/>
        <v>0</v>
      </c>
      <c r="CG90">
        <f t="shared" si="37"/>
        <v>0</v>
      </c>
      <c r="CH90">
        <f t="shared" si="38"/>
        <v>0</v>
      </c>
      <c r="CI90">
        <f t="shared" si="39"/>
        <v>0</v>
      </c>
      <c r="CJ90">
        <f t="shared" si="40"/>
        <v>0</v>
      </c>
      <c r="CK90">
        <f t="shared" si="41"/>
        <v>0</v>
      </c>
      <c r="CL90">
        <f t="shared" si="42"/>
        <v>0</v>
      </c>
      <c r="CM90">
        <f t="shared" si="44"/>
        <v>0</v>
      </c>
      <c r="CN90">
        <f t="shared" si="43"/>
        <v>0</v>
      </c>
      <c r="CO90">
        <f t="shared" si="27"/>
        <v>0</v>
      </c>
    </row>
    <row r="91" spans="1:93" s="12" customFormat="1" ht="14.45" customHeight="1" x14ac:dyDescent="0.25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10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+VLOOKUP(G91,Liste!$A$7:$G$69,3,FALSE)</f>
        <v>Pin sylvestre</v>
      </c>
      <c r="BI91" s="96" t="str">
        <f>+VLOOKUP(H91,Liste!$B$7:$G$69,5,FALSE)</f>
        <v>GS Pineraies des plaines du Centre et du Nord Ouest</v>
      </c>
      <c r="BJ91" s="135">
        <f t="shared" si="26"/>
        <v>62</v>
      </c>
      <c r="BK91" s="135" t="str">
        <f t="shared" si="28"/>
        <v>Pin sylvestre_F2_Eclaircie précoce_GS Pineraies des plaines du Centre et du Nord Ouest_62_</v>
      </c>
      <c r="BL91" s="319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97" t="str">
        <f>+VLOOKUP(G91,Liste!$A$7:$H$69,8,FALSE)</f>
        <v>Résineux</v>
      </c>
      <c r="BU91" s="297">
        <f t="shared" si="29"/>
        <v>0</v>
      </c>
      <c r="BV91" s="299">
        <f t="shared" si="30"/>
        <v>1</v>
      </c>
      <c r="BW91" s="318">
        <v>0</v>
      </c>
      <c r="BX91" s="297">
        <f t="shared" si="31"/>
        <v>0.43</v>
      </c>
      <c r="BY91">
        <f t="shared" si="32"/>
        <v>0</v>
      </c>
      <c r="BZ91" s="303">
        <f t="shared" si="33"/>
        <v>0</v>
      </c>
      <c r="CB91" s="298">
        <v>0.6</v>
      </c>
      <c r="CC91" s="298">
        <v>0.4</v>
      </c>
      <c r="CD91">
        <f t="shared" si="34"/>
        <v>0</v>
      </c>
      <c r="CE91">
        <f t="shared" si="35"/>
        <v>0</v>
      </c>
      <c r="CF91">
        <f t="shared" si="36"/>
        <v>0</v>
      </c>
      <c r="CG91">
        <f t="shared" si="37"/>
        <v>0</v>
      </c>
      <c r="CH91">
        <f t="shared" si="38"/>
        <v>0</v>
      </c>
      <c r="CI91">
        <f t="shared" si="39"/>
        <v>0</v>
      </c>
      <c r="CJ91">
        <f t="shared" si="40"/>
        <v>0</v>
      </c>
      <c r="CK91">
        <f t="shared" si="41"/>
        <v>0</v>
      </c>
      <c r="CL91">
        <f t="shared" si="42"/>
        <v>0</v>
      </c>
      <c r="CM91">
        <f t="shared" si="44"/>
        <v>0</v>
      </c>
      <c r="CN91">
        <f t="shared" si="43"/>
        <v>0</v>
      </c>
      <c r="CO91">
        <f t="shared" si="27"/>
        <v>0</v>
      </c>
    </row>
    <row r="92" spans="1:93" s="12" customFormat="1" ht="14.45" customHeight="1" x14ac:dyDescent="0.25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10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+VLOOKUP(G92,Liste!$A$7:$G$69,3,FALSE)</f>
        <v>Pin sylvestre</v>
      </c>
      <c r="BI92" s="96" t="str">
        <f>+VLOOKUP(H92,Liste!$B$7:$G$69,5,FALSE)</f>
        <v>GS Pineraies des plaines du Centre et du Nord Ouest</v>
      </c>
      <c r="BJ92" s="135">
        <f t="shared" si="26"/>
        <v>63</v>
      </c>
      <c r="BK92" s="135" t="str">
        <f t="shared" si="28"/>
        <v>Pin sylvestre_F2_Eclaircie précoce_GS Pineraies des plaines du Centre et du Nord Ouest_63_</v>
      </c>
      <c r="BL92" s="319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97" t="str">
        <f>+VLOOKUP(G92,Liste!$A$7:$H$69,8,FALSE)</f>
        <v>Résineux</v>
      </c>
      <c r="BU92" s="297">
        <f t="shared" si="29"/>
        <v>0</v>
      </c>
      <c r="BV92" s="299">
        <f t="shared" si="30"/>
        <v>1</v>
      </c>
      <c r="BW92" s="318">
        <v>0</v>
      </c>
      <c r="BX92" s="297">
        <f t="shared" si="31"/>
        <v>0.43</v>
      </c>
      <c r="BY92">
        <f t="shared" si="32"/>
        <v>0</v>
      </c>
      <c r="BZ92" s="303">
        <f t="shared" si="33"/>
        <v>0</v>
      </c>
      <c r="CB92" s="298">
        <v>0.6</v>
      </c>
      <c r="CC92" s="298">
        <v>0.4</v>
      </c>
      <c r="CD92">
        <f t="shared" si="34"/>
        <v>0</v>
      </c>
      <c r="CE92">
        <f t="shared" si="35"/>
        <v>0</v>
      </c>
      <c r="CF92">
        <f t="shared" si="36"/>
        <v>0</v>
      </c>
      <c r="CG92">
        <f t="shared" si="37"/>
        <v>0</v>
      </c>
      <c r="CH92">
        <f t="shared" si="38"/>
        <v>0</v>
      </c>
      <c r="CI92">
        <f t="shared" si="39"/>
        <v>0</v>
      </c>
      <c r="CJ92">
        <f t="shared" si="40"/>
        <v>0</v>
      </c>
      <c r="CK92">
        <f t="shared" si="41"/>
        <v>0</v>
      </c>
      <c r="CL92">
        <f t="shared" si="42"/>
        <v>0</v>
      </c>
      <c r="CM92">
        <f t="shared" si="44"/>
        <v>0</v>
      </c>
      <c r="CN92">
        <f t="shared" si="43"/>
        <v>0</v>
      </c>
      <c r="CO92">
        <f t="shared" si="27"/>
        <v>0</v>
      </c>
    </row>
    <row r="93" spans="1:93" s="12" customFormat="1" ht="14.45" customHeight="1" x14ac:dyDescent="0.25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10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+VLOOKUP(G93,Liste!$A$7:$G$69,3,FALSE)</f>
        <v>Pin sylvestre</v>
      </c>
      <c r="BI93" s="96" t="str">
        <f>+VLOOKUP(H93,Liste!$B$7:$G$69,5,FALSE)</f>
        <v>GS Pineraies des plaines du Centre et du Nord Ouest</v>
      </c>
      <c r="BJ93" s="135">
        <f t="shared" si="26"/>
        <v>64</v>
      </c>
      <c r="BK93" s="135" t="str">
        <f t="shared" si="28"/>
        <v>Pin sylvestre_F2_Eclaircie précoce_GS Pineraies des plaines du Centre et du Nord Ouest_64_</v>
      </c>
      <c r="BL93" s="319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97" t="str">
        <f>+VLOOKUP(G93,Liste!$A$7:$H$69,8,FALSE)</f>
        <v>Résineux</v>
      </c>
      <c r="BU93" s="297">
        <f t="shared" si="29"/>
        <v>0</v>
      </c>
      <c r="BV93" s="299">
        <f t="shared" si="30"/>
        <v>1</v>
      </c>
      <c r="BW93" s="318">
        <v>0</v>
      </c>
      <c r="BX93" s="297">
        <f t="shared" si="31"/>
        <v>0.43</v>
      </c>
      <c r="BY93">
        <f t="shared" si="32"/>
        <v>0</v>
      </c>
      <c r="BZ93" s="303">
        <f t="shared" si="33"/>
        <v>0</v>
      </c>
      <c r="CB93" s="298">
        <v>0.6</v>
      </c>
      <c r="CC93" s="298">
        <v>0.4</v>
      </c>
      <c r="CD93">
        <f t="shared" si="34"/>
        <v>0</v>
      </c>
      <c r="CE93">
        <f t="shared" si="35"/>
        <v>0</v>
      </c>
      <c r="CF93">
        <f t="shared" si="36"/>
        <v>0</v>
      </c>
      <c r="CG93">
        <f t="shared" si="37"/>
        <v>0</v>
      </c>
      <c r="CH93">
        <f t="shared" si="38"/>
        <v>0</v>
      </c>
      <c r="CI93">
        <f t="shared" si="39"/>
        <v>0</v>
      </c>
      <c r="CJ93">
        <f t="shared" si="40"/>
        <v>0</v>
      </c>
      <c r="CK93">
        <f t="shared" si="41"/>
        <v>0</v>
      </c>
      <c r="CL93">
        <f t="shared" si="42"/>
        <v>0</v>
      </c>
      <c r="CM93">
        <f t="shared" si="44"/>
        <v>0</v>
      </c>
      <c r="CN93">
        <f t="shared" si="43"/>
        <v>0</v>
      </c>
      <c r="CO93">
        <f t="shared" si="27"/>
        <v>0</v>
      </c>
    </row>
    <row r="94" spans="1:93" s="12" customFormat="1" ht="14.45" customHeight="1" x14ac:dyDescent="0.25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10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+VLOOKUP(G94,Liste!$A$7:$G$69,3,FALSE)</f>
        <v>Pin sylvestre</v>
      </c>
      <c r="BI94" s="96" t="str">
        <f>+VLOOKUP(H94,Liste!$B$7:$G$69,5,FALSE)</f>
        <v>GS Pineraies des plaines du Centre et du Nord Ouest</v>
      </c>
      <c r="BJ94" s="135">
        <f t="shared" si="26"/>
        <v>65</v>
      </c>
      <c r="BK94" s="135" t="str">
        <f t="shared" si="28"/>
        <v>Pin sylvestre_F2_Eclaircie précoce_GS Pineraies des plaines du Centre et du Nord Ouest_65_</v>
      </c>
      <c r="BL94" s="319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97" t="str">
        <f>+VLOOKUP(G94,Liste!$A$7:$H$69,8,FALSE)</f>
        <v>Résineux</v>
      </c>
      <c r="BU94" s="297">
        <f t="shared" si="29"/>
        <v>0</v>
      </c>
      <c r="BV94" s="299">
        <f t="shared" si="30"/>
        <v>1</v>
      </c>
      <c r="BW94" s="318">
        <v>0</v>
      </c>
      <c r="BX94" s="297">
        <f t="shared" si="31"/>
        <v>0.43</v>
      </c>
      <c r="BY94">
        <f t="shared" si="32"/>
        <v>0</v>
      </c>
      <c r="BZ94" s="303">
        <f t="shared" si="33"/>
        <v>0</v>
      </c>
      <c r="CB94" s="298">
        <v>0.6</v>
      </c>
      <c r="CC94" s="298">
        <v>0.4</v>
      </c>
      <c r="CD94">
        <f t="shared" si="34"/>
        <v>0</v>
      </c>
      <c r="CE94">
        <f t="shared" si="35"/>
        <v>0</v>
      </c>
      <c r="CF94">
        <f t="shared" si="36"/>
        <v>0</v>
      </c>
      <c r="CG94">
        <f t="shared" si="37"/>
        <v>0</v>
      </c>
      <c r="CH94">
        <f t="shared" si="38"/>
        <v>0</v>
      </c>
      <c r="CI94">
        <f t="shared" si="39"/>
        <v>0</v>
      </c>
      <c r="CJ94">
        <f t="shared" si="40"/>
        <v>0</v>
      </c>
      <c r="CK94">
        <f t="shared" si="41"/>
        <v>0</v>
      </c>
      <c r="CL94">
        <f t="shared" si="42"/>
        <v>0</v>
      </c>
      <c r="CM94">
        <f t="shared" si="44"/>
        <v>0</v>
      </c>
      <c r="CN94">
        <f t="shared" si="43"/>
        <v>0</v>
      </c>
      <c r="CO94">
        <f t="shared" si="27"/>
        <v>0</v>
      </c>
    </row>
    <row r="95" spans="1:93" s="12" customFormat="1" ht="14.45" customHeight="1" x14ac:dyDescent="0.25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+VLOOKUP(G95,Liste!$A$7:$G$69,3,FALSE)</f>
        <v>Pin sylvestre</v>
      </c>
      <c r="BI95" s="96" t="str">
        <f>+VLOOKUP(H95,Liste!$B$7:$G$69,5,FALSE)</f>
        <v>GS Pineraies des plaines du Centre et du Nord Ouest</v>
      </c>
      <c r="BJ95" s="135">
        <f t="shared" si="26"/>
        <v>65</v>
      </c>
      <c r="BK95" s="135" t="str">
        <f t="shared" si="28"/>
        <v>Pin sylvestre_F2_Eclaircie précoce_GS Pineraies des plaines du Centre et du Nord Ouest_65_</v>
      </c>
      <c r="BL95" s="319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97" t="str">
        <f>+VLOOKUP(G95,Liste!$A$7:$H$69,8,FALSE)</f>
        <v>Résineux</v>
      </c>
      <c r="BU95" s="297">
        <f t="shared" si="29"/>
        <v>0</v>
      </c>
      <c r="BV95" s="299">
        <f t="shared" si="30"/>
        <v>1</v>
      </c>
      <c r="BW95" s="318">
        <v>0</v>
      </c>
      <c r="BX95" s="297">
        <f t="shared" si="31"/>
        <v>0.43</v>
      </c>
      <c r="BY95">
        <f t="shared" si="32"/>
        <v>0</v>
      </c>
      <c r="BZ95" s="303">
        <f t="shared" si="33"/>
        <v>0</v>
      </c>
      <c r="CB95" s="298">
        <v>0.6</v>
      </c>
      <c r="CC95" s="298">
        <v>0.4</v>
      </c>
      <c r="CD95">
        <f t="shared" si="34"/>
        <v>0</v>
      </c>
      <c r="CE95">
        <f t="shared" si="35"/>
        <v>0</v>
      </c>
      <c r="CF95">
        <f t="shared" si="36"/>
        <v>0</v>
      </c>
      <c r="CG95">
        <f t="shared" si="37"/>
        <v>0</v>
      </c>
      <c r="CH95">
        <f t="shared" si="38"/>
        <v>0</v>
      </c>
      <c r="CI95">
        <f t="shared" si="39"/>
        <v>0</v>
      </c>
      <c r="CJ95">
        <f t="shared" si="40"/>
        <v>0</v>
      </c>
      <c r="CK95">
        <f t="shared" si="41"/>
        <v>0</v>
      </c>
      <c r="CL95">
        <f t="shared" si="42"/>
        <v>0</v>
      </c>
      <c r="CM95">
        <f t="shared" si="44"/>
        <v>0</v>
      </c>
      <c r="CN95">
        <f t="shared" si="43"/>
        <v>0</v>
      </c>
      <c r="CO95">
        <f t="shared" si="27"/>
        <v>0</v>
      </c>
    </row>
    <row r="96" spans="1:93" s="12" customFormat="1" ht="14.45" customHeight="1" x14ac:dyDescent="0.25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10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+VLOOKUP(G96,Liste!$A$7:$G$69,3,FALSE)</f>
        <v>Pin sylvestre</v>
      </c>
      <c r="BI96" s="96" t="str">
        <f>+VLOOKUP(H96,Liste!$B$7:$G$69,5,FALSE)</f>
        <v>GS Pineraies des plaines du Centre et du Nord Ouest</v>
      </c>
      <c r="BJ96" s="135">
        <f t="shared" si="26"/>
        <v>66</v>
      </c>
      <c r="BK96" s="135" t="str">
        <f t="shared" si="28"/>
        <v>Pin sylvestre_F2_Eclaircie précoce_GS Pineraies des plaines du Centre et du Nord Ouest_66_</v>
      </c>
      <c r="BL96" s="319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97" t="str">
        <f>+VLOOKUP(G96,Liste!$A$7:$H$69,8,FALSE)</f>
        <v>Résineux</v>
      </c>
      <c r="BU96" s="297">
        <f t="shared" si="29"/>
        <v>0</v>
      </c>
      <c r="BV96" s="299">
        <f t="shared" si="30"/>
        <v>1</v>
      </c>
      <c r="BW96" s="318">
        <v>0</v>
      </c>
      <c r="BX96" s="297">
        <f t="shared" si="31"/>
        <v>0.43</v>
      </c>
      <c r="BY96">
        <f t="shared" si="32"/>
        <v>0</v>
      </c>
      <c r="BZ96" s="303">
        <f t="shared" si="33"/>
        <v>0</v>
      </c>
      <c r="CB96" s="298">
        <v>0.6</v>
      </c>
      <c r="CC96" s="298">
        <v>0.4</v>
      </c>
      <c r="CD96">
        <f t="shared" si="34"/>
        <v>0</v>
      </c>
      <c r="CE96">
        <f t="shared" si="35"/>
        <v>0</v>
      </c>
      <c r="CF96">
        <f t="shared" si="36"/>
        <v>0</v>
      </c>
      <c r="CG96">
        <f t="shared" si="37"/>
        <v>0</v>
      </c>
      <c r="CH96">
        <f t="shared" si="38"/>
        <v>0</v>
      </c>
      <c r="CI96">
        <f t="shared" si="39"/>
        <v>0</v>
      </c>
      <c r="CJ96">
        <f t="shared" si="40"/>
        <v>0</v>
      </c>
      <c r="CK96">
        <f t="shared" si="41"/>
        <v>0</v>
      </c>
      <c r="CL96">
        <f t="shared" si="42"/>
        <v>0</v>
      </c>
      <c r="CM96">
        <f t="shared" si="44"/>
        <v>0</v>
      </c>
      <c r="CN96">
        <f t="shared" si="43"/>
        <v>0</v>
      </c>
      <c r="CO96">
        <f t="shared" si="27"/>
        <v>0</v>
      </c>
    </row>
    <row r="97" spans="1:93" s="12" customFormat="1" ht="14.45" customHeight="1" x14ac:dyDescent="0.25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10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+VLOOKUP(G97,Liste!$A$7:$G$69,3,FALSE)</f>
        <v>Pin sylvestre</v>
      </c>
      <c r="BI97" s="96" t="str">
        <f>+VLOOKUP(H97,Liste!$B$7:$G$69,5,FALSE)</f>
        <v>GS Pineraies des plaines du Centre et du Nord Ouest</v>
      </c>
      <c r="BJ97" s="135">
        <f t="shared" si="26"/>
        <v>67</v>
      </c>
      <c r="BK97" s="135" t="str">
        <f t="shared" si="28"/>
        <v>Pin sylvestre_F2_Eclaircie précoce_GS Pineraies des plaines du Centre et du Nord Ouest_67_</v>
      </c>
      <c r="BL97" s="319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97" t="str">
        <f>+VLOOKUP(G97,Liste!$A$7:$H$69,8,FALSE)</f>
        <v>Résineux</v>
      </c>
      <c r="BU97" s="297">
        <f t="shared" si="29"/>
        <v>0</v>
      </c>
      <c r="BV97" s="299">
        <f t="shared" si="30"/>
        <v>1</v>
      </c>
      <c r="BW97" s="318">
        <v>0</v>
      </c>
      <c r="BX97" s="297">
        <f t="shared" si="31"/>
        <v>0.43</v>
      </c>
      <c r="BY97">
        <f t="shared" si="32"/>
        <v>0</v>
      </c>
      <c r="BZ97" s="303">
        <f t="shared" si="33"/>
        <v>0</v>
      </c>
      <c r="CB97" s="298">
        <v>0.6</v>
      </c>
      <c r="CC97" s="298">
        <v>0.4</v>
      </c>
      <c r="CD97">
        <f t="shared" si="34"/>
        <v>0</v>
      </c>
      <c r="CE97">
        <f t="shared" si="35"/>
        <v>0</v>
      </c>
      <c r="CF97">
        <f t="shared" si="36"/>
        <v>0</v>
      </c>
      <c r="CG97">
        <f t="shared" si="37"/>
        <v>0</v>
      </c>
      <c r="CH97">
        <f t="shared" si="38"/>
        <v>0</v>
      </c>
      <c r="CI97">
        <f t="shared" si="39"/>
        <v>0</v>
      </c>
      <c r="CJ97">
        <f t="shared" si="40"/>
        <v>0</v>
      </c>
      <c r="CK97">
        <f t="shared" si="41"/>
        <v>0</v>
      </c>
      <c r="CL97">
        <f t="shared" si="42"/>
        <v>0</v>
      </c>
      <c r="CM97">
        <f t="shared" si="44"/>
        <v>0</v>
      </c>
      <c r="CN97">
        <f t="shared" si="43"/>
        <v>0</v>
      </c>
      <c r="CO97">
        <f t="shared" si="27"/>
        <v>0</v>
      </c>
    </row>
    <row r="98" spans="1:93" s="12" customFormat="1" ht="14.45" customHeight="1" x14ac:dyDescent="0.25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10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+VLOOKUP(G98,Liste!$A$7:$G$69,3,FALSE)</f>
        <v>Pin sylvestre</v>
      </c>
      <c r="BI98" s="96" t="str">
        <f>+VLOOKUP(H98,Liste!$B$7:$G$69,5,FALSE)</f>
        <v>GS Pineraies des plaines du Centre et du Nord Ouest</v>
      </c>
      <c r="BJ98" s="135">
        <f t="shared" si="26"/>
        <v>68</v>
      </c>
      <c r="BK98" s="135" t="str">
        <f t="shared" si="28"/>
        <v>Pin sylvestre_F2_Eclaircie précoce_GS Pineraies des plaines du Centre et du Nord Ouest_68_</v>
      </c>
      <c r="BL98" s="319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97" t="str">
        <f>+VLOOKUP(G98,Liste!$A$7:$H$69,8,FALSE)</f>
        <v>Résineux</v>
      </c>
      <c r="BU98" s="297">
        <f t="shared" si="29"/>
        <v>0</v>
      </c>
      <c r="BV98" s="299">
        <f t="shared" si="30"/>
        <v>1</v>
      </c>
      <c r="BW98" s="318">
        <v>0</v>
      </c>
      <c r="BX98" s="297">
        <f t="shared" si="31"/>
        <v>0.43</v>
      </c>
      <c r="BY98">
        <f t="shared" si="32"/>
        <v>0</v>
      </c>
      <c r="BZ98" s="303">
        <f t="shared" si="33"/>
        <v>0</v>
      </c>
      <c r="CB98" s="298">
        <v>0.6</v>
      </c>
      <c r="CC98" s="298">
        <v>0.4</v>
      </c>
      <c r="CD98">
        <f t="shared" si="34"/>
        <v>0</v>
      </c>
      <c r="CE98">
        <f t="shared" si="35"/>
        <v>0</v>
      </c>
      <c r="CF98">
        <f t="shared" si="36"/>
        <v>0</v>
      </c>
      <c r="CG98">
        <f t="shared" si="37"/>
        <v>0</v>
      </c>
      <c r="CH98">
        <f t="shared" si="38"/>
        <v>0</v>
      </c>
      <c r="CI98">
        <f t="shared" si="39"/>
        <v>0</v>
      </c>
      <c r="CJ98">
        <f t="shared" si="40"/>
        <v>0</v>
      </c>
      <c r="CK98">
        <f t="shared" si="41"/>
        <v>0</v>
      </c>
      <c r="CL98">
        <f t="shared" si="42"/>
        <v>0</v>
      </c>
      <c r="CM98">
        <f t="shared" si="44"/>
        <v>0</v>
      </c>
      <c r="CN98">
        <f t="shared" si="43"/>
        <v>0</v>
      </c>
      <c r="CO98">
        <f t="shared" si="27"/>
        <v>0</v>
      </c>
    </row>
    <row r="99" spans="1:93" s="12" customFormat="1" ht="14.45" customHeight="1" x14ac:dyDescent="0.25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10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+VLOOKUP(G99,Liste!$A$7:$G$69,3,FALSE)</f>
        <v>Pin sylvestre</v>
      </c>
      <c r="BI99" s="96" t="str">
        <f>+VLOOKUP(H99,Liste!$B$7:$G$69,5,FALSE)</f>
        <v>GS Pineraies des plaines du Centre et du Nord Ouest</v>
      </c>
      <c r="BJ99" s="135">
        <f t="shared" si="26"/>
        <v>69</v>
      </c>
      <c r="BK99" s="135" t="str">
        <f t="shared" si="28"/>
        <v>Pin sylvestre_F2_Eclaircie précoce_GS Pineraies des plaines du Centre et du Nord Ouest_69_</v>
      </c>
      <c r="BL99" s="319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97" t="str">
        <f>+VLOOKUP(G99,Liste!$A$7:$H$69,8,FALSE)</f>
        <v>Résineux</v>
      </c>
      <c r="BU99" s="297">
        <f t="shared" si="29"/>
        <v>0</v>
      </c>
      <c r="BV99" s="299">
        <f t="shared" si="30"/>
        <v>1</v>
      </c>
      <c r="BW99" s="318">
        <v>0</v>
      </c>
      <c r="BX99" s="297">
        <f t="shared" si="31"/>
        <v>0.43</v>
      </c>
      <c r="BY99">
        <f t="shared" si="32"/>
        <v>0</v>
      </c>
      <c r="BZ99" s="303">
        <f t="shared" si="33"/>
        <v>0</v>
      </c>
      <c r="CB99" s="298">
        <v>0.6</v>
      </c>
      <c r="CC99" s="298">
        <v>0.4</v>
      </c>
      <c r="CD99">
        <f t="shared" si="34"/>
        <v>0</v>
      </c>
      <c r="CE99">
        <f t="shared" si="35"/>
        <v>0</v>
      </c>
      <c r="CF99">
        <f t="shared" si="36"/>
        <v>0</v>
      </c>
      <c r="CG99">
        <f t="shared" si="37"/>
        <v>0</v>
      </c>
      <c r="CH99">
        <f t="shared" si="38"/>
        <v>0</v>
      </c>
      <c r="CI99">
        <f t="shared" si="39"/>
        <v>0</v>
      </c>
      <c r="CJ99">
        <f t="shared" si="40"/>
        <v>0</v>
      </c>
      <c r="CK99">
        <f t="shared" si="41"/>
        <v>0</v>
      </c>
      <c r="CL99">
        <f t="shared" si="42"/>
        <v>0</v>
      </c>
      <c r="CM99">
        <f t="shared" si="44"/>
        <v>0</v>
      </c>
      <c r="CN99">
        <f t="shared" si="43"/>
        <v>0</v>
      </c>
      <c r="CO99">
        <f t="shared" si="27"/>
        <v>0</v>
      </c>
    </row>
    <row r="100" spans="1:93" s="12" customFormat="1" ht="14.45" customHeight="1" x14ac:dyDescent="0.25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10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+VLOOKUP(G100,Liste!$A$7:$G$69,3,FALSE)</f>
        <v>Pin sylvestre</v>
      </c>
      <c r="BI100" s="96" t="str">
        <f>+VLOOKUP(H100,Liste!$B$7:$G$69,5,FALSE)</f>
        <v>GS Pineraies des plaines du Centre et du Nord Ouest</v>
      </c>
      <c r="BJ100" s="135">
        <f t="shared" si="26"/>
        <v>70</v>
      </c>
      <c r="BK100" s="135" t="str">
        <f t="shared" si="28"/>
        <v>Pin sylvestre_F2_Eclaircie précoce_GS Pineraies des plaines du Centre et du Nord Ouest_70_</v>
      </c>
      <c r="BL100" s="319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97" t="str">
        <f>+VLOOKUP(G100,Liste!$A$7:$H$69,8,FALSE)</f>
        <v>Résineux</v>
      </c>
      <c r="BU100" s="297">
        <f t="shared" si="29"/>
        <v>0</v>
      </c>
      <c r="BV100" s="299">
        <f t="shared" si="30"/>
        <v>1</v>
      </c>
      <c r="BW100" s="318">
        <v>0</v>
      </c>
      <c r="BX100" s="297">
        <f t="shared" si="31"/>
        <v>0.43</v>
      </c>
      <c r="BY100">
        <f t="shared" si="32"/>
        <v>0</v>
      </c>
      <c r="BZ100" s="303">
        <f t="shared" si="33"/>
        <v>0</v>
      </c>
      <c r="CB100" s="298">
        <v>0.6</v>
      </c>
      <c r="CC100" s="298">
        <v>0.4</v>
      </c>
      <c r="CD100">
        <f t="shared" si="34"/>
        <v>0</v>
      </c>
      <c r="CE100">
        <f t="shared" si="35"/>
        <v>0</v>
      </c>
      <c r="CF100">
        <f t="shared" si="36"/>
        <v>0</v>
      </c>
      <c r="CG100">
        <f t="shared" si="37"/>
        <v>0</v>
      </c>
      <c r="CH100">
        <f t="shared" si="38"/>
        <v>0</v>
      </c>
      <c r="CI100">
        <f t="shared" si="39"/>
        <v>0</v>
      </c>
      <c r="CJ100">
        <f t="shared" si="40"/>
        <v>0</v>
      </c>
      <c r="CK100">
        <f t="shared" si="41"/>
        <v>0</v>
      </c>
      <c r="CL100">
        <f t="shared" si="42"/>
        <v>0</v>
      </c>
      <c r="CM100">
        <f t="shared" si="44"/>
        <v>0</v>
      </c>
      <c r="CN100">
        <f t="shared" si="43"/>
        <v>0</v>
      </c>
      <c r="CO100">
        <f t="shared" si="27"/>
        <v>0</v>
      </c>
    </row>
    <row r="101" spans="1:93" s="12" customFormat="1" ht="14.45" customHeight="1" x14ac:dyDescent="0.25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10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+VLOOKUP(G101,Liste!$A$7:$G$69,3,FALSE)</f>
        <v>Pin sylvestre</v>
      </c>
      <c r="BI101" s="96" t="str">
        <f>+VLOOKUP(H101,Liste!$B$7:$G$69,5,FALSE)</f>
        <v>GS Pineraies des plaines du Centre et du Nord Ouest</v>
      </c>
      <c r="BJ101" s="135">
        <f t="shared" si="26"/>
        <v>71</v>
      </c>
      <c r="BK101" s="135" t="str">
        <f t="shared" si="28"/>
        <v>Pin sylvestre_F2_Eclaircie précoce_GS Pineraies des plaines du Centre et du Nord Ouest_71_</v>
      </c>
      <c r="BL101" s="319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97" t="str">
        <f>+VLOOKUP(G101,Liste!$A$7:$H$69,8,FALSE)</f>
        <v>Résineux</v>
      </c>
      <c r="BU101" s="297">
        <f t="shared" si="29"/>
        <v>0</v>
      </c>
      <c r="BV101" s="299">
        <f t="shared" si="30"/>
        <v>1</v>
      </c>
      <c r="BW101" s="318">
        <v>0</v>
      </c>
      <c r="BX101" s="297">
        <f t="shared" si="31"/>
        <v>0.43</v>
      </c>
      <c r="BY101">
        <f t="shared" si="32"/>
        <v>0</v>
      </c>
      <c r="BZ101" s="303">
        <f t="shared" si="33"/>
        <v>0</v>
      </c>
      <c r="CB101" s="298">
        <v>0.6</v>
      </c>
      <c r="CC101" s="298">
        <v>0.4</v>
      </c>
      <c r="CD101">
        <f t="shared" si="34"/>
        <v>0</v>
      </c>
      <c r="CE101">
        <f t="shared" si="35"/>
        <v>0</v>
      </c>
      <c r="CF101">
        <f t="shared" si="36"/>
        <v>0</v>
      </c>
      <c r="CG101">
        <f t="shared" si="37"/>
        <v>0</v>
      </c>
      <c r="CH101">
        <f t="shared" si="38"/>
        <v>0</v>
      </c>
      <c r="CI101">
        <f t="shared" si="39"/>
        <v>0</v>
      </c>
      <c r="CJ101">
        <f t="shared" si="40"/>
        <v>0</v>
      </c>
      <c r="CK101">
        <f t="shared" si="41"/>
        <v>0</v>
      </c>
      <c r="CL101">
        <f t="shared" si="42"/>
        <v>0</v>
      </c>
      <c r="CM101">
        <f t="shared" si="44"/>
        <v>0</v>
      </c>
      <c r="CN101">
        <f t="shared" si="43"/>
        <v>0</v>
      </c>
      <c r="CO101">
        <f t="shared" si="27"/>
        <v>0</v>
      </c>
    </row>
    <row r="102" spans="1:93" s="12" customFormat="1" ht="14.45" customHeight="1" x14ac:dyDescent="0.25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10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+VLOOKUP(G102,Liste!$A$7:$G$69,3,FALSE)</f>
        <v>Pin sylvestre</v>
      </c>
      <c r="BI102" s="96" t="str">
        <f>+VLOOKUP(H102,Liste!$B$7:$G$69,5,FALSE)</f>
        <v>GS Pineraies des plaines du Centre et du Nord Ouest</v>
      </c>
      <c r="BJ102" s="135">
        <f t="shared" si="26"/>
        <v>72</v>
      </c>
      <c r="BK102" s="135" t="str">
        <f t="shared" si="28"/>
        <v>Pin sylvestre_F2_Eclaircie précoce_GS Pineraies des plaines du Centre et du Nord Ouest_72_</v>
      </c>
      <c r="BL102" s="319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97" t="str">
        <f>+VLOOKUP(G102,Liste!$A$7:$H$69,8,FALSE)</f>
        <v>Résineux</v>
      </c>
      <c r="BU102" s="297">
        <f t="shared" si="29"/>
        <v>0</v>
      </c>
      <c r="BV102" s="299">
        <f t="shared" si="30"/>
        <v>1</v>
      </c>
      <c r="BW102" s="318">
        <v>0</v>
      </c>
      <c r="BX102" s="297">
        <f t="shared" si="31"/>
        <v>0.43</v>
      </c>
      <c r="BY102">
        <f t="shared" si="32"/>
        <v>0</v>
      </c>
      <c r="BZ102" s="303">
        <f t="shared" si="33"/>
        <v>0</v>
      </c>
      <c r="CB102" s="298">
        <v>0.6</v>
      </c>
      <c r="CC102" s="298">
        <v>0.4</v>
      </c>
      <c r="CD102">
        <f t="shared" si="34"/>
        <v>0</v>
      </c>
      <c r="CE102">
        <f t="shared" si="35"/>
        <v>0</v>
      </c>
      <c r="CF102">
        <f t="shared" si="36"/>
        <v>0</v>
      </c>
      <c r="CG102">
        <f t="shared" si="37"/>
        <v>0</v>
      </c>
      <c r="CH102">
        <f t="shared" si="38"/>
        <v>0</v>
      </c>
      <c r="CI102">
        <f t="shared" si="39"/>
        <v>0</v>
      </c>
      <c r="CJ102">
        <f t="shared" si="40"/>
        <v>0</v>
      </c>
      <c r="CK102">
        <f t="shared" si="41"/>
        <v>0</v>
      </c>
      <c r="CL102">
        <f t="shared" si="42"/>
        <v>0</v>
      </c>
      <c r="CM102">
        <f t="shared" si="44"/>
        <v>0</v>
      </c>
      <c r="CN102">
        <f t="shared" si="43"/>
        <v>0</v>
      </c>
      <c r="CO102">
        <f t="shared" si="27"/>
        <v>0</v>
      </c>
    </row>
    <row r="103" spans="1:93" s="12" customFormat="1" ht="14.45" customHeight="1" x14ac:dyDescent="0.25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10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+VLOOKUP(G103,Liste!$A$7:$G$69,3,FALSE)</f>
        <v>Pin sylvestre</v>
      </c>
      <c r="BI103" s="96" t="str">
        <f>+VLOOKUP(H103,Liste!$B$7:$G$69,5,FALSE)</f>
        <v>GS Pineraies des plaines du Centre et du Nord Ouest</v>
      </c>
      <c r="BJ103" s="135">
        <f t="shared" si="26"/>
        <v>73</v>
      </c>
      <c r="BK103" s="135" t="str">
        <f t="shared" si="28"/>
        <v>Pin sylvestre_F2_Eclaircie précoce_GS Pineraies des plaines du Centre et du Nord Ouest_73_</v>
      </c>
      <c r="BL103" s="319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97" t="str">
        <f>+VLOOKUP(G103,Liste!$A$7:$H$69,8,FALSE)</f>
        <v>Résineux</v>
      </c>
      <c r="BU103" s="297">
        <f t="shared" si="29"/>
        <v>0</v>
      </c>
      <c r="BV103" s="299">
        <f t="shared" si="30"/>
        <v>1</v>
      </c>
      <c r="BW103" s="318">
        <v>0</v>
      </c>
      <c r="BX103" s="297">
        <f t="shared" si="31"/>
        <v>0.43</v>
      </c>
      <c r="BY103">
        <f t="shared" si="32"/>
        <v>0</v>
      </c>
      <c r="BZ103" s="303">
        <f t="shared" si="33"/>
        <v>0</v>
      </c>
      <c r="CB103" s="298">
        <v>0.6</v>
      </c>
      <c r="CC103" s="298">
        <v>0.4</v>
      </c>
      <c r="CD103">
        <f t="shared" si="34"/>
        <v>0</v>
      </c>
      <c r="CE103">
        <f t="shared" si="35"/>
        <v>0</v>
      </c>
      <c r="CF103">
        <f t="shared" si="36"/>
        <v>0</v>
      </c>
      <c r="CG103">
        <f t="shared" si="37"/>
        <v>0</v>
      </c>
      <c r="CH103">
        <f t="shared" si="38"/>
        <v>0</v>
      </c>
      <c r="CI103">
        <f t="shared" si="39"/>
        <v>0</v>
      </c>
      <c r="CJ103">
        <f t="shared" si="40"/>
        <v>0</v>
      </c>
      <c r="CK103">
        <f t="shared" si="41"/>
        <v>0</v>
      </c>
      <c r="CL103">
        <f t="shared" si="42"/>
        <v>0</v>
      </c>
      <c r="CM103">
        <f t="shared" si="44"/>
        <v>0</v>
      </c>
      <c r="CN103">
        <f t="shared" si="43"/>
        <v>0</v>
      </c>
      <c r="CO103">
        <f t="shared" si="27"/>
        <v>0</v>
      </c>
    </row>
    <row r="104" spans="1:93" s="12" customFormat="1" ht="14.45" customHeight="1" x14ac:dyDescent="0.25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10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+VLOOKUP(G104,Liste!$A$7:$G$69,3,FALSE)</f>
        <v>Pin sylvestre</v>
      </c>
      <c r="BI104" s="96" t="str">
        <f>+VLOOKUP(H104,Liste!$B$7:$G$69,5,FALSE)</f>
        <v>GS Pineraies des plaines du Centre et du Nord Ouest</v>
      </c>
      <c r="BJ104" s="135">
        <f t="shared" si="26"/>
        <v>74</v>
      </c>
      <c r="BK104" s="135" t="str">
        <f t="shared" si="28"/>
        <v>Pin sylvestre_F2_Eclaircie précoce_GS Pineraies des plaines du Centre et du Nord Ouest_74_</v>
      </c>
      <c r="BL104" s="319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97" t="str">
        <f>+VLOOKUP(G104,Liste!$A$7:$H$69,8,FALSE)</f>
        <v>Résineux</v>
      </c>
      <c r="BU104" s="297">
        <f t="shared" si="29"/>
        <v>0</v>
      </c>
      <c r="BV104" s="299">
        <f t="shared" si="30"/>
        <v>1</v>
      </c>
      <c r="BW104" s="318">
        <v>0</v>
      </c>
      <c r="BX104" s="297">
        <f t="shared" si="31"/>
        <v>0.43</v>
      </c>
      <c r="BY104">
        <f t="shared" si="32"/>
        <v>0</v>
      </c>
      <c r="BZ104" s="303">
        <f t="shared" si="33"/>
        <v>0</v>
      </c>
      <c r="CB104" s="298">
        <v>0.6</v>
      </c>
      <c r="CC104" s="298">
        <v>0.4</v>
      </c>
      <c r="CD104">
        <f t="shared" si="34"/>
        <v>0</v>
      </c>
      <c r="CE104">
        <f t="shared" si="35"/>
        <v>0</v>
      </c>
      <c r="CF104">
        <f t="shared" si="36"/>
        <v>0</v>
      </c>
      <c r="CG104">
        <f t="shared" si="37"/>
        <v>0</v>
      </c>
      <c r="CH104">
        <f t="shared" si="38"/>
        <v>0</v>
      </c>
      <c r="CI104">
        <f t="shared" si="39"/>
        <v>0</v>
      </c>
      <c r="CJ104">
        <f t="shared" si="40"/>
        <v>0</v>
      </c>
      <c r="CK104">
        <f t="shared" si="41"/>
        <v>0</v>
      </c>
      <c r="CL104">
        <f t="shared" si="42"/>
        <v>0</v>
      </c>
      <c r="CM104">
        <f t="shared" si="44"/>
        <v>0</v>
      </c>
      <c r="CN104">
        <f t="shared" si="43"/>
        <v>0</v>
      </c>
      <c r="CO104">
        <f t="shared" si="27"/>
        <v>0</v>
      </c>
    </row>
    <row r="105" spans="1:93" s="12" customFormat="1" ht="14.45" customHeight="1" x14ac:dyDescent="0.25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+VLOOKUP(G105,Liste!$A$7:$G$69,3,FALSE)</f>
        <v>Pin sylvestre</v>
      </c>
      <c r="BI105" s="96" t="str">
        <f>+VLOOKUP(H105,Liste!$B$7:$G$69,5,FALSE)</f>
        <v>GS Pineraies des plaines du Centre et du Nord Ouest</v>
      </c>
      <c r="BJ105" s="135">
        <f t="shared" si="26"/>
        <v>74</v>
      </c>
      <c r="BK105" s="135" t="str">
        <f t="shared" si="28"/>
        <v>Pin sylvestre_F2_Eclaircie précoce_GS Pineraies des plaines du Centre et du Nord Ouest_74_</v>
      </c>
      <c r="BL105" s="319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97" t="str">
        <f>+VLOOKUP(G105,Liste!$A$7:$H$69,8,FALSE)</f>
        <v>Résineux</v>
      </c>
      <c r="BU105" s="297">
        <f t="shared" si="29"/>
        <v>0</v>
      </c>
      <c r="BV105" s="299">
        <f t="shared" si="30"/>
        <v>1</v>
      </c>
      <c r="BW105" s="318">
        <v>0</v>
      </c>
      <c r="BX105" s="297">
        <f t="shared" si="31"/>
        <v>0.43</v>
      </c>
      <c r="BY105">
        <f t="shared" si="32"/>
        <v>0</v>
      </c>
      <c r="BZ105" s="303">
        <f t="shared" si="33"/>
        <v>0</v>
      </c>
      <c r="CB105" s="298">
        <v>0.6</v>
      </c>
      <c r="CC105" s="298">
        <v>0.4</v>
      </c>
      <c r="CD105">
        <f t="shared" si="34"/>
        <v>0</v>
      </c>
      <c r="CE105">
        <f t="shared" si="35"/>
        <v>0</v>
      </c>
      <c r="CF105">
        <f t="shared" si="36"/>
        <v>0</v>
      </c>
      <c r="CG105">
        <f t="shared" si="37"/>
        <v>0</v>
      </c>
      <c r="CH105">
        <f t="shared" si="38"/>
        <v>0</v>
      </c>
      <c r="CI105">
        <f t="shared" si="39"/>
        <v>0</v>
      </c>
      <c r="CJ105">
        <f t="shared" si="40"/>
        <v>0</v>
      </c>
      <c r="CK105">
        <f t="shared" si="41"/>
        <v>0</v>
      </c>
      <c r="CL105">
        <f t="shared" si="42"/>
        <v>0</v>
      </c>
      <c r="CM105">
        <f t="shared" si="44"/>
        <v>0</v>
      </c>
      <c r="CN105">
        <f t="shared" si="43"/>
        <v>0</v>
      </c>
      <c r="CO105">
        <f t="shared" si="27"/>
        <v>0</v>
      </c>
    </row>
    <row r="106" spans="1:93" s="12" customFormat="1" ht="14.45" customHeight="1" x14ac:dyDescent="0.25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10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+VLOOKUP(G106,Liste!$A$7:$G$69,3,FALSE)</f>
        <v>Pin sylvestre</v>
      </c>
      <c r="BI106" s="96" t="str">
        <f>+VLOOKUP(H106,Liste!$B$7:$G$69,5,FALSE)</f>
        <v>GS Pineraies des plaines du Centre et du Nord Ouest</v>
      </c>
      <c r="BJ106" s="135">
        <f t="shared" si="26"/>
        <v>75</v>
      </c>
      <c r="BK106" s="135" t="str">
        <f t="shared" si="28"/>
        <v>Pin sylvestre_F2_Eclaircie précoce_GS Pineraies des plaines du Centre et du Nord Ouest_75_</v>
      </c>
      <c r="BL106" s="319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97" t="str">
        <f>+VLOOKUP(G106,Liste!$A$7:$H$69,8,FALSE)</f>
        <v>Résineux</v>
      </c>
      <c r="BU106" s="297">
        <f t="shared" si="29"/>
        <v>0</v>
      </c>
      <c r="BV106" s="299">
        <f t="shared" si="30"/>
        <v>1</v>
      </c>
      <c r="BW106" s="318">
        <v>0</v>
      </c>
      <c r="BX106" s="297">
        <f t="shared" si="31"/>
        <v>0.43</v>
      </c>
      <c r="BY106">
        <f t="shared" si="32"/>
        <v>0</v>
      </c>
      <c r="BZ106" s="303">
        <f t="shared" si="33"/>
        <v>0</v>
      </c>
      <c r="CB106" s="298">
        <v>0.6</v>
      </c>
      <c r="CC106" s="298">
        <v>0.4</v>
      </c>
      <c r="CD106">
        <f t="shared" si="34"/>
        <v>0</v>
      </c>
      <c r="CE106">
        <f t="shared" si="35"/>
        <v>0</v>
      </c>
      <c r="CF106">
        <f t="shared" si="36"/>
        <v>0</v>
      </c>
      <c r="CG106">
        <f t="shared" si="37"/>
        <v>0</v>
      </c>
      <c r="CH106">
        <f t="shared" si="38"/>
        <v>0</v>
      </c>
      <c r="CI106">
        <f t="shared" si="39"/>
        <v>0</v>
      </c>
      <c r="CJ106">
        <f t="shared" si="40"/>
        <v>0</v>
      </c>
      <c r="CK106">
        <f t="shared" si="41"/>
        <v>0</v>
      </c>
      <c r="CL106">
        <f t="shared" si="42"/>
        <v>0</v>
      </c>
      <c r="CM106">
        <f t="shared" si="44"/>
        <v>0</v>
      </c>
      <c r="CN106">
        <f t="shared" si="43"/>
        <v>0</v>
      </c>
      <c r="CO106">
        <f t="shared" si="27"/>
        <v>0</v>
      </c>
    </row>
    <row r="107" spans="1:93" s="12" customFormat="1" ht="14.45" customHeight="1" x14ac:dyDescent="0.25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10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+VLOOKUP(G107,Liste!$A$7:$G$69,3,FALSE)</f>
        <v>Pin sylvestre</v>
      </c>
      <c r="BI107" s="96" t="str">
        <f>+VLOOKUP(H107,Liste!$B$7:$G$69,5,FALSE)</f>
        <v>GS Pineraies des plaines du Centre et du Nord Ouest</v>
      </c>
      <c r="BJ107" s="135">
        <f t="shared" si="26"/>
        <v>76</v>
      </c>
      <c r="BK107" s="135" t="str">
        <f t="shared" si="28"/>
        <v>Pin sylvestre_F2_Eclaircie précoce_GS Pineraies des plaines du Centre et du Nord Ouest_76_</v>
      </c>
      <c r="BL107" s="319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97" t="str">
        <f>+VLOOKUP(G107,Liste!$A$7:$H$69,8,FALSE)</f>
        <v>Résineux</v>
      </c>
      <c r="BU107" s="297">
        <f t="shared" si="29"/>
        <v>0</v>
      </c>
      <c r="BV107" s="299">
        <f t="shared" si="30"/>
        <v>1</v>
      </c>
      <c r="BW107" s="318">
        <v>0</v>
      </c>
      <c r="BX107" s="297">
        <f t="shared" si="31"/>
        <v>0.43</v>
      </c>
      <c r="BY107">
        <f t="shared" si="32"/>
        <v>0</v>
      </c>
      <c r="BZ107" s="303">
        <f t="shared" si="33"/>
        <v>0</v>
      </c>
      <c r="CB107" s="298">
        <v>0.6</v>
      </c>
      <c r="CC107" s="298">
        <v>0.4</v>
      </c>
      <c r="CD107">
        <f t="shared" si="34"/>
        <v>0</v>
      </c>
      <c r="CE107">
        <f t="shared" si="35"/>
        <v>0</v>
      </c>
      <c r="CF107">
        <f t="shared" si="36"/>
        <v>0</v>
      </c>
      <c r="CG107">
        <f t="shared" si="37"/>
        <v>0</v>
      </c>
      <c r="CH107">
        <f t="shared" si="38"/>
        <v>0</v>
      </c>
      <c r="CI107">
        <f t="shared" si="39"/>
        <v>0</v>
      </c>
      <c r="CJ107">
        <f t="shared" si="40"/>
        <v>0</v>
      </c>
      <c r="CK107">
        <f t="shared" si="41"/>
        <v>0</v>
      </c>
      <c r="CL107">
        <f t="shared" si="42"/>
        <v>0</v>
      </c>
      <c r="CM107">
        <f t="shared" si="44"/>
        <v>0</v>
      </c>
      <c r="CN107">
        <f t="shared" si="43"/>
        <v>0</v>
      </c>
      <c r="CO107">
        <f t="shared" si="27"/>
        <v>0</v>
      </c>
    </row>
    <row r="108" spans="1:93" s="12" customFormat="1" ht="14.45" customHeight="1" x14ac:dyDescent="0.25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10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+VLOOKUP(G108,Liste!$A$7:$G$69,3,FALSE)</f>
        <v>Pin sylvestre</v>
      </c>
      <c r="BI108" s="96" t="str">
        <f>+VLOOKUP(H108,Liste!$B$7:$G$69,5,FALSE)</f>
        <v>GS Pineraies des plaines du Centre et du Nord Ouest</v>
      </c>
      <c r="BJ108" s="135">
        <f t="shared" si="26"/>
        <v>77</v>
      </c>
      <c r="BK108" s="135" t="str">
        <f t="shared" si="28"/>
        <v>Pin sylvestre_F2_Eclaircie précoce_GS Pineraies des plaines du Centre et du Nord Ouest_77_</v>
      </c>
      <c r="BL108" s="319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97" t="str">
        <f>+VLOOKUP(G108,Liste!$A$7:$H$69,8,FALSE)</f>
        <v>Résineux</v>
      </c>
      <c r="BU108" s="297">
        <f t="shared" si="29"/>
        <v>0</v>
      </c>
      <c r="BV108" s="299">
        <f t="shared" si="30"/>
        <v>1</v>
      </c>
      <c r="BW108" s="318">
        <v>0</v>
      </c>
      <c r="BX108" s="297">
        <f t="shared" si="31"/>
        <v>0.43</v>
      </c>
      <c r="BY108">
        <f t="shared" si="32"/>
        <v>0</v>
      </c>
      <c r="BZ108" s="303">
        <f t="shared" si="33"/>
        <v>0</v>
      </c>
      <c r="CB108" s="298">
        <v>0.6</v>
      </c>
      <c r="CC108" s="298">
        <v>0.4</v>
      </c>
      <c r="CD108">
        <f t="shared" si="34"/>
        <v>0</v>
      </c>
      <c r="CE108">
        <f t="shared" si="35"/>
        <v>0</v>
      </c>
      <c r="CF108">
        <f t="shared" si="36"/>
        <v>0</v>
      </c>
      <c r="CG108">
        <f t="shared" si="37"/>
        <v>0</v>
      </c>
      <c r="CH108">
        <f t="shared" si="38"/>
        <v>0</v>
      </c>
      <c r="CI108">
        <f t="shared" si="39"/>
        <v>0</v>
      </c>
      <c r="CJ108">
        <f t="shared" si="40"/>
        <v>0</v>
      </c>
      <c r="CK108">
        <f t="shared" si="41"/>
        <v>0</v>
      </c>
      <c r="CL108">
        <f t="shared" si="42"/>
        <v>0</v>
      </c>
      <c r="CM108">
        <f t="shared" si="44"/>
        <v>0</v>
      </c>
      <c r="CN108">
        <f t="shared" si="43"/>
        <v>0</v>
      </c>
      <c r="CO108">
        <f t="shared" si="27"/>
        <v>0</v>
      </c>
    </row>
    <row r="109" spans="1:93" s="12" customFormat="1" ht="14.45" customHeight="1" x14ac:dyDescent="0.25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10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+VLOOKUP(G109,Liste!$A$7:$G$69,3,FALSE)</f>
        <v>Pin sylvestre</v>
      </c>
      <c r="BI109" s="96" t="str">
        <f>+VLOOKUP(H109,Liste!$B$7:$G$69,5,FALSE)</f>
        <v>GS Pineraies des plaines du Centre et du Nord Ouest</v>
      </c>
      <c r="BJ109" s="135">
        <f t="shared" si="26"/>
        <v>78</v>
      </c>
      <c r="BK109" s="135" t="str">
        <f t="shared" si="28"/>
        <v>Pin sylvestre_F2_Eclaircie précoce_GS Pineraies des plaines du Centre et du Nord Ouest_78_</v>
      </c>
      <c r="BL109" s="319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97" t="str">
        <f>+VLOOKUP(G109,Liste!$A$7:$H$69,8,FALSE)</f>
        <v>Résineux</v>
      </c>
      <c r="BU109" s="297">
        <f t="shared" si="29"/>
        <v>0</v>
      </c>
      <c r="BV109" s="299">
        <f t="shared" si="30"/>
        <v>1</v>
      </c>
      <c r="BW109" s="318">
        <v>0</v>
      </c>
      <c r="BX109" s="297">
        <f t="shared" si="31"/>
        <v>0.43</v>
      </c>
      <c r="BY109">
        <f t="shared" si="32"/>
        <v>0</v>
      </c>
      <c r="BZ109" s="303">
        <f t="shared" si="33"/>
        <v>0</v>
      </c>
      <c r="CB109" s="298">
        <v>0.6</v>
      </c>
      <c r="CC109" s="298">
        <v>0.4</v>
      </c>
      <c r="CD109">
        <f t="shared" si="34"/>
        <v>0</v>
      </c>
      <c r="CE109">
        <f t="shared" si="35"/>
        <v>0</v>
      </c>
      <c r="CF109">
        <f t="shared" si="36"/>
        <v>0</v>
      </c>
      <c r="CG109">
        <f t="shared" si="37"/>
        <v>0</v>
      </c>
      <c r="CH109">
        <f t="shared" si="38"/>
        <v>0</v>
      </c>
      <c r="CI109">
        <f t="shared" si="39"/>
        <v>0</v>
      </c>
      <c r="CJ109">
        <f t="shared" si="40"/>
        <v>0</v>
      </c>
      <c r="CK109">
        <f t="shared" si="41"/>
        <v>0</v>
      </c>
      <c r="CL109">
        <f t="shared" si="42"/>
        <v>0</v>
      </c>
      <c r="CM109">
        <f t="shared" si="44"/>
        <v>0</v>
      </c>
      <c r="CN109">
        <f t="shared" si="43"/>
        <v>0</v>
      </c>
      <c r="CO109">
        <f t="shared" si="27"/>
        <v>0</v>
      </c>
    </row>
    <row r="110" spans="1:93" s="12" customFormat="1" ht="14.45" customHeight="1" x14ac:dyDescent="0.25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10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+VLOOKUP(G110,Liste!$A$7:$G$69,3,FALSE)</f>
        <v>Pin sylvestre</v>
      </c>
      <c r="BI110" s="96" t="str">
        <f>+VLOOKUP(H110,Liste!$B$7:$G$69,5,FALSE)</f>
        <v>GS Pineraies des plaines du Centre et du Nord Ouest</v>
      </c>
      <c r="BJ110" s="135">
        <f t="shared" si="26"/>
        <v>79</v>
      </c>
      <c r="BK110" s="135" t="str">
        <f t="shared" si="28"/>
        <v>Pin sylvestre_F2_Eclaircie précoce_GS Pineraies des plaines du Centre et du Nord Ouest_79_</v>
      </c>
      <c r="BL110" s="319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97" t="str">
        <f>+VLOOKUP(G110,Liste!$A$7:$H$69,8,FALSE)</f>
        <v>Résineux</v>
      </c>
      <c r="BU110" s="297">
        <f t="shared" si="29"/>
        <v>0</v>
      </c>
      <c r="BV110" s="299">
        <f t="shared" si="30"/>
        <v>1</v>
      </c>
      <c r="BW110" s="318">
        <v>0</v>
      </c>
      <c r="BX110" s="297">
        <f t="shared" si="31"/>
        <v>0.43</v>
      </c>
      <c r="BY110">
        <f t="shared" si="32"/>
        <v>0</v>
      </c>
      <c r="BZ110" s="303">
        <f t="shared" si="33"/>
        <v>0</v>
      </c>
      <c r="CB110" s="298">
        <v>0.6</v>
      </c>
      <c r="CC110" s="298">
        <v>0.4</v>
      </c>
      <c r="CD110">
        <f t="shared" si="34"/>
        <v>0</v>
      </c>
      <c r="CE110">
        <f t="shared" si="35"/>
        <v>0</v>
      </c>
      <c r="CF110">
        <f t="shared" si="36"/>
        <v>0</v>
      </c>
      <c r="CG110">
        <f t="shared" si="37"/>
        <v>0</v>
      </c>
      <c r="CH110">
        <f t="shared" si="38"/>
        <v>0</v>
      </c>
      <c r="CI110">
        <f t="shared" si="39"/>
        <v>0</v>
      </c>
      <c r="CJ110">
        <f t="shared" si="40"/>
        <v>0</v>
      </c>
      <c r="CK110">
        <f t="shared" si="41"/>
        <v>0</v>
      </c>
      <c r="CL110">
        <f t="shared" si="42"/>
        <v>0</v>
      </c>
      <c r="CM110">
        <f t="shared" si="44"/>
        <v>0</v>
      </c>
      <c r="CN110">
        <f t="shared" si="43"/>
        <v>0</v>
      </c>
      <c r="CO110">
        <f t="shared" si="27"/>
        <v>0</v>
      </c>
    </row>
    <row r="111" spans="1:93" s="12" customFormat="1" ht="14.45" customHeight="1" x14ac:dyDescent="0.25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10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+VLOOKUP(G111,Liste!$A$7:$G$69,3,FALSE)</f>
        <v>Pin sylvestre</v>
      </c>
      <c r="BI111" s="96" t="str">
        <f>+VLOOKUP(H111,Liste!$B$7:$G$69,5,FALSE)</f>
        <v>GS Pineraies des plaines du Centre et du Nord Ouest</v>
      </c>
      <c r="BJ111" s="135">
        <f t="shared" si="26"/>
        <v>80</v>
      </c>
      <c r="BK111" s="135" t="str">
        <f t="shared" si="28"/>
        <v>Pin sylvestre_F2_Eclaircie précoce_GS Pineraies des plaines du Centre et du Nord Ouest_80_</v>
      </c>
      <c r="BL111" s="319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97" t="str">
        <f>+VLOOKUP(G111,Liste!$A$7:$H$69,8,FALSE)</f>
        <v>Résineux</v>
      </c>
      <c r="BU111" s="297">
        <f t="shared" si="29"/>
        <v>0</v>
      </c>
      <c r="BV111" s="299">
        <f t="shared" si="30"/>
        <v>1</v>
      </c>
      <c r="BW111" s="318">
        <v>0</v>
      </c>
      <c r="BX111" s="297">
        <f t="shared" si="31"/>
        <v>0.43</v>
      </c>
      <c r="BY111">
        <f t="shared" si="32"/>
        <v>0</v>
      </c>
      <c r="BZ111" s="303">
        <f t="shared" si="33"/>
        <v>0</v>
      </c>
      <c r="CB111" s="298">
        <v>0.6</v>
      </c>
      <c r="CC111" s="298">
        <v>0.4</v>
      </c>
      <c r="CD111">
        <f t="shared" si="34"/>
        <v>0</v>
      </c>
      <c r="CE111">
        <f t="shared" si="35"/>
        <v>0</v>
      </c>
      <c r="CF111">
        <f t="shared" si="36"/>
        <v>0</v>
      </c>
      <c r="CG111">
        <f t="shared" si="37"/>
        <v>0</v>
      </c>
      <c r="CH111">
        <f t="shared" si="38"/>
        <v>0</v>
      </c>
      <c r="CI111">
        <f t="shared" si="39"/>
        <v>0</v>
      </c>
      <c r="CJ111">
        <f t="shared" si="40"/>
        <v>0</v>
      </c>
      <c r="CK111">
        <f t="shared" si="41"/>
        <v>0</v>
      </c>
      <c r="CL111">
        <f t="shared" si="42"/>
        <v>0</v>
      </c>
      <c r="CM111">
        <f t="shared" si="44"/>
        <v>0</v>
      </c>
      <c r="CN111">
        <f t="shared" si="43"/>
        <v>0</v>
      </c>
      <c r="CO111">
        <f t="shared" si="27"/>
        <v>0</v>
      </c>
    </row>
    <row r="112" spans="1:93" s="12" customFormat="1" ht="14.45" customHeight="1" x14ac:dyDescent="0.25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10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+VLOOKUP(G112,Liste!$A$7:$G$69,3,FALSE)</f>
        <v>Pin sylvestre</v>
      </c>
      <c r="BI112" s="96" t="str">
        <f>+VLOOKUP(H112,Liste!$B$7:$G$69,5,FALSE)</f>
        <v>GS Pineraies des plaines du Centre et du Nord Ouest</v>
      </c>
      <c r="BJ112" s="135">
        <f t="shared" si="26"/>
        <v>81</v>
      </c>
      <c r="BK112" s="135" t="str">
        <f t="shared" si="28"/>
        <v>Pin sylvestre_F2_Eclaircie précoce_GS Pineraies des plaines du Centre et du Nord Ouest_81_</v>
      </c>
      <c r="BL112" s="319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97" t="str">
        <f>+VLOOKUP(G112,Liste!$A$7:$H$69,8,FALSE)</f>
        <v>Résineux</v>
      </c>
      <c r="BU112" s="297">
        <f t="shared" si="29"/>
        <v>0</v>
      </c>
      <c r="BV112" s="299">
        <f t="shared" si="30"/>
        <v>1</v>
      </c>
      <c r="BW112" s="318">
        <v>0</v>
      </c>
      <c r="BX112" s="297">
        <f t="shared" si="31"/>
        <v>0.43</v>
      </c>
      <c r="BY112">
        <f t="shared" si="32"/>
        <v>0</v>
      </c>
      <c r="BZ112" s="303">
        <f t="shared" si="33"/>
        <v>0</v>
      </c>
      <c r="CB112" s="298">
        <v>0.6</v>
      </c>
      <c r="CC112" s="298">
        <v>0.4</v>
      </c>
      <c r="CD112">
        <f t="shared" si="34"/>
        <v>0</v>
      </c>
      <c r="CE112">
        <f t="shared" si="35"/>
        <v>0</v>
      </c>
      <c r="CF112">
        <f t="shared" si="36"/>
        <v>0</v>
      </c>
      <c r="CG112">
        <f t="shared" si="37"/>
        <v>0</v>
      </c>
      <c r="CH112">
        <f t="shared" si="38"/>
        <v>0</v>
      </c>
      <c r="CI112">
        <f t="shared" si="39"/>
        <v>0</v>
      </c>
      <c r="CJ112">
        <f t="shared" si="40"/>
        <v>0</v>
      </c>
      <c r="CK112">
        <f t="shared" si="41"/>
        <v>0</v>
      </c>
      <c r="CL112">
        <f t="shared" si="42"/>
        <v>0</v>
      </c>
      <c r="CM112">
        <f t="shared" si="44"/>
        <v>0</v>
      </c>
      <c r="CN112">
        <f t="shared" si="43"/>
        <v>0</v>
      </c>
      <c r="CO112">
        <f t="shared" si="27"/>
        <v>0</v>
      </c>
    </row>
    <row r="113" spans="1:93" s="12" customFormat="1" ht="14.45" customHeight="1" x14ac:dyDescent="0.25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10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+VLOOKUP(G113,Liste!$A$7:$G$69,3,FALSE)</f>
        <v>Pin sylvestre</v>
      </c>
      <c r="BI113" s="96" t="str">
        <f>+VLOOKUP(H113,Liste!$B$7:$G$69,5,FALSE)</f>
        <v>GS Pineraies des plaines du Centre et du Nord Ouest</v>
      </c>
      <c r="BJ113" s="135">
        <f t="shared" si="26"/>
        <v>82</v>
      </c>
      <c r="BK113" s="135" t="str">
        <f t="shared" si="28"/>
        <v>Pin sylvestre_F2_Eclaircie précoce_GS Pineraies des plaines du Centre et du Nord Ouest_82_</v>
      </c>
      <c r="BL113" s="319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97" t="str">
        <f>+VLOOKUP(G113,Liste!$A$7:$H$69,8,FALSE)</f>
        <v>Résineux</v>
      </c>
      <c r="BU113" s="297">
        <f t="shared" si="29"/>
        <v>0</v>
      </c>
      <c r="BV113" s="299">
        <f t="shared" si="30"/>
        <v>1</v>
      </c>
      <c r="BW113" s="318">
        <v>0</v>
      </c>
      <c r="BX113" s="297">
        <f t="shared" si="31"/>
        <v>0.43</v>
      </c>
      <c r="BY113">
        <f t="shared" si="32"/>
        <v>0</v>
      </c>
      <c r="BZ113" s="303">
        <f t="shared" si="33"/>
        <v>0</v>
      </c>
      <c r="CB113" s="298">
        <v>0.6</v>
      </c>
      <c r="CC113" s="298">
        <v>0.4</v>
      </c>
      <c r="CD113">
        <f t="shared" si="34"/>
        <v>0</v>
      </c>
      <c r="CE113">
        <f t="shared" si="35"/>
        <v>0</v>
      </c>
      <c r="CF113">
        <f t="shared" si="36"/>
        <v>0</v>
      </c>
      <c r="CG113">
        <f t="shared" si="37"/>
        <v>0</v>
      </c>
      <c r="CH113">
        <f t="shared" si="38"/>
        <v>0</v>
      </c>
      <c r="CI113">
        <f t="shared" si="39"/>
        <v>0</v>
      </c>
      <c r="CJ113">
        <f t="shared" si="40"/>
        <v>0</v>
      </c>
      <c r="CK113">
        <f t="shared" si="41"/>
        <v>0</v>
      </c>
      <c r="CL113">
        <f t="shared" si="42"/>
        <v>0</v>
      </c>
      <c r="CM113">
        <f t="shared" si="44"/>
        <v>0</v>
      </c>
      <c r="CN113">
        <f t="shared" si="43"/>
        <v>0</v>
      </c>
      <c r="CO113">
        <f t="shared" si="27"/>
        <v>0</v>
      </c>
    </row>
    <row r="114" spans="1:93" s="12" customFormat="1" ht="14.45" customHeight="1" x14ac:dyDescent="0.25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10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+VLOOKUP(G114,Liste!$A$7:$G$69,3,FALSE)</f>
        <v>Pin sylvestre</v>
      </c>
      <c r="BI114" s="96" t="str">
        <f>+VLOOKUP(H114,Liste!$B$7:$G$69,5,FALSE)</f>
        <v>GS Pineraies des plaines du Centre et du Nord Ouest</v>
      </c>
      <c r="BJ114" s="135">
        <f t="shared" si="26"/>
        <v>83</v>
      </c>
      <c r="BK114" s="135" t="str">
        <f t="shared" si="28"/>
        <v>Pin sylvestre_F2_Eclaircie précoce_GS Pineraies des plaines du Centre et du Nord Ouest_83_</v>
      </c>
      <c r="BL114" s="319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97" t="str">
        <f>+VLOOKUP(G114,Liste!$A$7:$H$69,8,FALSE)</f>
        <v>Résineux</v>
      </c>
      <c r="BU114" s="297">
        <f t="shared" si="29"/>
        <v>0</v>
      </c>
      <c r="BV114" s="299">
        <f t="shared" si="30"/>
        <v>1</v>
      </c>
      <c r="BW114" s="318">
        <v>0</v>
      </c>
      <c r="BX114" s="297">
        <f t="shared" si="31"/>
        <v>0.43</v>
      </c>
      <c r="BY114">
        <f t="shared" si="32"/>
        <v>0</v>
      </c>
      <c r="BZ114" s="303">
        <f t="shared" si="33"/>
        <v>0</v>
      </c>
      <c r="CB114" s="298">
        <v>0.6</v>
      </c>
      <c r="CC114" s="298">
        <v>0.4</v>
      </c>
      <c r="CD114">
        <f t="shared" si="34"/>
        <v>0</v>
      </c>
      <c r="CE114">
        <f t="shared" si="35"/>
        <v>0</v>
      </c>
      <c r="CF114">
        <f t="shared" si="36"/>
        <v>0</v>
      </c>
      <c r="CG114">
        <f t="shared" si="37"/>
        <v>0</v>
      </c>
      <c r="CH114">
        <f t="shared" si="38"/>
        <v>0</v>
      </c>
      <c r="CI114">
        <f t="shared" si="39"/>
        <v>0</v>
      </c>
      <c r="CJ114">
        <f t="shared" si="40"/>
        <v>0</v>
      </c>
      <c r="CK114">
        <f t="shared" si="41"/>
        <v>0</v>
      </c>
      <c r="CL114">
        <f t="shared" si="42"/>
        <v>0</v>
      </c>
      <c r="CM114">
        <f t="shared" si="44"/>
        <v>0</v>
      </c>
      <c r="CN114">
        <f t="shared" si="43"/>
        <v>0</v>
      </c>
      <c r="CO114">
        <f t="shared" si="27"/>
        <v>0</v>
      </c>
    </row>
    <row r="115" spans="1:93" s="12" customFormat="1" ht="14.45" customHeight="1" x14ac:dyDescent="0.25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+VLOOKUP(G115,Liste!$A$7:$G$69,3,FALSE)</f>
        <v>Pin sylvestre</v>
      </c>
      <c r="BI115" s="96" t="str">
        <f>+VLOOKUP(H115,Liste!$B$7:$G$69,5,FALSE)</f>
        <v>GS Pineraies des plaines du Centre et du Nord Ouest</v>
      </c>
      <c r="BJ115" s="135">
        <f t="shared" si="26"/>
        <v>83</v>
      </c>
      <c r="BK115" s="135" t="str">
        <f t="shared" si="28"/>
        <v>Pin sylvestre_F2_Eclaircie précoce_GS Pineraies des plaines du Centre et du Nord Ouest_83_</v>
      </c>
      <c r="BL115" s="319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97" t="str">
        <f>+VLOOKUP(G115,Liste!$A$7:$H$69,8,FALSE)</f>
        <v>Résineux</v>
      </c>
      <c r="BU115" s="297">
        <f t="shared" si="29"/>
        <v>0</v>
      </c>
      <c r="BV115" s="299">
        <f t="shared" si="30"/>
        <v>1</v>
      </c>
      <c r="BW115" s="318">
        <v>0</v>
      </c>
      <c r="BX115" s="297">
        <f t="shared" si="31"/>
        <v>0.43</v>
      </c>
      <c r="BY115">
        <f t="shared" si="32"/>
        <v>0</v>
      </c>
      <c r="BZ115" s="303">
        <f t="shared" si="33"/>
        <v>0</v>
      </c>
      <c r="CB115" s="298">
        <v>0.6</v>
      </c>
      <c r="CC115" s="298">
        <v>0.4</v>
      </c>
      <c r="CD115">
        <f t="shared" si="34"/>
        <v>0</v>
      </c>
      <c r="CE115">
        <f t="shared" si="35"/>
        <v>0</v>
      </c>
      <c r="CF115">
        <f t="shared" si="36"/>
        <v>0</v>
      </c>
      <c r="CG115">
        <f t="shared" si="37"/>
        <v>0</v>
      </c>
      <c r="CH115">
        <f t="shared" si="38"/>
        <v>0</v>
      </c>
      <c r="CI115">
        <f t="shared" si="39"/>
        <v>0</v>
      </c>
      <c r="CJ115">
        <f t="shared" si="40"/>
        <v>0</v>
      </c>
      <c r="CK115">
        <f t="shared" si="41"/>
        <v>0</v>
      </c>
      <c r="CL115">
        <f t="shared" si="42"/>
        <v>0</v>
      </c>
      <c r="CM115">
        <f t="shared" si="44"/>
        <v>0</v>
      </c>
      <c r="CN115">
        <f t="shared" si="43"/>
        <v>0</v>
      </c>
      <c r="CO115">
        <f t="shared" si="27"/>
        <v>0</v>
      </c>
    </row>
    <row r="116" spans="1:93" s="12" customFormat="1" ht="14.45" customHeight="1" x14ac:dyDescent="0.25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10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+VLOOKUP(G116,Liste!$A$7:$G$69,3,FALSE)</f>
        <v>Pin sylvestre</v>
      </c>
      <c r="BI116" s="96" t="str">
        <f>+VLOOKUP(H116,Liste!$B$7:$G$69,5,FALSE)</f>
        <v>GS Pineraies des plaines du Centre et du Nord Ouest</v>
      </c>
      <c r="BJ116" s="135">
        <f t="shared" si="26"/>
        <v>84</v>
      </c>
      <c r="BK116" s="135" t="str">
        <f t="shared" si="28"/>
        <v>Pin sylvestre_F2_Eclaircie précoce_GS Pineraies des plaines du Centre et du Nord Ouest_84_</v>
      </c>
      <c r="BL116" s="319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97" t="str">
        <f>+VLOOKUP(G116,Liste!$A$7:$H$69,8,FALSE)</f>
        <v>Résineux</v>
      </c>
      <c r="BU116" s="297">
        <f t="shared" si="29"/>
        <v>0</v>
      </c>
      <c r="BV116" s="299">
        <f t="shared" si="30"/>
        <v>1</v>
      </c>
      <c r="BW116" s="318">
        <v>0</v>
      </c>
      <c r="BX116" s="297">
        <f t="shared" si="31"/>
        <v>0.43</v>
      </c>
      <c r="BY116">
        <f t="shared" si="32"/>
        <v>0</v>
      </c>
      <c r="BZ116" s="303">
        <f t="shared" si="33"/>
        <v>0</v>
      </c>
      <c r="CB116" s="298">
        <v>0.6</v>
      </c>
      <c r="CC116" s="298">
        <v>0.4</v>
      </c>
      <c r="CD116">
        <f t="shared" si="34"/>
        <v>0</v>
      </c>
      <c r="CE116">
        <f t="shared" si="35"/>
        <v>0</v>
      </c>
      <c r="CF116">
        <f t="shared" si="36"/>
        <v>0</v>
      </c>
      <c r="CG116">
        <f t="shared" si="37"/>
        <v>0</v>
      </c>
      <c r="CH116">
        <f t="shared" si="38"/>
        <v>0</v>
      </c>
      <c r="CI116">
        <f t="shared" si="39"/>
        <v>0</v>
      </c>
      <c r="CJ116">
        <f t="shared" si="40"/>
        <v>0</v>
      </c>
      <c r="CK116">
        <f t="shared" si="41"/>
        <v>0</v>
      </c>
      <c r="CL116">
        <f t="shared" si="42"/>
        <v>0</v>
      </c>
      <c r="CM116">
        <f t="shared" si="44"/>
        <v>0</v>
      </c>
      <c r="CN116">
        <f t="shared" si="43"/>
        <v>0</v>
      </c>
      <c r="CO116">
        <f t="shared" si="27"/>
        <v>0</v>
      </c>
    </row>
    <row r="117" spans="1:93" s="12" customFormat="1" ht="14.45" customHeight="1" x14ac:dyDescent="0.25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10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+VLOOKUP(G117,Liste!$A$7:$G$69,3,FALSE)</f>
        <v>Pin sylvestre</v>
      </c>
      <c r="BI117" s="96" t="str">
        <f>+VLOOKUP(H117,Liste!$B$7:$G$69,5,FALSE)</f>
        <v>GS Pineraies des plaines du Centre et du Nord Ouest</v>
      </c>
      <c r="BJ117" s="135">
        <f t="shared" si="26"/>
        <v>85</v>
      </c>
      <c r="BK117" s="135" t="str">
        <f t="shared" si="28"/>
        <v>Pin sylvestre_F2_Eclaircie précoce_GS Pineraies des plaines du Centre et du Nord Ouest_85_</v>
      </c>
      <c r="BL117" s="319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97" t="str">
        <f>+VLOOKUP(G117,Liste!$A$7:$H$69,8,FALSE)</f>
        <v>Résineux</v>
      </c>
      <c r="BU117" s="297">
        <f t="shared" si="29"/>
        <v>0</v>
      </c>
      <c r="BV117" s="299">
        <f t="shared" si="30"/>
        <v>1</v>
      </c>
      <c r="BW117" s="318">
        <v>0</v>
      </c>
      <c r="BX117" s="297">
        <f t="shared" si="31"/>
        <v>0.43</v>
      </c>
      <c r="BY117">
        <f t="shared" si="32"/>
        <v>0</v>
      </c>
      <c r="BZ117" s="303">
        <f t="shared" si="33"/>
        <v>0</v>
      </c>
      <c r="CB117" s="298">
        <v>0.6</v>
      </c>
      <c r="CC117" s="298">
        <v>0.4</v>
      </c>
      <c r="CD117">
        <f t="shared" si="34"/>
        <v>0</v>
      </c>
      <c r="CE117">
        <f t="shared" si="35"/>
        <v>0</v>
      </c>
      <c r="CF117">
        <f t="shared" si="36"/>
        <v>0</v>
      </c>
      <c r="CG117">
        <f t="shared" si="37"/>
        <v>0</v>
      </c>
      <c r="CH117">
        <f t="shared" si="38"/>
        <v>0</v>
      </c>
      <c r="CI117">
        <f t="shared" si="39"/>
        <v>0</v>
      </c>
      <c r="CJ117">
        <f t="shared" si="40"/>
        <v>0</v>
      </c>
      <c r="CK117">
        <f t="shared" si="41"/>
        <v>0</v>
      </c>
      <c r="CL117">
        <f t="shared" si="42"/>
        <v>0</v>
      </c>
      <c r="CM117">
        <f t="shared" si="44"/>
        <v>0</v>
      </c>
      <c r="CN117">
        <f t="shared" si="43"/>
        <v>0</v>
      </c>
      <c r="CO117">
        <f t="shared" si="27"/>
        <v>0</v>
      </c>
    </row>
    <row r="118" spans="1:93" s="12" customFormat="1" ht="14.45" customHeight="1" x14ac:dyDescent="0.25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10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+VLOOKUP(G118,Liste!$A$7:$G$69,3,FALSE)</f>
        <v>Pin sylvestre</v>
      </c>
      <c r="BI118" s="96" t="str">
        <f>+VLOOKUP(H118,Liste!$B$7:$G$69,5,FALSE)</f>
        <v>GS Pineraies des plaines du Centre et du Nord Ouest</v>
      </c>
      <c r="BJ118" s="135">
        <f t="shared" si="26"/>
        <v>86</v>
      </c>
      <c r="BK118" s="135" t="str">
        <f t="shared" si="28"/>
        <v>Pin sylvestre_F2_Eclaircie précoce_GS Pineraies des plaines du Centre et du Nord Ouest_86_</v>
      </c>
      <c r="BL118" s="319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97" t="str">
        <f>+VLOOKUP(G118,Liste!$A$7:$H$69,8,FALSE)</f>
        <v>Résineux</v>
      </c>
      <c r="BU118" s="297">
        <f t="shared" si="29"/>
        <v>0</v>
      </c>
      <c r="BV118" s="299">
        <f t="shared" si="30"/>
        <v>1</v>
      </c>
      <c r="BW118" s="318">
        <v>0</v>
      </c>
      <c r="BX118" s="297">
        <f t="shared" si="31"/>
        <v>0.43</v>
      </c>
      <c r="BY118">
        <f t="shared" si="32"/>
        <v>0</v>
      </c>
      <c r="BZ118" s="303">
        <f t="shared" si="33"/>
        <v>0</v>
      </c>
      <c r="CB118" s="298">
        <v>0.6</v>
      </c>
      <c r="CC118" s="298">
        <v>0.4</v>
      </c>
      <c r="CD118">
        <f t="shared" si="34"/>
        <v>0</v>
      </c>
      <c r="CE118">
        <f t="shared" si="35"/>
        <v>0</v>
      </c>
      <c r="CF118">
        <f t="shared" si="36"/>
        <v>0</v>
      </c>
      <c r="CG118">
        <f t="shared" si="37"/>
        <v>0</v>
      </c>
      <c r="CH118">
        <f t="shared" si="38"/>
        <v>0</v>
      </c>
      <c r="CI118">
        <f t="shared" si="39"/>
        <v>0</v>
      </c>
      <c r="CJ118">
        <f t="shared" si="40"/>
        <v>0</v>
      </c>
      <c r="CK118">
        <f t="shared" si="41"/>
        <v>0</v>
      </c>
      <c r="CL118">
        <f t="shared" si="42"/>
        <v>0</v>
      </c>
      <c r="CM118">
        <f t="shared" si="44"/>
        <v>0</v>
      </c>
      <c r="CN118">
        <f t="shared" si="43"/>
        <v>0</v>
      </c>
      <c r="CO118">
        <f t="shared" si="27"/>
        <v>0</v>
      </c>
    </row>
    <row r="119" spans="1:93" s="12" customFormat="1" ht="14.45" customHeight="1" x14ac:dyDescent="0.25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10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+VLOOKUP(G119,Liste!$A$7:$G$69,3,FALSE)</f>
        <v>Pin sylvestre</v>
      </c>
      <c r="BI119" s="96" t="str">
        <f>+VLOOKUP(H119,Liste!$B$7:$G$69,5,FALSE)</f>
        <v>GS Pineraies des plaines du Centre et du Nord Ouest</v>
      </c>
      <c r="BJ119" s="135">
        <f t="shared" si="26"/>
        <v>87</v>
      </c>
      <c r="BK119" s="135" t="str">
        <f t="shared" si="28"/>
        <v>Pin sylvestre_F2_Eclaircie précoce_GS Pineraies des plaines du Centre et du Nord Ouest_87_</v>
      </c>
      <c r="BL119" s="319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97" t="str">
        <f>+VLOOKUP(G119,Liste!$A$7:$H$69,8,FALSE)</f>
        <v>Résineux</v>
      </c>
      <c r="BU119" s="297">
        <f t="shared" si="29"/>
        <v>0</v>
      </c>
      <c r="BV119" s="299">
        <f t="shared" si="30"/>
        <v>1</v>
      </c>
      <c r="BW119" s="318">
        <v>0</v>
      </c>
      <c r="BX119" s="297">
        <f t="shared" si="31"/>
        <v>0.43</v>
      </c>
      <c r="BY119">
        <f t="shared" si="32"/>
        <v>0</v>
      </c>
      <c r="BZ119" s="303">
        <f t="shared" si="33"/>
        <v>0</v>
      </c>
      <c r="CB119" s="298">
        <v>0.6</v>
      </c>
      <c r="CC119" s="298">
        <v>0.4</v>
      </c>
      <c r="CD119">
        <f t="shared" si="34"/>
        <v>0</v>
      </c>
      <c r="CE119">
        <f t="shared" si="35"/>
        <v>0</v>
      </c>
      <c r="CF119">
        <f t="shared" si="36"/>
        <v>0</v>
      </c>
      <c r="CG119">
        <f t="shared" si="37"/>
        <v>0</v>
      </c>
      <c r="CH119">
        <f t="shared" si="38"/>
        <v>0</v>
      </c>
      <c r="CI119">
        <f t="shared" si="39"/>
        <v>0</v>
      </c>
      <c r="CJ119">
        <f t="shared" si="40"/>
        <v>0</v>
      </c>
      <c r="CK119">
        <f t="shared" si="41"/>
        <v>0</v>
      </c>
      <c r="CL119">
        <f t="shared" si="42"/>
        <v>0</v>
      </c>
      <c r="CM119">
        <f t="shared" si="44"/>
        <v>0</v>
      </c>
      <c r="CN119">
        <f t="shared" si="43"/>
        <v>0</v>
      </c>
      <c r="CO119">
        <f t="shared" si="27"/>
        <v>0</v>
      </c>
    </row>
    <row r="120" spans="1:93" s="12" customFormat="1" ht="14.45" customHeight="1" x14ac:dyDescent="0.25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10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+VLOOKUP(G120,Liste!$A$7:$G$69,3,FALSE)</f>
        <v>Pin sylvestre</v>
      </c>
      <c r="BI120" s="96" t="str">
        <f>+VLOOKUP(H120,Liste!$B$7:$G$69,5,FALSE)</f>
        <v>GS Pineraies des plaines du Centre et du Nord Ouest</v>
      </c>
      <c r="BJ120" s="135">
        <f t="shared" si="26"/>
        <v>88</v>
      </c>
      <c r="BK120" s="135" t="str">
        <f t="shared" si="28"/>
        <v>Pin sylvestre_F2_Eclaircie précoce_GS Pineraies des plaines du Centre et du Nord Ouest_88_</v>
      </c>
      <c r="BL120" s="319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97" t="str">
        <f>+VLOOKUP(G120,Liste!$A$7:$H$69,8,FALSE)</f>
        <v>Résineux</v>
      </c>
      <c r="BU120" s="297">
        <f t="shared" si="29"/>
        <v>0</v>
      </c>
      <c r="BV120" s="299">
        <f t="shared" si="30"/>
        <v>1</v>
      </c>
      <c r="BW120" s="318">
        <v>0</v>
      </c>
      <c r="BX120" s="297">
        <f t="shared" si="31"/>
        <v>0.43</v>
      </c>
      <c r="BY120">
        <f t="shared" si="32"/>
        <v>0</v>
      </c>
      <c r="BZ120" s="303">
        <f t="shared" si="33"/>
        <v>0</v>
      </c>
      <c r="CB120" s="298">
        <v>0.6</v>
      </c>
      <c r="CC120" s="298">
        <v>0.4</v>
      </c>
      <c r="CD120">
        <f t="shared" si="34"/>
        <v>0</v>
      </c>
      <c r="CE120">
        <f t="shared" si="35"/>
        <v>0</v>
      </c>
      <c r="CF120">
        <f t="shared" si="36"/>
        <v>0</v>
      </c>
      <c r="CG120">
        <f t="shared" si="37"/>
        <v>0</v>
      </c>
      <c r="CH120">
        <f t="shared" si="38"/>
        <v>0</v>
      </c>
      <c r="CI120">
        <f t="shared" si="39"/>
        <v>0</v>
      </c>
      <c r="CJ120">
        <f t="shared" si="40"/>
        <v>0</v>
      </c>
      <c r="CK120">
        <f t="shared" si="41"/>
        <v>0</v>
      </c>
      <c r="CL120">
        <f t="shared" si="42"/>
        <v>0</v>
      </c>
      <c r="CM120">
        <f t="shared" si="44"/>
        <v>0</v>
      </c>
      <c r="CN120">
        <f t="shared" si="43"/>
        <v>0</v>
      </c>
      <c r="CO120">
        <f t="shared" si="27"/>
        <v>0</v>
      </c>
    </row>
    <row r="121" spans="1:93" s="12" customFormat="1" ht="14.45" customHeight="1" x14ac:dyDescent="0.25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10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+VLOOKUP(G121,Liste!$A$7:$G$69,3,FALSE)</f>
        <v>Pin sylvestre</v>
      </c>
      <c r="BI121" s="96" t="str">
        <f>+VLOOKUP(H121,Liste!$B$7:$G$69,5,FALSE)</f>
        <v>GS Pineraies des plaines du Centre et du Nord Ouest</v>
      </c>
      <c r="BJ121" s="135">
        <f t="shared" si="26"/>
        <v>89</v>
      </c>
      <c r="BK121" s="135" t="str">
        <f t="shared" si="28"/>
        <v>Pin sylvestre_F2_Eclaircie précoce_GS Pineraies des plaines du Centre et du Nord Ouest_89_</v>
      </c>
      <c r="BL121" s="319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97" t="str">
        <f>+VLOOKUP(G121,Liste!$A$7:$H$69,8,FALSE)</f>
        <v>Résineux</v>
      </c>
      <c r="BU121" s="297">
        <f t="shared" si="29"/>
        <v>0</v>
      </c>
      <c r="BV121" s="299">
        <f t="shared" si="30"/>
        <v>1</v>
      </c>
      <c r="BW121" s="318">
        <v>0</v>
      </c>
      <c r="BX121" s="297">
        <f t="shared" si="31"/>
        <v>0.43</v>
      </c>
      <c r="BY121">
        <f t="shared" si="32"/>
        <v>0</v>
      </c>
      <c r="BZ121" s="303">
        <f t="shared" si="33"/>
        <v>0</v>
      </c>
      <c r="CB121" s="298">
        <v>0.6</v>
      </c>
      <c r="CC121" s="298">
        <v>0.4</v>
      </c>
      <c r="CD121">
        <f t="shared" si="34"/>
        <v>0</v>
      </c>
      <c r="CE121">
        <f t="shared" si="35"/>
        <v>0</v>
      </c>
      <c r="CF121">
        <f t="shared" si="36"/>
        <v>0</v>
      </c>
      <c r="CG121">
        <f t="shared" si="37"/>
        <v>0</v>
      </c>
      <c r="CH121">
        <f t="shared" si="38"/>
        <v>0</v>
      </c>
      <c r="CI121">
        <f t="shared" si="39"/>
        <v>0</v>
      </c>
      <c r="CJ121">
        <f t="shared" si="40"/>
        <v>0</v>
      </c>
      <c r="CK121">
        <f t="shared" si="41"/>
        <v>0</v>
      </c>
      <c r="CL121">
        <f t="shared" si="42"/>
        <v>0</v>
      </c>
      <c r="CM121">
        <f t="shared" si="44"/>
        <v>0</v>
      </c>
      <c r="CN121">
        <f t="shared" si="43"/>
        <v>0</v>
      </c>
      <c r="CO121">
        <f t="shared" si="27"/>
        <v>0</v>
      </c>
    </row>
    <row r="122" spans="1:93" s="12" customFormat="1" ht="14.45" customHeight="1" x14ac:dyDescent="0.25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10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+VLOOKUP(G122,Liste!$A$7:$G$69,3,FALSE)</f>
        <v>Pin sylvestre</v>
      </c>
      <c r="BI122" s="96" t="str">
        <f>+VLOOKUP(H122,Liste!$B$7:$G$69,5,FALSE)</f>
        <v>GS Pineraies des plaines du Centre et du Nord Ouest</v>
      </c>
      <c r="BJ122" s="135">
        <f t="shared" si="26"/>
        <v>90</v>
      </c>
      <c r="BK122" s="135" t="str">
        <f t="shared" si="28"/>
        <v>Pin sylvestre_F2_Eclaircie précoce_GS Pineraies des plaines du Centre et du Nord Ouest_90_</v>
      </c>
      <c r="BL122" s="319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97" t="str">
        <f>+VLOOKUP(G122,Liste!$A$7:$H$69,8,FALSE)</f>
        <v>Résineux</v>
      </c>
      <c r="BU122" s="297">
        <f t="shared" si="29"/>
        <v>0</v>
      </c>
      <c r="BV122" s="299">
        <f t="shared" si="30"/>
        <v>1</v>
      </c>
      <c r="BW122" s="318">
        <v>0</v>
      </c>
      <c r="BX122" s="297">
        <f t="shared" si="31"/>
        <v>0.43</v>
      </c>
      <c r="BY122">
        <f t="shared" si="32"/>
        <v>0</v>
      </c>
      <c r="BZ122" s="303">
        <f t="shared" si="33"/>
        <v>0</v>
      </c>
      <c r="CB122" s="298">
        <v>0.6</v>
      </c>
      <c r="CC122" s="298">
        <v>0.4</v>
      </c>
      <c r="CD122">
        <f t="shared" si="34"/>
        <v>0</v>
      </c>
      <c r="CE122">
        <f t="shared" si="35"/>
        <v>0</v>
      </c>
      <c r="CF122">
        <f t="shared" si="36"/>
        <v>0</v>
      </c>
      <c r="CG122">
        <f t="shared" si="37"/>
        <v>0</v>
      </c>
      <c r="CH122">
        <f t="shared" si="38"/>
        <v>0</v>
      </c>
      <c r="CI122">
        <f t="shared" si="39"/>
        <v>0</v>
      </c>
      <c r="CJ122">
        <f t="shared" si="40"/>
        <v>0</v>
      </c>
      <c r="CK122">
        <f t="shared" si="41"/>
        <v>0</v>
      </c>
      <c r="CL122">
        <f t="shared" si="42"/>
        <v>0</v>
      </c>
      <c r="CM122">
        <f t="shared" si="44"/>
        <v>0</v>
      </c>
      <c r="CN122">
        <f t="shared" si="43"/>
        <v>0</v>
      </c>
      <c r="CO122">
        <f t="shared" si="27"/>
        <v>0</v>
      </c>
    </row>
    <row r="123" spans="1:93" s="12" customFormat="1" ht="14.45" customHeight="1" x14ac:dyDescent="0.25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10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+VLOOKUP(G123,Liste!$A$7:$G$69,3,FALSE)</f>
        <v>Pin sylvestre</v>
      </c>
      <c r="BI123" s="96" t="str">
        <f>+VLOOKUP(H123,Liste!$B$7:$G$69,5,FALSE)</f>
        <v>GS Pineraies des plaines du Centre et du Nord Ouest</v>
      </c>
      <c r="BJ123" s="135">
        <f t="shared" si="26"/>
        <v>91</v>
      </c>
      <c r="BK123" s="135" t="str">
        <f t="shared" si="28"/>
        <v>Pin sylvestre_F2_Eclaircie précoce_GS Pineraies des plaines du Centre et du Nord Ouest_91_</v>
      </c>
      <c r="BL123" s="319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97" t="str">
        <f>+VLOOKUP(G123,Liste!$A$7:$H$69,8,FALSE)</f>
        <v>Résineux</v>
      </c>
      <c r="BU123" s="297">
        <f t="shared" si="29"/>
        <v>0</v>
      </c>
      <c r="BV123" s="299">
        <f t="shared" si="30"/>
        <v>1</v>
      </c>
      <c r="BW123" s="318">
        <v>0</v>
      </c>
      <c r="BX123" s="297">
        <f t="shared" si="31"/>
        <v>0.43</v>
      </c>
      <c r="BY123">
        <f t="shared" si="32"/>
        <v>0</v>
      </c>
      <c r="BZ123" s="303">
        <f t="shared" si="33"/>
        <v>0</v>
      </c>
      <c r="CB123" s="298">
        <v>0.6</v>
      </c>
      <c r="CC123" s="298">
        <v>0.4</v>
      </c>
      <c r="CD123">
        <f t="shared" si="34"/>
        <v>0</v>
      </c>
      <c r="CE123">
        <f t="shared" si="35"/>
        <v>0</v>
      </c>
      <c r="CF123">
        <f t="shared" si="36"/>
        <v>0</v>
      </c>
      <c r="CG123">
        <f t="shared" si="37"/>
        <v>0</v>
      </c>
      <c r="CH123">
        <f t="shared" si="38"/>
        <v>0</v>
      </c>
      <c r="CI123">
        <f t="shared" si="39"/>
        <v>0</v>
      </c>
      <c r="CJ123">
        <f t="shared" si="40"/>
        <v>0</v>
      </c>
      <c r="CK123">
        <f t="shared" si="41"/>
        <v>0</v>
      </c>
      <c r="CL123">
        <f t="shared" si="42"/>
        <v>0</v>
      </c>
      <c r="CM123">
        <f t="shared" si="44"/>
        <v>0</v>
      </c>
      <c r="CN123">
        <f t="shared" si="43"/>
        <v>0</v>
      </c>
      <c r="CO123">
        <f t="shared" si="27"/>
        <v>0</v>
      </c>
    </row>
    <row r="124" spans="1:93" s="12" customFormat="1" ht="14.45" customHeight="1" x14ac:dyDescent="0.25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10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+VLOOKUP(G124,Liste!$A$7:$G$69,3,FALSE)</f>
        <v>Pin sylvestre</v>
      </c>
      <c r="BI124" s="96" t="str">
        <f>+VLOOKUP(H124,Liste!$B$7:$G$69,5,FALSE)</f>
        <v>GS Pineraies des plaines du Centre et du Nord Ouest</v>
      </c>
      <c r="BJ124" s="135">
        <f t="shared" si="26"/>
        <v>92</v>
      </c>
      <c r="BK124" s="135" t="str">
        <f t="shared" si="28"/>
        <v>Pin sylvestre_F2_Eclaircie précoce_GS Pineraies des plaines du Centre et du Nord Ouest_92_</v>
      </c>
      <c r="BL124" s="319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97" t="str">
        <f>+VLOOKUP(G124,Liste!$A$7:$H$69,8,FALSE)</f>
        <v>Résineux</v>
      </c>
      <c r="BU124" s="297">
        <f t="shared" si="29"/>
        <v>0</v>
      </c>
      <c r="BV124" s="299">
        <f t="shared" si="30"/>
        <v>1</v>
      </c>
      <c r="BW124" s="318">
        <v>0</v>
      </c>
      <c r="BX124" s="297">
        <f t="shared" si="31"/>
        <v>0.43</v>
      </c>
      <c r="BY124">
        <f t="shared" si="32"/>
        <v>0</v>
      </c>
      <c r="BZ124" s="303">
        <f t="shared" si="33"/>
        <v>0</v>
      </c>
      <c r="CB124" s="298">
        <v>0.6</v>
      </c>
      <c r="CC124" s="298">
        <v>0.4</v>
      </c>
      <c r="CD124">
        <f t="shared" si="34"/>
        <v>0</v>
      </c>
      <c r="CE124">
        <f t="shared" si="35"/>
        <v>0</v>
      </c>
      <c r="CF124">
        <f t="shared" si="36"/>
        <v>0</v>
      </c>
      <c r="CG124">
        <f t="shared" si="37"/>
        <v>0</v>
      </c>
      <c r="CH124">
        <f t="shared" si="38"/>
        <v>0</v>
      </c>
      <c r="CI124">
        <f t="shared" si="39"/>
        <v>0</v>
      </c>
      <c r="CJ124">
        <f t="shared" si="40"/>
        <v>0</v>
      </c>
      <c r="CK124">
        <f t="shared" si="41"/>
        <v>0</v>
      </c>
      <c r="CL124">
        <f t="shared" si="42"/>
        <v>0</v>
      </c>
      <c r="CM124">
        <f t="shared" si="44"/>
        <v>0</v>
      </c>
      <c r="CN124">
        <f t="shared" si="43"/>
        <v>0</v>
      </c>
      <c r="CO124">
        <f t="shared" si="27"/>
        <v>0</v>
      </c>
    </row>
    <row r="125" spans="1:93" s="12" customFormat="1" ht="14.45" customHeight="1" x14ac:dyDescent="0.25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+VLOOKUP(G125,Liste!$A$7:$G$69,3,FALSE)</f>
        <v>Pin sylvestre</v>
      </c>
      <c r="BI125" s="96" t="str">
        <f>+VLOOKUP(H125,Liste!$B$7:$G$69,5,FALSE)</f>
        <v>GS Pineraies des plaines du Centre et du Nord Ouest</v>
      </c>
      <c r="BJ125" s="135">
        <f t="shared" si="26"/>
        <v>92</v>
      </c>
      <c r="BK125" s="135" t="str">
        <f t="shared" si="28"/>
        <v>Pin sylvestre_F2_Eclaircie précoce_GS Pineraies des plaines du Centre et du Nord Ouest_92_</v>
      </c>
      <c r="BL125" s="319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97" t="str">
        <f>+VLOOKUP(G125,Liste!$A$7:$H$69,8,FALSE)</f>
        <v>Résineux</v>
      </c>
      <c r="BU125" s="297">
        <f t="shared" si="29"/>
        <v>0</v>
      </c>
      <c r="BV125" s="299">
        <f t="shared" si="30"/>
        <v>1</v>
      </c>
      <c r="BW125" s="318">
        <v>0</v>
      </c>
      <c r="BX125" s="297">
        <f t="shared" si="31"/>
        <v>0.43</v>
      </c>
      <c r="BY125">
        <f t="shared" si="32"/>
        <v>0</v>
      </c>
      <c r="BZ125" s="303">
        <f t="shared" si="33"/>
        <v>0</v>
      </c>
      <c r="CB125" s="298">
        <v>0.6</v>
      </c>
      <c r="CC125" s="298">
        <v>0.4</v>
      </c>
      <c r="CD125">
        <f t="shared" si="34"/>
        <v>0</v>
      </c>
      <c r="CE125">
        <f t="shared" si="35"/>
        <v>0</v>
      </c>
      <c r="CF125">
        <f t="shared" si="36"/>
        <v>0</v>
      </c>
      <c r="CG125">
        <f t="shared" si="37"/>
        <v>0</v>
      </c>
      <c r="CH125">
        <f t="shared" si="38"/>
        <v>0</v>
      </c>
      <c r="CI125">
        <f t="shared" si="39"/>
        <v>0</v>
      </c>
      <c r="CJ125">
        <f t="shared" si="40"/>
        <v>0</v>
      </c>
      <c r="CK125">
        <f t="shared" si="41"/>
        <v>0</v>
      </c>
      <c r="CL125">
        <f t="shared" si="42"/>
        <v>0</v>
      </c>
      <c r="CM125">
        <f t="shared" si="44"/>
        <v>0</v>
      </c>
      <c r="CN125">
        <f t="shared" si="43"/>
        <v>0</v>
      </c>
      <c r="CO125">
        <f t="shared" si="27"/>
        <v>0</v>
      </c>
    </row>
    <row r="126" spans="1:93" s="12" customFormat="1" ht="14.45" customHeight="1" x14ac:dyDescent="0.25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10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+VLOOKUP(G126,Liste!$A$7:$G$69,3,FALSE)</f>
        <v>Pin sylvestre</v>
      </c>
      <c r="BI126" s="96" t="str">
        <f>+VLOOKUP(H126,Liste!$B$7:$G$69,5,FALSE)</f>
        <v>GS Pineraies des plaines du Centre et du Nord Ouest</v>
      </c>
      <c r="BJ126" s="135">
        <f t="shared" si="26"/>
        <v>93</v>
      </c>
      <c r="BK126" s="135" t="str">
        <f t="shared" si="28"/>
        <v>Pin sylvestre_F2_Eclaircie précoce_GS Pineraies des plaines du Centre et du Nord Ouest_93_</v>
      </c>
      <c r="BL126" s="319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97" t="str">
        <f>+VLOOKUP(G126,Liste!$A$7:$H$69,8,FALSE)</f>
        <v>Résineux</v>
      </c>
      <c r="BU126" s="297">
        <f t="shared" si="29"/>
        <v>0</v>
      </c>
      <c r="BV126" s="299">
        <f t="shared" si="30"/>
        <v>1</v>
      </c>
      <c r="BW126" s="318">
        <v>0</v>
      </c>
      <c r="BX126" s="297">
        <f t="shared" si="31"/>
        <v>0.43</v>
      </c>
      <c r="BY126">
        <f t="shared" si="32"/>
        <v>0</v>
      </c>
      <c r="BZ126" s="303">
        <f t="shared" si="33"/>
        <v>0</v>
      </c>
      <c r="CB126" s="298">
        <v>0.6</v>
      </c>
      <c r="CC126" s="298">
        <v>0.4</v>
      </c>
      <c r="CD126">
        <f t="shared" si="34"/>
        <v>0</v>
      </c>
      <c r="CE126">
        <f t="shared" si="35"/>
        <v>0</v>
      </c>
      <c r="CF126">
        <f t="shared" si="36"/>
        <v>0</v>
      </c>
      <c r="CG126">
        <f t="shared" si="37"/>
        <v>0</v>
      </c>
      <c r="CH126">
        <f t="shared" si="38"/>
        <v>0</v>
      </c>
      <c r="CI126">
        <f t="shared" si="39"/>
        <v>0</v>
      </c>
      <c r="CJ126">
        <f t="shared" si="40"/>
        <v>0</v>
      </c>
      <c r="CK126">
        <f t="shared" si="41"/>
        <v>0</v>
      </c>
      <c r="CL126">
        <f t="shared" si="42"/>
        <v>0</v>
      </c>
      <c r="CM126">
        <f t="shared" si="44"/>
        <v>0</v>
      </c>
      <c r="CN126">
        <f t="shared" si="43"/>
        <v>0</v>
      </c>
      <c r="CO126">
        <f t="shared" si="27"/>
        <v>0</v>
      </c>
    </row>
    <row r="127" spans="1:93" s="12" customFormat="1" ht="14.45" customHeight="1" x14ac:dyDescent="0.25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10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+VLOOKUP(G127,Liste!$A$7:$G$69,3,FALSE)</f>
        <v>Pin sylvestre</v>
      </c>
      <c r="BI127" s="96" t="str">
        <f>+VLOOKUP(H127,Liste!$B$7:$G$69,5,FALSE)</f>
        <v>GS Pineraies des plaines du Centre et du Nord Ouest</v>
      </c>
      <c r="BJ127" s="135">
        <f t="shared" si="26"/>
        <v>94</v>
      </c>
      <c r="BK127" s="135" t="str">
        <f t="shared" si="28"/>
        <v>Pin sylvestre_F2_Eclaircie précoce_GS Pineraies des plaines du Centre et du Nord Ouest_94_</v>
      </c>
      <c r="BL127" s="319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97" t="str">
        <f>+VLOOKUP(G127,Liste!$A$7:$H$69,8,FALSE)</f>
        <v>Résineux</v>
      </c>
      <c r="BU127" s="297">
        <f t="shared" si="29"/>
        <v>0</v>
      </c>
      <c r="BV127" s="299">
        <f t="shared" si="30"/>
        <v>1</v>
      </c>
      <c r="BW127" s="318">
        <v>0</v>
      </c>
      <c r="BX127" s="297">
        <f t="shared" si="31"/>
        <v>0.43</v>
      </c>
      <c r="BY127">
        <f t="shared" si="32"/>
        <v>0</v>
      </c>
      <c r="BZ127" s="303">
        <f t="shared" si="33"/>
        <v>0</v>
      </c>
      <c r="CB127" s="298">
        <v>0.6</v>
      </c>
      <c r="CC127" s="298">
        <v>0.4</v>
      </c>
      <c r="CD127">
        <f t="shared" si="34"/>
        <v>0</v>
      </c>
      <c r="CE127">
        <f t="shared" si="35"/>
        <v>0</v>
      </c>
      <c r="CF127">
        <f t="shared" si="36"/>
        <v>0</v>
      </c>
      <c r="CG127">
        <f t="shared" si="37"/>
        <v>0</v>
      </c>
      <c r="CH127">
        <f t="shared" si="38"/>
        <v>0</v>
      </c>
      <c r="CI127">
        <f t="shared" si="39"/>
        <v>0</v>
      </c>
      <c r="CJ127">
        <f t="shared" si="40"/>
        <v>0</v>
      </c>
      <c r="CK127">
        <f t="shared" si="41"/>
        <v>0</v>
      </c>
      <c r="CL127">
        <f t="shared" si="42"/>
        <v>0</v>
      </c>
      <c r="CM127">
        <f t="shared" si="44"/>
        <v>0</v>
      </c>
      <c r="CN127">
        <f t="shared" si="43"/>
        <v>0</v>
      </c>
      <c r="CO127">
        <f t="shared" si="27"/>
        <v>0</v>
      </c>
    </row>
    <row r="128" spans="1:93" s="12" customFormat="1" ht="14.45" customHeight="1" x14ac:dyDescent="0.25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10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+VLOOKUP(G128,Liste!$A$7:$G$69,3,FALSE)</f>
        <v>Pin sylvestre</v>
      </c>
      <c r="BI128" s="96" t="str">
        <f>+VLOOKUP(H128,Liste!$B$7:$G$69,5,FALSE)</f>
        <v>GS Pineraies des plaines du Centre et du Nord Ouest</v>
      </c>
      <c r="BJ128" s="135">
        <f t="shared" si="26"/>
        <v>95</v>
      </c>
      <c r="BK128" s="135" t="str">
        <f t="shared" si="28"/>
        <v>Pin sylvestre_F2_Eclaircie précoce_GS Pineraies des plaines du Centre et du Nord Ouest_95_</v>
      </c>
      <c r="BL128" s="319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97" t="str">
        <f>+VLOOKUP(G128,Liste!$A$7:$H$69,8,FALSE)</f>
        <v>Résineux</v>
      </c>
      <c r="BU128" s="297">
        <f t="shared" si="29"/>
        <v>0</v>
      </c>
      <c r="BV128" s="299">
        <f t="shared" si="30"/>
        <v>1</v>
      </c>
      <c r="BW128" s="318">
        <v>0</v>
      </c>
      <c r="BX128" s="297">
        <f t="shared" si="31"/>
        <v>0.43</v>
      </c>
      <c r="BY128">
        <f t="shared" si="32"/>
        <v>0</v>
      </c>
      <c r="BZ128" s="303">
        <f t="shared" si="33"/>
        <v>0</v>
      </c>
      <c r="CB128" s="298">
        <v>0.6</v>
      </c>
      <c r="CC128" s="298">
        <v>0.4</v>
      </c>
      <c r="CD128">
        <f t="shared" si="34"/>
        <v>0</v>
      </c>
      <c r="CE128">
        <f t="shared" si="35"/>
        <v>0</v>
      </c>
      <c r="CF128">
        <f t="shared" si="36"/>
        <v>0</v>
      </c>
      <c r="CG128">
        <f t="shared" si="37"/>
        <v>0</v>
      </c>
      <c r="CH128">
        <f t="shared" si="38"/>
        <v>0</v>
      </c>
      <c r="CI128">
        <f t="shared" si="39"/>
        <v>0</v>
      </c>
      <c r="CJ128">
        <f t="shared" si="40"/>
        <v>0</v>
      </c>
      <c r="CK128">
        <f t="shared" si="41"/>
        <v>0</v>
      </c>
      <c r="CL128">
        <f t="shared" si="42"/>
        <v>0</v>
      </c>
      <c r="CM128">
        <f t="shared" si="44"/>
        <v>0</v>
      </c>
      <c r="CN128">
        <f t="shared" si="43"/>
        <v>0</v>
      </c>
      <c r="CO128">
        <f t="shared" si="27"/>
        <v>0</v>
      </c>
    </row>
    <row r="129" spans="1:93" s="12" customFormat="1" ht="14.45" customHeight="1" x14ac:dyDescent="0.25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10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+VLOOKUP(G129,Liste!$A$7:$G$69,3,FALSE)</f>
        <v>Pin sylvestre</v>
      </c>
      <c r="BI129" s="96" t="str">
        <f>+VLOOKUP(H129,Liste!$B$7:$G$69,5,FALSE)</f>
        <v>GS Pineraies des plaines du Centre et du Nord Ouest</v>
      </c>
      <c r="BJ129" s="135">
        <f t="shared" si="26"/>
        <v>96</v>
      </c>
      <c r="BK129" s="135" t="str">
        <f t="shared" si="28"/>
        <v>Pin sylvestre_F2_Eclaircie précoce_GS Pineraies des plaines du Centre et du Nord Ouest_96_</v>
      </c>
      <c r="BL129" s="319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97" t="str">
        <f>+VLOOKUP(G129,Liste!$A$7:$H$69,8,FALSE)</f>
        <v>Résineux</v>
      </c>
      <c r="BU129" s="297">
        <f t="shared" si="29"/>
        <v>0</v>
      </c>
      <c r="BV129" s="299">
        <f t="shared" si="30"/>
        <v>1</v>
      </c>
      <c r="BW129" s="318">
        <v>0</v>
      </c>
      <c r="BX129" s="297">
        <f t="shared" si="31"/>
        <v>0.43</v>
      </c>
      <c r="BY129">
        <f t="shared" si="32"/>
        <v>0</v>
      </c>
      <c r="BZ129" s="303">
        <f t="shared" si="33"/>
        <v>0</v>
      </c>
      <c r="CB129" s="298">
        <v>0.6</v>
      </c>
      <c r="CC129" s="298">
        <v>0.4</v>
      </c>
      <c r="CD129">
        <f t="shared" si="34"/>
        <v>0</v>
      </c>
      <c r="CE129">
        <f t="shared" si="35"/>
        <v>0</v>
      </c>
      <c r="CF129">
        <f t="shared" si="36"/>
        <v>0</v>
      </c>
      <c r="CG129">
        <f t="shared" si="37"/>
        <v>0</v>
      </c>
      <c r="CH129">
        <f t="shared" si="38"/>
        <v>0</v>
      </c>
      <c r="CI129">
        <f t="shared" si="39"/>
        <v>0</v>
      </c>
      <c r="CJ129">
        <f t="shared" si="40"/>
        <v>0</v>
      </c>
      <c r="CK129">
        <f t="shared" si="41"/>
        <v>0</v>
      </c>
      <c r="CL129">
        <f t="shared" si="42"/>
        <v>0</v>
      </c>
      <c r="CM129">
        <f t="shared" si="44"/>
        <v>0</v>
      </c>
      <c r="CN129">
        <f t="shared" si="43"/>
        <v>0</v>
      </c>
      <c r="CO129">
        <f t="shared" si="27"/>
        <v>0</v>
      </c>
    </row>
    <row r="130" spans="1:93" s="12" customFormat="1" ht="14.45" customHeight="1" x14ac:dyDescent="0.25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10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+VLOOKUP(G130,Liste!$A$7:$G$69,3,FALSE)</f>
        <v>Pin sylvestre</v>
      </c>
      <c r="BI130" s="96" t="str">
        <f>+VLOOKUP(H130,Liste!$B$7:$G$69,5,FALSE)</f>
        <v>GS Pineraies des plaines du Centre et du Nord Ouest</v>
      </c>
      <c r="BJ130" s="135">
        <f t="shared" si="26"/>
        <v>97</v>
      </c>
      <c r="BK130" s="135" t="str">
        <f t="shared" si="28"/>
        <v>Pin sylvestre_F2_Eclaircie précoce_GS Pineraies des plaines du Centre et du Nord Ouest_97_</v>
      </c>
      <c r="BL130" s="319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97" t="str">
        <f>+VLOOKUP(G130,Liste!$A$7:$H$69,8,FALSE)</f>
        <v>Résineux</v>
      </c>
      <c r="BU130" s="297">
        <f t="shared" si="29"/>
        <v>0</v>
      </c>
      <c r="BV130" s="299">
        <f t="shared" si="30"/>
        <v>1</v>
      </c>
      <c r="BW130" s="318">
        <v>0</v>
      </c>
      <c r="BX130" s="297">
        <f t="shared" si="31"/>
        <v>0.43</v>
      </c>
      <c r="BY130">
        <f t="shared" si="32"/>
        <v>0</v>
      </c>
      <c r="BZ130" s="303">
        <f t="shared" si="33"/>
        <v>0</v>
      </c>
      <c r="CB130" s="298">
        <v>0.6</v>
      </c>
      <c r="CC130" s="298">
        <v>0.4</v>
      </c>
      <c r="CD130">
        <f t="shared" si="34"/>
        <v>0</v>
      </c>
      <c r="CE130">
        <f t="shared" si="35"/>
        <v>0</v>
      </c>
      <c r="CF130">
        <f t="shared" si="36"/>
        <v>0</v>
      </c>
      <c r="CG130">
        <f t="shared" si="37"/>
        <v>0</v>
      </c>
      <c r="CH130">
        <f t="shared" si="38"/>
        <v>0</v>
      </c>
      <c r="CI130">
        <f t="shared" si="39"/>
        <v>0</v>
      </c>
      <c r="CJ130">
        <f t="shared" si="40"/>
        <v>0</v>
      </c>
      <c r="CK130">
        <f t="shared" si="41"/>
        <v>0</v>
      </c>
      <c r="CL130">
        <f t="shared" si="42"/>
        <v>0</v>
      </c>
      <c r="CM130">
        <f t="shared" si="44"/>
        <v>0</v>
      </c>
      <c r="CN130">
        <f t="shared" si="43"/>
        <v>0</v>
      </c>
      <c r="CO130">
        <f t="shared" si="27"/>
        <v>0</v>
      </c>
    </row>
    <row r="131" spans="1:93" s="12" customFormat="1" ht="14.45" customHeight="1" x14ac:dyDescent="0.25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10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+VLOOKUP(G131,Liste!$A$7:$G$69,3,FALSE)</f>
        <v>Pin sylvestre</v>
      </c>
      <c r="BI131" s="96" t="str">
        <f>+VLOOKUP(H131,Liste!$B$7:$G$69,5,FALSE)</f>
        <v>GS Pineraies des plaines du Centre et du Nord Ouest</v>
      </c>
      <c r="BJ131" s="135">
        <f t="shared" ref="BJ131:BJ194" si="45">+AC131</f>
        <v>98</v>
      </c>
      <c r="BK131" s="135" t="str">
        <f t="shared" si="28"/>
        <v>Pin sylvestre_F2_Eclaircie précoce_GS Pineraies des plaines du Centre et du Nord Ouest_98_</v>
      </c>
      <c r="BL131" s="319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97" t="str">
        <f>+VLOOKUP(G131,Liste!$A$7:$H$69,8,FALSE)</f>
        <v>Résineux</v>
      </c>
      <c r="BU131" s="297">
        <f t="shared" si="29"/>
        <v>0</v>
      </c>
      <c r="BV131" s="299">
        <f t="shared" si="30"/>
        <v>1</v>
      </c>
      <c r="BW131" s="318">
        <v>0</v>
      </c>
      <c r="BX131" s="297">
        <f t="shared" si="31"/>
        <v>0.43</v>
      </c>
      <c r="BY131">
        <f t="shared" si="32"/>
        <v>0</v>
      </c>
      <c r="BZ131" s="303">
        <f t="shared" si="33"/>
        <v>0</v>
      </c>
      <c r="CB131" s="298">
        <v>0.6</v>
      </c>
      <c r="CC131" s="298">
        <v>0.4</v>
      </c>
      <c r="CD131">
        <f t="shared" si="34"/>
        <v>0</v>
      </c>
      <c r="CE131">
        <f t="shared" si="35"/>
        <v>0</v>
      </c>
      <c r="CF131">
        <f t="shared" si="36"/>
        <v>0</v>
      </c>
      <c r="CG131">
        <f t="shared" si="37"/>
        <v>0</v>
      </c>
      <c r="CH131">
        <f t="shared" si="38"/>
        <v>0</v>
      </c>
      <c r="CI131">
        <f t="shared" si="39"/>
        <v>0</v>
      </c>
      <c r="CJ131">
        <f t="shared" si="40"/>
        <v>0</v>
      </c>
      <c r="CK131">
        <f t="shared" si="41"/>
        <v>0</v>
      </c>
      <c r="CL131">
        <f t="shared" si="42"/>
        <v>0</v>
      </c>
      <c r="CM131">
        <f t="shared" si="44"/>
        <v>0</v>
      </c>
      <c r="CN131">
        <f t="shared" si="43"/>
        <v>0</v>
      </c>
      <c r="CO131">
        <f t="shared" ref="CO131:CO194" si="46">+IF(BJ131=30,CN131/30,0)</f>
        <v>0</v>
      </c>
    </row>
    <row r="132" spans="1:93" s="12" customFormat="1" ht="14.45" customHeight="1" x14ac:dyDescent="0.25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10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+VLOOKUP(G132,Liste!$A$7:$G$69,3,FALSE)</f>
        <v>Pin sylvestre</v>
      </c>
      <c r="BI132" s="96" t="str">
        <f>+VLOOKUP(H132,Liste!$B$7:$G$69,5,FALSE)</f>
        <v>GS Pineraies des plaines du Centre et du Nord Ouest</v>
      </c>
      <c r="BJ132" s="135">
        <f t="shared" si="45"/>
        <v>99</v>
      </c>
      <c r="BK132" s="135" t="str">
        <f t="shared" ref="BK132:BK195" si="47">+_xlfn.CONCAT(BH132,"_",J132,"_",I132,"_",BI132,"_",BJ132,"_")</f>
        <v>Pin sylvestre_F2_Eclaircie précoce_GS Pineraies des plaines du Centre et du Nord Ouest_99_</v>
      </c>
      <c r="BL132" s="319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97" t="str">
        <f>+VLOOKUP(G132,Liste!$A$7:$H$69,8,FALSE)</f>
        <v>Résineux</v>
      </c>
      <c r="BU132" s="297">
        <f t="shared" ref="BU132:BU195" si="48">IF(BT132="Résineux",0%,100%)</f>
        <v>0</v>
      </c>
      <c r="BV132" s="299">
        <f t="shared" ref="BV132:BV195" si="49">+IF(BT132="Résineux",100%,0%)</f>
        <v>1</v>
      </c>
      <c r="BW132" s="318">
        <v>0</v>
      </c>
      <c r="BX132" s="297">
        <f t="shared" ref="BX132:BX195" si="50">+IF(BV132&lt;&gt;0,0.43,0.25)</f>
        <v>0.43</v>
      </c>
      <c r="BY132">
        <f t="shared" ref="BY132:BY195" si="51">+IF(BJ132&lt;=30,AV132*BX132,0)</f>
        <v>0</v>
      </c>
      <c r="BZ132" s="303">
        <f t="shared" ref="BZ132:BZ195" si="52">+IF(BJ132&gt;=31,0,BY132+BZ131)</f>
        <v>0</v>
      </c>
      <c r="CB132" s="298">
        <v>0.6</v>
      </c>
      <c r="CC132" s="298">
        <v>0.4</v>
      </c>
      <c r="CD132">
        <f t="shared" ref="CD132:CD195" si="53">+IF(BJ132&lt;=31,AV132*CA132*0.5,0)</f>
        <v>0</v>
      </c>
      <c r="CE132">
        <f t="shared" ref="CE132:CE195" si="54">IF(BJ132&lt;=31,AV132*CB132,0)</f>
        <v>0</v>
      </c>
      <c r="CF132">
        <f t="shared" ref="CF132:CF195" si="55">IF(BJ132&lt;=31,AV132*CC132,0)</f>
        <v>0</v>
      </c>
      <c r="CG132">
        <f t="shared" ref="CG132:CG195" si="56">CD132*44/12*0.475*BF132</f>
        <v>0</v>
      </c>
      <c r="CH132">
        <f t="shared" ref="CH132:CH195" si="57">CE132*44/12*0.475*BF132</f>
        <v>0</v>
      </c>
      <c r="CI132">
        <f t="shared" ref="CI132:CI195" si="58">CF132*44/12*0.475*BF132</f>
        <v>0</v>
      </c>
      <c r="CJ132">
        <f t="shared" ref="CJ132:CJ195" si="59">+IF(BJ132&lt;=31,CJ131*EXP(-$CJ$1)+CG131*(1-EXP(-$CJ$1))/$CJ$1,0)</f>
        <v>0</v>
      </c>
      <c r="CK132">
        <f t="shared" ref="CK132:CK195" si="60">+IF(BJ132&lt;=31,CK131*EXP(-$CK$1)+CH131*(1-EXP(-$CK$1))/$CK$1,0)</f>
        <v>0</v>
      </c>
      <c r="CL132">
        <f t="shared" ref="CL132:CL195" si="61">+IF(BJ132&lt;=31,CL131*EXP(-$CL$1)+CI131*(1-EXP(-$CL$1))/$CL$1,0)</f>
        <v>0</v>
      </c>
      <c r="CM132">
        <f t="shared" si="44"/>
        <v>0</v>
      </c>
      <c r="CN132">
        <f t="shared" ref="CN132:CN195" si="62">+IF(BJ132&lt;=31,CM132+CN131,0)</f>
        <v>0</v>
      </c>
      <c r="CO132">
        <f t="shared" si="46"/>
        <v>0</v>
      </c>
    </row>
    <row r="133" spans="1:93" s="12" customFormat="1" ht="14.45" customHeight="1" x14ac:dyDescent="0.25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10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+VLOOKUP(G133,Liste!$A$7:$G$69,3,FALSE)</f>
        <v>Pin sylvestre</v>
      </c>
      <c r="BI133" s="96" t="str">
        <f>+VLOOKUP(H133,Liste!$B$7:$G$69,5,FALSE)</f>
        <v>GS Pineraies des plaines du Centre et du Nord Ouest</v>
      </c>
      <c r="BJ133" s="135">
        <f t="shared" si="45"/>
        <v>100</v>
      </c>
      <c r="BK133" s="135" t="str">
        <f t="shared" si="47"/>
        <v>Pin sylvestre_F2_Eclaircie précoce_GS Pineraies des plaines du Centre et du Nord Ouest_100_</v>
      </c>
      <c r="BL133" s="319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97" t="str">
        <f>+VLOOKUP(G133,Liste!$A$7:$H$69,8,FALSE)</f>
        <v>Résineux</v>
      </c>
      <c r="BU133" s="297">
        <f t="shared" si="48"/>
        <v>0</v>
      </c>
      <c r="BV133" s="299">
        <f t="shared" si="49"/>
        <v>1</v>
      </c>
      <c r="BW133" s="318">
        <v>0</v>
      </c>
      <c r="BX133" s="297">
        <f t="shared" si="50"/>
        <v>0.43</v>
      </c>
      <c r="BY133">
        <f t="shared" si="51"/>
        <v>0</v>
      </c>
      <c r="BZ133" s="303">
        <f t="shared" si="52"/>
        <v>0</v>
      </c>
      <c r="CB133" s="298">
        <v>0.6</v>
      </c>
      <c r="CC133" s="298">
        <v>0.4</v>
      </c>
      <c r="CD133">
        <f t="shared" si="53"/>
        <v>0</v>
      </c>
      <c r="CE133">
        <f t="shared" si="54"/>
        <v>0</v>
      </c>
      <c r="CF133">
        <f t="shared" si="55"/>
        <v>0</v>
      </c>
      <c r="CG133">
        <f t="shared" si="56"/>
        <v>0</v>
      </c>
      <c r="CH133">
        <f t="shared" si="57"/>
        <v>0</v>
      </c>
      <c r="CI133">
        <f t="shared" si="58"/>
        <v>0</v>
      </c>
      <c r="CJ133">
        <f t="shared" si="59"/>
        <v>0</v>
      </c>
      <c r="CK133">
        <f t="shared" si="60"/>
        <v>0</v>
      </c>
      <c r="CL133">
        <f t="shared" si="61"/>
        <v>0</v>
      </c>
      <c r="CM133">
        <f t="shared" ref="CM133:CM196" si="63">+CJ133+CK133+CL133</f>
        <v>0</v>
      </c>
      <c r="CN133">
        <f t="shared" si="62"/>
        <v>0</v>
      </c>
      <c r="CO133">
        <f t="shared" si="46"/>
        <v>0</v>
      </c>
    </row>
    <row r="134" spans="1:93" s="12" customFormat="1" ht="14.45" customHeight="1" x14ac:dyDescent="0.25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10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+VLOOKUP(G134,Liste!$A$7:$G$69,3,FALSE)</f>
        <v>Pin sylvestre</v>
      </c>
      <c r="BI134" s="96" t="str">
        <f>+VLOOKUP(H134,Liste!$B$7:$G$69,5,FALSE)</f>
        <v>GS Pineraies des plaines du Centre et du Nord Ouest</v>
      </c>
      <c r="BJ134" s="135">
        <f t="shared" si="45"/>
        <v>101</v>
      </c>
      <c r="BK134" s="135" t="str">
        <f t="shared" si="47"/>
        <v>Pin sylvestre_F2_Eclaircie précoce_GS Pineraies des plaines du Centre et du Nord Ouest_101_</v>
      </c>
      <c r="BL134" s="319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97" t="str">
        <f>+VLOOKUP(G134,Liste!$A$7:$H$69,8,FALSE)</f>
        <v>Résineux</v>
      </c>
      <c r="BU134" s="297">
        <f t="shared" si="48"/>
        <v>0</v>
      </c>
      <c r="BV134" s="299">
        <f t="shared" si="49"/>
        <v>1</v>
      </c>
      <c r="BW134" s="318">
        <v>0</v>
      </c>
      <c r="BX134" s="297">
        <f t="shared" si="50"/>
        <v>0.43</v>
      </c>
      <c r="BY134">
        <f t="shared" si="51"/>
        <v>0</v>
      </c>
      <c r="BZ134" s="303">
        <f t="shared" si="52"/>
        <v>0</v>
      </c>
      <c r="CB134" s="298">
        <v>0.6</v>
      </c>
      <c r="CC134" s="298">
        <v>0.4</v>
      </c>
      <c r="CD134">
        <f t="shared" si="53"/>
        <v>0</v>
      </c>
      <c r="CE134">
        <f t="shared" si="54"/>
        <v>0</v>
      </c>
      <c r="CF134">
        <f t="shared" si="55"/>
        <v>0</v>
      </c>
      <c r="CG134">
        <f t="shared" si="56"/>
        <v>0</v>
      </c>
      <c r="CH134">
        <f t="shared" si="57"/>
        <v>0</v>
      </c>
      <c r="CI134">
        <f t="shared" si="58"/>
        <v>0</v>
      </c>
      <c r="CJ134">
        <f t="shared" si="59"/>
        <v>0</v>
      </c>
      <c r="CK134">
        <f t="shared" si="60"/>
        <v>0</v>
      </c>
      <c r="CL134">
        <f t="shared" si="61"/>
        <v>0</v>
      </c>
      <c r="CM134">
        <f t="shared" si="63"/>
        <v>0</v>
      </c>
      <c r="CN134">
        <f t="shared" si="62"/>
        <v>0</v>
      </c>
      <c r="CO134">
        <f t="shared" si="46"/>
        <v>0</v>
      </c>
    </row>
    <row r="135" spans="1:93" s="12" customFormat="1" ht="14.45" customHeight="1" x14ac:dyDescent="0.25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+VLOOKUP(G135,Liste!$A$7:$G$69,3,FALSE)</f>
        <v>Pin sylvestre</v>
      </c>
      <c r="BI135" s="96" t="str">
        <f>+VLOOKUP(H135,Liste!$B$7:$G$69,5,FALSE)</f>
        <v>GS Pineraies des plaines du Centre et du Nord Ouest</v>
      </c>
      <c r="BJ135" s="135">
        <f t="shared" si="45"/>
        <v>101</v>
      </c>
      <c r="BK135" s="135" t="str">
        <f t="shared" si="47"/>
        <v>Pin sylvestre_F2_Eclaircie précoce_GS Pineraies des plaines du Centre et du Nord Ouest_101_</v>
      </c>
      <c r="BL135" s="319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97" t="str">
        <f>+VLOOKUP(G135,Liste!$A$7:$H$69,8,FALSE)</f>
        <v>Résineux</v>
      </c>
      <c r="BU135" s="297">
        <f t="shared" si="48"/>
        <v>0</v>
      </c>
      <c r="BV135" s="299">
        <f t="shared" si="49"/>
        <v>1</v>
      </c>
      <c r="BW135" s="318">
        <v>0</v>
      </c>
      <c r="BX135" s="297">
        <f t="shared" si="50"/>
        <v>0.43</v>
      </c>
      <c r="BY135">
        <f t="shared" si="51"/>
        <v>0</v>
      </c>
      <c r="BZ135" s="303">
        <f t="shared" si="52"/>
        <v>0</v>
      </c>
      <c r="CB135" s="298">
        <v>0.6</v>
      </c>
      <c r="CC135" s="298">
        <v>0.4</v>
      </c>
      <c r="CD135">
        <f t="shared" si="53"/>
        <v>0</v>
      </c>
      <c r="CE135">
        <f t="shared" si="54"/>
        <v>0</v>
      </c>
      <c r="CF135">
        <f t="shared" si="55"/>
        <v>0</v>
      </c>
      <c r="CG135">
        <f t="shared" si="56"/>
        <v>0</v>
      </c>
      <c r="CH135">
        <f t="shared" si="57"/>
        <v>0</v>
      </c>
      <c r="CI135">
        <f t="shared" si="58"/>
        <v>0</v>
      </c>
      <c r="CJ135">
        <f t="shared" si="59"/>
        <v>0</v>
      </c>
      <c r="CK135">
        <f t="shared" si="60"/>
        <v>0</v>
      </c>
      <c r="CL135">
        <f t="shared" si="61"/>
        <v>0</v>
      </c>
      <c r="CM135">
        <f t="shared" si="63"/>
        <v>0</v>
      </c>
      <c r="CN135">
        <f t="shared" si="62"/>
        <v>0</v>
      </c>
      <c r="CO135">
        <f t="shared" si="46"/>
        <v>0</v>
      </c>
    </row>
    <row r="136" spans="1:93" s="12" customFormat="1" ht="14.45" customHeight="1" x14ac:dyDescent="0.25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10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+VLOOKUP(G136,Liste!$A$7:$G$69,3,FALSE)</f>
        <v>Pin sylvestre</v>
      </c>
      <c r="BI136" s="96" t="str">
        <f>+VLOOKUP(H136,Liste!$B$7:$G$69,5,FALSE)</f>
        <v>GS Pineraies des plaines du Centre et du Nord Ouest</v>
      </c>
      <c r="BJ136" s="135">
        <f t="shared" si="45"/>
        <v>102</v>
      </c>
      <c r="BK136" s="135" t="str">
        <f t="shared" si="47"/>
        <v>Pin sylvestre_F2_Eclaircie précoce_GS Pineraies des plaines du Centre et du Nord Ouest_102_</v>
      </c>
      <c r="BL136" s="319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97" t="str">
        <f>+VLOOKUP(G136,Liste!$A$7:$H$69,8,FALSE)</f>
        <v>Résineux</v>
      </c>
      <c r="BU136" s="297">
        <f t="shared" si="48"/>
        <v>0</v>
      </c>
      <c r="BV136" s="299">
        <f t="shared" si="49"/>
        <v>1</v>
      </c>
      <c r="BW136" s="318">
        <v>0</v>
      </c>
      <c r="BX136" s="297">
        <f t="shared" si="50"/>
        <v>0.43</v>
      </c>
      <c r="BY136">
        <f t="shared" si="51"/>
        <v>0</v>
      </c>
      <c r="BZ136" s="303">
        <f t="shared" si="52"/>
        <v>0</v>
      </c>
      <c r="CB136" s="298">
        <v>0.6</v>
      </c>
      <c r="CC136" s="298">
        <v>0.4</v>
      </c>
      <c r="CD136">
        <f t="shared" si="53"/>
        <v>0</v>
      </c>
      <c r="CE136">
        <f t="shared" si="54"/>
        <v>0</v>
      </c>
      <c r="CF136">
        <f t="shared" si="55"/>
        <v>0</v>
      </c>
      <c r="CG136">
        <f t="shared" si="56"/>
        <v>0</v>
      </c>
      <c r="CH136">
        <f t="shared" si="57"/>
        <v>0</v>
      </c>
      <c r="CI136">
        <f t="shared" si="58"/>
        <v>0</v>
      </c>
      <c r="CJ136">
        <f t="shared" si="59"/>
        <v>0</v>
      </c>
      <c r="CK136">
        <f t="shared" si="60"/>
        <v>0</v>
      </c>
      <c r="CL136">
        <f t="shared" si="61"/>
        <v>0</v>
      </c>
      <c r="CM136">
        <f t="shared" si="63"/>
        <v>0</v>
      </c>
      <c r="CN136">
        <f t="shared" si="62"/>
        <v>0</v>
      </c>
      <c r="CO136">
        <f t="shared" si="46"/>
        <v>0</v>
      </c>
    </row>
    <row r="137" spans="1:93" s="12" customFormat="1" ht="14.45" customHeight="1" x14ac:dyDescent="0.25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10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+VLOOKUP(G137,Liste!$A$7:$G$69,3,FALSE)</f>
        <v>Pin sylvestre</v>
      </c>
      <c r="BI137" s="96" t="str">
        <f>+VLOOKUP(H137,Liste!$B$7:$G$69,5,FALSE)</f>
        <v>GS Pineraies des plaines du Centre et du Nord Ouest</v>
      </c>
      <c r="BJ137" s="135">
        <f t="shared" si="45"/>
        <v>103</v>
      </c>
      <c r="BK137" s="135" t="str">
        <f t="shared" si="47"/>
        <v>Pin sylvestre_F2_Eclaircie précoce_GS Pineraies des plaines du Centre et du Nord Ouest_103_</v>
      </c>
      <c r="BL137" s="319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97" t="str">
        <f>+VLOOKUP(G137,Liste!$A$7:$H$69,8,FALSE)</f>
        <v>Résineux</v>
      </c>
      <c r="BU137" s="297">
        <f t="shared" si="48"/>
        <v>0</v>
      </c>
      <c r="BV137" s="299">
        <f t="shared" si="49"/>
        <v>1</v>
      </c>
      <c r="BW137" s="318">
        <v>0</v>
      </c>
      <c r="BX137" s="297">
        <f t="shared" si="50"/>
        <v>0.43</v>
      </c>
      <c r="BY137">
        <f t="shared" si="51"/>
        <v>0</v>
      </c>
      <c r="BZ137" s="303">
        <f t="shared" si="52"/>
        <v>0</v>
      </c>
      <c r="CB137" s="298">
        <v>0.6</v>
      </c>
      <c r="CC137" s="298">
        <v>0.4</v>
      </c>
      <c r="CD137">
        <f t="shared" si="53"/>
        <v>0</v>
      </c>
      <c r="CE137">
        <f t="shared" si="54"/>
        <v>0</v>
      </c>
      <c r="CF137">
        <f t="shared" si="55"/>
        <v>0</v>
      </c>
      <c r="CG137">
        <f t="shared" si="56"/>
        <v>0</v>
      </c>
      <c r="CH137">
        <f t="shared" si="57"/>
        <v>0</v>
      </c>
      <c r="CI137">
        <f t="shared" si="58"/>
        <v>0</v>
      </c>
      <c r="CJ137">
        <f t="shared" si="59"/>
        <v>0</v>
      </c>
      <c r="CK137">
        <f t="shared" si="60"/>
        <v>0</v>
      </c>
      <c r="CL137">
        <f t="shared" si="61"/>
        <v>0</v>
      </c>
      <c r="CM137">
        <f t="shared" si="63"/>
        <v>0</v>
      </c>
      <c r="CN137">
        <f t="shared" si="62"/>
        <v>0</v>
      </c>
      <c r="CO137">
        <f t="shared" si="46"/>
        <v>0</v>
      </c>
    </row>
    <row r="138" spans="1:93" s="12" customFormat="1" ht="14.45" customHeight="1" x14ac:dyDescent="0.25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10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+VLOOKUP(G138,Liste!$A$7:$G$69,3,FALSE)</f>
        <v>Pin sylvestre</v>
      </c>
      <c r="BI138" s="96" t="str">
        <f>+VLOOKUP(H138,Liste!$B$7:$G$69,5,FALSE)</f>
        <v>GS Pineraies des plaines du Centre et du Nord Ouest</v>
      </c>
      <c r="BJ138" s="135">
        <f t="shared" si="45"/>
        <v>104</v>
      </c>
      <c r="BK138" s="135" t="str">
        <f t="shared" si="47"/>
        <v>Pin sylvestre_F2_Eclaircie précoce_GS Pineraies des plaines du Centre et du Nord Ouest_104_</v>
      </c>
      <c r="BL138" s="319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97" t="str">
        <f>+VLOOKUP(G138,Liste!$A$7:$H$69,8,FALSE)</f>
        <v>Résineux</v>
      </c>
      <c r="BU138" s="297">
        <f t="shared" si="48"/>
        <v>0</v>
      </c>
      <c r="BV138" s="299">
        <f t="shared" si="49"/>
        <v>1</v>
      </c>
      <c r="BW138" s="318">
        <v>0</v>
      </c>
      <c r="BX138" s="297">
        <f t="shared" si="50"/>
        <v>0.43</v>
      </c>
      <c r="BY138">
        <f t="shared" si="51"/>
        <v>0</v>
      </c>
      <c r="BZ138" s="303">
        <f t="shared" si="52"/>
        <v>0</v>
      </c>
      <c r="CB138" s="298">
        <v>0.6</v>
      </c>
      <c r="CC138" s="298">
        <v>0.4</v>
      </c>
      <c r="CD138">
        <f t="shared" si="53"/>
        <v>0</v>
      </c>
      <c r="CE138">
        <f t="shared" si="54"/>
        <v>0</v>
      </c>
      <c r="CF138">
        <f t="shared" si="55"/>
        <v>0</v>
      </c>
      <c r="CG138">
        <f t="shared" si="56"/>
        <v>0</v>
      </c>
      <c r="CH138">
        <f t="shared" si="57"/>
        <v>0</v>
      </c>
      <c r="CI138">
        <f t="shared" si="58"/>
        <v>0</v>
      </c>
      <c r="CJ138">
        <f t="shared" si="59"/>
        <v>0</v>
      </c>
      <c r="CK138">
        <f t="shared" si="60"/>
        <v>0</v>
      </c>
      <c r="CL138">
        <f t="shared" si="61"/>
        <v>0</v>
      </c>
      <c r="CM138">
        <f t="shared" si="63"/>
        <v>0</v>
      </c>
      <c r="CN138">
        <f t="shared" si="62"/>
        <v>0</v>
      </c>
      <c r="CO138">
        <f t="shared" si="46"/>
        <v>0</v>
      </c>
    </row>
    <row r="139" spans="1:93" s="12" customFormat="1" ht="14.45" customHeight="1" x14ac:dyDescent="0.25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10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+VLOOKUP(G139,Liste!$A$7:$G$69,3,FALSE)</f>
        <v>Pin sylvestre</v>
      </c>
      <c r="BI139" s="96" t="str">
        <f>+VLOOKUP(H139,Liste!$B$7:$G$69,5,FALSE)</f>
        <v>GS Pineraies des plaines du Centre et du Nord Ouest</v>
      </c>
      <c r="BJ139" s="135">
        <f t="shared" si="45"/>
        <v>105</v>
      </c>
      <c r="BK139" s="135" t="str">
        <f t="shared" si="47"/>
        <v>Pin sylvestre_F2_Eclaircie précoce_GS Pineraies des plaines du Centre et du Nord Ouest_105_</v>
      </c>
      <c r="BL139" s="319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97" t="str">
        <f>+VLOOKUP(G139,Liste!$A$7:$H$69,8,FALSE)</f>
        <v>Résineux</v>
      </c>
      <c r="BU139" s="297">
        <f t="shared" si="48"/>
        <v>0</v>
      </c>
      <c r="BV139" s="299">
        <f t="shared" si="49"/>
        <v>1</v>
      </c>
      <c r="BW139" s="318">
        <v>0</v>
      </c>
      <c r="BX139" s="297">
        <f t="shared" si="50"/>
        <v>0.43</v>
      </c>
      <c r="BY139">
        <f t="shared" si="51"/>
        <v>0</v>
      </c>
      <c r="BZ139" s="303">
        <f t="shared" si="52"/>
        <v>0</v>
      </c>
      <c r="CB139" s="298">
        <v>0.6</v>
      </c>
      <c r="CC139" s="298">
        <v>0.4</v>
      </c>
      <c r="CD139">
        <f t="shared" si="53"/>
        <v>0</v>
      </c>
      <c r="CE139">
        <f t="shared" si="54"/>
        <v>0</v>
      </c>
      <c r="CF139">
        <f t="shared" si="55"/>
        <v>0</v>
      </c>
      <c r="CG139">
        <f t="shared" si="56"/>
        <v>0</v>
      </c>
      <c r="CH139">
        <f t="shared" si="57"/>
        <v>0</v>
      </c>
      <c r="CI139">
        <f t="shared" si="58"/>
        <v>0</v>
      </c>
      <c r="CJ139">
        <f t="shared" si="59"/>
        <v>0</v>
      </c>
      <c r="CK139">
        <f t="shared" si="60"/>
        <v>0</v>
      </c>
      <c r="CL139">
        <f t="shared" si="61"/>
        <v>0</v>
      </c>
      <c r="CM139">
        <f t="shared" si="63"/>
        <v>0</v>
      </c>
      <c r="CN139">
        <f t="shared" si="62"/>
        <v>0</v>
      </c>
      <c r="CO139">
        <f t="shared" si="46"/>
        <v>0</v>
      </c>
    </row>
    <row r="140" spans="1:93" s="12" customFormat="1" ht="14.45" customHeight="1" x14ac:dyDescent="0.25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+VLOOKUP(G140,Liste!$A$7:$G$69,3,FALSE)</f>
        <v>Pin sylvestre</v>
      </c>
      <c r="BI140" s="96" t="str">
        <f>+VLOOKUP(H140,Liste!$B$7:$G$69,5,FALSE)</f>
        <v>GS Pineraies des plaines du Centre et du Nord Ouest</v>
      </c>
      <c r="BJ140" s="135">
        <f t="shared" si="45"/>
        <v>105</v>
      </c>
      <c r="BK140" s="135" t="str">
        <f t="shared" si="47"/>
        <v>Pin sylvestre_F2_Eclaircie précoce_GS Pineraies des plaines du Centre et du Nord Ouest_105_</v>
      </c>
      <c r="BL140" s="319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97" t="str">
        <f>+VLOOKUP(G140,Liste!$A$7:$H$69,8,FALSE)</f>
        <v>Résineux</v>
      </c>
      <c r="BU140" s="297">
        <f t="shared" si="48"/>
        <v>0</v>
      </c>
      <c r="BV140" s="299">
        <f t="shared" si="49"/>
        <v>1</v>
      </c>
      <c r="BW140" s="318">
        <v>0</v>
      </c>
      <c r="BX140" s="297">
        <f t="shared" si="50"/>
        <v>0.43</v>
      </c>
      <c r="BY140">
        <f t="shared" si="51"/>
        <v>0</v>
      </c>
      <c r="BZ140" s="303">
        <f t="shared" si="52"/>
        <v>0</v>
      </c>
      <c r="CB140" s="298">
        <v>0.6</v>
      </c>
      <c r="CC140" s="298">
        <v>0.4</v>
      </c>
      <c r="CD140">
        <f t="shared" si="53"/>
        <v>0</v>
      </c>
      <c r="CE140">
        <f t="shared" si="54"/>
        <v>0</v>
      </c>
      <c r="CF140">
        <f t="shared" si="55"/>
        <v>0</v>
      </c>
      <c r="CG140">
        <f t="shared" si="56"/>
        <v>0</v>
      </c>
      <c r="CH140">
        <f t="shared" si="57"/>
        <v>0</v>
      </c>
      <c r="CI140">
        <f t="shared" si="58"/>
        <v>0</v>
      </c>
      <c r="CJ140">
        <f t="shared" si="59"/>
        <v>0</v>
      </c>
      <c r="CK140">
        <f t="shared" si="60"/>
        <v>0</v>
      </c>
      <c r="CL140">
        <f t="shared" si="61"/>
        <v>0</v>
      </c>
      <c r="CM140">
        <f t="shared" si="63"/>
        <v>0</v>
      </c>
      <c r="CN140">
        <f t="shared" si="62"/>
        <v>0</v>
      </c>
      <c r="CO140">
        <f t="shared" si="46"/>
        <v>0</v>
      </c>
    </row>
    <row r="141" spans="1:93" s="12" customFormat="1" ht="14.45" hidden="1" customHeight="1" x14ac:dyDescent="0.25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10">
        <v>0</v>
      </c>
      <c r="AW141" s="8"/>
      <c r="AX141" s="74"/>
      <c r="AY141" s="311" t="str">
        <f t="shared" ref="AY141:AY177" si="64">IF(AD141="ap",IF(AU141&lt;=45,0,1.80306-(53.52431/AU141)-(1182.78539/(AU141^2))),"")</f>
        <v/>
      </c>
      <c r="AZ141" s="311" t="str">
        <f t="shared" ref="AZ141:AZ177" si="65">IF(AD141="ap",IF(AU141&lt;=20,0,(0.76104+(25.23841/AU141)-(764.19392/AU141^2))-AY141),"")</f>
        <v/>
      </c>
      <c r="BA141" s="312" t="str">
        <f t="shared" ref="BA141:BA177" si="66">IF(AD141="ap",(1.00532-(0.17086/AU141)-(9.5151/ AU141^2))-(AY141+AZ141),"")</f>
        <v/>
      </c>
      <c r="BB141" s="10" t="str">
        <f t="shared" ref="BB141:BB177" si="67">IF(AD141="ap",(AY141+AZ141)*47.01%*AV141+BA141*AV141*0%,"")</f>
        <v/>
      </c>
      <c r="BC141" s="10" t="str">
        <f t="shared" ref="BC141:BC177" si="68">IF(AD141="ap",(AY141+AZ141)*10.36%*AV141+BA141*AV141*54.06%,"")</f>
        <v/>
      </c>
      <c r="BD141" s="10" t="str">
        <f t="shared" ref="BD141:BD177" si="69">IF(AD141="ap",(AY141+AZ141)*7.36%*AV141+BA141*AV141*28%,"")</f>
        <v/>
      </c>
      <c r="BE141" s="10" t="str">
        <f t="shared" ref="BE141:BE177" si="70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+VLOOKUP(G141,Liste!$A$7:$G$69,3,FALSE)</f>
        <v>Douglas</v>
      </c>
      <c r="BI141" s="96" t="str">
        <f>+VLOOKUP(H141,Liste!$B$7:$G$69,5,FALSE)</f>
        <v>National</v>
      </c>
      <c r="BJ141" s="135">
        <f t="shared" si="45"/>
        <v>19</v>
      </c>
      <c r="BK141" s="135" t="str">
        <f t="shared" si="47"/>
        <v>Douglas_F2_Entree 17-18m, densité haute_National_19_</v>
      </c>
      <c r="BL141" s="319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97" t="str">
        <f>+VLOOKUP(G141,Liste!$A$7:$H$69,8,FALSE)</f>
        <v>Résineux</v>
      </c>
      <c r="BU141" s="297">
        <f t="shared" si="48"/>
        <v>0</v>
      </c>
      <c r="BV141" s="299">
        <f t="shared" si="49"/>
        <v>1</v>
      </c>
      <c r="BW141" s="318">
        <v>0</v>
      </c>
      <c r="BX141" s="297">
        <f t="shared" si="50"/>
        <v>0.43</v>
      </c>
      <c r="BY141">
        <f t="shared" si="51"/>
        <v>0</v>
      </c>
      <c r="BZ141" s="303">
        <f t="shared" si="52"/>
        <v>0</v>
      </c>
      <c r="CB141" s="298">
        <v>0.6</v>
      </c>
      <c r="CC141" s="298">
        <v>0.4</v>
      </c>
      <c r="CD141">
        <f t="shared" si="53"/>
        <v>0</v>
      </c>
      <c r="CE141">
        <f t="shared" si="54"/>
        <v>0</v>
      </c>
      <c r="CF141">
        <f t="shared" si="55"/>
        <v>0</v>
      </c>
      <c r="CG141">
        <f t="shared" si="56"/>
        <v>0</v>
      </c>
      <c r="CH141">
        <f t="shared" si="57"/>
        <v>0</v>
      </c>
      <c r="CI141">
        <f t="shared" si="58"/>
        <v>0</v>
      </c>
      <c r="CJ141">
        <f t="shared" si="59"/>
        <v>0</v>
      </c>
      <c r="CK141">
        <f t="shared" si="60"/>
        <v>0</v>
      </c>
      <c r="CL141">
        <f t="shared" si="61"/>
        <v>0</v>
      </c>
      <c r="CM141">
        <f t="shared" si="63"/>
        <v>0</v>
      </c>
      <c r="CN141">
        <f t="shared" si="62"/>
        <v>0</v>
      </c>
      <c r="CO141">
        <f t="shared" si="46"/>
        <v>0</v>
      </c>
    </row>
    <row r="142" spans="1:93" s="12" customFormat="1" ht="14.45" hidden="1" customHeight="1" x14ac:dyDescent="0.25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74"/>
      <c r="AY142" s="311" t="str">
        <f t="shared" si="64"/>
        <v/>
      </c>
      <c r="AZ142" s="311" t="str">
        <f t="shared" si="65"/>
        <v/>
      </c>
      <c r="BA142" s="312" t="str">
        <f t="shared" si="66"/>
        <v/>
      </c>
      <c r="BB142" s="10" t="str">
        <f t="shared" si="67"/>
        <v/>
      </c>
      <c r="BC142" s="10" t="str">
        <f t="shared" si="68"/>
        <v/>
      </c>
      <c r="BD142" s="10" t="str">
        <f t="shared" si="69"/>
        <v/>
      </c>
      <c r="BE142" s="10" t="str">
        <f t="shared" si="70"/>
        <v/>
      </c>
      <c r="BF142" s="12">
        <v>0.43</v>
      </c>
      <c r="BG142" s="13">
        <v>175.30433327142501</v>
      </c>
      <c r="BH142" s="96" t="str">
        <f>+VLOOKUP(G142,Liste!$A$7:$G$69,3,FALSE)</f>
        <v>Douglas</v>
      </c>
      <c r="BI142" s="96" t="str">
        <f>+VLOOKUP(H142,Liste!$B$7:$G$69,5,FALSE)</f>
        <v>National</v>
      </c>
      <c r="BJ142" s="135">
        <f t="shared" si="45"/>
        <v>21</v>
      </c>
      <c r="BK142" s="135" t="str">
        <f t="shared" si="47"/>
        <v>Douglas_F2_Entree 17-18m, densité haute_National_21_</v>
      </c>
      <c r="BL142" s="319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97" t="str">
        <f>+VLOOKUP(G142,Liste!$A$7:$H$69,8,FALSE)</f>
        <v>Résineux</v>
      </c>
      <c r="BU142" s="297">
        <f t="shared" si="48"/>
        <v>0</v>
      </c>
      <c r="BV142" s="299">
        <f t="shared" si="49"/>
        <v>1</v>
      </c>
      <c r="BW142" s="318">
        <v>0</v>
      </c>
      <c r="BX142" s="297">
        <f t="shared" si="50"/>
        <v>0.43</v>
      </c>
      <c r="BY142">
        <f t="shared" si="51"/>
        <v>0</v>
      </c>
      <c r="BZ142" s="303">
        <f t="shared" si="52"/>
        <v>0</v>
      </c>
      <c r="CB142" s="298">
        <v>0.6</v>
      </c>
      <c r="CC142" s="298">
        <v>0.4</v>
      </c>
      <c r="CD142">
        <f t="shared" si="53"/>
        <v>0</v>
      </c>
      <c r="CE142">
        <f t="shared" si="54"/>
        <v>0</v>
      </c>
      <c r="CF142">
        <f t="shared" si="55"/>
        <v>0</v>
      </c>
      <c r="CG142">
        <f t="shared" si="56"/>
        <v>0</v>
      </c>
      <c r="CH142">
        <f t="shared" si="57"/>
        <v>0</v>
      </c>
      <c r="CI142">
        <f t="shared" si="58"/>
        <v>0</v>
      </c>
      <c r="CJ142">
        <f t="shared" si="59"/>
        <v>0</v>
      </c>
      <c r="CK142">
        <f t="shared" si="60"/>
        <v>0</v>
      </c>
      <c r="CL142">
        <f t="shared" si="61"/>
        <v>0</v>
      </c>
      <c r="CM142">
        <f t="shared" si="63"/>
        <v>0</v>
      </c>
      <c r="CN142">
        <f t="shared" si="62"/>
        <v>0</v>
      </c>
      <c r="CO142">
        <f t="shared" si="46"/>
        <v>0</v>
      </c>
    </row>
    <row r="143" spans="1:93" s="12" customFormat="1" ht="14.45" hidden="1" customHeight="1" x14ac:dyDescent="0.25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11">
        <f t="shared" si="64"/>
        <v>0</v>
      </c>
      <c r="AZ143" s="311">
        <f t="shared" si="65"/>
        <v>0</v>
      </c>
      <c r="BA143" s="312">
        <f t="shared" si="66"/>
        <v>0.94099197909283938</v>
      </c>
      <c r="BB143" s="10">
        <f t="shared" si="67"/>
        <v>0</v>
      </c>
      <c r="BC143" s="10">
        <f t="shared" si="68"/>
        <v>32.172598530740537</v>
      </c>
      <c r="BD143" s="10">
        <f t="shared" si="69"/>
        <v>16.663573045888551</v>
      </c>
      <c r="BE143" s="10">
        <f t="shared" si="70"/>
        <v>3.3208120570020756</v>
      </c>
      <c r="BF143" s="12">
        <v>0.43</v>
      </c>
      <c r="BG143" s="75">
        <v>115.75541631024301</v>
      </c>
      <c r="BH143" s="96" t="str">
        <f>+VLOOKUP(G143,Liste!$A$7:$G$69,3,FALSE)</f>
        <v>Douglas</v>
      </c>
      <c r="BI143" s="96" t="str">
        <f>+VLOOKUP(H143,Liste!$B$7:$G$69,5,FALSE)</f>
        <v>National</v>
      </c>
      <c r="BJ143" s="135">
        <f t="shared" si="45"/>
        <v>21</v>
      </c>
      <c r="BK143" s="135" t="str">
        <f t="shared" si="47"/>
        <v>Douglas_F2_Entree 17-18m, densité haute_National_21_</v>
      </c>
      <c r="BL143" s="319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97" t="str">
        <f>+VLOOKUP(G143,Liste!$A$7:$H$69,8,FALSE)</f>
        <v>Résineux</v>
      </c>
      <c r="BU143" s="297">
        <f t="shared" si="48"/>
        <v>0</v>
      </c>
      <c r="BV143" s="299">
        <f t="shared" si="49"/>
        <v>1</v>
      </c>
      <c r="BW143" s="318">
        <v>0</v>
      </c>
      <c r="BX143" s="297">
        <f t="shared" si="50"/>
        <v>0.43</v>
      </c>
      <c r="BY143">
        <f t="shared" si="51"/>
        <v>27.195223494131156</v>
      </c>
      <c r="BZ143" s="303">
        <f t="shared" si="52"/>
        <v>27.195223494131156</v>
      </c>
      <c r="CB143" s="298">
        <v>0.6</v>
      </c>
      <c r="CC143" s="298">
        <v>0.4</v>
      </c>
      <c r="CD143">
        <f t="shared" si="53"/>
        <v>0</v>
      </c>
      <c r="CE143">
        <f t="shared" si="54"/>
        <v>37.946823480183006</v>
      </c>
      <c r="CF143">
        <f t="shared" si="55"/>
        <v>25.297882320122007</v>
      </c>
      <c r="CG143">
        <f t="shared" si="56"/>
        <v>0</v>
      </c>
      <c r="CH143">
        <f t="shared" si="57"/>
        <v>28.419008551367057</v>
      </c>
      <c r="CI143">
        <f t="shared" si="58"/>
        <v>18.946005700911371</v>
      </c>
      <c r="CJ143">
        <f t="shared" si="59"/>
        <v>0</v>
      </c>
      <c r="CK143">
        <f t="shared" si="60"/>
        <v>0</v>
      </c>
      <c r="CL143">
        <f t="shared" si="61"/>
        <v>0</v>
      </c>
      <c r="CM143">
        <f t="shared" si="63"/>
        <v>0</v>
      </c>
      <c r="CN143">
        <f t="shared" si="62"/>
        <v>0</v>
      </c>
      <c r="CO143">
        <f t="shared" si="46"/>
        <v>0</v>
      </c>
    </row>
    <row r="144" spans="1:93" s="12" customFormat="1" ht="14.45" hidden="1" customHeight="1" x14ac:dyDescent="0.25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311" t="str">
        <f t="shared" si="64"/>
        <v/>
      </c>
      <c r="AZ144" s="311" t="str">
        <f t="shared" si="65"/>
        <v/>
      </c>
      <c r="BA144" s="312" t="str">
        <f t="shared" si="66"/>
        <v/>
      </c>
      <c r="BB144" s="10" t="str">
        <f t="shared" si="67"/>
        <v/>
      </c>
      <c r="BC144" s="10" t="str">
        <f t="shared" si="68"/>
        <v/>
      </c>
      <c r="BD144" s="10" t="str">
        <f t="shared" si="69"/>
        <v/>
      </c>
      <c r="BE144" s="10" t="str">
        <f t="shared" si="70"/>
        <v/>
      </c>
      <c r="BF144" s="12">
        <v>0.43</v>
      </c>
      <c r="BG144" s="75">
        <v>229.479861482827</v>
      </c>
      <c r="BH144" s="96" t="str">
        <f>+VLOOKUP(G144,Liste!$A$7:$G$69,3,FALSE)</f>
        <v>Douglas</v>
      </c>
      <c r="BI144" s="96" t="str">
        <f>+VLOOKUP(H144,Liste!$B$7:$G$69,5,FALSE)</f>
        <v>National</v>
      </c>
      <c r="BJ144" s="135">
        <f t="shared" si="45"/>
        <v>28</v>
      </c>
      <c r="BK144" s="135" t="str">
        <f t="shared" si="47"/>
        <v>Douglas_F2_Entree 17-18m, densité haute_National_28_</v>
      </c>
      <c r="BL144" s="319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97" t="str">
        <f>+VLOOKUP(G144,Liste!$A$7:$H$69,8,FALSE)</f>
        <v>Résineux</v>
      </c>
      <c r="BU144" s="297">
        <f t="shared" si="48"/>
        <v>0</v>
      </c>
      <c r="BV144" s="299">
        <f t="shared" si="49"/>
        <v>1</v>
      </c>
      <c r="BW144" s="318">
        <v>0</v>
      </c>
      <c r="BX144" s="297">
        <f t="shared" si="50"/>
        <v>0.43</v>
      </c>
      <c r="BY144">
        <f t="shared" si="51"/>
        <v>0</v>
      </c>
      <c r="BZ144" s="303">
        <f t="shared" si="52"/>
        <v>27.195223494131156</v>
      </c>
      <c r="CB144" s="298">
        <v>0.6</v>
      </c>
      <c r="CC144" s="298">
        <v>0.4</v>
      </c>
      <c r="CD144">
        <f t="shared" si="53"/>
        <v>0</v>
      </c>
      <c r="CE144">
        <f t="shared" si="54"/>
        <v>0</v>
      </c>
      <c r="CF144">
        <f t="shared" si="55"/>
        <v>0</v>
      </c>
      <c r="CG144">
        <f t="shared" si="56"/>
        <v>0</v>
      </c>
      <c r="CH144">
        <f t="shared" si="57"/>
        <v>0</v>
      </c>
      <c r="CI144">
        <f t="shared" si="58"/>
        <v>0</v>
      </c>
      <c r="CJ144">
        <f t="shared" si="59"/>
        <v>0</v>
      </c>
      <c r="CK144">
        <f t="shared" si="60"/>
        <v>28.028653405906475</v>
      </c>
      <c r="CL144">
        <f t="shared" si="61"/>
        <v>16.011481396823037</v>
      </c>
      <c r="CM144">
        <f t="shared" si="63"/>
        <v>44.040134802729511</v>
      </c>
      <c r="CN144">
        <f t="shared" si="62"/>
        <v>44.040134802729511</v>
      </c>
      <c r="CO144">
        <f t="shared" si="46"/>
        <v>0</v>
      </c>
    </row>
    <row r="145" spans="1:93" s="12" customFormat="1" ht="14.45" hidden="1" customHeight="1" x14ac:dyDescent="0.25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11">
        <f t="shared" si="64"/>
        <v>0</v>
      </c>
      <c r="AZ145" s="311">
        <f t="shared" si="65"/>
        <v>0.14258563124907586</v>
      </c>
      <c r="BA145" s="312">
        <f t="shared" si="66"/>
        <v>0.83106646444314403</v>
      </c>
      <c r="BB145" s="10">
        <f t="shared" si="67"/>
        <v>4.0188317116480654</v>
      </c>
      <c r="BC145" s="10">
        <f t="shared" si="68"/>
        <v>27.822440123580886</v>
      </c>
      <c r="BD145" s="10">
        <f t="shared" si="69"/>
        <v>14.580913064644763</v>
      </c>
      <c r="BE145" s="10">
        <f t="shared" si="70"/>
        <v>5.737437451643113</v>
      </c>
      <c r="BF145" s="12">
        <v>0.43</v>
      </c>
      <c r="BG145" s="75">
        <v>174.07261531620699</v>
      </c>
      <c r="BH145" s="96" t="str">
        <f>+VLOOKUP(G145,Liste!$A$7:$G$69,3,FALSE)</f>
        <v>Douglas</v>
      </c>
      <c r="BI145" s="96" t="str">
        <f>+VLOOKUP(H145,Liste!$B$7:$G$69,5,FALSE)</f>
        <v>National</v>
      </c>
      <c r="BJ145" s="135">
        <f t="shared" si="45"/>
        <v>28</v>
      </c>
      <c r="BK145" s="135" t="str">
        <f t="shared" si="47"/>
        <v>Douglas_F2_Entree 17-18m, densité haute_National_28_</v>
      </c>
      <c r="BL145" s="319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97" t="str">
        <f>+VLOOKUP(G145,Liste!$A$7:$H$69,8,FALSE)</f>
        <v>Résineux</v>
      </c>
      <c r="BU145" s="297">
        <f t="shared" si="48"/>
        <v>0</v>
      </c>
      <c r="BV145" s="299">
        <f t="shared" si="49"/>
        <v>1</v>
      </c>
      <c r="BW145" s="318">
        <v>0</v>
      </c>
      <c r="BX145" s="297">
        <f t="shared" si="50"/>
        <v>0.43</v>
      </c>
      <c r="BY145">
        <f t="shared" si="51"/>
        <v>25.781148608489179</v>
      </c>
      <c r="BZ145" s="303">
        <f t="shared" si="52"/>
        <v>52.976372102620331</v>
      </c>
      <c r="CB145" s="298">
        <v>0.6</v>
      </c>
      <c r="CC145" s="298">
        <v>0.4</v>
      </c>
      <c r="CD145">
        <f t="shared" si="53"/>
        <v>0</v>
      </c>
      <c r="CE145">
        <f t="shared" si="54"/>
        <v>35.973695732775596</v>
      </c>
      <c r="CF145">
        <f t="shared" si="55"/>
        <v>23.982463821850402</v>
      </c>
      <c r="CG145">
        <f t="shared" si="56"/>
        <v>0</v>
      </c>
      <c r="CH145">
        <f t="shared" si="57"/>
        <v>26.941300295871191</v>
      </c>
      <c r="CI145">
        <f t="shared" si="58"/>
        <v>17.960866863914131</v>
      </c>
      <c r="CJ145">
        <f t="shared" si="59"/>
        <v>0</v>
      </c>
      <c r="CK145">
        <f t="shared" si="60"/>
        <v>27.262208404559139</v>
      </c>
      <c r="CL145">
        <f t="shared" si="61"/>
        <v>11.321827072535823</v>
      </c>
      <c r="CM145">
        <f t="shared" si="63"/>
        <v>38.584035477094965</v>
      </c>
      <c r="CN145">
        <f t="shared" si="62"/>
        <v>82.624170279824483</v>
      </c>
      <c r="CO145">
        <f t="shared" si="46"/>
        <v>0</v>
      </c>
    </row>
    <row r="146" spans="1:93" s="12" customFormat="1" ht="14.45" hidden="1" customHeight="1" x14ac:dyDescent="0.25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311" t="str">
        <f t="shared" si="64"/>
        <v/>
      </c>
      <c r="AZ146" s="311" t="str">
        <f t="shared" si="65"/>
        <v/>
      </c>
      <c r="BA146" s="312" t="str">
        <f t="shared" si="66"/>
        <v/>
      </c>
      <c r="BB146" s="10" t="str">
        <f t="shared" si="67"/>
        <v/>
      </c>
      <c r="BC146" s="10" t="str">
        <f t="shared" si="68"/>
        <v/>
      </c>
      <c r="BD146" s="10" t="str">
        <f t="shared" si="69"/>
        <v/>
      </c>
      <c r="BE146" s="10" t="str">
        <f t="shared" si="70"/>
        <v/>
      </c>
      <c r="BF146" s="12">
        <v>0.43</v>
      </c>
      <c r="BG146" s="75">
        <v>209.31587708670099</v>
      </c>
      <c r="BH146" s="96" t="str">
        <f>+VLOOKUP(G146,Liste!$A$7:$G$69,3,FALSE)</f>
        <v>Douglas</v>
      </c>
      <c r="BI146" s="96" t="str">
        <f>+VLOOKUP(H146,Liste!$B$7:$G$69,5,FALSE)</f>
        <v>National</v>
      </c>
      <c r="BJ146" s="135">
        <f t="shared" si="45"/>
        <v>30</v>
      </c>
      <c r="BK146" s="135" t="str">
        <f t="shared" si="47"/>
        <v>Douglas_F2_Entree 17-18m, densité haute_National_30_</v>
      </c>
      <c r="BL146" s="319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97" t="str">
        <f>+VLOOKUP(G146,Liste!$A$7:$H$69,8,FALSE)</f>
        <v>Résineux</v>
      </c>
      <c r="BU146" s="297">
        <f t="shared" si="48"/>
        <v>0</v>
      </c>
      <c r="BV146" s="299">
        <f t="shared" si="49"/>
        <v>1</v>
      </c>
      <c r="BW146" s="318">
        <v>0</v>
      </c>
      <c r="BX146" s="297">
        <f t="shared" si="50"/>
        <v>0.43</v>
      </c>
      <c r="BY146">
        <f t="shared" si="51"/>
        <v>0</v>
      </c>
      <c r="BZ146" s="303">
        <f t="shared" si="52"/>
        <v>52.976372102620331</v>
      </c>
      <c r="CB146" s="298">
        <v>0.6</v>
      </c>
      <c r="CC146" s="298">
        <v>0.4</v>
      </c>
      <c r="CD146">
        <f t="shared" si="53"/>
        <v>0</v>
      </c>
      <c r="CE146">
        <f t="shared" si="54"/>
        <v>0</v>
      </c>
      <c r="CF146">
        <f t="shared" si="55"/>
        <v>0</v>
      </c>
      <c r="CG146">
        <f t="shared" si="56"/>
        <v>0</v>
      </c>
      <c r="CH146">
        <f t="shared" si="57"/>
        <v>0</v>
      </c>
      <c r="CI146">
        <f t="shared" si="58"/>
        <v>0</v>
      </c>
      <c r="CJ146">
        <f t="shared" si="59"/>
        <v>0</v>
      </c>
      <c r="CK146">
        <f t="shared" si="60"/>
        <v>53.087964398598871</v>
      </c>
      <c r="CL146">
        <f t="shared" si="61"/>
        <v>23.184670241779216</v>
      </c>
      <c r="CM146">
        <f t="shared" si="63"/>
        <v>76.272634640378087</v>
      </c>
      <c r="CN146">
        <f t="shared" si="62"/>
        <v>158.89680492020256</v>
      </c>
      <c r="CO146">
        <f t="shared" si="46"/>
        <v>5.2965601640067517</v>
      </c>
    </row>
    <row r="147" spans="1:93" s="12" customFormat="1" ht="14.45" hidden="1" customHeight="1" x14ac:dyDescent="0.25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311" t="str">
        <f t="shared" si="64"/>
        <v/>
      </c>
      <c r="AZ147" s="311" t="str">
        <f t="shared" si="65"/>
        <v/>
      </c>
      <c r="BA147" s="312" t="str">
        <f t="shared" si="66"/>
        <v/>
      </c>
      <c r="BB147" s="10" t="str">
        <f t="shared" si="67"/>
        <v/>
      </c>
      <c r="BC147" s="10" t="str">
        <f t="shared" si="68"/>
        <v/>
      </c>
      <c r="BD147" s="10" t="str">
        <f t="shared" si="69"/>
        <v/>
      </c>
      <c r="BE147" s="10" t="str">
        <f t="shared" si="70"/>
        <v/>
      </c>
      <c r="BF147" s="12">
        <v>0.43</v>
      </c>
      <c r="BG147" s="75">
        <v>297.42403151293598</v>
      </c>
      <c r="BH147" s="96" t="str">
        <f>+VLOOKUP(G147,Liste!$A$7:$G$69,3,FALSE)</f>
        <v>Douglas</v>
      </c>
      <c r="BI147" s="96" t="str">
        <f>+VLOOKUP(H147,Liste!$B$7:$G$69,5,FALSE)</f>
        <v>National</v>
      </c>
      <c r="BJ147" s="135">
        <f t="shared" si="45"/>
        <v>35</v>
      </c>
      <c r="BK147" s="135" t="str">
        <f t="shared" si="47"/>
        <v>Douglas_F2_Entree 17-18m, densité haute_National_35_</v>
      </c>
      <c r="BL147" s="319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97" t="str">
        <f>+VLOOKUP(G147,Liste!$A$7:$H$69,8,FALSE)</f>
        <v>Résineux</v>
      </c>
      <c r="BU147" s="297">
        <f t="shared" si="48"/>
        <v>0</v>
      </c>
      <c r="BV147" s="299">
        <f t="shared" si="49"/>
        <v>1</v>
      </c>
      <c r="BW147" s="318">
        <v>0</v>
      </c>
      <c r="BX147" s="297">
        <f t="shared" si="50"/>
        <v>0.43</v>
      </c>
      <c r="BY147">
        <f t="shared" si="51"/>
        <v>0</v>
      </c>
      <c r="BZ147" s="303">
        <f t="shared" si="52"/>
        <v>0</v>
      </c>
      <c r="CB147" s="298">
        <v>0.6</v>
      </c>
      <c r="CC147" s="298">
        <v>0.4</v>
      </c>
      <c r="CD147">
        <f t="shared" si="53"/>
        <v>0</v>
      </c>
      <c r="CE147">
        <f t="shared" si="54"/>
        <v>0</v>
      </c>
      <c r="CF147">
        <f t="shared" si="55"/>
        <v>0</v>
      </c>
      <c r="CG147">
        <f t="shared" si="56"/>
        <v>0</v>
      </c>
      <c r="CH147">
        <f t="shared" si="57"/>
        <v>0</v>
      </c>
      <c r="CI147">
        <f t="shared" si="58"/>
        <v>0</v>
      </c>
      <c r="CJ147">
        <f t="shared" si="59"/>
        <v>0</v>
      </c>
      <c r="CK147">
        <f t="shared" si="60"/>
        <v>0</v>
      </c>
      <c r="CL147">
        <f t="shared" si="61"/>
        <v>0</v>
      </c>
      <c r="CM147">
        <f t="shared" si="63"/>
        <v>0</v>
      </c>
      <c r="CN147">
        <f t="shared" si="62"/>
        <v>0</v>
      </c>
      <c r="CO147">
        <f t="shared" si="46"/>
        <v>0</v>
      </c>
    </row>
    <row r="148" spans="1:93" s="12" customFormat="1" ht="14.45" hidden="1" customHeight="1" x14ac:dyDescent="0.25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11">
        <f t="shared" si="64"/>
        <v>0</v>
      </c>
      <c r="AZ148" s="311">
        <f t="shared" si="65"/>
        <v>0.60140767453434085</v>
      </c>
      <c r="BA148" s="312">
        <f t="shared" si="66"/>
        <v>0.38326853191866095</v>
      </c>
      <c r="BB148" s="10">
        <f t="shared" si="67"/>
        <v>20.35603511133284</v>
      </c>
      <c r="BC148" s="10">
        <f t="shared" si="68"/>
        <v>19.404123878025146</v>
      </c>
      <c r="BD148" s="10">
        <f t="shared" si="69"/>
        <v>10.913710290788643</v>
      </c>
      <c r="BE148" s="10">
        <f t="shared" si="70"/>
        <v>16.517813715276564</v>
      </c>
      <c r="BF148" s="12">
        <v>0.43</v>
      </c>
      <c r="BG148" s="75">
        <v>228.78306082784101</v>
      </c>
      <c r="BH148" s="96" t="str">
        <f>+VLOOKUP(G148,Liste!$A$7:$G$69,3,FALSE)</f>
        <v>Douglas</v>
      </c>
      <c r="BI148" s="96" t="str">
        <f>+VLOOKUP(H148,Liste!$B$7:$G$69,5,FALSE)</f>
        <v>National</v>
      </c>
      <c r="BJ148" s="135">
        <f t="shared" si="45"/>
        <v>35</v>
      </c>
      <c r="BK148" s="135" t="str">
        <f t="shared" si="47"/>
        <v>Douglas_F2_Entree 17-18m, densité haute_National_35_</v>
      </c>
      <c r="BL148" s="319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97" t="str">
        <f>+VLOOKUP(G148,Liste!$A$7:$H$69,8,FALSE)</f>
        <v>Résineux</v>
      </c>
      <c r="BU148" s="297">
        <f t="shared" si="48"/>
        <v>0</v>
      </c>
      <c r="BV148" s="299">
        <f t="shared" si="49"/>
        <v>1</v>
      </c>
      <c r="BW148" s="318">
        <v>0</v>
      </c>
      <c r="BX148" s="297">
        <f t="shared" si="50"/>
        <v>0.43</v>
      </c>
      <c r="BY148">
        <f t="shared" si="51"/>
        <v>0</v>
      </c>
      <c r="BZ148" s="303">
        <f t="shared" si="52"/>
        <v>0</v>
      </c>
      <c r="CB148" s="298">
        <v>0.6</v>
      </c>
      <c r="CC148" s="298">
        <v>0.4</v>
      </c>
      <c r="CD148">
        <f t="shared" si="53"/>
        <v>0</v>
      </c>
      <c r="CE148">
        <f t="shared" si="54"/>
        <v>0</v>
      </c>
      <c r="CF148">
        <f t="shared" si="55"/>
        <v>0</v>
      </c>
      <c r="CG148">
        <f t="shared" si="56"/>
        <v>0</v>
      </c>
      <c r="CH148">
        <f t="shared" si="57"/>
        <v>0</v>
      </c>
      <c r="CI148">
        <f t="shared" si="58"/>
        <v>0</v>
      </c>
      <c r="CJ148">
        <f t="shared" si="59"/>
        <v>0</v>
      </c>
      <c r="CK148">
        <f t="shared" si="60"/>
        <v>0</v>
      </c>
      <c r="CL148">
        <f t="shared" si="61"/>
        <v>0</v>
      </c>
      <c r="CM148">
        <f t="shared" si="63"/>
        <v>0</v>
      </c>
      <c r="CN148">
        <f t="shared" si="62"/>
        <v>0</v>
      </c>
      <c r="CO148">
        <f t="shared" si="46"/>
        <v>0</v>
      </c>
    </row>
    <row r="149" spans="1:93" s="12" customFormat="1" ht="14.45" hidden="1" customHeight="1" x14ac:dyDescent="0.25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311" t="str">
        <f t="shared" si="64"/>
        <v/>
      </c>
      <c r="AZ149" s="311" t="str">
        <f t="shared" si="65"/>
        <v/>
      </c>
      <c r="BA149" s="312" t="str">
        <f t="shared" si="66"/>
        <v/>
      </c>
      <c r="BB149" s="10" t="str">
        <f t="shared" si="67"/>
        <v/>
      </c>
      <c r="BC149" s="10" t="str">
        <f t="shared" si="68"/>
        <v/>
      </c>
      <c r="BD149" s="10" t="str">
        <f t="shared" si="69"/>
        <v/>
      </c>
      <c r="BE149" s="10" t="str">
        <f t="shared" si="70"/>
        <v/>
      </c>
      <c r="BF149" s="12">
        <v>0.43</v>
      </c>
      <c r="BG149" s="75">
        <v>353.022488237586</v>
      </c>
      <c r="BH149" s="96" t="str">
        <f>+VLOOKUP(G149,Liste!$A$7:$G$69,3,FALSE)</f>
        <v>Douglas</v>
      </c>
      <c r="BI149" s="96" t="str">
        <f>+VLOOKUP(H149,Liste!$B$7:$G$69,5,FALSE)</f>
        <v>National</v>
      </c>
      <c r="BJ149" s="135">
        <f t="shared" si="45"/>
        <v>42</v>
      </c>
      <c r="BK149" s="135" t="str">
        <f t="shared" si="47"/>
        <v>Douglas_F2_Entree 17-18m, densité haute_National_42_</v>
      </c>
      <c r="BL149" s="319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97" t="str">
        <f>+VLOOKUP(G149,Liste!$A$7:$H$69,8,FALSE)</f>
        <v>Résineux</v>
      </c>
      <c r="BU149" s="297">
        <f t="shared" si="48"/>
        <v>0</v>
      </c>
      <c r="BV149" s="299">
        <f t="shared" si="49"/>
        <v>1</v>
      </c>
      <c r="BW149" s="318">
        <v>0</v>
      </c>
      <c r="BX149" s="297">
        <f t="shared" si="50"/>
        <v>0.43</v>
      </c>
      <c r="BY149">
        <f t="shared" si="51"/>
        <v>0</v>
      </c>
      <c r="BZ149" s="303">
        <f t="shared" si="52"/>
        <v>0</v>
      </c>
      <c r="CB149" s="298">
        <v>0.6</v>
      </c>
      <c r="CC149" s="298">
        <v>0.4</v>
      </c>
      <c r="CD149">
        <f t="shared" si="53"/>
        <v>0</v>
      </c>
      <c r="CE149">
        <f t="shared" si="54"/>
        <v>0</v>
      </c>
      <c r="CF149">
        <f t="shared" si="55"/>
        <v>0</v>
      </c>
      <c r="CG149">
        <f t="shared" si="56"/>
        <v>0</v>
      </c>
      <c r="CH149">
        <f t="shared" si="57"/>
        <v>0</v>
      </c>
      <c r="CI149">
        <f t="shared" si="58"/>
        <v>0</v>
      </c>
      <c r="CJ149">
        <f t="shared" si="59"/>
        <v>0</v>
      </c>
      <c r="CK149">
        <f t="shared" si="60"/>
        <v>0</v>
      </c>
      <c r="CL149">
        <f t="shared" si="61"/>
        <v>0</v>
      </c>
      <c r="CM149">
        <f t="shared" si="63"/>
        <v>0</v>
      </c>
      <c r="CN149">
        <f t="shared" si="62"/>
        <v>0</v>
      </c>
      <c r="CO149">
        <f t="shared" si="46"/>
        <v>0</v>
      </c>
    </row>
    <row r="150" spans="1:93" s="12" customFormat="1" ht="14.45" hidden="1" customHeight="1" x14ac:dyDescent="0.25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11">
        <f t="shared" si="64"/>
        <v>0</v>
      </c>
      <c r="AZ150" s="311">
        <f t="shared" si="65"/>
        <v>0.79636092585811713</v>
      </c>
      <c r="BA150" s="312">
        <f t="shared" si="66"/>
        <v>0.19408801563135181</v>
      </c>
      <c r="BB150" s="10">
        <f t="shared" si="67"/>
        <v>31.095536753707101</v>
      </c>
      <c r="BC150" s="10">
        <f t="shared" si="68"/>
        <v>15.567897208612179</v>
      </c>
      <c r="BD150" s="10">
        <f t="shared" si="69"/>
        <v>9.3823207744152768</v>
      </c>
      <c r="BE150" s="10">
        <f t="shared" si="70"/>
        <v>23.779685064474975</v>
      </c>
      <c r="BF150" s="12">
        <v>0.43</v>
      </c>
      <c r="BG150" s="75">
        <v>274.48403517605601</v>
      </c>
      <c r="BH150" s="96" t="str">
        <f>+VLOOKUP(G150,Liste!$A$7:$G$69,3,FALSE)</f>
        <v>Douglas</v>
      </c>
      <c r="BI150" s="96" t="str">
        <f>+VLOOKUP(H150,Liste!$B$7:$G$69,5,FALSE)</f>
        <v>National</v>
      </c>
      <c r="BJ150" s="135">
        <f t="shared" si="45"/>
        <v>42</v>
      </c>
      <c r="BK150" s="135" t="str">
        <f t="shared" si="47"/>
        <v>Douglas_F2_Entree 17-18m, densité haute_National_42_</v>
      </c>
      <c r="BL150" s="319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97" t="str">
        <f>+VLOOKUP(G150,Liste!$A$7:$H$69,8,FALSE)</f>
        <v>Résineux</v>
      </c>
      <c r="BU150" s="297">
        <f t="shared" si="48"/>
        <v>0</v>
      </c>
      <c r="BV150" s="299">
        <f t="shared" si="49"/>
        <v>1</v>
      </c>
      <c r="BW150" s="318">
        <v>0</v>
      </c>
      <c r="BX150" s="297">
        <f t="shared" si="50"/>
        <v>0.43</v>
      </c>
      <c r="BY150">
        <f t="shared" si="51"/>
        <v>0</v>
      </c>
      <c r="BZ150" s="303">
        <f t="shared" si="52"/>
        <v>0</v>
      </c>
      <c r="CB150" s="298">
        <v>0.6</v>
      </c>
      <c r="CC150" s="298">
        <v>0.4</v>
      </c>
      <c r="CD150">
        <f t="shared" si="53"/>
        <v>0</v>
      </c>
      <c r="CE150">
        <f t="shared" si="54"/>
        <v>0</v>
      </c>
      <c r="CF150">
        <f t="shared" si="55"/>
        <v>0</v>
      </c>
      <c r="CG150">
        <f t="shared" si="56"/>
        <v>0</v>
      </c>
      <c r="CH150">
        <f t="shared" si="57"/>
        <v>0</v>
      </c>
      <c r="CI150">
        <f t="shared" si="58"/>
        <v>0</v>
      </c>
      <c r="CJ150">
        <f t="shared" si="59"/>
        <v>0</v>
      </c>
      <c r="CK150">
        <f t="shared" si="60"/>
        <v>0</v>
      </c>
      <c r="CL150">
        <f t="shared" si="61"/>
        <v>0</v>
      </c>
      <c r="CM150">
        <f t="shared" si="63"/>
        <v>0</v>
      </c>
      <c r="CN150">
        <f t="shared" si="62"/>
        <v>0</v>
      </c>
      <c r="CO150">
        <f t="shared" si="46"/>
        <v>0</v>
      </c>
    </row>
    <row r="151" spans="1:93" s="12" customFormat="1" ht="14.45" hidden="1" customHeight="1" x14ac:dyDescent="0.25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311" t="str">
        <f t="shared" si="64"/>
        <v/>
      </c>
      <c r="AZ151" s="311" t="str">
        <f t="shared" si="65"/>
        <v/>
      </c>
      <c r="BA151" s="312" t="str">
        <f t="shared" si="66"/>
        <v/>
      </c>
      <c r="BB151" s="10" t="str">
        <f t="shared" si="67"/>
        <v/>
      </c>
      <c r="BC151" s="10" t="str">
        <f t="shared" si="68"/>
        <v/>
      </c>
      <c r="BD151" s="10" t="str">
        <f t="shared" si="69"/>
        <v/>
      </c>
      <c r="BE151" s="10" t="str">
        <f t="shared" si="70"/>
        <v/>
      </c>
      <c r="BF151" s="12">
        <v>0.43</v>
      </c>
      <c r="BG151" s="75">
        <v>393.885958219786</v>
      </c>
      <c r="BH151" s="96" t="str">
        <f>+VLOOKUP(G151,Liste!$A$7:$G$69,3,FALSE)</f>
        <v>Douglas</v>
      </c>
      <c r="BI151" s="96" t="str">
        <f>+VLOOKUP(H151,Liste!$B$7:$G$69,5,FALSE)</f>
        <v>National</v>
      </c>
      <c r="BJ151" s="135">
        <f t="shared" si="45"/>
        <v>49</v>
      </c>
      <c r="BK151" s="135" t="str">
        <f t="shared" si="47"/>
        <v>Douglas_F2_Entree 17-18m, densité haute_National_49_</v>
      </c>
      <c r="BL151" s="319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97" t="str">
        <f>+VLOOKUP(G151,Liste!$A$7:$H$69,8,FALSE)</f>
        <v>Résineux</v>
      </c>
      <c r="BU151" s="297">
        <f t="shared" si="48"/>
        <v>0</v>
      </c>
      <c r="BV151" s="299">
        <f t="shared" si="49"/>
        <v>1</v>
      </c>
      <c r="BW151" s="318">
        <v>0</v>
      </c>
      <c r="BX151" s="297">
        <f t="shared" si="50"/>
        <v>0.43</v>
      </c>
      <c r="BY151">
        <f t="shared" si="51"/>
        <v>0</v>
      </c>
      <c r="BZ151" s="303">
        <f t="shared" si="52"/>
        <v>0</v>
      </c>
      <c r="CB151" s="298">
        <v>0.6</v>
      </c>
      <c r="CC151" s="298">
        <v>0.4</v>
      </c>
      <c r="CD151">
        <f t="shared" si="53"/>
        <v>0</v>
      </c>
      <c r="CE151">
        <f t="shared" si="54"/>
        <v>0</v>
      </c>
      <c r="CF151">
        <f t="shared" si="55"/>
        <v>0</v>
      </c>
      <c r="CG151">
        <f t="shared" si="56"/>
        <v>0</v>
      </c>
      <c r="CH151">
        <f t="shared" si="57"/>
        <v>0</v>
      </c>
      <c r="CI151">
        <f t="shared" si="58"/>
        <v>0</v>
      </c>
      <c r="CJ151">
        <f t="shared" si="59"/>
        <v>0</v>
      </c>
      <c r="CK151">
        <f t="shared" si="60"/>
        <v>0</v>
      </c>
      <c r="CL151">
        <f t="shared" si="61"/>
        <v>0</v>
      </c>
      <c r="CM151">
        <f t="shared" si="63"/>
        <v>0</v>
      </c>
      <c r="CN151">
        <f t="shared" si="62"/>
        <v>0</v>
      </c>
      <c r="CO151">
        <f t="shared" si="46"/>
        <v>0</v>
      </c>
    </row>
    <row r="152" spans="1:93" s="12" customFormat="1" ht="14.45" hidden="1" customHeight="1" x14ac:dyDescent="0.25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11">
        <f t="shared" si="64"/>
        <v>0</v>
      </c>
      <c r="AZ152" s="311">
        <f t="shared" si="65"/>
        <v>0.90459537674431212</v>
      </c>
      <c r="BA152" s="312">
        <f t="shared" si="66"/>
        <v>9.0033429354575145E-2</v>
      </c>
      <c r="BB152" s="10">
        <f t="shared" si="67"/>
        <v>39.780689656619444</v>
      </c>
      <c r="BC152" s="10">
        <f t="shared" si="68"/>
        <v>13.319917943066002</v>
      </c>
      <c r="BD152" s="10">
        <f t="shared" si="69"/>
        <v>8.5864098090550165</v>
      </c>
      <c r="BE152" s="10">
        <f t="shared" si="70"/>
        <v>29.740632173283355</v>
      </c>
      <c r="BF152" s="12">
        <v>0.43</v>
      </c>
      <c r="BG152" s="75">
        <v>305.81796830085801</v>
      </c>
      <c r="BH152" s="96" t="str">
        <f>+VLOOKUP(G152,Liste!$A$7:$G$69,3,FALSE)</f>
        <v>Douglas</v>
      </c>
      <c r="BI152" s="96" t="str">
        <f>+VLOOKUP(H152,Liste!$B$7:$G$69,5,FALSE)</f>
        <v>National</v>
      </c>
      <c r="BJ152" s="135">
        <f t="shared" si="45"/>
        <v>49</v>
      </c>
      <c r="BK152" s="135" t="str">
        <f t="shared" si="47"/>
        <v>Douglas_F2_Entree 17-18m, densité haute_National_49_</v>
      </c>
      <c r="BL152" s="319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97" t="str">
        <f>+VLOOKUP(G152,Liste!$A$7:$H$69,8,FALSE)</f>
        <v>Résineux</v>
      </c>
      <c r="BU152" s="297">
        <f t="shared" si="48"/>
        <v>0</v>
      </c>
      <c r="BV152" s="299">
        <f t="shared" si="49"/>
        <v>1</v>
      </c>
      <c r="BW152" s="318">
        <v>0</v>
      </c>
      <c r="BX152" s="297">
        <f t="shared" si="50"/>
        <v>0.43</v>
      </c>
      <c r="BY152">
        <f t="shared" si="51"/>
        <v>0</v>
      </c>
      <c r="BZ152" s="303">
        <f t="shared" si="52"/>
        <v>0</v>
      </c>
      <c r="CB152" s="298">
        <v>0.6</v>
      </c>
      <c r="CC152" s="298">
        <v>0.4</v>
      </c>
      <c r="CD152">
        <f t="shared" si="53"/>
        <v>0</v>
      </c>
      <c r="CE152">
        <f t="shared" si="54"/>
        <v>0</v>
      </c>
      <c r="CF152">
        <f t="shared" si="55"/>
        <v>0</v>
      </c>
      <c r="CG152">
        <f t="shared" si="56"/>
        <v>0</v>
      </c>
      <c r="CH152">
        <f t="shared" si="57"/>
        <v>0</v>
      </c>
      <c r="CI152">
        <f t="shared" si="58"/>
        <v>0</v>
      </c>
      <c r="CJ152">
        <f t="shared" si="59"/>
        <v>0</v>
      </c>
      <c r="CK152">
        <f t="shared" si="60"/>
        <v>0</v>
      </c>
      <c r="CL152">
        <f t="shared" si="61"/>
        <v>0</v>
      </c>
      <c r="CM152">
        <f t="shared" si="63"/>
        <v>0</v>
      </c>
      <c r="CN152">
        <f t="shared" si="62"/>
        <v>0</v>
      </c>
      <c r="CO152">
        <f t="shared" si="46"/>
        <v>0</v>
      </c>
    </row>
    <row r="153" spans="1:93" s="12" customFormat="1" ht="14.45" hidden="1" customHeight="1" x14ac:dyDescent="0.25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311" t="str">
        <f t="shared" si="64"/>
        <v/>
      </c>
      <c r="AZ153" s="311" t="str">
        <f t="shared" si="65"/>
        <v/>
      </c>
      <c r="BA153" s="312" t="str">
        <f t="shared" si="66"/>
        <v/>
      </c>
      <c r="BB153" s="10" t="str">
        <f t="shared" si="67"/>
        <v/>
      </c>
      <c r="BC153" s="10" t="str">
        <f t="shared" si="68"/>
        <v/>
      </c>
      <c r="BD153" s="10" t="str">
        <f t="shared" si="69"/>
        <v/>
      </c>
      <c r="BE153" s="10" t="str">
        <f t="shared" si="70"/>
        <v/>
      </c>
      <c r="BF153" s="12">
        <v>0.43</v>
      </c>
      <c r="BG153" s="75">
        <v>416.414867834939</v>
      </c>
      <c r="BH153" s="96" t="str">
        <f>+VLOOKUP(G153,Liste!$A$7:$G$69,3,FALSE)</f>
        <v>Douglas</v>
      </c>
      <c r="BI153" s="96" t="str">
        <f>+VLOOKUP(H153,Liste!$B$7:$G$69,5,FALSE)</f>
        <v>National</v>
      </c>
      <c r="BJ153" s="135">
        <f t="shared" si="45"/>
        <v>56</v>
      </c>
      <c r="BK153" s="135" t="str">
        <f t="shared" si="47"/>
        <v>Douglas_F2_Entree 17-18m, densité haute_National_56_</v>
      </c>
      <c r="BL153" s="319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97" t="str">
        <f>+VLOOKUP(G153,Liste!$A$7:$H$69,8,FALSE)</f>
        <v>Résineux</v>
      </c>
      <c r="BU153" s="297">
        <f t="shared" si="48"/>
        <v>0</v>
      </c>
      <c r="BV153" s="299">
        <f t="shared" si="49"/>
        <v>1</v>
      </c>
      <c r="BW153" s="318">
        <v>0</v>
      </c>
      <c r="BX153" s="297">
        <f t="shared" si="50"/>
        <v>0.43</v>
      </c>
      <c r="BY153">
        <f t="shared" si="51"/>
        <v>0</v>
      </c>
      <c r="BZ153" s="303">
        <f t="shared" si="52"/>
        <v>0</v>
      </c>
      <c r="CB153" s="298">
        <v>0.6</v>
      </c>
      <c r="CC153" s="298">
        <v>0.4</v>
      </c>
      <c r="CD153">
        <f t="shared" si="53"/>
        <v>0</v>
      </c>
      <c r="CE153">
        <f t="shared" si="54"/>
        <v>0</v>
      </c>
      <c r="CF153">
        <f t="shared" si="55"/>
        <v>0</v>
      </c>
      <c r="CG153">
        <f t="shared" si="56"/>
        <v>0</v>
      </c>
      <c r="CH153">
        <f t="shared" si="57"/>
        <v>0</v>
      </c>
      <c r="CI153">
        <f t="shared" si="58"/>
        <v>0</v>
      </c>
      <c r="CJ153">
        <f t="shared" si="59"/>
        <v>0</v>
      </c>
      <c r="CK153">
        <f t="shared" si="60"/>
        <v>0</v>
      </c>
      <c r="CL153">
        <f t="shared" si="61"/>
        <v>0</v>
      </c>
      <c r="CM153">
        <f t="shared" si="63"/>
        <v>0</v>
      </c>
      <c r="CN153">
        <f t="shared" si="62"/>
        <v>0</v>
      </c>
      <c r="CO153">
        <f t="shared" si="46"/>
        <v>0</v>
      </c>
    </row>
    <row r="154" spans="1:93" s="12" customFormat="1" ht="14.45" hidden="1" customHeight="1" x14ac:dyDescent="0.25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11">
        <f t="shared" si="64"/>
        <v>0</v>
      </c>
      <c r="AZ154" s="311">
        <f t="shared" si="65"/>
        <v>0.92804158756668942</v>
      </c>
      <c r="BA154" s="312">
        <f t="shared" si="66"/>
        <v>6.7777431831360313E-2</v>
      </c>
      <c r="BB154" s="10">
        <f t="shared" si="67"/>
        <v>34.275070281394918</v>
      </c>
      <c r="BC154" s="10">
        <f t="shared" si="68"/>
        <v>10.432096743880798</v>
      </c>
      <c r="BD154" s="10">
        <f t="shared" si="69"/>
        <v>6.8571409025866856</v>
      </c>
      <c r="BE154" s="10">
        <f t="shared" si="70"/>
        <v>25.516752867276576</v>
      </c>
      <c r="BF154" s="12">
        <v>0.43</v>
      </c>
      <c r="BG154" s="75">
        <v>342.54627189395597</v>
      </c>
      <c r="BH154" s="96" t="str">
        <f>+VLOOKUP(G154,Liste!$A$7:$G$69,3,FALSE)</f>
        <v>Douglas</v>
      </c>
      <c r="BI154" s="96" t="str">
        <f>+VLOOKUP(H154,Liste!$B$7:$G$69,5,FALSE)</f>
        <v>National</v>
      </c>
      <c r="BJ154" s="135">
        <f t="shared" si="45"/>
        <v>56</v>
      </c>
      <c r="BK154" s="135" t="str">
        <f t="shared" si="47"/>
        <v>Douglas_F2_Entree 17-18m, densité haute_National_56_</v>
      </c>
      <c r="BL154" s="319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97" t="str">
        <f>+VLOOKUP(G154,Liste!$A$7:$H$69,8,FALSE)</f>
        <v>Résineux</v>
      </c>
      <c r="BU154" s="297">
        <f t="shared" si="48"/>
        <v>0</v>
      </c>
      <c r="BV154" s="299">
        <f t="shared" si="49"/>
        <v>1</v>
      </c>
      <c r="BW154" s="318">
        <v>0</v>
      </c>
      <c r="BX154" s="297">
        <f t="shared" si="50"/>
        <v>0.43</v>
      </c>
      <c r="BY154">
        <f t="shared" si="51"/>
        <v>0</v>
      </c>
      <c r="BZ154" s="303">
        <f t="shared" si="52"/>
        <v>0</v>
      </c>
      <c r="CB154" s="298">
        <v>0.6</v>
      </c>
      <c r="CC154" s="298">
        <v>0.4</v>
      </c>
      <c r="CD154">
        <f t="shared" si="53"/>
        <v>0</v>
      </c>
      <c r="CE154">
        <f t="shared" si="54"/>
        <v>0</v>
      </c>
      <c r="CF154">
        <f t="shared" si="55"/>
        <v>0</v>
      </c>
      <c r="CG154">
        <f t="shared" si="56"/>
        <v>0</v>
      </c>
      <c r="CH154">
        <f t="shared" si="57"/>
        <v>0</v>
      </c>
      <c r="CI154">
        <f t="shared" si="58"/>
        <v>0</v>
      </c>
      <c r="CJ154">
        <f t="shared" si="59"/>
        <v>0</v>
      </c>
      <c r="CK154">
        <f t="shared" si="60"/>
        <v>0</v>
      </c>
      <c r="CL154">
        <f t="shared" si="61"/>
        <v>0</v>
      </c>
      <c r="CM154">
        <f t="shared" si="63"/>
        <v>0</v>
      </c>
      <c r="CN154">
        <f t="shared" si="62"/>
        <v>0</v>
      </c>
      <c r="CO154">
        <f t="shared" si="46"/>
        <v>0</v>
      </c>
    </row>
    <row r="155" spans="1:93" s="12" customFormat="1" ht="14.45" hidden="1" customHeight="1" x14ac:dyDescent="0.25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311" t="str">
        <f t="shared" si="64"/>
        <v/>
      </c>
      <c r="AZ155" s="311" t="str">
        <f t="shared" si="65"/>
        <v/>
      </c>
      <c r="BA155" s="312" t="str">
        <f t="shared" si="66"/>
        <v/>
      </c>
      <c r="BB155" s="10" t="str">
        <f t="shared" si="67"/>
        <v/>
      </c>
      <c r="BC155" s="10" t="str">
        <f t="shared" si="68"/>
        <v/>
      </c>
      <c r="BD155" s="10" t="str">
        <f t="shared" si="69"/>
        <v/>
      </c>
      <c r="BE155" s="10" t="str">
        <f t="shared" si="70"/>
        <v/>
      </c>
      <c r="BF155" s="12">
        <v>0.43</v>
      </c>
      <c r="BG155" s="75">
        <v>443.67992737049798</v>
      </c>
      <c r="BH155" s="96" t="str">
        <f>+VLOOKUP(G155,Liste!$A$7:$G$69,3,FALSE)</f>
        <v>Douglas</v>
      </c>
      <c r="BI155" s="96" t="str">
        <f>+VLOOKUP(H155,Liste!$B$7:$G$69,5,FALSE)</f>
        <v>National</v>
      </c>
      <c r="BJ155" s="135">
        <f t="shared" si="45"/>
        <v>63</v>
      </c>
      <c r="BK155" s="135" t="str">
        <f t="shared" si="47"/>
        <v>Douglas_F2_Entree 17-18m, densité haute_National_63_</v>
      </c>
      <c r="BL155" s="319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97" t="str">
        <f>+VLOOKUP(G155,Liste!$A$7:$H$69,8,FALSE)</f>
        <v>Résineux</v>
      </c>
      <c r="BU155" s="297">
        <f t="shared" si="48"/>
        <v>0</v>
      </c>
      <c r="BV155" s="299">
        <f t="shared" si="49"/>
        <v>1</v>
      </c>
      <c r="BW155" s="318">
        <v>0</v>
      </c>
      <c r="BX155" s="297">
        <f t="shared" si="50"/>
        <v>0.43</v>
      </c>
      <c r="BY155">
        <f t="shared" si="51"/>
        <v>0</v>
      </c>
      <c r="BZ155" s="303">
        <f t="shared" si="52"/>
        <v>0</v>
      </c>
      <c r="CB155" s="298">
        <v>0.6</v>
      </c>
      <c r="CC155" s="298">
        <v>0.4</v>
      </c>
      <c r="CD155">
        <f t="shared" si="53"/>
        <v>0</v>
      </c>
      <c r="CE155">
        <f t="shared" si="54"/>
        <v>0</v>
      </c>
      <c r="CF155">
        <f t="shared" si="55"/>
        <v>0</v>
      </c>
      <c r="CG155">
        <f t="shared" si="56"/>
        <v>0</v>
      </c>
      <c r="CH155">
        <f t="shared" si="57"/>
        <v>0</v>
      </c>
      <c r="CI155">
        <f t="shared" si="58"/>
        <v>0</v>
      </c>
      <c r="CJ155">
        <f t="shared" si="59"/>
        <v>0</v>
      </c>
      <c r="CK155">
        <f t="shared" si="60"/>
        <v>0</v>
      </c>
      <c r="CL155">
        <f t="shared" si="61"/>
        <v>0</v>
      </c>
      <c r="CM155">
        <f t="shared" si="63"/>
        <v>0</v>
      </c>
      <c r="CN155">
        <f t="shared" si="62"/>
        <v>0</v>
      </c>
      <c r="CO155">
        <f t="shared" si="46"/>
        <v>0</v>
      </c>
    </row>
    <row r="156" spans="1:93" s="12" customFormat="1" ht="14.45" hidden="1" customHeight="1" x14ac:dyDescent="0.25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11">
        <f t="shared" si="64"/>
        <v>0.10784317394669873</v>
      </c>
      <c r="AZ156" s="311">
        <f t="shared" si="65"/>
        <v>0.84274149651428543</v>
      </c>
      <c r="BA156" s="312">
        <f t="shared" si="66"/>
        <v>4.6676254096671088E-2</v>
      </c>
      <c r="BB156" s="10">
        <f t="shared" si="67"/>
        <v>36.932681066078551</v>
      </c>
      <c r="BC156" s="10">
        <f t="shared" si="68"/>
        <v>10.224633892340623</v>
      </c>
      <c r="BD156" s="10">
        <f t="shared" si="69"/>
        <v>6.8624197648389975</v>
      </c>
      <c r="BE156" s="10">
        <f t="shared" si="70"/>
        <v>27.39035805793706</v>
      </c>
      <c r="BF156" s="12">
        <v>0.43</v>
      </c>
      <c r="BG156" s="75">
        <v>366.06600230287802</v>
      </c>
      <c r="BH156" s="96" t="str">
        <f>+VLOOKUP(G156,Liste!$A$7:$G$69,3,FALSE)</f>
        <v>Douglas</v>
      </c>
      <c r="BI156" s="96" t="str">
        <f>+VLOOKUP(H156,Liste!$B$7:$G$69,5,FALSE)</f>
        <v>National</v>
      </c>
      <c r="BJ156" s="135">
        <f t="shared" si="45"/>
        <v>63</v>
      </c>
      <c r="BK156" s="135" t="str">
        <f t="shared" si="47"/>
        <v>Douglas_F2_Entree 17-18m, densité haute_National_63_</v>
      </c>
      <c r="BL156" s="319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97" t="str">
        <f>+VLOOKUP(G156,Liste!$A$7:$H$69,8,FALSE)</f>
        <v>Résineux</v>
      </c>
      <c r="BU156" s="297">
        <f t="shared" si="48"/>
        <v>0</v>
      </c>
      <c r="BV156" s="299">
        <f t="shared" si="49"/>
        <v>1</v>
      </c>
      <c r="BW156" s="318">
        <v>0</v>
      </c>
      <c r="BX156" s="297">
        <f t="shared" si="50"/>
        <v>0.43</v>
      </c>
      <c r="BY156">
        <f t="shared" si="51"/>
        <v>0</v>
      </c>
      <c r="BZ156" s="303">
        <f t="shared" si="52"/>
        <v>0</v>
      </c>
      <c r="CB156" s="298">
        <v>0.6</v>
      </c>
      <c r="CC156" s="298">
        <v>0.4</v>
      </c>
      <c r="CD156">
        <f t="shared" si="53"/>
        <v>0</v>
      </c>
      <c r="CE156">
        <f t="shared" si="54"/>
        <v>0</v>
      </c>
      <c r="CF156">
        <f t="shared" si="55"/>
        <v>0</v>
      </c>
      <c r="CG156">
        <f t="shared" si="56"/>
        <v>0</v>
      </c>
      <c r="CH156">
        <f t="shared" si="57"/>
        <v>0</v>
      </c>
      <c r="CI156">
        <f t="shared" si="58"/>
        <v>0</v>
      </c>
      <c r="CJ156">
        <f t="shared" si="59"/>
        <v>0</v>
      </c>
      <c r="CK156">
        <f t="shared" si="60"/>
        <v>0</v>
      </c>
      <c r="CL156">
        <f t="shared" si="61"/>
        <v>0</v>
      </c>
      <c r="CM156">
        <f t="shared" si="63"/>
        <v>0</v>
      </c>
      <c r="CN156">
        <f t="shared" si="62"/>
        <v>0</v>
      </c>
      <c r="CO156">
        <f t="shared" si="46"/>
        <v>0</v>
      </c>
    </row>
    <row r="157" spans="1:93" s="12" customFormat="1" ht="14.45" hidden="1" customHeight="1" x14ac:dyDescent="0.25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311" t="str">
        <f t="shared" si="64"/>
        <v/>
      </c>
      <c r="AZ157" s="311" t="str">
        <f t="shared" si="65"/>
        <v/>
      </c>
      <c r="BA157" s="312" t="str">
        <f t="shared" si="66"/>
        <v/>
      </c>
      <c r="BB157" s="10" t="str">
        <f t="shared" si="67"/>
        <v/>
      </c>
      <c r="BC157" s="10" t="str">
        <f t="shared" si="68"/>
        <v/>
      </c>
      <c r="BD157" s="10" t="str">
        <f t="shared" si="69"/>
        <v/>
      </c>
      <c r="BE157" s="10" t="str">
        <f t="shared" si="70"/>
        <v/>
      </c>
      <c r="BF157" s="12">
        <v>0.43</v>
      </c>
      <c r="BG157" s="75">
        <v>456.68318612821201</v>
      </c>
      <c r="BH157" s="96" t="str">
        <f>+VLOOKUP(G157,Liste!$A$7:$G$69,3,FALSE)</f>
        <v>Douglas</v>
      </c>
      <c r="BI157" s="96" t="str">
        <f>+VLOOKUP(H157,Liste!$B$7:$G$69,5,FALSE)</f>
        <v>National</v>
      </c>
      <c r="BJ157" s="135">
        <f t="shared" si="45"/>
        <v>70</v>
      </c>
      <c r="BK157" s="135" t="str">
        <f t="shared" si="47"/>
        <v>Douglas_F2_Entree 17-18m, densité haute_National_70_</v>
      </c>
      <c r="BL157" s="319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97" t="str">
        <f>+VLOOKUP(G157,Liste!$A$7:$H$69,8,FALSE)</f>
        <v>Résineux</v>
      </c>
      <c r="BU157" s="297">
        <f t="shared" si="48"/>
        <v>0</v>
      </c>
      <c r="BV157" s="299">
        <f t="shared" si="49"/>
        <v>1</v>
      </c>
      <c r="BW157" s="318">
        <v>0</v>
      </c>
      <c r="BX157" s="297">
        <f t="shared" si="50"/>
        <v>0.43</v>
      </c>
      <c r="BY157">
        <f t="shared" si="51"/>
        <v>0</v>
      </c>
      <c r="BZ157" s="303">
        <f t="shared" si="52"/>
        <v>0</v>
      </c>
      <c r="CB157" s="298">
        <v>0.6</v>
      </c>
      <c r="CC157" s="298">
        <v>0.4</v>
      </c>
      <c r="CD157">
        <f t="shared" si="53"/>
        <v>0</v>
      </c>
      <c r="CE157">
        <f t="shared" si="54"/>
        <v>0</v>
      </c>
      <c r="CF157">
        <f t="shared" si="55"/>
        <v>0</v>
      </c>
      <c r="CG157">
        <f t="shared" si="56"/>
        <v>0</v>
      </c>
      <c r="CH157">
        <f t="shared" si="57"/>
        <v>0</v>
      </c>
      <c r="CI157">
        <f t="shared" si="58"/>
        <v>0</v>
      </c>
      <c r="CJ157">
        <f t="shared" si="59"/>
        <v>0</v>
      </c>
      <c r="CK157">
        <f t="shared" si="60"/>
        <v>0</v>
      </c>
      <c r="CL157">
        <f t="shared" si="61"/>
        <v>0</v>
      </c>
      <c r="CM157">
        <f t="shared" si="63"/>
        <v>0</v>
      </c>
      <c r="CN157">
        <f t="shared" si="62"/>
        <v>0</v>
      </c>
      <c r="CO157">
        <f t="shared" si="46"/>
        <v>0</v>
      </c>
    </row>
    <row r="158" spans="1:93" s="12" customFormat="1" ht="14.45" hidden="1" customHeight="1" x14ac:dyDescent="0.25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11">
        <f t="shared" si="64"/>
        <v>0.40441206431423932</v>
      </c>
      <c r="AZ158" s="311">
        <f t="shared" si="65"/>
        <v>0.56187851719595727</v>
      </c>
      <c r="BA158" s="312">
        <f t="shared" si="66"/>
        <v>3.2592396665175438E-2</v>
      </c>
      <c r="BB158" s="10">
        <f t="shared" si="67"/>
        <v>221.15777378569331</v>
      </c>
      <c r="BC158" s="10">
        <f t="shared" si="68"/>
        <v>57.316657606085997</v>
      </c>
      <c r="BD158" s="10">
        <f t="shared" si="69"/>
        <v>39.068022043103475</v>
      </c>
      <c r="BE158" s="10">
        <f t="shared" si="70"/>
        <v>163.61351850937811</v>
      </c>
      <c r="BF158" s="12">
        <v>0.43</v>
      </c>
      <c r="BG158" s="75">
        <v>0</v>
      </c>
      <c r="BH158" s="96" t="str">
        <f>+VLOOKUP(G158,Liste!$A$7:$G$69,3,FALSE)</f>
        <v>Douglas</v>
      </c>
      <c r="BI158" s="96" t="str">
        <f>+VLOOKUP(H158,Liste!$B$7:$G$69,5,FALSE)</f>
        <v>National</v>
      </c>
      <c r="BJ158" s="135">
        <f t="shared" si="45"/>
        <v>70</v>
      </c>
      <c r="BK158" s="135" t="str">
        <f t="shared" si="47"/>
        <v>Douglas_F2_Entree 17-18m, densité haute_National_70_</v>
      </c>
      <c r="BL158" s="319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97" t="str">
        <f>+VLOOKUP(G158,Liste!$A$7:$H$69,8,FALSE)</f>
        <v>Résineux</v>
      </c>
      <c r="BU158" s="297">
        <f t="shared" si="48"/>
        <v>0</v>
      </c>
      <c r="BV158" s="299">
        <f t="shared" si="49"/>
        <v>1</v>
      </c>
      <c r="BW158" s="318">
        <v>0</v>
      </c>
      <c r="BX158" s="297">
        <f t="shared" si="50"/>
        <v>0.43</v>
      </c>
      <c r="BY158">
        <f t="shared" si="51"/>
        <v>0</v>
      </c>
      <c r="BZ158" s="303">
        <f t="shared" si="52"/>
        <v>0</v>
      </c>
      <c r="CB158" s="298">
        <v>0.6</v>
      </c>
      <c r="CC158" s="298">
        <v>0.4</v>
      </c>
      <c r="CD158">
        <f t="shared" si="53"/>
        <v>0</v>
      </c>
      <c r="CE158">
        <f t="shared" si="54"/>
        <v>0</v>
      </c>
      <c r="CF158">
        <f t="shared" si="55"/>
        <v>0</v>
      </c>
      <c r="CG158">
        <f t="shared" si="56"/>
        <v>0</v>
      </c>
      <c r="CH158">
        <f t="shared" si="57"/>
        <v>0</v>
      </c>
      <c r="CI158">
        <f t="shared" si="58"/>
        <v>0</v>
      </c>
      <c r="CJ158">
        <f t="shared" si="59"/>
        <v>0</v>
      </c>
      <c r="CK158">
        <f t="shared" si="60"/>
        <v>0</v>
      </c>
      <c r="CL158">
        <f t="shared" si="61"/>
        <v>0</v>
      </c>
      <c r="CM158">
        <f t="shared" si="63"/>
        <v>0</v>
      </c>
      <c r="CN158">
        <f t="shared" si="62"/>
        <v>0</v>
      </c>
      <c r="CO158">
        <f t="shared" si="46"/>
        <v>0</v>
      </c>
    </row>
    <row r="159" spans="1:93" s="12" customFormat="1" ht="14.45" hidden="1" customHeight="1" x14ac:dyDescent="0.25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10">
        <v>0</v>
      </c>
      <c r="AW159" s="8"/>
      <c r="AX159" s="74" t="s">
        <v>169</v>
      </c>
      <c r="AY159" s="311" t="str">
        <f t="shared" si="64"/>
        <v/>
      </c>
      <c r="AZ159" s="311" t="str">
        <f t="shared" si="65"/>
        <v/>
      </c>
      <c r="BA159" s="312" t="str">
        <f t="shared" si="66"/>
        <v/>
      </c>
      <c r="BB159" s="10" t="str">
        <f t="shared" si="67"/>
        <v/>
      </c>
      <c r="BC159" s="10" t="str">
        <f t="shared" si="68"/>
        <v/>
      </c>
      <c r="BD159" s="10" t="str">
        <f t="shared" si="69"/>
        <v/>
      </c>
      <c r="BE159" s="10" t="str">
        <f t="shared" si="70"/>
        <v/>
      </c>
      <c r="BF159" s="12">
        <v>0.43</v>
      </c>
      <c r="BG159" s="13">
        <v>135.97223804999999</v>
      </c>
      <c r="BH159" s="96" t="str">
        <f>+VLOOKUP(G159,Liste!$A$7:$G$69,3,FALSE)</f>
        <v>Douglas</v>
      </c>
      <c r="BI159" s="96" t="str">
        <f>+VLOOKUP(H159,Liste!$B$7:$G$69,5,FALSE)</f>
        <v>National</v>
      </c>
      <c r="BJ159" s="135">
        <f t="shared" si="45"/>
        <v>25</v>
      </c>
      <c r="BK159" s="135" t="str">
        <f t="shared" si="47"/>
        <v>Douglas_F3_Entree 19-20m_National_25_</v>
      </c>
      <c r="BL159" s="319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97" t="str">
        <f>+VLOOKUP(G159,Liste!$A$7:$H$69,8,FALSE)</f>
        <v>Résineux</v>
      </c>
      <c r="BU159" s="297">
        <f t="shared" si="48"/>
        <v>0</v>
      </c>
      <c r="BV159" s="299">
        <f t="shared" si="49"/>
        <v>1</v>
      </c>
      <c r="BW159" s="318">
        <v>0</v>
      </c>
      <c r="BX159" s="297">
        <f t="shared" si="50"/>
        <v>0.43</v>
      </c>
      <c r="BY159">
        <f t="shared" si="51"/>
        <v>0</v>
      </c>
      <c r="BZ159" s="303">
        <f t="shared" si="52"/>
        <v>0</v>
      </c>
      <c r="CB159" s="298">
        <v>0.6</v>
      </c>
      <c r="CC159" s="298">
        <v>0.4</v>
      </c>
      <c r="CD159">
        <f t="shared" si="53"/>
        <v>0</v>
      </c>
      <c r="CE159">
        <f t="shared" si="54"/>
        <v>0</v>
      </c>
      <c r="CF159">
        <f t="shared" si="55"/>
        <v>0</v>
      </c>
      <c r="CG159">
        <f t="shared" si="56"/>
        <v>0</v>
      </c>
      <c r="CH159">
        <f t="shared" si="57"/>
        <v>0</v>
      </c>
      <c r="CI159">
        <f t="shared" si="58"/>
        <v>0</v>
      </c>
      <c r="CJ159">
        <f t="shared" si="59"/>
        <v>0</v>
      </c>
      <c r="CK159">
        <f t="shared" si="60"/>
        <v>0</v>
      </c>
      <c r="CL159">
        <f t="shared" si="61"/>
        <v>0</v>
      </c>
      <c r="CM159">
        <f t="shared" si="63"/>
        <v>0</v>
      </c>
      <c r="CN159">
        <f t="shared" si="62"/>
        <v>0</v>
      </c>
      <c r="CO159">
        <f t="shared" si="46"/>
        <v>0</v>
      </c>
    </row>
    <row r="160" spans="1:93" s="12" customFormat="1" ht="14.45" hidden="1" customHeight="1" x14ac:dyDescent="0.25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10">
        <v>0</v>
      </c>
      <c r="AW160" s="8"/>
      <c r="AX160" s="74" t="s">
        <v>169</v>
      </c>
      <c r="AY160" s="311" t="str">
        <f t="shared" si="64"/>
        <v/>
      </c>
      <c r="AZ160" s="311" t="str">
        <f t="shared" si="65"/>
        <v/>
      </c>
      <c r="BA160" s="312" t="str">
        <f t="shared" si="66"/>
        <v/>
      </c>
      <c r="BB160" s="10" t="str">
        <f t="shared" si="67"/>
        <v/>
      </c>
      <c r="BC160" s="10" t="str">
        <f t="shared" si="68"/>
        <v/>
      </c>
      <c r="BD160" s="10" t="str">
        <f t="shared" si="69"/>
        <v/>
      </c>
      <c r="BE160" s="10" t="str">
        <f t="shared" si="70"/>
        <v/>
      </c>
      <c r="BF160" s="12">
        <v>0.43</v>
      </c>
      <c r="BG160" s="13">
        <v>191.12785622333331</v>
      </c>
      <c r="BH160" s="96" t="str">
        <f>+VLOOKUP(G160,Liste!$A$7:$G$69,3,FALSE)</f>
        <v>Douglas</v>
      </c>
      <c r="BI160" s="96" t="str">
        <f>+VLOOKUP(H160,Liste!$B$7:$G$69,5,FALSE)</f>
        <v>National</v>
      </c>
      <c r="BJ160" s="135">
        <f t="shared" si="45"/>
        <v>30</v>
      </c>
      <c r="BK160" s="135" t="str">
        <f t="shared" si="47"/>
        <v>Douglas_F3_Entree 19-20m_National_30_</v>
      </c>
      <c r="BL160" s="319"/>
      <c r="BM160" s="13">
        <v>50.977469276666682</v>
      </c>
      <c r="BN160" s="13">
        <v>242.10532551449</v>
      </c>
      <c r="BP160" s="13">
        <v>283.36739999999998</v>
      </c>
      <c r="BT160" s="297" t="str">
        <f>+VLOOKUP(G160,Liste!$A$7:$H$69,8,FALSE)</f>
        <v>Résineux</v>
      </c>
      <c r="BU160" s="297">
        <f t="shared" si="48"/>
        <v>0</v>
      </c>
      <c r="BV160" s="299">
        <f t="shared" si="49"/>
        <v>1</v>
      </c>
      <c r="BW160" s="318">
        <v>0</v>
      </c>
      <c r="BX160" s="297">
        <f t="shared" si="50"/>
        <v>0.43</v>
      </c>
      <c r="BY160">
        <f t="shared" si="51"/>
        <v>0</v>
      </c>
      <c r="BZ160" s="303">
        <f t="shared" si="52"/>
        <v>0</v>
      </c>
      <c r="CB160" s="298">
        <v>0.6</v>
      </c>
      <c r="CC160" s="298">
        <v>0.4</v>
      </c>
      <c r="CD160">
        <f t="shared" si="53"/>
        <v>0</v>
      </c>
      <c r="CE160">
        <f t="shared" si="54"/>
        <v>0</v>
      </c>
      <c r="CF160">
        <f t="shared" si="55"/>
        <v>0</v>
      </c>
      <c r="CG160">
        <f t="shared" si="56"/>
        <v>0</v>
      </c>
      <c r="CH160">
        <f t="shared" si="57"/>
        <v>0</v>
      </c>
      <c r="CI160">
        <f t="shared" si="58"/>
        <v>0</v>
      </c>
      <c r="CJ160">
        <f t="shared" si="59"/>
        <v>0</v>
      </c>
      <c r="CK160">
        <f t="shared" si="60"/>
        <v>0</v>
      </c>
      <c r="CL160">
        <f t="shared" si="61"/>
        <v>0</v>
      </c>
      <c r="CM160">
        <f t="shared" si="63"/>
        <v>0</v>
      </c>
      <c r="CN160">
        <f t="shared" si="62"/>
        <v>0</v>
      </c>
      <c r="CO160">
        <f t="shared" si="46"/>
        <v>0</v>
      </c>
    </row>
    <row r="161" spans="1:93" s="12" customFormat="1" ht="14.45" hidden="1" customHeight="1" x14ac:dyDescent="0.25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10">
        <v>0</v>
      </c>
      <c r="AW161" s="8"/>
      <c r="AX161" s="74" t="s">
        <v>169</v>
      </c>
      <c r="AY161" s="311" t="str">
        <f t="shared" si="64"/>
        <v/>
      </c>
      <c r="AZ161" s="311" t="str">
        <f t="shared" si="65"/>
        <v/>
      </c>
      <c r="BA161" s="312" t="str">
        <f t="shared" si="66"/>
        <v/>
      </c>
      <c r="BB161" s="10" t="str">
        <f t="shared" si="67"/>
        <v/>
      </c>
      <c r="BC161" s="10" t="str">
        <f t="shared" si="68"/>
        <v/>
      </c>
      <c r="BD161" s="10" t="str">
        <f t="shared" si="69"/>
        <v/>
      </c>
      <c r="BE161" s="10" t="str">
        <f t="shared" si="70"/>
        <v/>
      </c>
      <c r="BF161" s="12">
        <v>0.43</v>
      </c>
      <c r="BG161" s="75">
        <v>246.28347436000001</v>
      </c>
      <c r="BH161" s="96" t="str">
        <f>+VLOOKUP(G161,Liste!$A$7:$G$69,3,FALSE)</f>
        <v>Douglas</v>
      </c>
      <c r="BI161" s="96" t="str">
        <f>+VLOOKUP(H161,Liste!$B$7:$G$69,5,FALSE)</f>
        <v>National</v>
      </c>
      <c r="BJ161" s="135">
        <f t="shared" si="45"/>
        <v>35</v>
      </c>
      <c r="BK161" s="135" t="str">
        <f t="shared" si="47"/>
        <v>Douglas_F3_Entree 19-20m_National_35_</v>
      </c>
      <c r="BL161" s="319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97" t="str">
        <f>+VLOOKUP(G161,Liste!$A$7:$H$69,8,FALSE)</f>
        <v>Résineux</v>
      </c>
      <c r="BU161" s="297">
        <f t="shared" si="48"/>
        <v>0</v>
      </c>
      <c r="BV161" s="299">
        <f t="shared" si="49"/>
        <v>1</v>
      </c>
      <c r="BW161" s="318">
        <v>0</v>
      </c>
      <c r="BX161" s="297">
        <f t="shared" si="50"/>
        <v>0.43</v>
      </c>
      <c r="BY161">
        <f t="shared" si="51"/>
        <v>0</v>
      </c>
      <c r="BZ161" s="303">
        <f t="shared" si="52"/>
        <v>0</v>
      </c>
      <c r="CB161" s="298">
        <v>0.6</v>
      </c>
      <c r="CC161" s="298">
        <v>0.4</v>
      </c>
      <c r="CD161">
        <f t="shared" si="53"/>
        <v>0</v>
      </c>
      <c r="CE161">
        <f t="shared" si="54"/>
        <v>0</v>
      </c>
      <c r="CF161">
        <f t="shared" si="55"/>
        <v>0</v>
      </c>
      <c r="CG161">
        <f t="shared" si="56"/>
        <v>0</v>
      </c>
      <c r="CH161">
        <f t="shared" si="57"/>
        <v>0</v>
      </c>
      <c r="CI161">
        <f t="shared" si="58"/>
        <v>0</v>
      </c>
      <c r="CJ161">
        <f t="shared" si="59"/>
        <v>0</v>
      </c>
      <c r="CK161">
        <f t="shared" si="60"/>
        <v>0</v>
      </c>
      <c r="CL161">
        <f t="shared" si="61"/>
        <v>0</v>
      </c>
      <c r="CM161">
        <f t="shared" si="63"/>
        <v>0</v>
      </c>
      <c r="CN161">
        <f t="shared" si="62"/>
        <v>0</v>
      </c>
      <c r="CO161">
        <f t="shared" si="46"/>
        <v>0</v>
      </c>
    </row>
    <row r="162" spans="1:93" s="12" customFormat="1" ht="14.45" hidden="1" customHeight="1" x14ac:dyDescent="0.25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13">
        <v>0.63935203974432886</v>
      </c>
      <c r="AX162" s="74">
        <v>9.3122668423960858E-2</v>
      </c>
      <c r="AY162" s="311">
        <f t="shared" si="64"/>
        <v>0</v>
      </c>
      <c r="AZ162" s="311">
        <f t="shared" si="65"/>
        <v>0</v>
      </c>
      <c r="BA162" s="312">
        <f t="shared" si="66"/>
        <v>0.94438905822072727</v>
      </c>
      <c r="BB162" s="10">
        <f t="shared" si="67"/>
        <v>0</v>
      </c>
      <c r="BC162" s="10">
        <f t="shared" si="68"/>
        <v>43.739138776811437</v>
      </c>
      <c r="BD162" s="10">
        <f t="shared" si="69"/>
        <v>22.654381904378845</v>
      </c>
      <c r="BE162" s="10">
        <f t="shared" si="70"/>
        <v>4.5146946795154985</v>
      </c>
      <c r="BF162" s="12">
        <v>0.43</v>
      </c>
      <c r="BG162" s="75">
        <v>158.11740732333334</v>
      </c>
      <c r="BH162" s="96" t="str">
        <f>+VLOOKUP(G162,Liste!$A$7:$G$69,3,FALSE)</f>
        <v>Douglas</v>
      </c>
      <c r="BI162" s="96" t="str">
        <f>+VLOOKUP(H162,Liste!$B$7:$G$69,5,FALSE)</f>
        <v>National</v>
      </c>
      <c r="BJ162" s="135">
        <f t="shared" si="45"/>
        <v>35</v>
      </c>
      <c r="BK162" s="135" t="str">
        <f t="shared" si="47"/>
        <v>Douglas_F3_Entree 19-20m_National_35_</v>
      </c>
      <c r="BL162" s="319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97" t="str">
        <f>+VLOOKUP(G162,Liste!$A$7:$H$69,8,FALSE)</f>
        <v>Résineux</v>
      </c>
      <c r="BU162" s="297">
        <f t="shared" si="48"/>
        <v>0</v>
      </c>
      <c r="BV162" s="299">
        <f t="shared" si="49"/>
        <v>1</v>
      </c>
      <c r="BW162" s="318">
        <v>0</v>
      </c>
      <c r="BX162" s="297">
        <f t="shared" si="50"/>
        <v>0.43</v>
      </c>
      <c r="BY162">
        <f t="shared" si="51"/>
        <v>0</v>
      </c>
      <c r="BZ162" s="303">
        <f t="shared" si="52"/>
        <v>0</v>
      </c>
      <c r="CB162" s="298">
        <v>0.6</v>
      </c>
      <c r="CC162" s="298">
        <v>0.4</v>
      </c>
      <c r="CD162">
        <f t="shared" si="53"/>
        <v>0</v>
      </c>
      <c r="CE162">
        <f t="shared" si="54"/>
        <v>0</v>
      </c>
      <c r="CF162">
        <f t="shared" si="55"/>
        <v>0</v>
      </c>
      <c r="CG162">
        <f t="shared" si="56"/>
        <v>0</v>
      </c>
      <c r="CH162">
        <f t="shared" si="57"/>
        <v>0</v>
      </c>
      <c r="CI162">
        <f t="shared" si="58"/>
        <v>0</v>
      </c>
      <c r="CJ162">
        <f t="shared" si="59"/>
        <v>0</v>
      </c>
      <c r="CK162">
        <f t="shared" si="60"/>
        <v>0</v>
      </c>
      <c r="CL162">
        <f t="shared" si="61"/>
        <v>0</v>
      </c>
      <c r="CM162">
        <f t="shared" si="63"/>
        <v>0</v>
      </c>
      <c r="CN162">
        <f t="shared" si="62"/>
        <v>0</v>
      </c>
      <c r="CO162">
        <f t="shared" si="46"/>
        <v>0</v>
      </c>
    </row>
    <row r="163" spans="1:93" s="12" customFormat="1" ht="14.45" hidden="1" customHeight="1" x14ac:dyDescent="0.25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10">
        <v>0</v>
      </c>
      <c r="AW163" s="313"/>
      <c r="AX163" s="74" t="s">
        <v>169</v>
      </c>
      <c r="AY163" s="311" t="str">
        <f t="shared" si="64"/>
        <v/>
      </c>
      <c r="AZ163" s="311" t="str">
        <f t="shared" si="65"/>
        <v/>
      </c>
      <c r="BA163" s="312" t="str">
        <f t="shared" si="66"/>
        <v/>
      </c>
      <c r="BB163" s="10" t="str">
        <f t="shared" si="67"/>
        <v/>
      </c>
      <c r="BC163" s="10" t="str">
        <f t="shared" si="68"/>
        <v/>
      </c>
      <c r="BD163" s="10" t="str">
        <f t="shared" si="69"/>
        <v/>
      </c>
      <c r="BE163" s="10" t="str">
        <f t="shared" si="70"/>
        <v/>
      </c>
      <c r="BF163" s="12">
        <v>0.43</v>
      </c>
      <c r="BG163" s="75">
        <v>253.55236470666668</v>
      </c>
      <c r="BH163" s="96" t="str">
        <f>+VLOOKUP(G163,Liste!$A$7:$G$69,3,FALSE)</f>
        <v>Douglas</v>
      </c>
      <c r="BI163" s="96" t="str">
        <f>+VLOOKUP(H163,Liste!$B$7:$G$69,5,FALSE)</f>
        <v>National</v>
      </c>
      <c r="BJ163" s="135">
        <f t="shared" si="45"/>
        <v>44</v>
      </c>
      <c r="BK163" s="135" t="str">
        <f t="shared" si="47"/>
        <v>Douglas_F3_Entree 19-20m_National_44_</v>
      </c>
      <c r="BL163" s="319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97" t="str">
        <f>+VLOOKUP(G163,Liste!$A$7:$H$69,8,FALSE)</f>
        <v>Résineux</v>
      </c>
      <c r="BU163" s="297">
        <f t="shared" si="48"/>
        <v>0</v>
      </c>
      <c r="BV163" s="299">
        <f t="shared" si="49"/>
        <v>1</v>
      </c>
      <c r="BW163" s="318">
        <v>0</v>
      </c>
      <c r="BX163" s="297">
        <f t="shared" si="50"/>
        <v>0.43</v>
      </c>
      <c r="BY163">
        <f t="shared" si="51"/>
        <v>0</v>
      </c>
      <c r="BZ163" s="303">
        <f t="shared" si="52"/>
        <v>0</v>
      </c>
      <c r="CB163" s="298">
        <v>0.6</v>
      </c>
      <c r="CC163" s="298">
        <v>0.4</v>
      </c>
      <c r="CD163">
        <f t="shared" si="53"/>
        <v>0</v>
      </c>
      <c r="CE163">
        <f t="shared" si="54"/>
        <v>0</v>
      </c>
      <c r="CF163">
        <f t="shared" si="55"/>
        <v>0</v>
      </c>
      <c r="CG163">
        <f t="shared" si="56"/>
        <v>0</v>
      </c>
      <c r="CH163">
        <f t="shared" si="57"/>
        <v>0</v>
      </c>
      <c r="CI163">
        <f t="shared" si="58"/>
        <v>0</v>
      </c>
      <c r="CJ163">
        <f t="shared" si="59"/>
        <v>0</v>
      </c>
      <c r="CK163">
        <f t="shared" si="60"/>
        <v>0</v>
      </c>
      <c r="CL163">
        <f t="shared" si="61"/>
        <v>0</v>
      </c>
      <c r="CM163">
        <f t="shared" si="63"/>
        <v>0</v>
      </c>
      <c r="CN163">
        <f t="shared" si="62"/>
        <v>0</v>
      </c>
      <c r="CO163">
        <f t="shared" si="46"/>
        <v>0</v>
      </c>
    </row>
    <row r="164" spans="1:93" s="12" customFormat="1" ht="14.45" hidden="1" customHeight="1" x14ac:dyDescent="0.25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13">
        <v>0.99396836197346849</v>
      </c>
      <c r="AX164" s="74">
        <v>0.39044846137542666</v>
      </c>
      <c r="AY164" s="311">
        <f t="shared" si="64"/>
        <v>0</v>
      </c>
      <c r="AZ164" s="311">
        <f t="shared" si="65"/>
        <v>0.54567667442904422</v>
      </c>
      <c r="BA164" s="312">
        <f t="shared" si="66"/>
        <v>0.43752795474553585</v>
      </c>
      <c r="BB164" s="10">
        <f t="shared" si="67"/>
        <v>15.023828443988322</v>
      </c>
      <c r="BC164" s="10">
        <f t="shared" si="68"/>
        <v>17.163707269152603</v>
      </c>
      <c r="BD164" s="10">
        <f t="shared" si="69"/>
        <v>9.5271160450931855</v>
      </c>
      <c r="BE164" s="10">
        <f t="shared" si="70"/>
        <v>12.484411208886073</v>
      </c>
      <c r="BF164" s="12">
        <v>0.43</v>
      </c>
      <c r="BG164" s="75">
        <v>197.62426709666667</v>
      </c>
      <c r="BH164" s="96" t="str">
        <f>+VLOOKUP(G164,Liste!$A$7:$G$69,3,FALSE)</f>
        <v>Douglas</v>
      </c>
      <c r="BI164" s="96" t="str">
        <f>+VLOOKUP(H164,Liste!$B$7:$G$69,5,FALSE)</f>
        <v>National</v>
      </c>
      <c r="BJ164" s="135">
        <f t="shared" si="45"/>
        <v>44</v>
      </c>
      <c r="BK164" s="135" t="str">
        <f t="shared" si="47"/>
        <v>Douglas_F3_Entree 19-20m_National_44_</v>
      </c>
      <c r="BL164" s="319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97" t="str">
        <f>+VLOOKUP(G164,Liste!$A$7:$H$69,8,FALSE)</f>
        <v>Résineux</v>
      </c>
      <c r="BU164" s="297">
        <f t="shared" si="48"/>
        <v>0</v>
      </c>
      <c r="BV164" s="299">
        <f t="shared" si="49"/>
        <v>1</v>
      </c>
      <c r="BW164" s="318">
        <v>0</v>
      </c>
      <c r="BX164" s="297">
        <f t="shared" si="50"/>
        <v>0.43</v>
      </c>
      <c r="BY164">
        <f t="shared" si="51"/>
        <v>0</v>
      </c>
      <c r="BZ164" s="303">
        <f t="shared" si="52"/>
        <v>0</v>
      </c>
      <c r="CB164" s="298">
        <v>0.6</v>
      </c>
      <c r="CC164" s="298">
        <v>0.4</v>
      </c>
      <c r="CD164">
        <f t="shared" si="53"/>
        <v>0</v>
      </c>
      <c r="CE164">
        <f t="shared" si="54"/>
        <v>0</v>
      </c>
      <c r="CF164">
        <f t="shared" si="55"/>
        <v>0</v>
      </c>
      <c r="CG164">
        <f t="shared" si="56"/>
        <v>0</v>
      </c>
      <c r="CH164">
        <f t="shared" si="57"/>
        <v>0</v>
      </c>
      <c r="CI164">
        <f t="shared" si="58"/>
        <v>0</v>
      </c>
      <c r="CJ164">
        <f t="shared" si="59"/>
        <v>0</v>
      </c>
      <c r="CK164">
        <f t="shared" si="60"/>
        <v>0</v>
      </c>
      <c r="CL164">
        <f t="shared" si="61"/>
        <v>0</v>
      </c>
      <c r="CM164">
        <f t="shared" si="63"/>
        <v>0</v>
      </c>
      <c r="CN164">
        <f t="shared" si="62"/>
        <v>0</v>
      </c>
      <c r="CO164">
        <f t="shared" si="46"/>
        <v>0</v>
      </c>
    </row>
    <row r="165" spans="1:93" s="12" customFormat="1" ht="14.45" hidden="1" customHeight="1" x14ac:dyDescent="0.25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10">
        <v>0</v>
      </c>
      <c r="AW165" s="314"/>
      <c r="AX165" s="74" t="s">
        <v>169</v>
      </c>
      <c r="AY165" s="311" t="str">
        <f t="shared" si="64"/>
        <v/>
      </c>
      <c r="AZ165" s="311" t="str">
        <f t="shared" si="65"/>
        <v/>
      </c>
      <c r="BA165" s="312" t="str">
        <f t="shared" si="66"/>
        <v/>
      </c>
      <c r="BB165" s="10" t="str">
        <f t="shared" si="67"/>
        <v/>
      </c>
      <c r="BC165" s="10" t="str">
        <f t="shared" si="68"/>
        <v/>
      </c>
      <c r="BD165" s="10" t="str">
        <f t="shared" si="69"/>
        <v/>
      </c>
      <c r="BE165" s="10" t="str">
        <f t="shared" si="70"/>
        <v/>
      </c>
      <c r="BF165" s="12">
        <v>0.43</v>
      </c>
      <c r="BG165" s="75">
        <v>288.15919465666667</v>
      </c>
      <c r="BH165" s="96" t="str">
        <f>+VLOOKUP(G165,Liste!$A$7:$G$69,3,FALSE)</f>
        <v>Douglas</v>
      </c>
      <c r="BI165" s="96" t="str">
        <f>+VLOOKUP(H165,Liste!$B$7:$G$69,5,FALSE)</f>
        <v>National</v>
      </c>
      <c r="BJ165" s="135">
        <f t="shared" si="45"/>
        <v>53</v>
      </c>
      <c r="BK165" s="135" t="str">
        <f t="shared" si="47"/>
        <v>Douglas_F3_Entree 19-20m_National_53_</v>
      </c>
      <c r="BL165" s="319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97" t="str">
        <f>+VLOOKUP(G165,Liste!$A$7:$H$69,8,FALSE)</f>
        <v>Résineux</v>
      </c>
      <c r="BU165" s="297">
        <f t="shared" si="48"/>
        <v>0</v>
      </c>
      <c r="BV165" s="299">
        <f t="shared" si="49"/>
        <v>1</v>
      </c>
      <c r="BW165" s="318">
        <v>0</v>
      </c>
      <c r="BX165" s="297">
        <f t="shared" si="50"/>
        <v>0.43</v>
      </c>
      <c r="BY165">
        <f t="shared" si="51"/>
        <v>0</v>
      </c>
      <c r="BZ165" s="303">
        <f t="shared" si="52"/>
        <v>0</v>
      </c>
      <c r="CB165" s="298">
        <v>0.6</v>
      </c>
      <c r="CC165" s="298">
        <v>0.4</v>
      </c>
      <c r="CD165">
        <f t="shared" si="53"/>
        <v>0</v>
      </c>
      <c r="CE165">
        <f t="shared" si="54"/>
        <v>0</v>
      </c>
      <c r="CF165">
        <f t="shared" si="55"/>
        <v>0</v>
      </c>
      <c r="CG165">
        <f t="shared" si="56"/>
        <v>0</v>
      </c>
      <c r="CH165">
        <f t="shared" si="57"/>
        <v>0</v>
      </c>
      <c r="CI165">
        <f t="shared" si="58"/>
        <v>0</v>
      </c>
      <c r="CJ165">
        <f t="shared" si="59"/>
        <v>0</v>
      </c>
      <c r="CK165">
        <f t="shared" si="60"/>
        <v>0</v>
      </c>
      <c r="CL165">
        <f t="shared" si="61"/>
        <v>0</v>
      </c>
      <c r="CM165">
        <f t="shared" si="63"/>
        <v>0</v>
      </c>
      <c r="CN165">
        <f t="shared" si="62"/>
        <v>0</v>
      </c>
      <c r="CO165">
        <f t="shared" si="46"/>
        <v>0</v>
      </c>
    </row>
    <row r="166" spans="1:93" s="12" customFormat="1" ht="14.45" hidden="1" customHeight="1" x14ac:dyDescent="0.25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13">
        <v>0.98562438342269298</v>
      </c>
      <c r="AX166" s="74">
        <v>0.56626027741337992</v>
      </c>
      <c r="AY166" s="311">
        <f t="shared" si="64"/>
        <v>0</v>
      </c>
      <c r="AZ166" s="311">
        <f t="shared" si="65"/>
        <v>0.69960645744266903</v>
      </c>
      <c r="BA166" s="312">
        <f t="shared" si="66"/>
        <v>0.28782272548373355</v>
      </c>
      <c r="BB166" s="10">
        <f t="shared" si="67"/>
        <v>18.62345088703557</v>
      </c>
      <c r="BC166" s="10">
        <f t="shared" si="68"/>
        <v>12.915048910529158</v>
      </c>
      <c r="BD166" s="10">
        <f t="shared" si="69"/>
        <v>7.4792449300957822</v>
      </c>
      <c r="BE166" s="10">
        <f t="shared" si="70"/>
        <v>14.612594577564215</v>
      </c>
      <c r="BF166" s="12">
        <v>0.43</v>
      </c>
      <c r="BG166" s="75">
        <v>234.42819689666666</v>
      </c>
      <c r="BH166" s="96" t="str">
        <f>+VLOOKUP(G166,Liste!$A$7:$G$69,3,FALSE)</f>
        <v>Douglas</v>
      </c>
      <c r="BI166" s="96" t="str">
        <f>+VLOOKUP(H166,Liste!$B$7:$G$69,5,FALSE)</f>
        <v>National</v>
      </c>
      <c r="BJ166" s="135">
        <f t="shared" si="45"/>
        <v>53</v>
      </c>
      <c r="BK166" s="135" t="str">
        <f t="shared" si="47"/>
        <v>Douglas_F3_Entree 19-20m_National_53_</v>
      </c>
      <c r="BL166" s="319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97" t="str">
        <f>+VLOOKUP(G166,Liste!$A$7:$H$69,8,FALSE)</f>
        <v>Résineux</v>
      </c>
      <c r="BU166" s="297">
        <f t="shared" si="48"/>
        <v>0</v>
      </c>
      <c r="BV166" s="299">
        <f t="shared" si="49"/>
        <v>1</v>
      </c>
      <c r="BW166" s="318">
        <v>0</v>
      </c>
      <c r="BX166" s="297">
        <f t="shared" si="50"/>
        <v>0.43</v>
      </c>
      <c r="BY166">
        <f t="shared" si="51"/>
        <v>0</v>
      </c>
      <c r="BZ166" s="303">
        <f t="shared" si="52"/>
        <v>0</v>
      </c>
      <c r="CB166" s="298">
        <v>0.6</v>
      </c>
      <c r="CC166" s="298">
        <v>0.4</v>
      </c>
      <c r="CD166">
        <f t="shared" si="53"/>
        <v>0</v>
      </c>
      <c r="CE166">
        <f t="shared" si="54"/>
        <v>0</v>
      </c>
      <c r="CF166">
        <f t="shared" si="55"/>
        <v>0</v>
      </c>
      <c r="CG166">
        <f t="shared" si="56"/>
        <v>0</v>
      </c>
      <c r="CH166">
        <f t="shared" si="57"/>
        <v>0</v>
      </c>
      <c r="CI166">
        <f t="shared" si="58"/>
        <v>0</v>
      </c>
      <c r="CJ166">
        <f t="shared" si="59"/>
        <v>0</v>
      </c>
      <c r="CK166">
        <f t="shared" si="60"/>
        <v>0</v>
      </c>
      <c r="CL166">
        <f t="shared" si="61"/>
        <v>0</v>
      </c>
      <c r="CM166">
        <f t="shared" si="63"/>
        <v>0</v>
      </c>
      <c r="CN166">
        <f t="shared" si="62"/>
        <v>0</v>
      </c>
      <c r="CO166">
        <f t="shared" si="46"/>
        <v>0</v>
      </c>
    </row>
    <row r="167" spans="1:93" s="12" customFormat="1" ht="14.45" hidden="1" customHeight="1" x14ac:dyDescent="0.25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10">
        <v>0</v>
      </c>
      <c r="AW167" s="313"/>
      <c r="AX167" s="74" t="s">
        <v>169</v>
      </c>
      <c r="AY167" s="311" t="str">
        <f t="shared" si="64"/>
        <v/>
      </c>
      <c r="AZ167" s="311" t="str">
        <f t="shared" si="65"/>
        <v/>
      </c>
      <c r="BA167" s="312" t="str">
        <f t="shared" si="66"/>
        <v/>
      </c>
      <c r="BB167" s="10" t="str">
        <f t="shared" si="67"/>
        <v/>
      </c>
      <c r="BC167" s="10" t="str">
        <f t="shared" si="68"/>
        <v/>
      </c>
      <c r="BD167" s="10" t="str">
        <f t="shared" si="69"/>
        <v/>
      </c>
      <c r="BE167" s="10" t="str">
        <f t="shared" si="70"/>
        <v/>
      </c>
      <c r="BF167" s="12">
        <v>0.43</v>
      </c>
      <c r="BG167" s="75">
        <v>325.85219454333338</v>
      </c>
      <c r="BH167" s="96" t="str">
        <f>+VLOOKUP(G167,Liste!$A$7:$G$69,3,FALSE)</f>
        <v>Douglas</v>
      </c>
      <c r="BI167" s="96" t="str">
        <f>+VLOOKUP(H167,Liste!$B$7:$G$69,5,FALSE)</f>
        <v>National</v>
      </c>
      <c r="BJ167" s="135">
        <f t="shared" si="45"/>
        <v>63</v>
      </c>
      <c r="BK167" s="135" t="str">
        <f t="shared" si="47"/>
        <v>Douglas_F3_Entree 19-20m_National_63_</v>
      </c>
      <c r="BL167" s="319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97" t="str">
        <f>+VLOOKUP(G167,Liste!$A$7:$H$69,8,FALSE)</f>
        <v>Résineux</v>
      </c>
      <c r="BU167" s="297">
        <f t="shared" si="48"/>
        <v>0</v>
      </c>
      <c r="BV167" s="299">
        <f t="shared" si="49"/>
        <v>1</v>
      </c>
      <c r="BW167" s="318">
        <v>0</v>
      </c>
      <c r="BX167" s="297">
        <f t="shared" si="50"/>
        <v>0.43</v>
      </c>
      <c r="BY167">
        <f t="shared" si="51"/>
        <v>0</v>
      </c>
      <c r="BZ167" s="303">
        <f t="shared" si="52"/>
        <v>0</v>
      </c>
      <c r="CB167" s="298">
        <v>0.6</v>
      </c>
      <c r="CC167" s="298">
        <v>0.4</v>
      </c>
      <c r="CD167">
        <f t="shared" si="53"/>
        <v>0</v>
      </c>
      <c r="CE167">
        <f t="shared" si="54"/>
        <v>0</v>
      </c>
      <c r="CF167">
        <f t="shared" si="55"/>
        <v>0</v>
      </c>
      <c r="CG167">
        <f t="shared" si="56"/>
        <v>0</v>
      </c>
      <c r="CH167">
        <f t="shared" si="57"/>
        <v>0</v>
      </c>
      <c r="CI167">
        <f t="shared" si="58"/>
        <v>0</v>
      </c>
      <c r="CJ167">
        <f t="shared" si="59"/>
        <v>0</v>
      </c>
      <c r="CK167">
        <f t="shared" si="60"/>
        <v>0</v>
      </c>
      <c r="CL167">
        <f t="shared" si="61"/>
        <v>0</v>
      </c>
      <c r="CM167">
        <f t="shared" si="63"/>
        <v>0</v>
      </c>
      <c r="CN167">
        <f t="shared" si="62"/>
        <v>0</v>
      </c>
      <c r="CO167">
        <f t="shared" si="46"/>
        <v>0</v>
      </c>
    </row>
    <row r="168" spans="1:93" s="12" customFormat="1" ht="14.45" hidden="1" customHeight="1" x14ac:dyDescent="0.25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13">
        <v>0.9504927475950754</v>
      </c>
      <c r="AX168" s="74">
        <v>0.76356684443692002</v>
      </c>
      <c r="AY168" s="311">
        <f t="shared" si="64"/>
        <v>0</v>
      </c>
      <c r="AZ168" s="311">
        <f t="shared" si="65"/>
        <v>0.78508400114169319</v>
      </c>
      <c r="BA168" s="312">
        <f t="shared" si="66"/>
        <v>0.20499043621525193</v>
      </c>
      <c r="BB168" s="10">
        <f t="shared" si="67"/>
        <v>21.135605977131277</v>
      </c>
      <c r="BC168" s="10">
        <f t="shared" si="68"/>
        <v>11.004097707491214</v>
      </c>
      <c r="BD168" s="10">
        <f t="shared" si="69"/>
        <v>6.5960438167337809</v>
      </c>
      <c r="BE168" s="10">
        <f t="shared" si="70"/>
        <v>16.206650284771595</v>
      </c>
      <c r="BF168" s="12">
        <v>0.43</v>
      </c>
      <c r="BG168" s="75">
        <v>271.67936106666667</v>
      </c>
      <c r="BH168" s="96" t="str">
        <f>+VLOOKUP(G168,Liste!$A$7:$G$69,3,FALSE)</f>
        <v>Douglas</v>
      </c>
      <c r="BI168" s="96" t="str">
        <f>+VLOOKUP(H168,Liste!$B$7:$G$69,5,FALSE)</f>
        <v>National</v>
      </c>
      <c r="BJ168" s="135">
        <f t="shared" si="45"/>
        <v>63</v>
      </c>
      <c r="BK168" s="135" t="str">
        <f t="shared" si="47"/>
        <v>Douglas_F3_Entree 19-20m_National_63_</v>
      </c>
      <c r="BL168" s="319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97" t="str">
        <f>+VLOOKUP(G168,Liste!$A$7:$H$69,8,FALSE)</f>
        <v>Résineux</v>
      </c>
      <c r="BU168" s="297">
        <f t="shared" si="48"/>
        <v>0</v>
      </c>
      <c r="BV168" s="299">
        <f t="shared" si="49"/>
        <v>1</v>
      </c>
      <c r="BW168" s="318">
        <v>0</v>
      </c>
      <c r="BX168" s="297">
        <f t="shared" si="50"/>
        <v>0.43</v>
      </c>
      <c r="BY168">
        <f t="shared" si="51"/>
        <v>0</v>
      </c>
      <c r="BZ168" s="303">
        <f t="shared" si="52"/>
        <v>0</v>
      </c>
      <c r="CB168" s="298">
        <v>0.6</v>
      </c>
      <c r="CC168" s="298">
        <v>0.4</v>
      </c>
      <c r="CD168">
        <f t="shared" si="53"/>
        <v>0</v>
      </c>
      <c r="CE168">
        <f t="shared" si="54"/>
        <v>0</v>
      </c>
      <c r="CF168">
        <f t="shared" si="55"/>
        <v>0</v>
      </c>
      <c r="CG168">
        <f t="shared" si="56"/>
        <v>0</v>
      </c>
      <c r="CH168">
        <f t="shared" si="57"/>
        <v>0</v>
      </c>
      <c r="CI168">
        <f t="shared" si="58"/>
        <v>0</v>
      </c>
      <c r="CJ168">
        <f t="shared" si="59"/>
        <v>0</v>
      </c>
      <c r="CK168">
        <f t="shared" si="60"/>
        <v>0</v>
      </c>
      <c r="CL168">
        <f t="shared" si="61"/>
        <v>0</v>
      </c>
      <c r="CM168">
        <f t="shared" si="63"/>
        <v>0</v>
      </c>
      <c r="CN168">
        <f t="shared" si="62"/>
        <v>0</v>
      </c>
      <c r="CO168">
        <f t="shared" si="46"/>
        <v>0</v>
      </c>
    </row>
    <row r="169" spans="1:93" s="12" customFormat="1" ht="14.45" hidden="1" customHeight="1" x14ac:dyDescent="0.25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10">
        <v>0</v>
      </c>
      <c r="AW169" s="313"/>
      <c r="AX169" s="74" t="s">
        <v>169</v>
      </c>
      <c r="AY169" s="311" t="str">
        <f t="shared" si="64"/>
        <v/>
      </c>
      <c r="AZ169" s="311" t="str">
        <f t="shared" si="65"/>
        <v/>
      </c>
      <c r="BA169" s="312" t="str">
        <f t="shared" si="66"/>
        <v/>
      </c>
      <c r="BB169" s="10" t="str">
        <f t="shared" si="67"/>
        <v/>
      </c>
      <c r="BC169" s="10" t="str">
        <f t="shared" si="68"/>
        <v/>
      </c>
      <c r="BD169" s="10" t="str">
        <f t="shared" si="69"/>
        <v/>
      </c>
      <c r="BE169" s="10" t="str">
        <f t="shared" si="70"/>
        <v/>
      </c>
      <c r="BF169" s="12">
        <v>0.43</v>
      </c>
      <c r="BG169" s="75">
        <v>351.52330374333332</v>
      </c>
      <c r="BH169" s="96" t="str">
        <f>+VLOOKUP(G169,Liste!$A$7:$G$69,3,FALSE)</f>
        <v>Douglas</v>
      </c>
      <c r="BI169" s="96" t="str">
        <f>+VLOOKUP(H169,Liste!$B$7:$G$69,5,FALSE)</f>
        <v>National</v>
      </c>
      <c r="BJ169" s="135">
        <f t="shared" si="45"/>
        <v>73</v>
      </c>
      <c r="BK169" s="135" t="str">
        <f t="shared" si="47"/>
        <v>Douglas_F3_Entree 19-20m_National_73_</v>
      </c>
      <c r="BL169" s="319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97" t="str">
        <f>+VLOOKUP(G169,Liste!$A$7:$H$69,8,FALSE)</f>
        <v>Résineux</v>
      </c>
      <c r="BU169" s="297">
        <f t="shared" si="48"/>
        <v>0</v>
      </c>
      <c r="BV169" s="299">
        <f t="shared" si="49"/>
        <v>1</v>
      </c>
      <c r="BW169" s="318">
        <v>0</v>
      </c>
      <c r="BX169" s="297">
        <f t="shared" si="50"/>
        <v>0.43</v>
      </c>
      <c r="BY169">
        <f t="shared" si="51"/>
        <v>0</v>
      </c>
      <c r="BZ169" s="303">
        <f t="shared" si="52"/>
        <v>0</v>
      </c>
      <c r="CB169" s="298">
        <v>0.6</v>
      </c>
      <c r="CC169" s="298">
        <v>0.4</v>
      </c>
      <c r="CD169">
        <f t="shared" si="53"/>
        <v>0</v>
      </c>
      <c r="CE169">
        <f t="shared" si="54"/>
        <v>0</v>
      </c>
      <c r="CF169">
        <f t="shared" si="55"/>
        <v>0</v>
      </c>
      <c r="CG169">
        <f t="shared" si="56"/>
        <v>0</v>
      </c>
      <c r="CH169">
        <f t="shared" si="57"/>
        <v>0</v>
      </c>
      <c r="CI169">
        <f t="shared" si="58"/>
        <v>0</v>
      </c>
      <c r="CJ169">
        <f t="shared" si="59"/>
        <v>0</v>
      </c>
      <c r="CK169">
        <f t="shared" si="60"/>
        <v>0</v>
      </c>
      <c r="CL169">
        <f t="shared" si="61"/>
        <v>0</v>
      </c>
      <c r="CM169">
        <f t="shared" si="63"/>
        <v>0</v>
      </c>
      <c r="CN169">
        <f t="shared" si="62"/>
        <v>0</v>
      </c>
      <c r="CO169">
        <f t="shared" si="46"/>
        <v>0</v>
      </c>
    </row>
    <row r="170" spans="1:93" s="12" customFormat="1" ht="14.45" hidden="1" customHeight="1" x14ac:dyDescent="0.25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13">
        <v>1.136002736458257</v>
      </c>
      <c r="AX170" s="74">
        <v>1.2030320863691455</v>
      </c>
      <c r="AY170" s="311">
        <f t="shared" si="64"/>
        <v>0</v>
      </c>
      <c r="AZ170" s="311">
        <f t="shared" si="65"/>
        <v>0.8901360182703405</v>
      </c>
      <c r="BA170" s="312">
        <f t="shared" si="66"/>
        <v>0.10383952728726453</v>
      </c>
      <c r="BB170" s="10">
        <f t="shared" si="67"/>
        <v>27.687677384884228</v>
      </c>
      <c r="BC170" s="10">
        <f t="shared" si="68"/>
        <v>9.816087010722292</v>
      </c>
      <c r="BD170" s="10">
        <f t="shared" si="69"/>
        <v>6.2586533106902946</v>
      </c>
      <c r="BE170" s="10">
        <f t="shared" si="70"/>
        <v>20.756004243732431</v>
      </c>
      <c r="BF170" s="12">
        <v>0.43</v>
      </c>
      <c r="BG170" s="75">
        <v>289.20489194666669</v>
      </c>
      <c r="BH170" s="96" t="str">
        <f>+VLOOKUP(G170,Liste!$A$7:$G$69,3,FALSE)</f>
        <v>Douglas</v>
      </c>
      <c r="BI170" s="96" t="str">
        <f>+VLOOKUP(H170,Liste!$B$7:$G$69,5,FALSE)</f>
        <v>National</v>
      </c>
      <c r="BJ170" s="135">
        <f t="shared" si="45"/>
        <v>73</v>
      </c>
      <c r="BK170" s="135" t="str">
        <f t="shared" si="47"/>
        <v>Douglas_F3_Entree 19-20m_National_73_</v>
      </c>
      <c r="BL170" s="319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97" t="str">
        <f>+VLOOKUP(G170,Liste!$A$7:$H$69,8,FALSE)</f>
        <v>Résineux</v>
      </c>
      <c r="BU170" s="297">
        <f t="shared" si="48"/>
        <v>0</v>
      </c>
      <c r="BV170" s="299">
        <f t="shared" si="49"/>
        <v>1</v>
      </c>
      <c r="BW170" s="318">
        <v>0</v>
      </c>
      <c r="BX170" s="297">
        <f t="shared" si="50"/>
        <v>0.43</v>
      </c>
      <c r="BY170">
        <f t="shared" si="51"/>
        <v>0</v>
      </c>
      <c r="BZ170" s="303">
        <f t="shared" si="52"/>
        <v>0</v>
      </c>
      <c r="CB170" s="298">
        <v>0.6</v>
      </c>
      <c r="CC170" s="298">
        <v>0.4</v>
      </c>
      <c r="CD170">
        <f t="shared" si="53"/>
        <v>0</v>
      </c>
      <c r="CE170">
        <f t="shared" si="54"/>
        <v>0</v>
      </c>
      <c r="CF170">
        <f t="shared" si="55"/>
        <v>0</v>
      </c>
      <c r="CG170">
        <f t="shared" si="56"/>
        <v>0</v>
      </c>
      <c r="CH170">
        <f t="shared" si="57"/>
        <v>0</v>
      </c>
      <c r="CI170">
        <f t="shared" si="58"/>
        <v>0</v>
      </c>
      <c r="CJ170">
        <f t="shared" si="59"/>
        <v>0</v>
      </c>
      <c r="CK170">
        <f t="shared" si="60"/>
        <v>0</v>
      </c>
      <c r="CL170">
        <f t="shared" si="61"/>
        <v>0</v>
      </c>
      <c r="CM170">
        <f t="shared" si="63"/>
        <v>0</v>
      </c>
      <c r="CN170">
        <f t="shared" si="62"/>
        <v>0</v>
      </c>
      <c r="CO170">
        <f t="shared" si="46"/>
        <v>0</v>
      </c>
    </row>
    <row r="171" spans="1:93" s="12" customFormat="1" ht="14.45" hidden="1" customHeight="1" x14ac:dyDescent="0.25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10">
        <v>0</v>
      </c>
      <c r="AW171" s="314"/>
      <c r="AX171" s="74" t="s">
        <v>169</v>
      </c>
      <c r="AY171" s="311" t="str">
        <f t="shared" si="64"/>
        <v/>
      </c>
      <c r="AZ171" s="311" t="str">
        <f t="shared" si="65"/>
        <v/>
      </c>
      <c r="BA171" s="312" t="str">
        <f t="shared" si="66"/>
        <v/>
      </c>
      <c r="BB171" s="10" t="str">
        <f t="shared" si="67"/>
        <v/>
      </c>
      <c r="BC171" s="10" t="str">
        <f t="shared" si="68"/>
        <v/>
      </c>
      <c r="BD171" s="10" t="str">
        <f t="shared" si="69"/>
        <v/>
      </c>
      <c r="BE171" s="10" t="str">
        <f t="shared" si="70"/>
        <v/>
      </c>
      <c r="BF171" s="12">
        <v>0.43</v>
      </c>
      <c r="BG171" s="75">
        <v>356.46199262666664</v>
      </c>
      <c r="BH171" s="96" t="str">
        <f>+VLOOKUP(G171,Liste!$A$7:$G$69,3,FALSE)</f>
        <v>Douglas</v>
      </c>
      <c r="BI171" s="96" t="str">
        <f>+VLOOKUP(H171,Liste!$B$7:$G$69,5,FALSE)</f>
        <v>National</v>
      </c>
      <c r="BJ171" s="135">
        <f t="shared" si="45"/>
        <v>83</v>
      </c>
      <c r="BK171" s="135" t="str">
        <f t="shared" si="47"/>
        <v>Douglas_F3_Entree 19-20m_National_83_</v>
      </c>
      <c r="BL171" s="319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97" t="str">
        <f>+VLOOKUP(G171,Liste!$A$7:$H$69,8,FALSE)</f>
        <v>Résineux</v>
      </c>
      <c r="BU171" s="297">
        <f t="shared" si="48"/>
        <v>0</v>
      </c>
      <c r="BV171" s="299">
        <f t="shared" si="49"/>
        <v>1</v>
      </c>
      <c r="BW171" s="318">
        <v>0</v>
      </c>
      <c r="BX171" s="297">
        <f t="shared" si="50"/>
        <v>0.43</v>
      </c>
      <c r="BY171">
        <f t="shared" si="51"/>
        <v>0</v>
      </c>
      <c r="BZ171" s="303">
        <f t="shared" si="52"/>
        <v>0</v>
      </c>
      <c r="CB171" s="298">
        <v>0.6</v>
      </c>
      <c r="CC171" s="298">
        <v>0.4</v>
      </c>
      <c r="CD171">
        <f t="shared" si="53"/>
        <v>0</v>
      </c>
      <c r="CE171">
        <f t="shared" si="54"/>
        <v>0</v>
      </c>
      <c r="CF171">
        <f t="shared" si="55"/>
        <v>0</v>
      </c>
      <c r="CG171">
        <f t="shared" si="56"/>
        <v>0</v>
      </c>
      <c r="CH171">
        <f t="shared" si="57"/>
        <v>0</v>
      </c>
      <c r="CI171">
        <f t="shared" si="58"/>
        <v>0</v>
      </c>
      <c r="CJ171">
        <f t="shared" si="59"/>
        <v>0</v>
      </c>
      <c r="CK171">
        <f t="shared" si="60"/>
        <v>0</v>
      </c>
      <c r="CL171">
        <f t="shared" si="61"/>
        <v>0</v>
      </c>
      <c r="CM171">
        <f t="shared" si="63"/>
        <v>0</v>
      </c>
      <c r="CN171">
        <f t="shared" si="62"/>
        <v>0</v>
      </c>
      <c r="CO171">
        <f t="shared" si="46"/>
        <v>0</v>
      </c>
    </row>
    <row r="172" spans="1:93" s="12" customFormat="1" ht="14.45" hidden="1" customHeight="1" x14ac:dyDescent="0.25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13">
        <v>1.0233572764575893</v>
      </c>
      <c r="AX172" s="74">
        <v>1.2969929322627756</v>
      </c>
      <c r="AY172" s="311">
        <f t="shared" si="64"/>
        <v>0</v>
      </c>
      <c r="AZ172" s="311">
        <f t="shared" si="65"/>
        <v>0.89287324102830223</v>
      </c>
      <c r="BA172" s="312">
        <f t="shared" si="66"/>
        <v>0.10122242914243307</v>
      </c>
      <c r="BB172" s="10">
        <f t="shared" si="67"/>
        <v>26.675572464343517</v>
      </c>
      <c r="BC172" s="10">
        <f t="shared" si="68"/>
        <v>9.356381380488564</v>
      </c>
      <c r="BD172" s="10">
        <f t="shared" si="69"/>
        <v>5.9776196562115835</v>
      </c>
      <c r="BE172" s="10">
        <f t="shared" si="70"/>
        <v>19.986868884247443</v>
      </c>
      <c r="BF172" s="12">
        <v>0.43</v>
      </c>
      <c r="BG172" s="75">
        <v>296.60719854333337</v>
      </c>
      <c r="BH172" s="96" t="str">
        <f>+VLOOKUP(G172,Liste!$A$7:$G$69,3,FALSE)</f>
        <v>Douglas</v>
      </c>
      <c r="BI172" s="96" t="str">
        <f>+VLOOKUP(H172,Liste!$B$7:$G$69,5,FALSE)</f>
        <v>National</v>
      </c>
      <c r="BJ172" s="135">
        <f t="shared" si="45"/>
        <v>83</v>
      </c>
      <c r="BK172" s="135" t="str">
        <f t="shared" si="47"/>
        <v>Douglas_F3_Entree 19-20m_National_83_</v>
      </c>
      <c r="BL172" s="319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97" t="str">
        <f>+VLOOKUP(G172,Liste!$A$7:$H$69,8,FALSE)</f>
        <v>Résineux</v>
      </c>
      <c r="BU172" s="297">
        <f t="shared" si="48"/>
        <v>0</v>
      </c>
      <c r="BV172" s="299">
        <f t="shared" si="49"/>
        <v>1</v>
      </c>
      <c r="BW172" s="318">
        <v>0</v>
      </c>
      <c r="BX172" s="297">
        <f t="shared" si="50"/>
        <v>0.43</v>
      </c>
      <c r="BY172">
        <f t="shared" si="51"/>
        <v>0</v>
      </c>
      <c r="BZ172" s="303">
        <f t="shared" si="52"/>
        <v>0</v>
      </c>
      <c r="CB172" s="298">
        <v>0.6</v>
      </c>
      <c r="CC172" s="298">
        <v>0.4</v>
      </c>
      <c r="CD172">
        <f t="shared" si="53"/>
        <v>0</v>
      </c>
      <c r="CE172">
        <f t="shared" si="54"/>
        <v>0</v>
      </c>
      <c r="CF172">
        <f t="shared" si="55"/>
        <v>0</v>
      </c>
      <c r="CG172">
        <f t="shared" si="56"/>
        <v>0</v>
      </c>
      <c r="CH172">
        <f t="shared" si="57"/>
        <v>0</v>
      </c>
      <c r="CI172">
        <f t="shared" si="58"/>
        <v>0</v>
      </c>
      <c r="CJ172">
        <f t="shared" si="59"/>
        <v>0</v>
      </c>
      <c r="CK172">
        <f t="shared" si="60"/>
        <v>0</v>
      </c>
      <c r="CL172">
        <f t="shared" si="61"/>
        <v>0</v>
      </c>
      <c r="CM172">
        <f t="shared" si="63"/>
        <v>0</v>
      </c>
      <c r="CN172">
        <f t="shared" si="62"/>
        <v>0</v>
      </c>
      <c r="CO172">
        <f t="shared" si="46"/>
        <v>0</v>
      </c>
    </row>
    <row r="173" spans="1:93" s="12" customFormat="1" ht="14.45" hidden="1" customHeight="1" x14ac:dyDescent="0.25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10">
        <v>0</v>
      </c>
      <c r="AW173" s="313"/>
      <c r="AX173" s="74" t="s">
        <v>169</v>
      </c>
      <c r="AY173" s="311" t="str">
        <f t="shared" si="64"/>
        <v/>
      </c>
      <c r="AZ173" s="311" t="str">
        <f t="shared" si="65"/>
        <v/>
      </c>
      <c r="BA173" s="312" t="str">
        <f t="shared" si="66"/>
        <v/>
      </c>
      <c r="BB173" s="10" t="str">
        <f t="shared" si="67"/>
        <v/>
      </c>
      <c r="BC173" s="10" t="str">
        <f t="shared" si="68"/>
        <v/>
      </c>
      <c r="BD173" s="10" t="str">
        <f t="shared" si="69"/>
        <v/>
      </c>
      <c r="BE173" s="10" t="str">
        <f t="shared" si="70"/>
        <v/>
      </c>
      <c r="BF173" s="12">
        <v>0.43</v>
      </c>
      <c r="BG173" s="75">
        <v>352.11733278333332</v>
      </c>
      <c r="BH173" s="96" t="str">
        <f>+VLOOKUP(G173,Liste!$A$7:$G$69,3,FALSE)</f>
        <v>Douglas</v>
      </c>
      <c r="BI173" s="96" t="str">
        <f>+VLOOKUP(H173,Liste!$B$7:$G$69,5,FALSE)</f>
        <v>National</v>
      </c>
      <c r="BJ173" s="135">
        <f t="shared" si="45"/>
        <v>93</v>
      </c>
      <c r="BK173" s="135" t="str">
        <f t="shared" si="47"/>
        <v>Douglas_F3_Entree 19-20m_National_93_</v>
      </c>
      <c r="BL173" s="319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97" t="str">
        <f>+VLOOKUP(G173,Liste!$A$7:$H$69,8,FALSE)</f>
        <v>Résineux</v>
      </c>
      <c r="BU173" s="297">
        <f t="shared" si="48"/>
        <v>0</v>
      </c>
      <c r="BV173" s="299">
        <f t="shared" si="49"/>
        <v>1</v>
      </c>
      <c r="BW173" s="318">
        <v>0</v>
      </c>
      <c r="BX173" s="297">
        <f t="shared" si="50"/>
        <v>0.43</v>
      </c>
      <c r="BY173">
        <f t="shared" si="51"/>
        <v>0</v>
      </c>
      <c r="BZ173" s="303">
        <f t="shared" si="52"/>
        <v>0</v>
      </c>
      <c r="CB173" s="298">
        <v>0.6</v>
      </c>
      <c r="CC173" s="298">
        <v>0.4</v>
      </c>
      <c r="CD173">
        <f t="shared" si="53"/>
        <v>0</v>
      </c>
      <c r="CE173">
        <f t="shared" si="54"/>
        <v>0</v>
      </c>
      <c r="CF173">
        <f t="shared" si="55"/>
        <v>0</v>
      </c>
      <c r="CG173">
        <f t="shared" si="56"/>
        <v>0</v>
      </c>
      <c r="CH173">
        <f t="shared" si="57"/>
        <v>0</v>
      </c>
      <c r="CI173">
        <f t="shared" si="58"/>
        <v>0</v>
      </c>
      <c r="CJ173">
        <f t="shared" si="59"/>
        <v>0</v>
      </c>
      <c r="CK173">
        <f t="shared" si="60"/>
        <v>0</v>
      </c>
      <c r="CL173">
        <f t="shared" si="61"/>
        <v>0</v>
      </c>
      <c r="CM173">
        <f t="shared" si="63"/>
        <v>0</v>
      </c>
      <c r="CN173">
        <f t="shared" si="62"/>
        <v>0</v>
      </c>
      <c r="CO173">
        <f t="shared" si="46"/>
        <v>0</v>
      </c>
    </row>
    <row r="174" spans="1:93" s="12" customFormat="1" ht="14.45" hidden="1" customHeight="1" x14ac:dyDescent="0.25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13">
        <v>1.056588232230091</v>
      </c>
      <c r="AX174" s="74">
        <v>1.5817493551613064</v>
      </c>
      <c r="AY174" s="311">
        <f t="shared" si="64"/>
        <v>0</v>
      </c>
      <c r="AZ174" s="311">
        <f t="shared" si="65"/>
        <v>0.91855804808839348</v>
      </c>
      <c r="BA174" s="312">
        <f t="shared" si="66"/>
        <v>7.6754921006942811E-2</v>
      </c>
      <c r="BB174" s="10">
        <f t="shared" si="67"/>
        <v>26.637847663977624</v>
      </c>
      <c r="BC174" s="10">
        <f t="shared" si="68"/>
        <v>8.4300860470937256</v>
      </c>
      <c r="BD174" s="10">
        <f t="shared" si="69"/>
        <v>5.4962512052801866</v>
      </c>
      <c r="BE174" s="10">
        <f t="shared" si="70"/>
        <v>19.864358125389192</v>
      </c>
      <c r="BF174" s="12">
        <v>0.43</v>
      </c>
      <c r="BG174" s="75">
        <v>294.08953002000004</v>
      </c>
      <c r="BH174" s="96" t="str">
        <f>+VLOOKUP(G174,Liste!$A$7:$G$69,3,FALSE)</f>
        <v>Douglas</v>
      </c>
      <c r="BI174" s="96" t="str">
        <f>+VLOOKUP(H174,Liste!$B$7:$G$69,5,FALSE)</f>
        <v>National</v>
      </c>
      <c r="BJ174" s="135">
        <f t="shared" si="45"/>
        <v>93</v>
      </c>
      <c r="BK174" s="135" t="str">
        <f t="shared" si="47"/>
        <v>Douglas_F3_Entree 19-20m_National_93_</v>
      </c>
      <c r="BL174" s="319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97" t="str">
        <f>+VLOOKUP(G174,Liste!$A$7:$H$69,8,FALSE)</f>
        <v>Résineux</v>
      </c>
      <c r="BU174" s="297">
        <f t="shared" si="48"/>
        <v>0</v>
      </c>
      <c r="BV174" s="299">
        <f t="shared" si="49"/>
        <v>1</v>
      </c>
      <c r="BW174" s="318">
        <v>0</v>
      </c>
      <c r="BX174" s="297">
        <f t="shared" si="50"/>
        <v>0.43</v>
      </c>
      <c r="BY174">
        <f t="shared" si="51"/>
        <v>0</v>
      </c>
      <c r="BZ174" s="303">
        <f t="shared" si="52"/>
        <v>0</v>
      </c>
      <c r="CB174" s="298">
        <v>0.6</v>
      </c>
      <c r="CC174" s="298">
        <v>0.4</v>
      </c>
      <c r="CD174">
        <f t="shared" si="53"/>
        <v>0</v>
      </c>
      <c r="CE174">
        <f t="shared" si="54"/>
        <v>0</v>
      </c>
      <c r="CF174">
        <f t="shared" si="55"/>
        <v>0</v>
      </c>
      <c r="CG174">
        <f t="shared" si="56"/>
        <v>0</v>
      </c>
      <c r="CH174">
        <f t="shared" si="57"/>
        <v>0</v>
      </c>
      <c r="CI174">
        <f t="shared" si="58"/>
        <v>0</v>
      </c>
      <c r="CJ174">
        <f t="shared" si="59"/>
        <v>0</v>
      </c>
      <c r="CK174">
        <f t="shared" si="60"/>
        <v>0</v>
      </c>
      <c r="CL174">
        <f t="shared" si="61"/>
        <v>0</v>
      </c>
      <c r="CM174">
        <f t="shared" si="63"/>
        <v>0</v>
      </c>
      <c r="CN174">
        <f t="shared" si="62"/>
        <v>0</v>
      </c>
      <c r="CO174">
        <f t="shared" si="46"/>
        <v>0</v>
      </c>
    </row>
    <row r="175" spans="1:93" s="12" customFormat="1" ht="14.45" hidden="1" customHeight="1" x14ac:dyDescent="0.25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10">
        <v>0</v>
      </c>
      <c r="AW175" s="313"/>
      <c r="AX175" s="74" t="s">
        <v>169</v>
      </c>
      <c r="AY175" s="311" t="str">
        <f t="shared" si="64"/>
        <v/>
      </c>
      <c r="AZ175" s="311" t="str">
        <f t="shared" si="65"/>
        <v/>
      </c>
      <c r="BA175" s="312" t="str">
        <f t="shared" si="66"/>
        <v/>
      </c>
      <c r="BB175" s="10" t="str">
        <f t="shared" si="67"/>
        <v/>
      </c>
      <c r="BC175" s="10" t="str">
        <f t="shared" si="68"/>
        <v/>
      </c>
      <c r="BD175" s="10" t="str">
        <f t="shared" si="69"/>
        <v/>
      </c>
      <c r="BE175" s="10" t="str">
        <f t="shared" si="70"/>
        <v/>
      </c>
      <c r="BF175" s="12">
        <v>0.43</v>
      </c>
      <c r="BG175" s="75">
        <v>334.96947363000004</v>
      </c>
      <c r="BH175" s="96" t="str">
        <f>+VLOOKUP(G175,Liste!$A$7:$G$69,3,FALSE)</f>
        <v>Douglas</v>
      </c>
      <c r="BI175" s="96" t="str">
        <f>+VLOOKUP(H175,Liste!$B$7:$G$69,5,FALSE)</f>
        <v>National</v>
      </c>
      <c r="BJ175" s="135">
        <f t="shared" si="45"/>
        <v>102</v>
      </c>
      <c r="BK175" s="135" t="str">
        <f t="shared" si="47"/>
        <v>Douglas_F3_Entree 19-20m_National_102_</v>
      </c>
      <c r="BL175" s="319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97" t="str">
        <f>+VLOOKUP(G175,Liste!$A$7:$H$69,8,FALSE)</f>
        <v>Résineux</v>
      </c>
      <c r="BU175" s="297">
        <f t="shared" si="48"/>
        <v>0</v>
      </c>
      <c r="BV175" s="299">
        <f t="shared" si="49"/>
        <v>1</v>
      </c>
      <c r="BW175" s="318">
        <v>0</v>
      </c>
      <c r="BX175" s="297">
        <f t="shared" si="50"/>
        <v>0.43</v>
      </c>
      <c r="BY175">
        <f t="shared" si="51"/>
        <v>0</v>
      </c>
      <c r="BZ175" s="303">
        <f t="shared" si="52"/>
        <v>0</v>
      </c>
      <c r="CB175" s="298">
        <v>0.6</v>
      </c>
      <c r="CC175" s="298">
        <v>0.4</v>
      </c>
      <c r="CD175">
        <f t="shared" si="53"/>
        <v>0</v>
      </c>
      <c r="CE175">
        <f t="shared" si="54"/>
        <v>0</v>
      </c>
      <c r="CF175">
        <f t="shared" si="55"/>
        <v>0</v>
      </c>
      <c r="CG175">
        <f t="shared" si="56"/>
        <v>0</v>
      </c>
      <c r="CH175">
        <f t="shared" si="57"/>
        <v>0</v>
      </c>
      <c r="CI175">
        <f t="shared" si="58"/>
        <v>0</v>
      </c>
      <c r="CJ175">
        <f t="shared" si="59"/>
        <v>0</v>
      </c>
      <c r="CK175">
        <f t="shared" si="60"/>
        <v>0</v>
      </c>
      <c r="CL175">
        <f t="shared" si="61"/>
        <v>0</v>
      </c>
      <c r="CM175">
        <f t="shared" si="63"/>
        <v>0</v>
      </c>
      <c r="CN175">
        <f t="shared" si="62"/>
        <v>0</v>
      </c>
      <c r="CO175">
        <f t="shared" si="46"/>
        <v>0</v>
      </c>
    </row>
    <row r="176" spans="1:93" s="12" customFormat="1" ht="14.45" hidden="1" customHeight="1" x14ac:dyDescent="0.25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10">
        <v>0</v>
      </c>
      <c r="AW176" s="313"/>
      <c r="AX176" s="74" t="s">
        <v>169</v>
      </c>
      <c r="AY176" s="311" t="str">
        <f t="shared" si="64"/>
        <v/>
      </c>
      <c r="AZ176" s="311" t="str">
        <f t="shared" si="65"/>
        <v/>
      </c>
      <c r="BA176" s="312" t="str">
        <f t="shared" si="66"/>
        <v/>
      </c>
      <c r="BB176" s="10" t="str">
        <f t="shared" si="67"/>
        <v/>
      </c>
      <c r="BC176" s="10" t="str">
        <f t="shared" si="68"/>
        <v/>
      </c>
      <c r="BD176" s="10" t="str">
        <f t="shared" si="69"/>
        <v/>
      </c>
      <c r="BE176" s="10" t="str">
        <f t="shared" si="70"/>
        <v/>
      </c>
      <c r="BF176" s="12">
        <v>0.43</v>
      </c>
      <c r="BG176" s="75">
        <v>339.15552513333336</v>
      </c>
      <c r="BH176" s="96" t="str">
        <f>+VLOOKUP(G176,Liste!$A$7:$G$69,3,FALSE)</f>
        <v>Douglas</v>
      </c>
      <c r="BI176" s="96" t="str">
        <f>+VLOOKUP(H176,Liste!$B$7:$G$69,5,FALSE)</f>
        <v>National</v>
      </c>
      <c r="BJ176" s="135">
        <f t="shared" si="45"/>
        <v>103</v>
      </c>
      <c r="BK176" s="135" t="str">
        <f t="shared" si="47"/>
        <v>Douglas_F3_Entree 19-20m_National_103_</v>
      </c>
      <c r="BL176" s="319"/>
      <c r="BM176" s="75">
        <v>84.617630666666628</v>
      </c>
      <c r="BN176" s="13">
        <v>423.77315576709401</v>
      </c>
      <c r="BP176" s="13">
        <v>283.36739999999998</v>
      </c>
      <c r="BQ176" s="13"/>
      <c r="BT176" s="297" t="str">
        <f>+VLOOKUP(G176,Liste!$A$7:$H$69,8,FALSE)</f>
        <v>Résineux</v>
      </c>
      <c r="BU176" s="297">
        <f t="shared" si="48"/>
        <v>0</v>
      </c>
      <c r="BV176" s="299">
        <f t="shared" si="49"/>
        <v>1</v>
      </c>
      <c r="BW176" s="318">
        <v>0</v>
      </c>
      <c r="BX176" s="297">
        <f t="shared" si="50"/>
        <v>0.43</v>
      </c>
      <c r="BY176">
        <f t="shared" si="51"/>
        <v>0</v>
      </c>
      <c r="BZ176" s="303">
        <f t="shared" si="52"/>
        <v>0</v>
      </c>
      <c r="CB176" s="298">
        <v>0.6</v>
      </c>
      <c r="CC176" s="298">
        <v>0.4</v>
      </c>
      <c r="CD176">
        <f t="shared" si="53"/>
        <v>0</v>
      </c>
      <c r="CE176">
        <f t="shared" si="54"/>
        <v>0</v>
      </c>
      <c r="CF176">
        <f t="shared" si="55"/>
        <v>0</v>
      </c>
      <c r="CG176">
        <f t="shared" si="56"/>
        <v>0</v>
      </c>
      <c r="CH176">
        <f t="shared" si="57"/>
        <v>0</v>
      </c>
      <c r="CI176">
        <f t="shared" si="58"/>
        <v>0</v>
      </c>
      <c r="CJ176">
        <f t="shared" si="59"/>
        <v>0</v>
      </c>
      <c r="CK176">
        <f t="shared" si="60"/>
        <v>0</v>
      </c>
      <c r="CL176">
        <f t="shared" si="61"/>
        <v>0</v>
      </c>
      <c r="CM176">
        <f t="shared" si="63"/>
        <v>0</v>
      </c>
      <c r="CN176">
        <f t="shared" si="62"/>
        <v>0</v>
      </c>
      <c r="CO176">
        <f t="shared" si="46"/>
        <v>0</v>
      </c>
    </row>
    <row r="177" spans="1:93" s="12" customFormat="1" ht="14.45" hidden="1" customHeight="1" x14ac:dyDescent="0.25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13">
        <v>1.0000000000000011</v>
      </c>
      <c r="AX177" s="74">
        <v>1.7012862252733914</v>
      </c>
      <c r="AY177" s="311">
        <f t="shared" si="64"/>
        <v>0</v>
      </c>
      <c r="AZ177" s="311">
        <f t="shared" si="65"/>
        <v>0.92330769545761937</v>
      </c>
      <c r="BA177" s="312">
        <f t="shared" si="66"/>
        <v>7.2253722979701784E-2</v>
      </c>
      <c r="BB177" s="10">
        <f t="shared" si="67"/>
        <v>156.54887574414334</v>
      </c>
      <c r="BC177" s="10">
        <f t="shared" si="68"/>
        <v>48.588034441633155</v>
      </c>
      <c r="BD177" s="10">
        <f t="shared" si="69"/>
        <v>31.806457241153709</v>
      </c>
      <c r="BE177" s="10">
        <f t="shared" si="70"/>
        <v>116.6429475065607</v>
      </c>
      <c r="BF177" s="12">
        <v>0.43</v>
      </c>
      <c r="BG177" s="75">
        <v>0</v>
      </c>
      <c r="BH177" s="96" t="str">
        <f>+VLOOKUP(G177,Liste!$A$7:$G$69,3,FALSE)</f>
        <v>Douglas</v>
      </c>
      <c r="BI177" s="96" t="str">
        <f>+VLOOKUP(H177,Liste!$B$7:$G$69,5,FALSE)</f>
        <v>National</v>
      </c>
      <c r="BJ177" s="135">
        <f t="shared" si="45"/>
        <v>103</v>
      </c>
      <c r="BK177" s="135" t="str">
        <f t="shared" si="47"/>
        <v>Douglas_F3_Entree 19-20m_National_103_</v>
      </c>
      <c r="BL177" s="319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97" t="str">
        <f>+VLOOKUP(G177,Liste!$A$7:$H$69,8,FALSE)</f>
        <v>Résineux</v>
      </c>
      <c r="BU177" s="297">
        <f t="shared" si="48"/>
        <v>0</v>
      </c>
      <c r="BV177" s="299">
        <f t="shared" si="49"/>
        <v>1</v>
      </c>
      <c r="BW177" s="318">
        <v>0</v>
      </c>
      <c r="BX177" s="297">
        <f t="shared" si="50"/>
        <v>0.43</v>
      </c>
      <c r="BY177">
        <f t="shared" si="51"/>
        <v>0</v>
      </c>
      <c r="BZ177" s="303">
        <f t="shared" si="52"/>
        <v>0</v>
      </c>
      <c r="CB177" s="298">
        <v>0.6</v>
      </c>
      <c r="CC177" s="298">
        <v>0.4</v>
      </c>
      <c r="CD177">
        <f t="shared" si="53"/>
        <v>0</v>
      </c>
      <c r="CE177">
        <f t="shared" si="54"/>
        <v>0</v>
      </c>
      <c r="CF177">
        <f t="shared" si="55"/>
        <v>0</v>
      </c>
      <c r="CG177">
        <f t="shared" si="56"/>
        <v>0</v>
      </c>
      <c r="CH177">
        <f t="shared" si="57"/>
        <v>0</v>
      </c>
      <c r="CI177">
        <f t="shared" si="58"/>
        <v>0</v>
      </c>
      <c r="CJ177">
        <f t="shared" si="59"/>
        <v>0</v>
      </c>
      <c r="CK177">
        <f t="shared" si="60"/>
        <v>0</v>
      </c>
      <c r="CL177">
        <f t="shared" si="61"/>
        <v>0</v>
      </c>
      <c r="CM177">
        <f t="shared" si="63"/>
        <v>0</v>
      </c>
      <c r="CN177">
        <f t="shared" si="62"/>
        <v>0</v>
      </c>
      <c r="CO177">
        <f t="shared" si="46"/>
        <v>0</v>
      </c>
    </row>
    <row r="178" spans="1:93" s="12" customFormat="1" ht="14.45" customHeight="1" x14ac:dyDescent="0.25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10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+VLOOKUP(G178,Liste!$A$7:$G$69,3,FALSE)</f>
        <v>Pin sylvestre</v>
      </c>
      <c r="BI178" s="96" t="str">
        <f>+VLOOKUP(H178,Liste!$B$7:$G$69,5,FALSE)</f>
        <v>GS Pineraies des plaines du Centre et du Nord Ouest</v>
      </c>
      <c r="BJ178" s="135">
        <f t="shared" si="45"/>
        <v>28</v>
      </c>
      <c r="BK178" s="135" t="str">
        <f t="shared" si="47"/>
        <v>Pin sylvestre_F2_Eclaircie tardive_GS Pineraies des plaines du Centre et du Nord Ouest_28_</v>
      </c>
      <c r="BL178" s="319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97" t="str">
        <f>+VLOOKUP(G178,Liste!$A$7:$H$69,8,FALSE)</f>
        <v>Résineux</v>
      </c>
      <c r="BU178" s="297">
        <f t="shared" si="48"/>
        <v>0</v>
      </c>
      <c r="BV178" s="299">
        <f t="shared" si="49"/>
        <v>1</v>
      </c>
      <c r="BW178" s="318">
        <v>0</v>
      </c>
      <c r="BX178" s="297">
        <f t="shared" si="50"/>
        <v>0.43</v>
      </c>
      <c r="BY178">
        <f t="shared" si="51"/>
        <v>0</v>
      </c>
      <c r="BZ178" s="303">
        <f t="shared" si="52"/>
        <v>0</v>
      </c>
      <c r="CB178" s="298">
        <v>0.6</v>
      </c>
      <c r="CC178" s="298">
        <v>0.4</v>
      </c>
      <c r="CD178">
        <f t="shared" si="53"/>
        <v>0</v>
      </c>
      <c r="CE178">
        <f t="shared" si="54"/>
        <v>0</v>
      </c>
      <c r="CF178">
        <f t="shared" si="55"/>
        <v>0</v>
      </c>
      <c r="CG178">
        <f t="shared" si="56"/>
        <v>0</v>
      </c>
      <c r="CH178">
        <f t="shared" si="57"/>
        <v>0</v>
      </c>
      <c r="CI178">
        <f t="shared" si="58"/>
        <v>0</v>
      </c>
      <c r="CJ178">
        <f t="shared" si="59"/>
        <v>0</v>
      </c>
      <c r="CK178">
        <f t="shared" si="60"/>
        <v>0</v>
      </c>
      <c r="CL178">
        <f t="shared" si="61"/>
        <v>0</v>
      </c>
      <c r="CM178">
        <f t="shared" si="63"/>
        <v>0</v>
      </c>
      <c r="CN178">
        <f t="shared" si="62"/>
        <v>0</v>
      </c>
      <c r="CO178">
        <f t="shared" si="46"/>
        <v>0</v>
      </c>
    </row>
    <row r="179" spans="1:93" s="12" customFormat="1" ht="14.45" customHeight="1" x14ac:dyDescent="0.25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+VLOOKUP(G179,Liste!$A$7:$G$69,3,FALSE)</f>
        <v>Pin sylvestre</v>
      </c>
      <c r="BI179" s="96" t="str">
        <f>+VLOOKUP(H179,Liste!$B$7:$G$69,5,FALSE)</f>
        <v>GS Pineraies des plaines du Centre et du Nord Ouest</v>
      </c>
      <c r="BJ179" s="135">
        <f t="shared" si="45"/>
        <v>28</v>
      </c>
      <c r="BK179" s="135" t="str">
        <f t="shared" si="47"/>
        <v>Pin sylvestre_F2_Eclaircie tardive_GS Pineraies des plaines du Centre et du Nord Ouest_28_</v>
      </c>
      <c r="BL179" s="319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97" t="str">
        <f>+VLOOKUP(G179,Liste!$A$7:$H$69,8,FALSE)</f>
        <v>Résineux</v>
      </c>
      <c r="BU179" s="297">
        <f t="shared" si="48"/>
        <v>0</v>
      </c>
      <c r="BV179" s="299">
        <f t="shared" si="49"/>
        <v>1</v>
      </c>
      <c r="BW179" s="318">
        <v>0</v>
      </c>
      <c r="BX179" s="297">
        <f t="shared" si="50"/>
        <v>0.43</v>
      </c>
      <c r="BY179">
        <f t="shared" si="51"/>
        <v>42.226104127107938</v>
      </c>
      <c r="BZ179" s="303">
        <f t="shared" si="52"/>
        <v>42.226104127107938</v>
      </c>
      <c r="CB179" s="298">
        <v>0.6</v>
      </c>
      <c r="CC179" s="298">
        <v>0.4</v>
      </c>
      <c r="CD179">
        <f t="shared" si="53"/>
        <v>0</v>
      </c>
      <c r="CE179">
        <f t="shared" si="54"/>
        <v>58.920145293638981</v>
      </c>
      <c r="CF179">
        <f t="shared" si="55"/>
        <v>39.280096862425992</v>
      </c>
      <c r="CG179">
        <f t="shared" si="56"/>
        <v>0</v>
      </c>
      <c r="CH179">
        <f t="shared" si="57"/>
        <v>45.15247134335867</v>
      </c>
      <c r="CI179">
        <f t="shared" si="58"/>
        <v>30.101647562239119</v>
      </c>
      <c r="CJ179">
        <f t="shared" si="59"/>
        <v>0</v>
      </c>
      <c r="CK179">
        <f t="shared" si="60"/>
        <v>0</v>
      </c>
      <c r="CL179">
        <f t="shared" si="61"/>
        <v>0</v>
      </c>
      <c r="CM179">
        <f t="shared" si="63"/>
        <v>0</v>
      </c>
      <c r="CN179">
        <f t="shared" si="62"/>
        <v>0</v>
      </c>
      <c r="CO179">
        <f t="shared" si="46"/>
        <v>0</v>
      </c>
    </row>
    <row r="180" spans="1:93" s="12" customFormat="1" ht="14.45" customHeight="1" x14ac:dyDescent="0.25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10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+VLOOKUP(G180,Liste!$A$7:$G$69,3,FALSE)</f>
        <v>Pin sylvestre</v>
      </c>
      <c r="BI180" s="96" t="str">
        <f>+VLOOKUP(H180,Liste!$B$7:$G$69,5,FALSE)</f>
        <v>GS Pineraies des plaines du Centre et du Nord Ouest</v>
      </c>
      <c r="BJ180" s="135">
        <f t="shared" si="45"/>
        <v>29</v>
      </c>
      <c r="BK180" s="135" t="str">
        <f t="shared" si="47"/>
        <v>Pin sylvestre_F2_Eclaircie tardive_GS Pineraies des plaines du Centre et du Nord Ouest_29_</v>
      </c>
      <c r="BL180" s="319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97" t="str">
        <f>+VLOOKUP(G180,Liste!$A$7:$H$69,8,FALSE)</f>
        <v>Résineux</v>
      </c>
      <c r="BU180" s="297">
        <f t="shared" si="48"/>
        <v>0</v>
      </c>
      <c r="BV180" s="299">
        <f t="shared" si="49"/>
        <v>1</v>
      </c>
      <c r="BW180" s="318">
        <v>0</v>
      </c>
      <c r="BX180" s="297">
        <f t="shared" si="50"/>
        <v>0.43</v>
      </c>
      <c r="BY180">
        <f t="shared" si="51"/>
        <v>0</v>
      </c>
      <c r="BZ180" s="303">
        <f t="shared" si="52"/>
        <v>42.226104127107938</v>
      </c>
      <c r="CB180" s="298">
        <v>0.6</v>
      </c>
      <c r="CC180" s="298">
        <v>0.4</v>
      </c>
      <c r="CD180">
        <f t="shared" si="53"/>
        <v>0</v>
      </c>
      <c r="CE180">
        <f t="shared" si="54"/>
        <v>0</v>
      </c>
      <c r="CF180">
        <f t="shared" si="55"/>
        <v>0</v>
      </c>
      <c r="CG180">
        <f t="shared" si="56"/>
        <v>0</v>
      </c>
      <c r="CH180">
        <f t="shared" si="57"/>
        <v>0</v>
      </c>
      <c r="CI180">
        <f t="shared" si="58"/>
        <v>0</v>
      </c>
      <c r="CJ180">
        <f t="shared" si="59"/>
        <v>0</v>
      </c>
      <c r="CK180">
        <f t="shared" si="60"/>
        <v>44.532270273103755</v>
      </c>
      <c r="CL180">
        <f t="shared" si="61"/>
        <v>25.439239149671035</v>
      </c>
      <c r="CM180">
        <f t="shared" si="63"/>
        <v>69.971509422774787</v>
      </c>
      <c r="CN180">
        <f t="shared" si="62"/>
        <v>69.971509422774787</v>
      </c>
      <c r="CO180">
        <f t="shared" si="46"/>
        <v>0</v>
      </c>
    </row>
    <row r="181" spans="1:93" s="12" customFormat="1" ht="14.45" customHeight="1" x14ac:dyDescent="0.25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10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+VLOOKUP(G181,Liste!$A$7:$G$69,3,FALSE)</f>
        <v>Pin sylvestre</v>
      </c>
      <c r="BI181" s="96" t="str">
        <f>+VLOOKUP(H181,Liste!$B$7:$G$69,5,FALSE)</f>
        <v>GS Pineraies des plaines du Centre et du Nord Ouest</v>
      </c>
      <c r="BJ181" s="135">
        <f t="shared" si="45"/>
        <v>30</v>
      </c>
      <c r="BK181" s="135" t="str">
        <f t="shared" si="47"/>
        <v>Pin sylvestre_F2_Eclaircie tardive_GS Pineraies des plaines du Centre et du Nord Ouest_30_</v>
      </c>
      <c r="BL181" s="319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97" t="str">
        <f>+VLOOKUP(G181,Liste!$A$7:$H$69,8,FALSE)</f>
        <v>Résineux</v>
      </c>
      <c r="BU181" s="297">
        <f t="shared" si="48"/>
        <v>0</v>
      </c>
      <c r="BV181" s="299">
        <f t="shared" si="49"/>
        <v>1</v>
      </c>
      <c r="BW181" s="318">
        <v>0</v>
      </c>
      <c r="BX181" s="297">
        <f t="shared" si="50"/>
        <v>0.43</v>
      </c>
      <c r="BY181">
        <f t="shared" si="51"/>
        <v>0</v>
      </c>
      <c r="BZ181" s="303">
        <f t="shared" si="52"/>
        <v>42.226104127107938</v>
      </c>
      <c r="CB181" s="298">
        <v>0.6</v>
      </c>
      <c r="CC181" s="298">
        <v>0.4</v>
      </c>
      <c r="CD181">
        <f t="shared" si="53"/>
        <v>0</v>
      </c>
      <c r="CE181">
        <f t="shared" si="54"/>
        <v>0</v>
      </c>
      <c r="CF181">
        <f t="shared" si="55"/>
        <v>0</v>
      </c>
      <c r="CG181">
        <f t="shared" si="56"/>
        <v>0</v>
      </c>
      <c r="CH181">
        <f t="shared" si="57"/>
        <v>0</v>
      </c>
      <c r="CI181">
        <f t="shared" si="58"/>
        <v>0</v>
      </c>
      <c r="CJ181">
        <f t="shared" si="59"/>
        <v>0</v>
      </c>
      <c r="CK181">
        <f t="shared" si="60"/>
        <v>43.314533000635421</v>
      </c>
      <c r="CL181">
        <f t="shared" si="61"/>
        <v>17.988258510958691</v>
      </c>
      <c r="CM181">
        <f t="shared" si="63"/>
        <v>61.302791511594108</v>
      </c>
      <c r="CN181">
        <f t="shared" si="62"/>
        <v>131.27430093436891</v>
      </c>
      <c r="CO181">
        <f t="shared" si="46"/>
        <v>4.3758100311456305</v>
      </c>
    </row>
    <row r="182" spans="1:93" s="12" customFormat="1" ht="14.45" customHeight="1" x14ac:dyDescent="0.25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10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+VLOOKUP(G182,Liste!$A$7:$G$69,3,FALSE)</f>
        <v>Pin sylvestre</v>
      </c>
      <c r="BI182" s="96" t="str">
        <f>+VLOOKUP(H182,Liste!$B$7:$G$69,5,FALSE)</f>
        <v>GS Pineraies des plaines du Centre et du Nord Ouest</v>
      </c>
      <c r="BJ182" s="135">
        <f t="shared" si="45"/>
        <v>31</v>
      </c>
      <c r="BK182" s="135" t="str">
        <f t="shared" si="47"/>
        <v>Pin sylvestre_F2_Eclaircie tardive_GS Pineraies des plaines du Centre et du Nord Ouest_31_</v>
      </c>
      <c r="BL182" s="319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97" t="str">
        <f>+VLOOKUP(G182,Liste!$A$7:$H$69,8,FALSE)</f>
        <v>Résineux</v>
      </c>
      <c r="BU182" s="297">
        <f t="shared" si="48"/>
        <v>0</v>
      </c>
      <c r="BV182" s="299">
        <f t="shared" si="49"/>
        <v>1</v>
      </c>
      <c r="BW182" s="318">
        <v>0</v>
      </c>
      <c r="BX182" s="297">
        <f t="shared" si="50"/>
        <v>0.43</v>
      </c>
      <c r="BY182">
        <f t="shared" si="51"/>
        <v>0</v>
      </c>
      <c r="BZ182" s="303">
        <f t="shared" si="52"/>
        <v>0</v>
      </c>
      <c r="CB182" s="298">
        <v>0.6</v>
      </c>
      <c r="CC182" s="298">
        <v>0.4</v>
      </c>
      <c r="CD182">
        <f t="shared" si="53"/>
        <v>0</v>
      </c>
      <c r="CE182">
        <f t="shared" si="54"/>
        <v>0</v>
      </c>
      <c r="CF182">
        <f t="shared" si="55"/>
        <v>0</v>
      </c>
      <c r="CG182">
        <f t="shared" si="56"/>
        <v>0</v>
      </c>
      <c r="CH182">
        <f t="shared" si="57"/>
        <v>0</v>
      </c>
      <c r="CI182">
        <f t="shared" si="58"/>
        <v>0</v>
      </c>
      <c r="CJ182">
        <f t="shared" si="59"/>
        <v>0</v>
      </c>
      <c r="CK182">
        <f t="shared" si="60"/>
        <v>42.13009481792075</v>
      </c>
      <c r="CL182">
        <f t="shared" si="61"/>
        <v>12.719619574835519</v>
      </c>
      <c r="CM182">
        <f t="shared" si="63"/>
        <v>54.849714392756269</v>
      </c>
      <c r="CN182">
        <f t="shared" si="62"/>
        <v>186.12401532712516</v>
      </c>
      <c r="CO182">
        <f t="shared" si="46"/>
        <v>0</v>
      </c>
    </row>
    <row r="183" spans="1:93" s="12" customFormat="1" ht="14.45" customHeight="1" x14ac:dyDescent="0.25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10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+VLOOKUP(G183,Liste!$A$7:$G$69,3,FALSE)</f>
        <v>Pin sylvestre</v>
      </c>
      <c r="BI183" s="96" t="str">
        <f>+VLOOKUP(H183,Liste!$B$7:$G$69,5,FALSE)</f>
        <v>GS Pineraies des plaines du Centre et du Nord Ouest</v>
      </c>
      <c r="BJ183" s="135">
        <f t="shared" si="45"/>
        <v>32</v>
      </c>
      <c r="BK183" s="135" t="str">
        <f t="shared" si="47"/>
        <v>Pin sylvestre_F2_Eclaircie tardive_GS Pineraies des plaines du Centre et du Nord Ouest_32_</v>
      </c>
      <c r="BL183" s="319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97" t="str">
        <f>+VLOOKUP(G183,Liste!$A$7:$H$69,8,FALSE)</f>
        <v>Résineux</v>
      </c>
      <c r="BU183" s="297">
        <f t="shared" si="48"/>
        <v>0</v>
      </c>
      <c r="BV183" s="299">
        <f t="shared" si="49"/>
        <v>1</v>
      </c>
      <c r="BW183" s="318">
        <v>0</v>
      </c>
      <c r="BX183" s="297">
        <f t="shared" si="50"/>
        <v>0.43</v>
      </c>
      <c r="BY183">
        <f t="shared" si="51"/>
        <v>0</v>
      </c>
      <c r="BZ183" s="303">
        <f t="shared" si="52"/>
        <v>0</v>
      </c>
      <c r="CB183" s="298">
        <v>0.6</v>
      </c>
      <c r="CC183" s="298">
        <v>0.4</v>
      </c>
      <c r="CD183">
        <f t="shared" si="53"/>
        <v>0</v>
      </c>
      <c r="CE183">
        <f t="shared" si="54"/>
        <v>0</v>
      </c>
      <c r="CF183">
        <f t="shared" si="55"/>
        <v>0</v>
      </c>
      <c r="CG183">
        <f t="shared" si="56"/>
        <v>0</v>
      </c>
      <c r="CH183">
        <f t="shared" si="57"/>
        <v>0</v>
      </c>
      <c r="CI183">
        <f t="shared" si="58"/>
        <v>0</v>
      </c>
      <c r="CJ183">
        <f t="shared" si="59"/>
        <v>0</v>
      </c>
      <c r="CK183">
        <f t="shared" si="60"/>
        <v>0</v>
      </c>
      <c r="CL183">
        <f t="shared" si="61"/>
        <v>0</v>
      </c>
      <c r="CM183">
        <f t="shared" si="63"/>
        <v>0</v>
      </c>
      <c r="CN183">
        <f t="shared" si="62"/>
        <v>0</v>
      </c>
      <c r="CO183">
        <f t="shared" si="46"/>
        <v>0</v>
      </c>
    </row>
    <row r="184" spans="1:93" s="12" customFormat="1" ht="14.45" customHeight="1" x14ac:dyDescent="0.25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10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+VLOOKUP(G184,Liste!$A$7:$G$69,3,FALSE)</f>
        <v>Pin sylvestre</v>
      </c>
      <c r="BI184" s="96" t="str">
        <f>+VLOOKUP(H184,Liste!$B$7:$G$69,5,FALSE)</f>
        <v>GS Pineraies des plaines du Centre et du Nord Ouest</v>
      </c>
      <c r="BJ184" s="135">
        <f t="shared" si="45"/>
        <v>33</v>
      </c>
      <c r="BK184" s="135" t="str">
        <f t="shared" si="47"/>
        <v>Pin sylvestre_F2_Eclaircie tardive_GS Pineraies des plaines du Centre et du Nord Ouest_33_</v>
      </c>
      <c r="BL184" s="319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97" t="str">
        <f>+VLOOKUP(G184,Liste!$A$7:$H$69,8,FALSE)</f>
        <v>Résineux</v>
      </c>
      <c r="BU184" s="297">
        <f t="shared" si="48"/>
        <v>0</v>
      </c>
      <c r="BV184" s="299">
        <f t="shared" si="49"/>
        <v>1</v>
      </c>
      <c r="BW184" s="318">
        <v>0</v>
      </c>
      <c r="BX184" s="297">
        <f t="shared" si="50"/>
        <v>0.43</v>
      </c>
      <c r="BY184">
        <f t="shared" si="51"/>
        <v>0</v>
      </c>
      <c r="BZ184" s="303">
        <f t="shared" si="52"/>
        <v>0</v>
      </c>
      <c r="CB184" s="298">
        <v>0.6</v>
      </c>
      <c r="CC184" s="298">
        <v>0.4</v>
      </c>
      <c r="CD184">
        <f t="shared" si="53"/>
        <v>0</v>
      </c>
      <c r="CE184">
        <f t="shared" si="54"/>
        <v>0</v>
      </c>
      <c r="CF184">
        <f t="shared" si="55"/>
        <v>0</v>
      </c>
      <c r="CG184">
        <f t="shared" si="56"/>
        <v>0</v>
      </c>
      <c r="CH184">
        <f t="shared" si="57"/>
        <v>0</v>
      </c>
      <c r="CI184">
        <f t="shared" si="58"/>
        <v>0</v>
      </c>
      <c r="CJ184">
        <f t="shared" si="59"/>
        <v>0</v>
      </c>
      <c r="CK184">
        <f t="shared" si="60"/>
        <v>0</v>
      </c>
      <c r="CL184">
        <f t="shared" si="61"/>
        <v>0</v>
      </c>
      <c r="CM184">
        <f t="shared" si="63"/>
        <v>0</v>
      </c>
      <c r="CN184">
        <f t="shared" si="62"/>
        <v>0</v>
      </c>
      <c r="CO184">
        <f t="shared" si="46"/>
        <v>0</v>
      </c>
    </row>
    <row r="185" spans="1:93" s="12" customFormat="1" ht="14.45" customHeight="1" x14ac:dyDescent="0.25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10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+VLOOKUP(G185,Liste!$A$7:$G$69,3,FALSE)</f>
        <v>Pin sylvestre</v>
      </c>
      <c r="BI185" s="96" t="str">
        <f>+VLOOKUP(H185,Liste!$B$7:$G$69,5,FALSE)</f>
        <v>GS Pineraies des plaines du Centre et du Nord Ouest</v>
      </c>
      <c r="BJ185" s="135">
        <f t="shared" si="45"/>
        <v>34</v>
      </c>
      <c r="BK185" s="135" t="str">
        <f t="shared" si="47"/>
        <v>Pin sylvestre_F2_Eclaircie tardive_GS Pineraies des plaines du Centre et du Nord Ouest_34_</v>
      </c>
      <c r="BL185" s="319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97" t="str">
        <f>+VLOOKUP(G185,Liste!$A$7:$H$69,8,FALSE)</f>
        <v>Résineux</v>
      </c>
      <c r="BU185" s="297">
        <f t="shared" si="48"/>
        <v>0</v>
      </c>
      <c r="BV185" s="299">
        <f t="shared" si="49"/>
        <v>1</v>
      </c>
      <c r="BW185" s="318">
        <v>0</v>
      </c>
      <c r="BX185" s="297">
        <f t="shared" si="50"/>
        <v>0.43</v>
      </c>
      <c r="BY185">
        <f t="shared" si="51"/>
        <v>0</v>
      </c>
      <c r="BZ185" s="303">
        <f t="shared" si="52"/>
        <v>0</v>
      </c>
      <c r="CB185" s="298">
        <v>0.6</v>
      </c>
      <c r="CC185" s="298">
        <v>0.4</v>
      </c>
      <c r="CD185">
        <f t="shared" si="53"/>
        <v>0</v>
      </c>
      <c r="CE185">
        <f t="shared" si="54"/>
        <v>0</v>
      </c>
      <c r="CF185">
        <f t="shared" si="55"/>
        <v>0</v>
      </c>
      <c r="CG185">
        <f t="shared" si="56"/>
        <v>0</v>
      </c>
      <c r="CH185">
        <f t="shared" si="57"/>
        <v>0</v>
      </c>
      <c r="CI185">
        <f t="shared" si="58"/>
        <v>0</v>
      </c>
      <c r="CJ185">
        <f t="shared" si="59"/>
        <v>0</v>
      </c>
      <c r="CK185">
        <f t="shared" si="60"/>
        <v>0</v>
      </c>
      <c r="CL185">
        <f t="shared" si="61"/>
        <v>0</v>
      </c>
      <c r="CM185">
        <f t="shared" si="63"/>
        <v>0</v>
      </c>
      <c r="CN185">
        <f t="shared" si="62"/>
        <v>0</v>
      </c>
      <c r="CO185">
        <f t="shared" si="46"/>
        <v>0</v>
      </c>
    </row>
    <row r="186" spans="1:93" s="12" customFormat="1" ht="14.45" customHeight="1" x14ac:dyDescent="0.25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+VLOOKUP(G186,Liste!$A$7:$G$69,3,FALSE)</f>
        <v>Pin sylvestre</v>
      </c>
      <c r="BI186" s="96" t="str">
        <f>+VLOOKUP(H186,Liste!$B$7:$G$69,5,FALSE)</f>
        <v>GS Pineraies des plaines du Centre et du Nord Ouest</v>
      </c>
      <c r="BJ186" s="135">
        <f t="shared" si="45"/>
        <v>34</v>
      </c>
      <c r="BK186" s="135" t="str">
        <f t="shared" si="47"/>
        <v>Pin sylvestre_F2_Eclaircie tardive_GS Pineraies des plaines du Centre et du Nord Ouest_34_</v>
      </c>
      <c r="BL186" s="319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97" t="str">
        <f>+VLOOKUP(G186,Liste!$A$7:$H$69,8,FALSE)</f>
        <v>Résineux</v>
      </c>
      <c r="BU186" s="297">
        <f t="shared" si="48"/>
        <v>0</v>
      </c>
      <c r="BV186" s="299">
        <f t="shared" si="49"/>
        <v>1</v>
      </c>
      <c r="BW186" s="318">
        <v>0</v>
      </c>
      <c r="BX186" s="297">
        <f t="shared" si="50"/>
        <v>0.43</v>
      </c>
      <c r="BY186">
        <f t="shared" si="51"/>
        <v>0</v>
      </c>
      <c r="BZ186" s="303">
        <f t="shared" si="52"/>
        <v>0</v>
      </c>
      <c r="CB186" s="298">
        <v>0.6</v>
      </c>
      <c r="CC186" s="298">
        <v>0.4</v>
      </c>
      <c r="CD186">
        <f t="shared" si="53"/>
        <v>0</v>
      </c>
      <c r="CE186">
        <f t="shared" si="54"/>
        <v>0</v>
      </c>
      <c r="CF186">
        <f t="shared" si="55"/>
        <v>0</v>
      </c>
      <c r="CG186">
        <f t="shared" si="56"/>
        <v>0</v>
      </c>
      <c r="CH186">
        <f t="shared" si="57"/>
        <v>0</v>
      </c>
      <c r="CI186">
        <f t="shared" si="58"/>
        <v>0</v>
      </c>
      <c r="CJ186">
        <f t="shared" si="59"/>
        <v>0</v>
      </c>
      <c r="CK186">
        <f t="shared" si="60"/>
        <v>0</v>
      </c>
      <c r="CL186">
        <f t="shared" si="61"/>
        <v>0</v>
      </c>
      <c r="CM186">
        <f t="shared" si="63"/>
        <v>0</v>
      </c>
      <c r="CN186">
        <f t="shared" si="62"/>
        <v>0</v>
      </c>
      <c r="CO186">
        <f t="shared" si="46"/>
        <v>0</v>
      </c>
    </row>
    <row r="187" spans="1:93" s="12" customFormat="1" ht="14.45" customHeight="1" x14ac:dyDescent="0.25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10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+VLOOKUP(G187,Liste!$A$7:$G$69,3,FALSE)</f>
        <v>Pin sylvestre</v>
      </c>
      <c r="BI187" s="96" t="str">
        <f>+VLOOKUP(H187,Liste!$B$7:$G$69,5,FALSE)</f>
        <v>GS Pineraies des plaines du Centre et du Nord Ouest</v>
      </c>
      <c r="BJ187" s="135">
        <f t="shared" si="45"/>
        <v>35</v>
      </c>
      <c r="BK187" s="135" t="str">
        <f t="shared" si="47"/>
        <v>Pin sylvestre_F2_Eclaircie tardive_GS Pineraies des plaines du Centre et du Nord Ouest_35_</v>
      </c>
      <c r="BL187" s="319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97" t="str">
        <f>+VLOOKUP(G187,Liste!$A$7:$H$69,8,FALSE)</f>
        <v>Résineux</v>
      </c>
      <c r="BU187" s="297">
        <f t="shared" si="48"/>
        <v>0</v>
      </c>
      <c r="BV187" s="299">
        <f t="shared" si="49"/>
        <v>1</v>
      </c>
      <c r="BW187" s="318">
        <v>0</v>
      </c>
      <c r="BX187" s="297">
        <f t="shared" si="50"/>
        <v>0.43</v>
      </c>
      <c r="BY187">
        <f t="shared" si="51"/>
        <v>0</v>
      </c>
      <c r="BZ187" s="303">
        <f t="shared" si="52"/>
        <v>0</v>
      </c>
      <c r="CB187" s="298">
        <v>0.6</v>
      </c>
      <c r="CC187" s="298">
        <v>0.4</v>
      </c>
      <c r="CD187">
        <f t="shared" si="53"/>
        <v>0</v>
      </c>
      <c r="CE187">
        <f t="shared" si="54"/>
        <v>0</v>
      </c>
      <c r="CF187">
        <f t="shared" si="55"/>
        <v>0</v>
      </c>
      <c r="CG187">
        <f t="shared" si="56"/>
        <v>0</v>
      </c>
      <c r="CH187">
        <f t="shared" si="57"/>
        <v>0</v>
      </c>
      <c r="CI187">
        <f t="shared" si="58"/>
        <v>0</v>
      </c>
      <c r="CJ187">
        <f t="shared" si="59"/>
        <v>0</v>
      </c>
      <c r="CK187">
        <f t="shared" si="60"/>
        <v>0</v>
      </c>
      <c r="CL187">
        <f t="shared" si="61"/>
        <v>0</v>
      </c>
      <c r="CM187">
        <f t="shared" si="63"/>
        <v>0</v>
      </c>
      <c r="CN187">
        <f t="shared" si="62"/>
        <v>0</v>
      </c>
      <c r="CO187">
        <f t="shared" si="46"/>
        <v>0</v>
      </c>
    </row>
    <row r="188" spans="1:93" s="12" customFormat="1" ht="14.45" customHeight="1" x14ac:dyDescent="0.25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10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+VLOOKUP(G188,Liste!$A$7:$G$69,3,FALSE)</f>
        <v>Pin sylvestre</v>
      </c>
      <c r="BI188" s="96" t="str">
        <f>+VLOOKUP(H188,Liste!$B$7:$G$69,5,FALSE)</f>
        <v>GS Pineraies des plaines du Centre et du Nord Ouest</v>
      </c>
      <c r="BJ188" s="135">
        <f t="shared" si="45"/>
        <v>36</v>
      </c>
      <c r="BK188" s="135" t="str">
        <f t="shared" si="47"/>
        <v>Pin sylvestre_F2_Eclaircie tardive_GS Pineraies des plaines du Centre et du Nord Ouest_36_</v>
      </c>
      <c r="BL188" s="319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97" t="str">
        <f>+VLOOKUP(G188,Liste!$A$7:$H$69,8,FALSE)</f>
        <v>Résineux</v>
      </c>
      <c r="BU188" s="297">
        <f t="shared" si="48"/>
        <v>0</v>
      </c>
      <c r="BV188" s="299">
        <f t="shared" si="49"/>
        <v>1</v>
      </c>
      <c r="BW188" s="318">
        <v>0</v>
      </c>
      <c r="BX188" s="297">
        <f t="shared" si="50"/>
        <v>0.43</v>
      </c>
      <c r="BY188">
        <f t="shared" si="51"/>
        <v>0</v>
      </c>
      <c r="BZ188" s="303">
        <f t="shared" si="52"/>
        <v>0</v>
      </c>
      <c r="CB188" s="298">
        <v>0.6</v>
      </c>
      <c r="CC188" s="298">
        <v>0.4</v>
      </c>
      <c r="CD188">
        <f t="shared" si="53"/>
        <v>0</v>
      </c>
      <c r="CE188">
        <f t="shared" si="54"/>
        <v>0</v>
      </c>
      <c r="CF188">
        <f t="shared" si="55"/>
        <v>0</v>
      </c>
      <c r="CG188">
        <f t="shared" si="56"/>
        <v>0</v>
      </c>
      <c r="CH188">
        <f t="shared" si="57"/>
        <v>0</v>
      </c>
      <c r="CI188">
        <f t="shared" si="58"/>
        <v>0</v>
      </c>
      <c r="CJ188">
        <f t="shared" si="59"/>
        <v>0</v>
      </c>
      <c r="CK188">
        <f t="shared" si="60"/>
        <v>0</v>
      </c>
      <c r="CL188">
        <f t="shared" si="61"/>
        <v>0</v>
      </c>
      <c r="CM188">
        <f t="shared" si="63"/>
        <v>0</v>
      </c>
      <c r="CN188">
        <f t="shared" si="62"/>
        <v>0</v>
      </c>
      <c r="CO188">
        <f t="shared" si="46"/>
        <v>0</v>
      </c>
    </row>
    <row r="189" spans="1:93" s="12" customFormat="1" ht="14.45" customHeight="1" x14ac:dyDescent="0.25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10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+VLOOKUP(G189,Liste!$A$7:$G$69,3,FALSE)</f>
        <v>Pin sylvestre</v>
      </c>
      <c r="BI189" s="96" t="str">
        <f>+VLOOKUP(H189,Liste!$B$7:$G$69,5,FALSE)</f>
        <v>GS Pineraies des plaines du Centre et du Nord Ouest</v>
      </c>
      <c r="BJ189" s="135">
        <f t="shared" si="45"/>
        <v>37</v>
      </c>
      <c r="BK189" s="135" t="str">
        <f t="shared" si="47"/>
        <v>Pin sylvestre_F2_Eclaircie tardive_GS Pineraies des plaines du Centre et du Nord Ouest_37_</v>
      </c>
      <c r="BL189" s="319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97" t="str">
        <f>+VLOOKUP(G189,Liste!$A$7:$H$69,8,FALSE)</f>
        <v>Résineux</v>
      </c>
      <c r="BU189" s="297">
        <f t="shared" si="48"/>
        <v>0</v>
      </c>
      <c r="BV189" s="299">
        <f t="shared" si="49"/>
        <v>1</v>
      </c>
      <c r="BW189" s="318">
        <v>0</v>
      </c>
      <c r="BX189" s="297">
        <f t="shared" si="50"/>
        <v>0.43</v>
      </c>
      <c r="BY189">
        <f t="shared" si="51"/>
        <v>0</v>
      </c>
      <c r="BZ189" s="303">
        <f t="shared" si="52"/>
        <v>0</v>
      </c>
      <c r="CB189" s="298">
        <v>0.6</v>
      </c>
      <c r="CC189" s="298">
        <v>0.4</v>
      </c>
      <c r="CD189">
        <f t="shared" si="53"/>
        <v>0</v>
      </c>
      <c r="CE189">
        <f t="shared" si="54"/>
        <v>0</v>
      </c>
      <c r="CF189">
        <f t="shared" si="55"/>
        <v>0</v>
      </c>
      <c r="CG189">
        <f t="shared" si="56"/>
        <v>0</v>
      </c>
      <c r="CH189">
        <f t="shared" si="57"/>
        <v>0</v>
      </c>
      <c r="CI189">
        <f t="shared" si="58"/>
        <v>0</v>
      </c>
      <c r="CJ189">
        <f t="shared" si="59"/>
        <v>0</v>
      </c>
      <c r="CK189">
        <f t="shared" si="60"/>
        <v>0</v>
      </c>
      <c r="CL189">
        <f t="shared" si="61"/>
        <v>0</v>
      </c>
      <c r="CM189">
        <f t="shared" si="63"/>
        <v>0</v>
      </c>
      <c r="CN189">
        <f t="shared" si="62"/>
        <v>0</v>
      </c>
      <c r="CO189">
        <f t="shared" si="46"/>
        <v>0</v>
      </c>
    </row>
    <row r="190" spans="1:93" s="12" customFormat="1" ht="14.45" customHeight="1" x14ac:dyDescent="0.25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10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+VLOOKUP(G190,Liste!$A$7:$G$69,3,FALSE)</f>
        <v>Pin sylvestre</v>
      </c>
      <c r="BI190" s="96" t="str">
        <f>+VLOOKUP(H190,Liste!$B$7:$G$69,5,FALSE)</f>
        <v>GS Pineraies des plaines du Centre et du Nord Ouest</v>
      </c>
      <c r="BJ190" s="135">
        <f t="shared" si="45"/>
        <v>38</v>
      </c>
      <c r="BK190" s="135" t="str">
        <f t="shared" si="47"/>
        <v>Pin sylvestre_F2_Eclaircie tardive_GS Pineraies des plaines du Centre et du Nord Ouest_38_</v>
      </c>
      <c r="BL190" s="319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97" t="str">
        <f>+VLOOKUP(G190,Liste!$A$7:$H$69,8,FALSE)</f>
        <v>Résineux</v>
      </c>
      <c r="BU190" s="297">
        <f t="shared" si="48"/>
        <v>0</v>
      </c>
      <c r="BV190" s="299">
        <f t="shared" si="49"/>
        <v>1</v>
      </c>
      <c r="BW190" s="318">
        <v>0</v>
      </c>
      <c r="BX190" s="297">
        <f t="shared" si="50"/>
        <v>0.43</v>
      </c>
      <c r="BY190">
        <f t="shared" si="51"/>
        <v>0</v>
      </c>
      <c r="BZ190" s="303">
        <f t="shared" si="52"/>
        <v>0</v>
      </c>
      <c r="CB190" s="298">
        <v>0.6</v>
      </c>
      <c r="CC190" s="298">
        <v>0.4</v>
      </c>
      <c r="CD190">
        <f t="shared" si="53"/>
        <v>0</v>
      </c>
      <c r="CE190">
        <f t="shared" si="54"/>
        <v>0</v>
      </c>
      <c r="CF190">
        <f t="shared" si="55"/>
        <v>0</v>
      </c>
      <c r="CG190">
        <f t="shared" si="56"/>
        <v>0</v>
      </c>
      <c r="CH190">
        <f t="shared" si="57"/>
        <v>0</v>
      </c>
      <c r="CI190">
        <f t="shared" si="58"/>
        <v>0</v>
      </c>
      <c r="CJ190">
        <f t="shared" si="59"/>
        <v>0</v>
      </c>
      <c r="CK190">
        <f t="shared" si="60"/>
        <v>0</v>
      </c>
      <c r="CL190">
        <f t="shared" si="61"/>
        <v>0</v>
      </c>
      <c r="CM190">
        <f t="shared" si="63"/>
        <v>0</v>
      </c>
      <c r="CN190">
        <f t="shared" si="62"/>
        <v>0</v>
      </c>
      <c r="CO190">
        <f t="shared" si="46"/>
        <v>0</v>
      </c>
    </row>
    <row r="191" spans="1:93" s="12" customFormat="1" ht="14.45" customHeight="1" x14ac:dyDescent="0.25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10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+VLOOKUP(G191,Liste!$A$7:$G$69,3,FALSE)</f>
        <v>Pin sylvestre</v>
      </c>
      <c r="BI191" s="96" t="str">
        <f>+VLOOKUP(H191,Liste!$B$7:$G$69,5,FALSE)</f>
        <v>GS Pineraies des plaines du Centre et du Nord Ouest</v>
      </c>
      <c r="BJ191" s="135">
        <f t="shared" si="45"/>
        <v>39</v>
      </c>
      <c r="BK191" s="135" t="str">
        <f t="shared" si="47"/>
        <v>Pin sylvestre_F2_Eclaircie tardive_GS Pineraies des plaines du Centre et du Nord Ouest_39_</v>
      </c>
      <c r="BL191" s="319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97" t="str">
        <f>+VLOOKUP(G191,Liste!$A$7:$H$69,8,FALSE)</f>
        <v>Résineux</v>
      </c>
      <c r="BU191" s="297">
        <f t="shared" si="48"/>
        <v>0</v>
      </c>
      <c r="BV191" s="299">
        <f t="shared" si="49"/>
        <v>1</v>
      </c>
      <c r="BW191" s="318">
        <v>0</v>
      </c>
      <c r="BX191" s="297">
        <f t="shared" si="50"/>
        <v>0.43</v>
      </c>
      <c r="BY191">
        <f t="shared" si="51"/>
        <v>0</v>
      </c>
      <c r="BZ191" s="303">
        <f t="shared" si="52"/>
        <v>0</v>
      </c>
      <c r="CB191" s="298">
        <v>0.6</v>
      </c>
      <c r="CC191" s="298">
        <v>0.4</v>
      </c>
      <c r="CD191">
        <f t="shared" si="53"/>
        <v>0</v>
      </c>
      <c r="CE191">
        <f t="shared" si="54"/>
        <v>0</v>
      </c>
      <c r="CF191">
        <f t="shared" si="55"/>
        <v>0</v>
      </c>
      <c r="CG191">
        <f t="shared" si="56"/>
        <v>0</v>
      </c>
      <c r="CH191">
        <f t="shared" si="57"/>
        <v>0</v>
      </c>
      <c r="CI191">
        <f t="shared" si="58"/>
        <v>0</v>
      </c>
      <c r="CJ191">
        <f t="shared" si="59"/>
        <v>0</v>
      </c>
      <c r="CK191">
        <f t="shared" si="60"/>
        <v>0</v>
      </c>
      <c r="CL191">
        <f t="shared" si="61"/>
        <v>0</v>
      </c>
      <c r="CM191">
        <f t="shared" si="63"/>
        <v>0</v>
      </c>
      <c r="CN191">
        <f t="shared" si="62"/>
        <v>0</v>
      </c>
      <c r="CO191">
        <f t="shared" si="46"/>
        <v>0</v>
      </c>
    </row>
    <row r="192" spans="1:93" s="12" customFormat="1" ht="14.45" customHeight="1" x14ac:dyDescent="0.25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10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+VLOOKUP(G192,Liste!$A$7:$G$69,3,FALSE)</f>
        <v>Pin sylvestre</v>
      </c>
      <c r="BI192" s="96" t="str">
        <f>+VLOOKUP(H192,Liste!$B$7:$G$69,5,FALSE)</f>
        <v>GS Pineraies des plaines du Centre et du Nord Ouest</v>
      </c>
      <c r="BJ192" s="135">
        <f t="shared" si="45"/>
        <v>40</v>
      </c>
      <c r="BK192" s="135" t="str">
        <f t="shared" si="47"/>
        <v>Pin sylvestre_F2_Eclaircie tardive_GS Pineraies des plaines du Centre et du Nord Ouest_40_</v>
      </c>
      <c r="BL192" s="319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97" t="str">
        <f>+VLOOKUP(G192,Liste!$A$7:$H$69,8,FALSE)</f>
        <v>Résineux</v>
      </c>
      <c r="BU192" s="297">
        <f t="shared" si="48"/>
        <v>0</v>
      </c>
      <c r="BV192" s="299">
        <f t="shared" si="49"/>
        <v>1</v>
      </c>
      <c r="BW192" s="318">
        <v>0</v>
      </c>
      <c r="BX192" s="297">
        <f t="shared" si="50"/>
        <v>0.43</v>
      </c>
      <c r="BY192">
        <f t="shared" si="51"/>
        <v>0</v>
      </c>
      <c r="BZ192" s="303">
        <f t="shared" si="52"/>
        <v>0</v>
      </c>
      <c r="CB192" s="298">
        <v>0.6</v>
      </c>
      <c r="CC192" s="298">
        <v>0.4</v>
      </c>
      <c r="CD192">
        <f t="shared" si="53"/>
        <v>0</v>
      </c>
      <c r="CE192">
        <f t="shared" si="54"/>
        <v>0</v>
      </c>
      <c r="CF192">
        <f t="shared" si="55"/>
        <v>0</v>
      </c>
      <c r="CG192">
        <f t="shared" si="56"/>
        <v>0</v>
      </c>
      <c r="CH192">
        <f t="shared" si="57"/>
        <v>0</v>
      </c>
      <c r="CI192">
        <f t="shared" si="58"/>
        <v>0</v>
      </c>
      <c r="CJ192">
        <f t="shared" si="59"/>
        <v>0</v>
      </c>
      <c r="CK192">
        <f t="shared" si="60"/>
        <v>0</v>
      </c>
      <c r="CL192">
        <f t="shared" si="61"/>
        <v>0</v>
      </c>
      <c r="CM192">
        <f t="shared" si="63"/>
        <v>0</v>
      </c>
      <c r="CN192">
        <f t="shared" si="62"/>
        <v>0</v>
      </c>
      <c r="CO192">
        <f t="shared" si="46"/>
        <v>0</v>
      </c>
    </row>
    <row r="193" spans="1:93" s="12" customFormat="1" ht="14.45" customHeight="1" x14ac:dyDescent="0.25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10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+VLOOKUP(G193,Liste!$A$7:$G$69,3,FALSE)</f>
        <v>Pin sylvestre</v>
      </c>
      <c r="BI193" s="96" t="str">
        <f>+VLOOKUP(H193,Liste!$B$7:$G$69,5,FALSE)</f>
        <v>GS Pineraies des plaines du Centre et du Nord Ouest</v>
      </c>
      <c r="BJ193" s="135">
        <f t="shared" si="45"/>
        <v>41</v>
      </c>
      <c r="BK193" s="135" t="str">
        <f t="shared" si="47"/>
        <v>Pin sylvestre_F2_Eclaircie tardive_GS Pineraies des plaines du Centre et du Nord Ouest_41_</v>
      </c>
      <c r="BL193" s="319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97" t="str">
        <f>+VLOOKUP(G193,Liste!$A$7:$H$69,8,FALSE)</f>
        <v>Résineux</v>
      </c>
      <c r="BU193" s="297">
        <f t="shared" si="48"/>
        <v>0</v>
      </c>
      <c r="BV193" s="299">
        <f t="shared" si="49"/>
        <v>1</v>
      </c>
      <c r="BW193" s="318">
        <v>0</v>
      </c>
      <c r="BX193" s="297">
        <f t="shared" si="50"/>
        <v>0.43</v>
      </c>
      <c r="BY193">
        <f t="shared" si="51"/>
        <v>0</v>
      </c>
      <c r="BZ193" s="303">
        <f t="shared" si="52"/>
        <v>0</v>
      </c>
      <c r="CB193" s="298">
        <v>0.6</v>
      </c>
      <c r="CC193" s="298">
        <v>0.4</v>
      </c>
      <c r="CD193">
        <f t="shared" si="53"/>
        <v>0</v>
      </c>
      <c r="CE193">
        <f t="shared" si="54"/>
        <v>0</v>
      </c>
      <c r="CF193">
        <f t="shared" si="55"/>
        <v>0</v>
      </c>
      <c r="CG193">
        <f t="shared" si="56"/>
        <v>0</v>
      </c>
      <c r="CH193">
        <f t="shared" si="57"/>
        <v>0</v>
      </c>
      <c r="CI193">
        <f t="shared" si="58"/>
        <v>0</v>
      </c>
      <c r="CJ193">
        <f t="shared" si="59"/>
        <v>0</v>
      </c>
      <c r="CK193">
        <f t="shared" si="60"/>
        <v>0</v>
      </c>
      <c r="CL193">
        <f t="shared" si="61"/>
        <v>0</v>
      </c>
      <c r="CM193">
        <f t="shared" si="63"/>
        <v>0</v>
      </c>
      <c r="CN193">
        <f t="shared" si="62"/>
        <v>0</v>
      </c>
      <c r="CO193">
        <f t="shared" si="46"/>
        <v>0</v>
      </c>
    </row>
    <row r="194" spans="1:93" s="12" customFormat="1" ht="14.45" customHeight="1" x14ac:dyDescent="0.25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10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+VLOOKUP(G194,Liste!$A$7:$G$69,3,FALSE)</f>
        <v>Pin sylvestre</v>
      </c>
      <c r="BI194" s="96" t="str">
        <f>+VLOOKUP(H194,Liste!$B$7:$G$69,5,FALSE)</f>
        <v>GS Pineraies des plaines du Centre et du Nord Ouest</v>
      </c>
      <c r="BJ194" s="135">
        <f t="shared" si="45"/>
        <v>42</v>
      </c>
      <c r="BK194" s="135" t="str">
        <f t="shared" si="47"/>
        <v>Pin sylvestre_F2_Eclaircie tardive_GS Pineraies des plaines du Centre et du Nord Ouest_42_</v>
      </c>
      <c r="BL194" s="319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97" t="str">
        <f>+VLOOKUP(G194,Liste!$A$7:$H$69,8,FALSE)</f>
        <v>Résineux</v>
      </c>
      <c r="BU194" s="297">
        <f t="shared" si="48"/>
        <v>0</v>
      </c>
      <c r="BV194" s="299">
        <f t="shared" si="49"/>
        <v>1</v>
      </c>
      <c r="BW194" s="318">
        <v>0</v>
      </c>
      <c r="BX194" s="297">
        <f t="shared" si="50"/>
        <v>0.43</v>
      </c>
      <c r="BY194">
        <f t="shared" si="51"/>
        <v>0</v>
      </c>
      <c r="BZ194" s="303">
        <f t="shared" si="52"/>
        <v>0</v>
      </c>
      <c r="CB194" s="298">
        <v>0.6</v>
      </c>
      <c r="CC194" s="298">
        <v>0.4</v>
      </c>
      <c r="CD194">
        <f t="shared" si="53"/>
        <v>0</v>
      </c>
      <c r="CE194">
        <f t="shared" si="54"/>
        <v>0</v>
      </c>
      <c r="CF194">
        <f t="shared" si="55"/>
        <v>0</v>
      </c>
      <c r="CG194">
        <f t="shared" si="56"/>
        <v>0</v>
      </c>
      <c r="CH194">
        <f t="shared" si="57"/>
        <v>0</v>
      </c>
      <c r="CI194">
        <f t="shared" si="58"/>
        <v>0</v>
      </c>
      <c r="CJ194">
        <f t="shared" si="59"/>
        <v>0</v>
      </c>
      <c r="CK194">
        <f t="shared" si="60"/>
        <v>0</v>
      </c>
      <c r="CL194">
        <f t="shared" si="61"/>
        <v>0</v>
      </c>
      <c r="CM194">
        <f t="shared" si="63"/>
        <v>0</v>
      </c>
      <c r="CN194">
        <f t="shared" si="62"/>
        <v>0</v>
      </c>
      <c r="CO194">
        <f t="shared" si="46"/>
        <v>0</v>
      </c>
    </row>
    <row r="195" spans="1:93" s="12" customFormat="1" ht="14.45" customHeight="1" x14ac:dyDescent="0.25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+VLOOKUP(G195,Liste!$A$7:$G$69,3,FALSE)</f>
        <v>Pin sylvestre</v>
      </c>
      <c r="BI195" s="96" t="str">
        <f>+VLOOKUP(H195,Liste!$B$7:$G$69,5,FALSE)</f>
        <v>GS Pineraies des plaines du Centre et du Nord Ouest</v>
      </c>
      <c r="BJ195" s="135">
        <f t="shared" ref="BJ195:BJ258" si="71">+AC195</f>
        <v>42</v>
      </c>
      <c r="BK195" s="135" t="str">
        <f t="shared" si="47"/>
        <v>Pin sylvestre_F2_Eclaircie tardive_GS Pineraies des plaines du Centre et du Nord Ouest_42_</v>
      </c>
      <c r="BL195" s="319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97" t="str">
        <f>+VLOOKUP(G195,Liste!$A$7:$H$69,8,FALSE)</f>
        <v>Résineux</v>
      </c>
      <c r="BU195" s="297">
        <f t="shared" si="48"/>
        <v>0</v>
      </c>
      <c r="BV195" s="299">
        <f t="shared" si="49"/>
        <v>1</v>
      </c>
      <c r="BW195" s="318">
        <v>0</v>
      </c>
      <c r="BX195" s="297">
        <f t="shared" si="50"/>
        <v>0.43</v>
      </c>
      <c r="BY195">
        <f t="shared" si="51"/>
        <v>0</v>
      </c>
      <c r="BZ195" s="303">
        <f t="shared" si="52"/>
        <v>0</v>
      </c>
      <c r="CB195" s="298">
        <v>0.6</v>
      </c>
      <c r="CC195" s="298">
        <v>0.4</v>
      </c>
      <c r="CD195">
        <f t="shared" si="53"/>
        <v>0</v>
      </c>
      <c r="CE195">
        <f t="shared" si="54"/>
        <v>0</v>
      </c>
      <c r="CF195">
        <f t="shared" si="55"/>
        <v>0</v>
      </c>
      <c r="CG195">
        <f t="shared" si="56"/>
        <v>0</v>
      </c>
      <c r="CH195">
        <f t="shared" si="57"/>
        <v>0</v>
      </c>
      <c r="CI195">
        <f t="shared" si="58"/>
        <v>0</v>
      </c>
      <c r="CJ195">
        <f t="shared" si="59"/>
        <v>0</v>
      </c>
      <c r="CK195">
        <f t="shared" si="60"/>
        <v>0</v>
      </c>
      <c r="CL195">
        <f t="shared" si="61"/>
        <v>0</v>
      </c>
      <c r="CM195">
        <f t="shared" si="63"/>
        <v>0</v>
      </c>
      <c r="CN195">
        <f t="shared" si="62"/>
        <v>0</v>
      </c>
      <c r="CO195">
        <f t="shared" ref="CO195:CO258" si="72">+IF(BJ195=30,CN195/30,0)</f>
        <v>0</v>
      </c>
    </row>
    <row r="196" spans="1:93" s="12" customFormat="1" ht="14.45" customHeight="1" x14ac:dyDescent="0.25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10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+VLOOKUP(G196,Liste!$A$7:$G$69,3,FALSE)</f>
        <v>Pin sylvestre</v>
      </c>
      <c r="BI196" s="96" t="str">
        <f>+VLOOKUP(H196,Liste!$B$7:$G$69,5,FALSE)</f>
        <v>GS Pineraies des plaines du Centre et du Nord Ouest</v>
      </c>
      <c r="BJ196" s="135">
        <f t="shared" si="71"/>
        <v>43</v>
      </c>
      <c r="BK196" s="135" t="str">
        <f t="shared" ref="BK196:BK259" si="73">+_xlfn.CONCAT(BH196,"_",J196,"_",I196,"_",BI196,"_",BJ196,"_")</f>
        <v>Pin sylvestre_F2_Eclaircie tardive_GS Pineraies des plaines du Centre et du Nord Ouest_43_</v>
      </c>
      <c r="BL196" s="319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97" t="str">
        <f>+VLOOKUP(G196,Liste!$A$7:$H$69,8,FALSE)</f>
        <v>Résineux</v>
      </c>
      <c r="BU196" s="297">
        <f t="shared" ref="BU196:BU259" si="74">IF(BT196="Résineux",0%,100%)</f>
        <v>0</v>
      </c>
      <c r="BV196" s="299">
        <f t="shared" ref="BV196:BV259" si="75">+IF(BT196="Résineux",100%,0%)</f>
        <v>1</v>
      </c>
      <c r="BW196" s="318">
        <v>0</v>
      </c>
      <c r="BX196" s="297">
        <f t="shared" ref="BX196:BX259" si="76">+IF(BV196&lt;&gt;0,0.43,0.25)</f>
        <v>0.43</v>
      </c>
      <c r="BY196">
        <f t="shared" ref="BY196:BY259" si="77">+IF(BJ196&lt;=30,AV196*BX196,0)</f>
        <v>0</v>
      </c>
      <c r="BZ196" s="303">
        <f t="shared" ref="BZ196:BZ259" si="78">+IF(BJ196&gt;=31,0,BY196+BZ195)</f>
        <v>0</v>
      </c>
      <c r="CB196" s="298">
        <v>0.6</v>
      </c>
      <c r="CC196" s="298">
        <v>0.4</v>
      </c>
      <c r="CD196">
        <f t="shared" ref="CD196:CD259" si="79">+IF(BJ196&lt;=31,AV196*CA196*0.5,0)</f>
        <v>0</v>
      </c>
      <c r="CE196">
        <f t="shared" ref="CE196:CE259" si="80">IF(BJ196&lt;=31,AV196*CB196,0)</f>
        <v>0</v>
      </c>
      <c r="CF196">
        <f t="shared" ref="CF196:CF259" si="81">IF(BJ196&lt;=31,AV196*CC196,0)</f>
        <v>0</v>
      </c>
      <c r="CG196">
        <f t="shared" ref="CG196:CG259" si="82">CD196*44/12*0.475*BF196</f>
        <v>0</v>
      </c>
      <c r="CH196">
        <f t="shared" ref="CH196:CH259" si="83">CE196*44/12*0.475*BF196</f>
        <v>0</v>
      </c>
      <c r="CI196">
        <f t="shared" ref="CI196:CI259" si="84">CF196*44/12*0.475*BF196</f>
        <v>0</v>
      </c>
      <c r="CJ196">
        <f t="shared" ref="CJ196:CJ259" si="85">+IF(BJ196&lt;=31,CJ195*EXP(-$CJ$1)+CG195*(1-EXP(-$CJ$1))/$CJ$1,0)</f>
        <v>0</v>
      </c>
      <c r="CK196">
        <f t="shared" ref="CK196:CK259" si="86">+IF(BJ196&lt;=31,CK195*EXP(-$CK$1)+CH195*(1-EXP(-$CK$1))/$CK$1,0)</f>
        <v>0</v>
      </c>
      <c r="CL196">
        <f t="shared" ref="CL196:CL259" si="87">+IF(BJ196&lt;=31,CL195*EXP(-$CL$1)+CI195*(1-EXP(-$CL$1))/$CL$1,0)</f>
        <v>0</v>
      </c>
      <c r="CM196">
        <f t="shared" si="63"/>
        <v>0</v>
      </c>
      <c r="CN196">
        <f t="shared" ref="CN196:CN259" si="88">+IF(BJ196&lt;=31,CM196+CN195,0)</f>
        <v>0</v>
      </c>
      <c r="CO196">
        <f t="shared" si="72"/>
        <v>0</v>
      </c>
    </row>
    <row r="197" spans="1:93" s="12" customFormat="1" ht="14.45" customHeight="1" x14ac:dyDescent="0.25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10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+VLOOKUP(G197,Liste!$A$7:$G$69,3,FALSE)</f>
        <v>Pin sylvestre</v>
      </c>
      <c r="BI197" s="96" t="str">
        <f>+VLOOKUP(H197,Liste!$B$7:$G$69,5,FALSE)</f>
        <v>GS Pineraies des plaines du Centre et du Nord Ouest</v>
      </c>
      <c r="BJ197" s="135">
        <f t="shared" si="71"/>
        <v>44</v>
      </c>
      <c r="BK197" s="135" t="str">
        <f t="shared" si="73"/>
        <v>Pin sylvestre_F2_Eclaircie tardive_GS Pineraies des plaines du Centre et du Nord Ouest_44_</v>
      </c>
      <c r="BL197" s="319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97" t="str">
        <f>+VLOOKUP(G197,Liste!$A$7:$H$69,8,FALSE)</f>
        <v>Résineux</v>
      </c>
      <c r="BU197" s="297">
        <f t="shared" si="74"/>
        <v>0</v>
      </c>
      <c r="BV197" s="299">
        <f t="shared" si="75"/>
        <v>1</v>
      </c>
      <c r="BW197" s="318">
        <v>0</v>
      </c>
      <c r="BX197" s="297">
        <f t="shared" si="76"/>
        <v>0.43</v>
      </c>
      <c r="BY197">
        <f t="shared" si="77"/>
        <v>0</v>
      </c>
      <c r="BZ197" s="303">
        <f t="shared" si="78"/>
        <v>0</v>
      </c>
      <c r="CB197" s="298">
        <v>0.6</v>
      </c>
      <c r="CC197" s="298">
        <v>0.4</v>
      </c>
      <c r="CD197">
        <f t="shared" si="79"/>
        <v>0</v>
      </c>
      <c r="CE197">
        <f t="shared" si="80"/>
        <v>0</v>
      </c>
      <c r="CF197">
        <f t="shared" si="81"/>
        <v>0</v>
      </c>
      <c r="CG197">
        <f t="shared" si="82"/>
        <v>0</v>
      </c>
      <c r="CH197">
        <f t="shared" si="83"/>
        <v>0</v>
      </c>
      <c r="CI197">
        <f t="shared" si="84"/>
        <v>0</v>
      </c>
      <c r="CJ197">
        <f t="shared" si="85"/>
        <v>0</v>
      </c>
      <c r="CK197">
        <f t="shared" si="86"/>
        <v>0</v>
      </c>
      <c r="CL197">
        <f t="shared" si="87"/>
        <v>0</v>
      </c>
      <c r="CM197">
        <f t="shared" ref="CM197:CM260" si="89">+CJ197+CK197+CL197</f>
        <v>0</v>
      </c>
      <c r="CN197">
        <f t="shared" si="88"/>
        <v>0</v>
      </c>
      <c r="CO197">
        <f t="shared" si="72"/>
        <v>0</v>
      </c>
    </row>
    <row r="198" spans="1:93" s="12" customFormat="1" ht="14.45" customHeight="1" x14ac:dyDescent="0.25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10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+VLOOKUP(G198,Liste!$A$7:$G$69,3,FALSE)</f>
        <v>Pin sylvestre</v>
      </c>
      <c r="BI198" s="96" t="str">
        <f>+VLOOKUP(H198,Liste!$B$7:$G$69,5,FALSE)</f>
        <v>GS Pineraies des plaines du Centre et du Nord Ouest</v>
      </c>
      <c r="BJ198" s="135">
        <f t="shared" si="71"/>
        <v>45</v>
      </c>
      <c r="BK198" s="135" t="str">
        <f t="shared" si="73"/>
        <v>Pin sylvestre_F2_Eclaircie tardive_GS Pineraies des plaines du Centre et du Nord Ouest_45_</v>
      </c>
      <c r="BL198" s="319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97" t="str">
        <f>+VLOOKUP(G198,Liste!$A$7:$H$69,8,FALSE)</f>
        <v>Résineux</v>
      </c>
      <c r="BU198" s="297">
        <f t="shared" si="74"/>
        <v>0</v>
      </c>
      <c r="BV198" s="299">
        <f t="shared" si="75"/>
        <v>1</v>
      </c>
      <c r="BW198" s="318">
        <v>0</v>
      </c>
      <c r="BX198" s="297">
        <f t="shared" si="76"/>
        <v>0.43</v>
      </c>
      <c r="BY198">
        <f t="shared" si="77"/>
        <v>0</v>
      </c>
      <c r="BZ198" s="303">
        <f t="shared" si="78"/>
        <v>0</v>
      </c>
      <c r="CB198" s="298">
        <v>0.6</v>
      </c>
      <c r="CC198" s="298">
        <v>0.4</v>
      </c>
      <c r="CD198">
        <f t="shared" si="79"/>
        <v>0</v>
      </c>
      <c r="CE198">
        <f t="shared" si="80"/>
        <v>0</v>
      </c>
      <c r="CF198">
        <f t="shared" si="81"/>
        <v>0</v>
      </c>
      <c r="CG198">
        <f t="shared" si="82"/>
        <v>0</v>
      </c>
      <c r="CH198">
        <f t="shared" si="83"/>
        <v>0</v>
      </c>
      <c r="CI198">
        <f t="shared" si="84"/>
        <v>0</v>
      </c>
      <c r="CJ198">
        <f t="shared" si="85"/>
        <v>0</v>
      </c>
      <c r="CK198">
        <f t="shared" si="86"/>
        <v>0</v>
      </c>
      <c r="CL198">
        <f t="shared" si="87"/>
        <v>0</v>
      </c>
      <c r="CM198">
        <f t="shared" si="89"/>
        <v>0</v>
      </c>
      <c r="CN198">
        <f t="shared" si="88"/>
        <v>0</v>
      </c>
      <c r="CO198">
        <f t="shared" si="72"/>
        <v>0</v>
      </c>
    </row>
    <row r="199" spans="1:93" s="12" customFormat="1" ht="14.45" customHeight="1" x14ac:dyDescent="0.25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10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+VLOOKUP(G199,Liste!$A$7:$G$69,3,FALSE)</f>
        <v>Pin sylvestre</v>
      </c>
      <c r="BI199" s="96" t="str">
        <f>+VLOOKUP(H199,Liste!$B$7:$G$69,5,FALSE)</f>
        <v>GS Pineraies des plaines du Centre et du Nord Ouest</v>
      </c>
      <c r="BJ199" s="135">
        <f t="shared" si="71"/>
        <v>46</v>
      </c>
      <c r="BK199" s="135" t="str">
        <f t="shared" si="73"/>
        <v>Pin sylvestre_F2_Eclaircie tardive_GS Pineraies des plaines du Centre et du Nord Ouest_46_</v>
      </c>
      <c r="BL199" s="319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97" t="str">
        <f>+VLOOKUP(G199,Liste!$A$7:$H$69,8,FALSE)</f>
        <v>Résineux</v>
      </c>
      <c r="BU199" s="297">
        <f t="shared" si="74"/>
        <v>0</v>
      </c>
      <c r="BV199" s="299">
        <f t="shared" si="75"/>
        <v>1</v>
      </c>
      <c r="BW199" s="318">
        <v>0</v>
      </c>
      <c r="BX199" s="297">
        <f t="shared" si="76"/>
        <v>0.43</v>
      </c>
      <c r="BY199">
        <f t="shared" si="77"/>
        <v>0</v>
      </c>
      <c r="BZ199" s="303">
        <f t="shared" si="78"/>
        <v>0</v>
      </c>
      <c r="CB199" s="298">
        <v>0.6</v>
      </c>
      <c r="CC199" s="298">
        <v>0.4</v>
      </c>
      <c r="CD199">
        <f t="shared" si="79"/>
        <v>0</v>
      </c>
      <c r="CE199">
        <f t="shared" si="80"/>
        <v>0</v>
      </c>
      <c r="CF199">
        <f t="shared" si="81"/>
        <v>0</v>
      </c>
      <c r="CG199">
        <f t="shared" si="82"/>
        <v>0</v>
      </c>
      <c r="CH199">
        <f t="shared" si="83"/>
        <v>0</v>
      </c>
      <c r="CI199">
        <f t="shared" si="84"/>
        <v>0</v>
      </c>
      <c r="CJ199">
        <f t="shared" si="85"/>
        <v>0</v>
      </c>
      <c r="CK199">
        <f t="shared" si="86"/>
        <v>0</v>
      </c>
      <c r="CL199">
        <f t="shared" si="87"/>
        <v>0</v>
      </c>
      <c r="CM199">
        <f t="shared" si="89"/>
        <v>0</v>
      </c>
      <c r="CN199">
        <f t="shared" si="88"/>
        <v>0</v>
      </c>
      <c r="CO199">
        <f t="shared" si="72"/>
        <v>0</v>
      </c>
    </row>
    <row r="200" spans="1:93" s="12" customFormat="1" ht="14.45" customHeight="1" x14ac:dyDescent="0.25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10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+VLOOKUP(G200,Liste!$A$7:$G$69,3,FALSE)</f>
        <v>Pin sylvestre</v>
      </c>
      <c r="BI200" s="96" t="str">
        <f>+VLOOKUP(H200,Liste!$B$7:$G$69,5,FALSE)</f>
        <v>GS Pineraies des plaines du Centre et du Nord Ouest</v>
      </c>
      <c r="BJ200" s="135">
        <f t="shared" si="71"/>
        <v>47</v>
      </c>
      <c r="BK200" s="135" t="str">
        <f t="shared" si="73"/>
        <v>Pin sylvestre_F2_Eclaircie tardive_GS Pineraies des plaines du Centre et du Nord Ouest_47_</v>
      </c>
      <c r="BL200" s="319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97" t="str">
        <f>+VLOOKUP(G200,Liste!$A$7:$H$69,8,FALSE)</f>
        <v>Résineux</v>
      </c>
      <c r="BU200" s="297">
        <f t="shared" si="74"/>
        <v>0</v>
      </c>
      <c r="BV200" s="299">
        <f t="shared" si="75"/>
        <v>1</v>
      </c>
      <c r="BW200" s="318">
        <v>0</v>
      </c>
      <c r="BX200" s="297">
        <f t="shared" si="76"/>
        <v>0.43</v>
      </c>
      <c r="BY200">
        <f t="shared" si="77"/>
        <v>0</v>
      </c>
      <c r="BZ200" s="303">
        <f t="shared" si="78"/>
        <v>0</v>
      </c>
      <c r="CB200" s="298">
        <v>0.6</v>
      </c>
      <c r="CC200" s="298">
        <v>0.4</v>
      </c>
      <c r="CD200">
        <f t="shared" si="79"/>
        <v>0</v>
      </c>
      <c r="CE200">
        <f t="shared" si="80"/>
        <v>0</v>
      </c>
      <c r="CF200">
        <f t="shared" si="81"/>
        <v>0</v>
      </c>
      <c r="CG200">
        <f t="shared" si="82"/>
        <v>0</v>
      </c>
      <c r="CH200">
        <f t="shared" si="83"/>
        <v>0</v>
      </c>
      <c r="CI200">
        <f t="shared" si="84"/>
        <v>0</v>
      </c>
      <c r="CJ200">
        <f t="shared" si="85"/>
        <v>0</v>
      </c>
      <c r="CK200">
        <f t="shared" si="86"/>
        <v>0</v>
      </c>
      <c r="CL200">
        <f t="shared" si="87"/>
        <v>0</v>
      </c>
      <c r="CM200">
        <f t="shared" si="89"/>
        <v>0</v>
      </c>
      <c r="CN200">
        <f t="shared" si="88"/>
        <v>0</v>
      </c>
      <c r="CO200">
        <f t="shared" si="72"/>
        <v>0</v>
      </c>
    </row>
    <row r="201" spans="1:93" s="12" customFormat="1" ht="14.45" customHeight="1" x14ac:dyDescent="0.25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10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+VLOOKUP(G201,Liste!$A$7:$G$69,3,FALSE)</f>
        <v>Pin sylvestre</v>
      </c>
      <c r="BI201" s="96" t="str">
        <f>+VLOOKUP(H201,Liste!$B$7:$G$69,5,FALSE)</f>
        <v>GS Pineraies des plaines du Centre et du Nord Ouest</v>
      </c>
      <c r="BJ201" s="135">
        <f t="shared" si="71"/>
        <v>48</v>
      </c>
      <c r="BK201" s="135" t="str">
        <f t="shared" si="73"/>
        <v>Pin sylvestre_F2_Eclaircie tardive_GS Pineraies des plaines du Centre et du Nord Ouest_48_</v>
      </c>
      <c r="BL201" s="319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97" t="str">
        <f>+VLOOKUP(G201,Liste!$A$7:$H$69,8,FALSE)</f>
        <v>Résineux</v>
      </c>
      <c r="BU201" s="297">
        <f t="shared" si="74"/>
        <v>0</v>
      </c>
      <c r="BV201" s="299">
        <f t="shared" si="75"/>
        <v>1</v>
      </c>
      <c r="BW201" s="318">
        <v>0</v>
      </c>
      <c r="BX201" s="297">
        <f t="shared" si="76"/>
        <v>0.43</v>
      </c>
      <c r="BY201">
        <f t="shared" si="77"/>
        <v>0</v>
      </c>
      <c r="BZ201" s="303">
        <f t="shared" si="78"/>
        <v>0</v>
      </c>
      <c r="CB201" s="298">
        <v>0.6</v>
      </c>
      <c r="CC201" s="298">
        <v>0.4</v>
      </c>
      <c r="CD201">
        <f t="shared" si="79"/>
        <v>0</v>
      </c>
      <c r="CE201">
        <f t="shared" si="80"/>
        <v>0</v>
      </c>
      <c r="CF201">
        <f t="shared" si="81"/>
        <v>0</v>
      </c>
      <c r="CG201">
        <f t="shared" si="82"/>
        <v>0</v>
      </c>
      <c r="CH201">
        <f t="shared" si="83"/>
        <v>0</v>
      </c>
      <c r="CI201">
        <f t="shared" si="84"/>
        <v>0</v>
      </c>
      <c r="CJ201">
        <f t="shared" si="85"/>
        <v>0</v>
      </c>
      <c r="CK201">
        <f t="shared" si="86"/>
        <v>0</v>
      </c>
      <c r="CL201">
        <f t="shared" si="87"/>
        <v>0</v>
      </c>
      <c r="CM201">
        <f t="shared" si="89"/>
        <v>0</v>
      </c>
      <c r="CN201">
        <f t="shared" si="88"/>
        <v>0</v>
      </c>
      <c r="CO201">
        <f t="shared" si="72"/>
        <v>0</v>
      </c>
    </row>
    <row r="202" spans="1:93" s="12" customFormat="1" ht="14.45" customHeight="1" x14ac:dyDescent="0.25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10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+VLOOKUP(G202,Liste!$A$7:$G$69,3,FALSE)</f>
        <v>Pin sylvestre</v>
      </c>
      <c r="BI202" s="96" t="str">
        <f>+VLOOKUP(H202,Liste!$B$7:$G$69,5,FALSE)</f>
        <v>GS Pineraies des plaines du Centre et du Nord Ouest</v>
      </c>
      <c r="BJ202" s="135">
        <f t="shared" si="71"/>
        <v>49</v>
      </c>
      <c r="BK202" s="135" t="str">
        <f t="shared" si="73"/>
        <v>Pin sylvestre_F2_Eclaircie tardive_GS Pineraies des plaines du Centre et du Nord Ouest_49_</v>
      </c>
      <c r="BL202" s="319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97" t="str">
        <f>+VLOOKUP(G202,Liste!$A$7:$H$69,8,FALSE)</f>
        <v>Résineux</v>
      </c>
      <c r="BU202" s="297">
        <f t="shared" si="74"/>
        <v>0</v>
      </c>
      <c r="BV202" s="299">
        <f t="shared" si="75"/>
        <v>1</v>
      </c>
      <c r="BW202" s="318">
        <v>0</v>
      </c>
      <c r="BX202" s="297">
        <f t="shared" si="76"/>
        <v>0.43</v>
      </c>
      <c r="BY202">
        <f t="shared" si="77"/>
        <v>0</v>
      </c>
      <c r="BZ202" s="303">
        <f t="shared" si="78"/>
        <v>0</v>
      </c>
      <c r="CB202" s="298">
        <v>0.6</v>
      </c>
      <c r="CC202" s="298">
        <v>0.4</v>
      </c>
      <c r="CD202">
        <f t="shared" si="79"/>
        <v>0</v>
      </c>
      <c r="CE202">
        <f t="shared" si="80"/>
        <v>0</v>
      </c>
      <c r="CF202">
        <f t="shared" si="81"/>
        <v>0</v>
      </c>
      <c r="CG202">
        <f t="shared" si="82"/>
        <v>0</v>
      </c>
      <c r="CH202">
        <f t="shared" si="83"/>
        <v>0</v>
      </c>
      <c r="CI202">
        <f t="shared" si="84"/>
        <v>0</v>
      </c>
      <c r="CJ202">
        <f t="shared" si="85"/>
        <v>0</v>
      </c>
      <c r="CK202">
        <f t="shared" si="86"/>
        <v>0</v>
      </c>
      <c r="CL202">
        <f t="shared" si="87"/>
        <v>0</v>
      </c>
      <c r="CM202">
        <f t="shared" si="89"/>
        <v>0</v>
      </c>
      <c r="CN202">
        <f t="shared" si="88"/>
        <v>0</v>
      </c>
      <c r="CO202">
        <f t="shared" si="72"/>
        <v>0</v>
      </c>
    </row>
    <row r="203" spans="1:93" s="12" customFormat="1" ht="14.45" customHeight="1" x14ac:dyDescent="0.25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10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+VLOOKUP(G203,Liste!$A$7:$G$69,3,FALSE)</f>
        <v>Pin sylvestre</v>
      </c>
      <c r="BI203" s="96" t="str">
        <f>+VLOOKUP(H203,Liste!$B$7:$G$69,5,FALSE)</f>
        <v>GS Pineraies des plaines du Centre et du Nord Ouest</v>
      </c>
      <c r="BJ203" s="135">
        <f t="shared" si="71"/>
        <v>50</v>
      </c>
      <c r="BK203" s="135" t="str">
        <f t="shared" si="73"/>
        <v>Pin sylvestre_F2_Eclaircie tardive_GS Pineraies des plaines du Centre et du Nord Ouest_50_</v>
      </c>
      <c r="BL203" s="319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97" t="str">
        <f>+VLOOKUP(G203,Liste!$A$7:$H$69,8,FALSE)</f>
        <v>Résineux</v>
      </c>
      <c r="BU203" s="297">
        <f t="shared" si="74"/>
        <v>0</v>
      </c>
      <c r="BV203" s="299">
        <f t="shared" si="75"/>
        <v>1</v>
      </c>
      <c r="BW203" s="318">
        <v>0</v>
      </c>
      <c r="BX203" s="297">
        <f t="shared" si="76"/>
        <v>0.43</v>
      </c>
      <c r="BY203">
        <f t="shared" si="77"/>
        <v>0</v>
      </c>
      <c r="BZ203" s="303">
        <f t="shared" si="78"/>
        <v>0</v>
      </c>
      <c r="CB203" s="298">
        <v>0.6</v>
      </c>
      <c r="CC203" s="298">
        <v>0.4</v>
      </c>
      <c r="CD203">
        <f t="shared" si="79"/>
        <v>0</v>
      </c>
      <c r="CE203">
        <f t="shared" si="80"/>
        <v>0</v>
      </c>
      <c r="CF203">
        <f t="shared" si="81"/>
        <v>0</v>
      </c>
      <c r="CG203">
        <f t="shared" si="82"/>
        <v>0</v>
      </c>
      <c r="CH203">
        <f t="shared" si="83"/>
        <v>0</v>
      </c>
      <c r="CI203">
        <f t="shared" si="84"/>
        <v>0</v>
      </c>
      <c r="CJ203">
        <f t="shared" si="85"/>
        <v>0</v>
      </c>
      <c r="CK203">
        <f t="shared" si="86"/>
        <v>0</v>
      </c>
      <c r="CL203">
        <f t="shared" si="87"/>
        <v>0</v>
      </c>
      <c r="CM203">
        <f t="shared" si="89"/>
        <v>0</v>
      </c>
      <c r="CN203">
        <f t="shared" si="88"/>
        <v>0</v>
      </c>
      <c r="CO203">
        <f t="shared" si="72"/>
        <v>0</v>
      </c>
    </row>
    <row r="204" spans="1:93" s="12" customFormat="1" ht="14.45" customHeight="1" x14ac:dyDescent="0.25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10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+VLOOKUP(G204,Liste!$A$7:$G$69,3,FALSE)</f>
        <v>Pin sylvestre</v>
      </c>
      <c r="BI204" s="96" t="str">
        <f>+VLOOKUP(H204,Liste!$B$7:$G$69,5,FALSE)</f>
        <v>GS Pineraies des plaines du Centre et du Nord Ouest</v>
      </c>
      <c r="BJ204" s="135">
        <f t="shared" si="71"/>
        <v>51</v>
      </c>
      <c r="BK204" s="135" t="str">
        <f t="shared" si="73"/>
        <v>Pin sylvestre_F2_Eclaircie tardive_GS Pineraies des plaines du Centre et du Nord Ouest_51_</v>
      </c>
      <c r="BL204" s="319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97" t="str">
        <f>+VLOOKUP(G204,Liste!$A$7:$H$69,8,FALSE)</f>
        <v>Résineux</v>
      </c>
      <c r="BU204" s="297">
        <f t="shared" si="74"/>
        <v>0</v>
      </c>
      <c r="BV204" s="299">
        <f t="shared" si="75"/>
        <v>1</v>
      </c>
      <c r="BW204" s="318">
        <v>0</v>
      </c>
      <c r="BX204" s="297">
        <f t="shared" si="76"/>
        <v>0.43</v>
      </c>
      <c r="BY204">
        <f t="shared" si="77"/>
        <v>0</v>
      </c>
      <c r="BZ204" s="303">
        <f t="shared" si="78"/>
        <v>0</v>
      </c>
      <c r="CB204" s="298">
        <v>0.6</v>
      </c>
      <c r="CC204" s="298">
        <v>0.4</v>
      </c>
      <c r="CD204">
        <f t="shared" si="79"/>
        <v>0</v>
      </c>
      <c r="CE204">
        <f t="shared" si="80"/>
        <v>0</v>
      </c>
      <c r="CF204">
        <f t="shared" si="81"/>
        <v>0</v>
      </c>
      <c r="CG204">
        <f t="shared" si="82"/>
        <v>0</v>
      </c>
      <c r="CH204">
        <f t="shared" si="83"/>
        <v>0</v>
      </c>
      <c r="CI204">
        <f t="shared" si="84"/>
        <v>0</v>
      </c>
      <c r="CJ204">
        <f t="shared" si="85"/>
        <v>0</v>
      </c>
      <c r="CK204">
        <f t="shared" si="86"/>
        <v>0</v>
      </c>
      <c r="CL204">
        <f t="shared" si="87"/>
        <v>0</v>
      </c>
      <c r="CM204">
        <f t="shared" si="89"/>
        <v>0</v>
      </c>
      <c r="CN204">
        <f t="shared" si="88"/>
        <v>0</v>
      </c>
      <c r="CO204">
        <f t="shared" si="72"/>
        <v>0</v>
      </c>
    </row>
    <row r="205" spans="1:93" s="12" customFormat="1" ht="14.45" customHeight="1" x14ac:dyDescent="0.25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10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+VLOOKUP(G205,Liste!$A$7:$G$69,3,FALSE)</f>
        <v>Pin sylvestre</v>
      </c>
      <c r="BI205" s="96" t="str">
        <f>+VLOOKUP(H205,Liste!$B$7:$G$69,5,FALSE)</f>
        <v>GS Pineraies des plaines du Centre et du Nord Ouest</v>
      </c>
      <c r="BJ205" s="135">
        <f t="shared" si="71"/>
        <v>52</v>
      </c>
      <c r="BK205" s="135" t="str">
        <f t="shared" si="73"/>
        <v>Pin sylvestre_F2_Eclaircie tardive_GS Pineraies des plaines du Centre et du Nord Ouest_52_</v>
      </c>
      <c r="BL205" s="319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97" t="str">
        <f>+VLOOKUP(G205,Liste!$A$7:$H$69,8,FALSE)</f>
        <v>Résineux</v>
      </c>
      <c r="BU205" s="297">
        <f t="shared" si="74"/>
        <v>0</v>
      </c>
      <c r="BV205" s="299">
        <f t="shared" si="75"/>
        <v>1</v>
      </c>
      <c r="BW205" s="318">
        <v>0</v>
      </c>
      <c r="BX205" s="297">
        <f t="shared" si="76"/>
        <v>0.43</v>
      </c>
      <c r="BY205">
        <f t="shared" si="77"/>
        <v>0</v>
      </c>
      <c r="BZ205" s="303">
        <f t="shared" si="78"/>
        <v>0</v>
      </c>
      <c r="CB205" s="298">
        <v>0.6</v>
      </c>
      <c r="CC205" s="298">
        <v>0.4</v>
      </c>
      <c r="CD205">
        <f t="shared" si="79"/>
        <v>0</v>
      </c>
      <c r="CE205">
        <f t="shared" si="80"/>
        <v>0</v>
      </c>
      <c r="CF205">
        <f t="shared" si="81"/>
        <v>0</v>
      </c>
      <c r="CG205">
        <f t="shared" si="82"/>
        <v>0</v>
      </c>
      <c r="CH205">
        <f t="shared" si="83"/>
        <v>0</v>
      </c>
      <c r="CI205">
        <f t="shared" si="84"/>
        <v>0</v>
      </c>
      <c r="CJ205">
        <f t="shared" si="85"/>
        <v>0</v>
      </c>
      <c r="CK205">
        <f t="shared" si="86"/>
        <v>0</v>
      </c>
      <c r="CL205">
        <f t="shared" si="87"/>
        <v>0</v>
      </c>
      <c r="CM205">
        <f t="shared" si="89"/>
        <v>0</v>
      </c>
      <c r="CN205">
        <f t="shared" si="88"/>
        <v>0</v>
      </c>
      <c r="CO205">
        <f t="shared" si="72"/>
        <v>0</v>
      </c>
    </row>
    <row r="206" spans="1:93" s="12" customFormat="1" ht="14.45" customHeight="1" x14ac:dyDescent="0.25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+VLOOKUP(G206,Liste!$A$7:$G$69,3,FALSE)</f>
        <v>Pin sylvestre</v>
      </c>
      <c r="BI206" s="96" t="str">
        <f>+VLOOKUP(H206,Liste!$B$7:$G$69,5,FALSE)</f>
        <v>GS Pineraies des plaines du Centre et du Nord Ouest</v>
      </c>
      <c r="BJ206" s="135">
        <f t="shared" si="71"/>
        <v>52</v>
      </c>
      <c r="BK206" s="135" t="str">
        <f t="shared" si="73"/>
        <v>Pin sylvestre_F2_Eclaircie tardive_GS Pineraies des plaines du Centre et du Nord Ouest_52_</v>
      </c>
      <c r="BL206" s="319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97" t="str">
        <f>+VLOOKUP(G206,Liste!$A$7:$H$69,8,FALSE)</f>
        <v>Résineux</v>
      </c>
      <c r="BU206" s="297">
        <f t="shared" si="74"/>
        <v>0</v>
      </c>
      <c r="BV206" s="299">
        <f t="shared" si="75"/>
        <v>1</v>
      </c>
      <c r="BW206" s="318">
        <v>0</v>
      </c>
      <c r="BX206" s="297">
        <f t="shared" si="76"/>
        <v>0.43</v>
      </c>
      <c r="BY206">
        <f t="shared" si="77"/>
        <v>0</v>
      </c>
      <c r="BZ206" s="303">
        <f t="shared" si="78"/>
        <v>0</v>
      </c>
      <c r="CB206" s="298">
        <v>0.6</v>
      </c>
      <c r="CC206" s="298">
        <v>0.4</v>
      </c>
      <c r="CD206">
        <f t="shared" si="79"/>
        <v>0</v>
      </c>
      <c r="CE206">
        <f t="shared" si="80"/>
        <v>0</v>
      </c>
      <c r="CF206">
        <f t="shared" si="81"/>
        <v>0</v>
      </c>
      <c r="CG206">
        <f t="shared" si="82"/>
        <v>0</v>
      </c>
      <c r="CH206">
        <f t="shared" si="83"/>
        <v>0</v>
      </c>
      <c r="CI206">
        <f t="shared" si="84"/>
        <v>0</v>
      </c>
      <c r="CJ206">
        <f t="shared" si="85"/>
        <v>0</v>
      </c>
      <c r="CK206">
        <f t="shared" si="86"/>
        <v>0</v>
      </c>
      <c r="CL206">
        <f t="shared" si="87"/>
        <v>0</v>
      </c>
      <c r="CM206">
        <f t="shared" si="89"/>
        <v>0</v>
      </c>
      <c r="CN206">
        <f t="shared" si="88"/>
        <v>0</v>
      </c>
      <c r="CO206">
        <f t="shared" si="72"/>
        <v>0</v>
      </c>
    </row>
    <row r="207" spans="1:93" s="12" customFormat="1" ht="14.45" customHeight="1" x14ac:dyDescent="0.25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10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+VLOOKUP(G207,Liste!$A$7:$G$69,3,FALSE)</f>
        <v>Pin sylvestre</v>
      </c>
      <c r="BI207" s="96" t="str">
        <f>+VLOOKUP(H207,Liste!$B$7:$G$69,5,FALSE)</f>
        <v>GS Pineraies des plaines du Centre et du Nord Ouest</v>
      </c>
      <c r="BJ207" s="135">
        <f t="shared" si="71"/>
        <v>53</v>
      </c>
      <c r="BK207" s="135" t="str">
        <f t="shared" si="73"/>
        <v>Pin sylvestre_F2_Eclaircie tardive_GS Pineraies des plaines du Centre et du Nord Ouest_53_</v>
      </c>
      <c r="BL207" s="319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97" t="str">
        <f>+VLOOKUP(G207,Liste!$A$7:$H$69,8,FALSE)</f>
        <v>Résineux</v>
      </c>
      <c r="BU207" s="297">
        <f t="shared" si="74"/>
        <v>0</v>
      </c>
      <c r="BV207" s="299">
        <f t="shared" si="75"/>
        <v>1</v>
      </c>
      <c r="BW207" s="318">
        <v>0</v>
      </c>
      <c r="BX207" s="297">
        <f t="shared" si="76"/>
        <v>0.43</v>
      </c>
      <c r="BY207">
        <f t="shared" si="77"/>
        <v>0</v>
      </c>
      <c r="BZ207" s="303">
        <f t="shared" si="78"/>
        <v>0</v>
      </c>
      <c r="CB207" s="298">
        <v>0.6</v>
      </c>
      <c r="CC207" s="298">
        <v>0.4</v>
      </c>
      <c r="CD207">
        <f t="shared" si="79"/>
        <v>0</v>
      </c>
      <c r="CE207">
        <f t="shared" si="80"/>
        <v>0</v>
      </c>
      <c r="CF207">
        <f t="shared" si="81"/>
        <v>0</v>
      </c>
      <c r="CG207">
        <f t="shared" si="82"/>
        <v>0</v>
      </c>
      <c r="CH207">
        <f t="shared" si="83"/>
        <v>0</v>
      </c>
      <c r="CI207">
        <f t="shared" si="84"/>
        <v>0</v>
      </c>
      <c r="CJ207">
        <f t="shared" si="85"/>
        <v>0</v>
      </c>
      <c r="CK207">
        <f t="shared" si="86"/>
        <v>0</v>
      </c>
      <c r="CL207">
        <f t="shared" si="87"/>
        <v>0</v>
      </c>
      <c r="CM207">
        <f t="shared" si="89"/>
        <v>0</v>
      </c>
      <c r="CN207">
        <f t="shared" si="88"/>
        <v>0</v>
      </c>
      <c r="CO207">
        <f t="shared" si="72"/>
        <v>0</v>
      </c>
    </row>
    <row r="208" spans="1:93" s="12" customFormat="1" ht="14.45" customHeight="1" x14ac:dyDescent="0.25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10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+VLOOKUP(G208,Liste!$A$7:$G$69,3,FALSE)</f>
        <v>Pin sylvestre</v>
      </c>
      <c r="BI208" s="96" t="str">
        <f>+VLOOKUP(H208,Liste!$B$7:$G$69,5,FALSE)</f>
        <v>GS Pineraies des plaines du Centre et du Nord Ouest</v>
      </c>
      <c r="BJ208" s="135">
        <f t="shared" si="71"/>
        <v>54</v>
      </c>
      <c r="BK208" s="135" t="str">
        <f t="shared" si="73"/>
        <v>Pin sylvestre_F2_Eclaircie tardive_GS Pineraies des plaines du Centre et du Nord Ouest_54_</v>
      </c>
      <c r="BL208" s="319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97" t="str">
        <f>+VLOOKUP(G208,Liste!$A$7:$H$69,8,FALSE)</f>
        <v>Résineux</v>
      </c>
      <c r="BU208" s="297">
        <f t="shared" si="74"/>
        <v>0</v>
      </c>
      <c r="BV208" s="299">
        <f t="shared" si="75"/>
        <v>1</v>
      </c>
      <c r="BW208" s="318">
        <v>0</v>
      </c>
      <c r="BX208" s="297">
        <f t="shared" si="76"/>
        <v>0.43</v>
      </c>
      <c r="BY208">
        <f t="shared" si="77"/>
        <v>0</v>
      </c>
      <c r="BZ208" s="303">
        <f t="shared" si="78"/>
        <v>0</v>
      </c>
      <c r="CB208" s="298">
        <v>0.6</v>
      </c>
      <c r="CC208" s="298">
        <v>0.4</v>
      </c>
      <c r="CD208">
        <f t="shared" si="79"/>
        <v>0</v>
      </c>
      <c r="CE208">
        <f t="shared" si="80"/>
        <v>0</v>
      </c>
      <c r="CF208">
        <f t="shared" si="81"/>
        <v>0</v>
      </c>
      <c r="CG208">
        <f t="shared" si="82"/>
        <v>0</v>
      </c>
      <c r="CH208">
        <f t="shared" si="83"/>
        <v>0</v>
      </c>
      <c r="CI208">
        <f t="shared" si="84"/>
        <v>0</v>
      </c>
      <c r="CJ208">
        <f t="shared" si="85"/>
        <v>0</v>
      </c>
      <c r="CK208">
        <f t="shared" si="86"/>
        <v>0</v>
      </c>
      <c r="CL208">
        <f t="shared" si="87"/>
        <v>0</v>
      </c>
      <c r="CM208">
        <f t="shared" si="89"/>
        <v>0</v>
      </c>
      <c r="CN208">
        <f t="shared" si="88"/>
        <v>0</v>
      </c>
      <c r="CO208">
        <f t="shared" si="72"/>
        <v>0</v>
      </c>
    </row>
    <row r="209" spans="1:93" s="12" customFormat="1" ht="14.45" customHeight="1" x14ac:dyDescent="0.25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10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+VLOOKUP(G209,Liste!$A$7:$G$69,3,FALSE)</f>
        <v>Pin sylvestre</v>
      </c>
      <c r="BI209" s="96" t="str">
        <f>+VLOOKUP(H209,Liste!$B$7:$G$69,5,FALSE)</f>
        <v>GS Pineraies des plaines du Centre et du Nord Ouest</v>
      </c>
      <c r="BJ209" s="135">
        <f t="shared" si="71"/>
        <v>55</v>
      </c>
      <c r="BK209" s="135" t="str">
        <f t="shared" si="73"/>
        <v>Pin sylvestre_F2_Eclaircie tardive_GS Pineraies des plaines du Centre et du Nord Ouest_55_</v>
      </c>
      <c r="BL209" s="319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97" t="str">
        <f>+VLOOKUP(G209,Liste!$A$7:$H$69,8,FALSE)</f>
        <v>Résineux</v>
      </c>
      <c r="BU209" s="297">
        <f t="shared" si="74"/>
        <v>0</v>
      </c>
      <c r="BV209" s="299">
        <f t="shared" si="75"/>
        <v>1</v>
      </c>
      <c r="BW209" s="318">
        <v>0</v>
      </c>
      <c r="BX209" s="297">
        <f t="shared" si="76"/>
        <v>0.43</v>
      </c>
      <c r="BY209">
        <f t="shared" si="77"/>
        <v>0</v>
      </c>
      <c r="BZ209" s="303">
        <f t="shared" si="78"/>
        <v>0</v>
      </c>
      <c r="CB209" s="298">
        <v>0.6</v>
      </c>
      <c r="CC209" s="298">
        <v>0.4</v>
      </c>
      <c r="CD209">
        <f t="shared" si="79"/>
        <v>0</v>
      </c>
      <c r="CE209">
        <f t="shared" si="80"/>
        <v>0</v>
      </c>
      <c r="CF209">
        <f t="shared" si="81"/>
        <v>0</v>
      </c>
      <c r="CG209">
        <f t="shared" si="82"/>
        <v>0</v>
      </c>
      <c r="CH209">
        <f t="shared" si="83"/>
        <v>0</v>
      </c>
      <c r="CI209">
        <f t="shared" si="84"/>
        <v>0</v>
      </c>
      <c r="CJ209">
        <f t="shared" si="85"/>
        <v>0</v>
      </c>
      <c r="CK209">
        <f t="shared" si="86"/>
        <v>0</v>
      </c>
      <c r="CL209">
        <f t="shared" si="87"/>
        <v>0</v>
      </c>
      <c r="CM209">
        <f t="shared" si="89"/>
        <v>0</v>
      </c>
      <c r="CN209">
        <f t="shared" si="88"/>
        <v>0</v>
      </c>
      <c r="CO209">
        <f t="shared" si="72"/>
        <v>0</v>
      </c>
    </row>
    <row r="210" spans="1:93" s="12" customFormat="1" ht="14.45" customHeight="1" x14ac:dyDescent="0.25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10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+VLOOKUP(G210,Liste!$A$7:$G$69,3,FALSE)</f>
        <v>Pin sylvestre</v>
      </c>
      <c r="BI210" s="96" t="str">
        <f>+VLOOKUP(H210,Liste!$B$7:$G$69,5,FALSE)</f>
        <v>GS Pineraies des plaines du Centre et du Nord Ouest</v>
      </c>
      <c r="BJ210" s="135">
        <f t="shared" si="71"/>
        <v>56</v>
      </c>
      <c r="BK210" s="135" t="str">
        <f t="shared" si="73"/>
        <v>Pin sylvestre_F2_Eclaircie tardive_GS Pineraies des plaines du Centre et du Nord Ouest_56_</v>
      </c>
      <c r="BL210" s="319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97" t="str">
        <f>+VLOOKUP(G210,Liste!$A$7:$H$69,8,FALSE)</f>
        <v>Résineux</v>
      </c>
      <c r="BU210" s="297">
        <f t="shared" si="74"/>
        <v>0</v>
      </c>
      <c r="BV210" s="299">
        <f t="shared" si="75"/>
        <v>1</v>
      </c>
      <c r="BW210" s="318">
        <v>0</v>
      </c>
      <c r="BX210" s="297">
        <f t="shared" si="76"/>
        <v>0.43</v>
      </c>
      <c r="BY210">
        <f t="shared" si="77"/>
        <v>0</v>
      </c>
      <c r="BZ210" s="303">
        <f t="shared" si="78"/>
        <v>0</v>
      </c>
      <c r="CB210" s="298">
        <v>0.6</v>
      </c>
      <c r="CC210" s="298">
        <v>0.4</v>
      </c>
      <c r="CD210">
        <f t="shared" si="79"/>
        <v>0</v>
      </c>
      <c r="CE210">
        <f t="shared" si="80"/>
        <v>0</v>
      </c>
      <c r="CF210">
        <f t="shared" si="81"/>
        <v>0</v>
      </c>
      <c r="CG210">
        <f t="shared" si="82"/>
        <v>0</v>
      </c>
      <c r="CH210">
        <f t="shared" si="83"/>
        <v>0</v>
      </c>
      <c r="CI210">
        <f t="shared" si="84"/>
        <v>0</v>
      </c>
      <c r="CJ210">
        <f t="shared" si="85"/>
        <v>0</v>
      </c>
      <c r="CK210">
        <f t="shared" si="86"/>
        <v>0</v>
      </c>
      <c r="CL210">
        <f t="shared" si="87"/>
        <v>0</v>
      </c>
      <c r="CM210">
        <f t="shared" si="89"/>
        <v>0</v>
      </c>
      <c r="CN210">
        <f t="shared" si="88"/>
        <v>0</v>
      </c>
      <c r="CO210">
        <f t="shared" si="72"/>
        <v>0</v>
      </c>
    </row>
    <row r="211" spans="1:93" s="12" customFormat="1" ht="14.45" customHeight="1" x14ac:dyDescent="0.25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10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+VLOOKUP(G211,Liste!$A$7:$G$69,3,FALSE)</f>
        <v>Pin sylvestre</v>
      </c>
      <c r="BI211" s="96" t="str">
        <f>+VLOOKUP(H211,Liste!$B$7:$G$69,5,FALSE)</f>
        <v>GS Pineraies des plaines du Centre et du Nord Ouest</v>
      </c>
      <c r="BJ211" s="135">
        <f t="shared" si="71"/>
        <v>57</v>
      </c>
      <c r="BK211" s="135" t="str">
        <f t="shared" si="73"/>
        <v>Pin sylvestre_F2_Eclaircie tardive_GS Pineraies des plaines du Centre et du Nord Ouest_57_</v>
      </c>
      <c r="BL211" s="319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97" t="str">
        <f>+VLOOKUP(G211,Liste!$A$7:$H$69,8,FALSE)</f>
        <v>Résineux</v>
      </c>
      <c r="BU211" s="297">
        <f t="shared" si="74"/>
        <v>0</v>
      </c>
      <c r="BV211" s="299">
        <f t="shared" si="75"/>
        <v>1</v>
      </c>
      <c r="BW211" s="318">
        <v>0</v>
      </c>
      <c r="BX211" s="297">
        <f t="shared" si="76"/>
        <v>0.43</v>
      </c>
      <c r="BY211">
        <f t="shared" si="77"/>
        <v>0</v>
      </c>
      <c r="BZ211" s="303">
        <f t="shared" si="78"/>
        <v>0</v>
      </c>
      <c r="CB211" s="298">
        <v>0.6</v>
      </c>
      <c r="CC211" s="298">
        <v>0.4</v>
      </c>
      <c r="CD211">
        <f t="shared" si="79"/>
        <v>0</v>
      </c>
      <c r="CE211">
        <f t="shared" si="80"/>
        <v>0</v>
      </c>
      <c r="CF211">
        <f t="shared" si="81"/>
        <v>0</v>
      </c>
      <c r="CG211">
        <f t="shared" si="82"/>
        <v>0</v>
      </c>
      <c r="CH211">
        <f t="shared" si="83"/>
        <v>0</v>
      </c>
      <c r="CI211">
        <f t="shared" si="84"/>
        <v>0</v>
      </c>
      <c r="CJ211">
        <f t="shared" si="85"/>
        <v>0</v>
      </c>
      <c r="CK211">
        <f t="shared" si="86"/>
        <v>0</v>
      </c>
      <c r="CL211">
        <f t="shared" si="87"/>
        <v>0</v>
      </c>
      <c r="CM211">
        <f t="shared" si="89"/>
        <v>0</v>
      </c>
      <c r="CN211">
        <f t="shared" si="88"/>
        <v>0</v>
      </c>
      <c r="CO211">
        <f t="shared" si="72"/>
        <v>0</v>
      </c>
    </row>
    <row r="212" spans="1:93" s="12" customFormat="1" ht="14.45" customHeight="1" x14ac:dyDescent="0.25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10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+VLOOKUP(G212,Liste!$A$7:$G$69,3,FALSE)</f>
        <v>Pin sylvestre</v>
      </c>
      <c r="BI212" s="96" t="str">
        <f>+VLOOKUP(H212,Liste!$B$7:$G$69,5,FALSE)</f>
        <v>GS Pineraies des plaines du Centre et du Nord Ouest</v>
      </c>
      <c r="BJ212" s="135">
        <f t="shared" si="71"/>
        <v>58</v>
      </c>
      <c r="BK212" s="135" t="str">
        <f t="shared" si="73"/>
        <v>Pin sylvestre_F2_Eclaircie tardive_GS Pineraies des plaines du Centre et du Nord Ouest_58_</v>
      </c>
      <c r="BL212" s="319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97" t="str">
        <f>+VLOOKUP(G212,Liste!$A$7:$H$69,8,FALSE)</f>
        <v>Résineux</v>
      </c>
      <c r="BU212" s="297">
        <f t="shared" si="74"/>
        <v>0</v>
      </c>
      <c r="BV212" s="299">
        <f t="shared" si="75"/>
        <v>1</v>
      </c>
      <c r="BW212" s="318">
        <v>0</v>
      </c>
      <c r="BX212" s="297">
        <f t="shared" si="76"/>
        <v>0.43</v>
      </c>
      <c r="BY212">
        <f t="shared" si="77"/>
        <v>0</v>
      </c>
      <c r="BZ212" s="303">
        <f t="shared" si="78"/>
        <v>0</v>
      </c>
      <c r="CB212" s="298">
        <v>0.6</v>
      </c>
      <c r="CC212" s="298">
        <v>0.4</v>
      </c>
      <c r="CD212">
        <f t="shared" si="79"/>
        <v>0</v>
      </c>
      <c r="CE212">
        <f t="shared" si="80"/>
        <v>0</v>
      </c>
      <c r="CF212">
        <f t="shared" si="81"/>
        <v>0</v>
      </c>
      <c r="CG212">
        <f t="shared" si="82"/>
        <v>0</v>
      </c>
      <c r="CH212">
        <f t="shared" si="83"/>
        <v>0</v>
      </c>
      <c r="CI212">
        <f t="shared" si="84"/>
        <v>0</v>
      </c>
      <c r="CJ212">
        <f t="shared" si="85"/>
        <v>0</v>
      </c>
      <c r="CK212">
        <f t="shared" si="86"/>
        <v>0</v>
      </c>
      <c r="CL212">
        <f t="shared" si="87"/>
        <v>0</v>
      </c>
      <c r="CM212">
        <f t="shared" si="89"/>
        <v>0</v>
      </c>
      <c r="CN212">
        <f t="shared" si="88"/>
        <v>0</v>
      </c>
      <c r="CO212">
        <f t="shared" si="72"/>
        <v>0</v>
      </c>
    </row>
    <row r="213" spans="1:93" s="12" customFormat="1" ht="14.45" customHeight="1" x14ac:dyDescent="0.25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10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+VLOOKUP(G213,Liste!$A$7:$G$69,3,FALSE)</f>
        <v>Pin sylvestre</v>
      </c>
      <c r="BI213" s="96" t="str">
        <f>+VLOOKUP(H213,Liste!$B$7:$G$69,5,FALSE)</f>
        <v>GS Pineraies des plaines du Centre et du Nord Ouest</v>
      </c>
      <c r="BJ213" s="135">
        <f t="shared" si="71"/>
        <v>59</v>
      </c>
      <c r="BK213" s="135" t="str">
        <f t="shared" si="73"/>
        <v>Pin sylvestre_F2_Eclaircie tardive_GS Pineraies des plaines du Centre et du Nord Ouest_59_</v>
      </c>
      <c r="BL213" s="319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97" t="str">
        <f>+VLOOKUP(G213,Liste!$A$7:$H$69,8,FALSE)</f>
        <v>Résineux</v>
      </c>
      <c r="BU213" s="297">
        <f t="shared" si="74"/>
        <v>0</v>
      </c>
      <c r="BV213" s="299">
        <f t="shared" si="75"/>
        <v>1</v>
      </c>
      <c r="BW213" s="318">
        <v>0</v>
      </c>
      <c r="BX213" s="297">
        <f t="shared" si="76"/>
        <v>0.43</v>
      </c>
      <c r="BY213">
        <f t="shared" si="77"/>
        <v>0</v>
      </c>
      <c r="BZ213" s="303">
        <f t="shared" si="78"/>
        <v>0</v>
      </c>
      <c r="CB213" s="298">
        <v>0.6</v>
      </c>
      <c r="CC213" s="298">
        <v>0.4</v>
      </c>
      <c r="CD213">
        <f t="shared" si="79"/>
        <v>0</v>
      </c>
      <c r="CE213">
        <f t="shared" si="80"/>
        <v>0</v>
      </c>
      <c r="CF213">
        <f t="shared" si="81"/>
        <v>0</v>
      </c>
      <c r="CG213">
        <f t="shared" si="82"/>
        <v>0</v>
      </c>
      <c r="CH213">
        <f t="shared" si="83"/>
        <v>0</v>
      </c>
      <c r="CI213">
        <f t="shared" si="84"/>
        <v>0</v>
      </c>
      <c r="CJ213">
        <f t="shared" si="85"/>
        <v>0</v>
      </c>
      <c r="CK213">
        <f t="shared" si="86"/>
        <v>0</v>
      </c>
      <c r="CL213">
        <f t="shared" si="87"/>
        <v>0</v>
      </c>
      <c r="CM213">
        <f t="shared" si="89"/>
        <v>0</v>
      </c>
      <c r="CN213">
        <f t="shared" si="88"/>
        <v>0</v>
      </c>
      <c r="CO213">
        <f t="shared" si="72"/>
        <v>0</v>
      </c>
    </row>
    <row r="214" spans="1:93" s="12" customFormat="1" ht="14.45" customHeight="1" x14ac:dyDescent="0.25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10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+VLOOKUP(G214,Liste!$A$7:$G$69,3,FALSE)</f>
        <v>Pin sylvestre</v>
      </c>
      <c r="BI214" s="96" t="str">
        <f>+VLOOKUP(H214,Liste!$B$7:$G$69,5,FALSE)</f>
        <v>GS Pineraies des plaines du Centre et du Nord Ouest</v>
      </c>
      <c r="BJ214" s="135">
        <f t="shared" si="71"/>
        <v>60</v>
      </c>
      <c r="BK214" s="135" t="str">
        <f t="shared" si="73"/>
        <v>Pin sylvestre_F2_Eclaircie tardive_GS Pineraies des plaines du Centre et du Nord Ouest_60_</v>
      </c>
      <c r="BL214" s="319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97" t="str">
        <f>+VLOOKUP(G214,Liste!$A$7:$H$69,8,FALSE)</f>
        <v>Résineux</v>
      </c>
      <c r="BU214" s="297">
        <f t="shared" si="74"/>
        <v>0</v>
      </c>
      <c r="BV214" s="299">
        <f t="shared" si="75"/>
        <v>1</v>
      </c>
      <c r="BW214" s="318">
        <v>0</v>
      </c>
      <c r="BX214" s="297">
        <f t="shared" si="76"/>
        <v>0.43</v>
      </c>
      <c r="BY214">
        <f t="shared" si="77"/>
        <v>0</v>
      </c>
      <c r="BZ214" s="303">
        <f t="shared" si="78"/>
        <v>0</v>
      </c>
      <c r="CB214" s="298">
        <v>0.6</v>
      </c>
      <c r="CC214" s="298">
        <v>0.4</v>
      </c>
      <c r="CD214">
        <f t="shared" si="79"/>
        <v>0</v>
      </c>
      <c r="CE214">
        <f t="shared" si="80"/>
        <v>0</v>
      </c>
      <c r="CF214">
        <f t="shared" si="81"/>
        <v>0</v>
      </c>
      <c r="CG214">
        <f t="shared" si="82"/>
        <v>0</v>
      </c>
      <c r="CH214">
        <f t="shared" si="83"/>
        <v>0</v>
      </c>
      <c r="CI214">
        <f t="shared" si="84"/>
        <v>0</v>
      </c>
      <c r="CJ214">
        <f t="shared" si="85"/>
        <v>0</v>
      </c>
      <c r="CK214">
        <f t="shared" si="86"/>
        <v>0</v>
      </c>
      <c r="CL214">
        <f t="shared" si="87"/>
        <v>0</v>
      </c>
      <c r="CM214">
        <f t="shared" si="89"/>
        <v>0</v>
      </c>
      <c r="CN214">
        <f t="shared" si="88"/>
        <v>0</v>
      </c>
      <c r="CO214">
        <f t="shared" si="72"/>
        <v>0</v>
      </c>
    </row>
    <row r="215" spans="1:93" s="12" customFormat="1" ht="14.45" customHeight="1" x14ac:dyDescent="0.25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10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+VLOOKUP(G215,Liste!$A$7:$G$69,3,FALSE)</f>
        <v>Pin sylvestre</v>
      </c>
      <c r="BI215" s="96" t="str">
        <f>+VLOOKUP(H215,Liste!$B$7:$G$69,5,FALSE)</f>
        <v>GS Pineraies des plaines du Centre et du Nord Ouest</v>
      </c>
      <c r="BJ215" s="135">
        <f t="shared" si="71"/>
        <v>61</v>
      </c>
      <c r="BK215" s="135" t="str">
        <f t="shared" si="73"/>
        <v>Pin sylvestre_F2_Eclaircie tardive_GS Pineraies des plaines du Centre et du Nord Ouest_61_</v>
      </c>
      <c r="BL215" s="319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97" t="str">
        <f>+VLOOKUP(G215,Liste!$A$7:$H$69,8,FALSE)</f>
        <v>Résineux</v>
      </c>
      <c r="BU215" s="297">
        <f t="shared" si="74"/>
        <v>0</v>
      </c>
      <c r="BV215" s="299">
        <f t="shared" si="75"/>
        <v>1</v>
      </c>
      <c r="BW215" s="318">
        <v>0</v>
      </c>
      <c r="BX215" s="297">
        <f t="shared" si="76"/>
        <v>0.43</v>
      </c>
      <c r="BY215">
        <f t="shared" si="77"/>
        <v>0</v>
      </c>
      <c r="BZ215" s="303">
        <f t="shared" si="78"/>
        <v>0</v>
      </c>
      <c r="CB215" s="298">
        <v>0.6</v>
      </c>
      <c r="CC215" s="298">
        <v>0.4</v>
      </c>
      <c r="CD215">
        <f t="shared" si="79"/>
        <v>0</v>
      </c>
      <c r="CE215">
        <f t="shared" si="80"/>
        <v>0</v>
      </c>
      <c r="CF215">
        <f t="shared" si="81"/>
        <v>0</v>
      </c>
      <c r="CG215">
        <f t="shared" si="82"/>
        <v>0</v>
      </c>
      <c r="CH215">
        <f t="shared" si="83"/>
        <v>0</v>
      </c>
      <c r="CI215">
        <f t="shared" si="84"/>
        <v>0</v>
      </c>
      <c r="CJ215">
        <f t="shared" si="85"/>
        <v>0</v>
      </c>
      <c r="CK215">
        <f t="shared" si="86"/>
        <v>0</v>
      </c>
      <c r="CL215">
        <f t="shared" si="87"/>
        <v>0</v>
      </c>
      <c r="CM215">
        <f t="shared" si="89"/>
        <v>0</v>
      </c>
      <c r="CN215">
        <f t="shared" si="88"/>
        <v>0</v>
      </c>
      <c r="CO215">
        <f t="shared" si="72"/>
        <v>0</v>
      </c>
    </row>
    <row r="216" spans="1:93" s="12" customFormat="1" ht="14.45" customHeight="1" x14ac:dyDescent="0.25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10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+VLOOKUP(G216,Liste!$A$7:$G$69,3,FALSE)</f>
        <v>Pin sylvestre</v>
      </c>
      <c r="BI216" s="96" t="str">
        <f>+VLOOKUP(H216,Liste!$B$7:$G$69,5,FALSE)</f>
        <v>GS Pineraies des plaines du Centre et du Nord Ouest</v>
      </c>
      <c r="BJ216" s="135">
        <f t="shared" si="71"/>
        <v>62</v>
      </c>
      <c r="BK216" s="135" t="str">
        <f t="shared" si="73"/>
        <v>Pin sylvestre_F2_Eclaircie tardive_GS Pineraies des plaines du Centre et du Nord Ouest_62_</v>
      </c>
      <c r="BL216" s="319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97" t="str">
        <f>+VLOOKUP(G216,Liste!$A$7:$H$69,8,FALSE)</f>
        <v>Résineux</v>
      </c>
      <c r="BU216" s="297">
        <f t="shared" si="74"/>
        <v>0</v>
      </c>
      <c r="BV216" s="299">
        <f t="shared" si="75"/>
        <v>1</v>
      </c>
      <c r="BW216" s="318">
        <v>0</v>
      </c>
      <c r="BX216" s="297">
        <f t="shared" si="76"/>
        <v>0.43</v>
      </c>
      <c r="BY216">
        <f t="shared" si="77"/>
        <v>0</v>
      </c>
      <c r="BZ216" s="303">
        <f t="shared" si="78"/>
        <v>0</v>
      </c>
      <c r="CB216" s="298">
        <v>0.6</v>
      </c>
      <c r="CC216" s="298">
        <v>0.4</v>
      </c>
      <c r="CD216">
        <f t="shared" si="79"/>
        <v>0</v>
      </c>
      <c r="CE216">
        <f t="shared" si="80"/>
        <v>0</v>
      </c>
      <c r="CF216">
        <f t="shared" si="81"/>
        <v>0</v>
      </c>
      <c r="CG216">
        <f t="shared" si="82"/>
        <v>0</v>
      </c>
      <c r="CH216">
        <f t="shared" si="83"/>
        <v>0</v>
      </c>
      <c r="CI216">
        <f t="shared" si="84"/>
        <v>0</v>
      </c>
      <c r="CJ216">
        <f t="shared" si="85"/>
        <v>0</v>
      </c>
      <c r="CK216">
        <f t="shared" si="86"/>
        <v>0</v>
      </c>
      <c r="CL216">
        <f t="shared" si="87"/>
        <v>0</v>
      </c>
      <c r="CM216">
        <f t="shared" si="89"/>
        <v>0</v>
      </c>
      <c r="CN216">
        <f t="shared" si="88"/>
        <v>0</v>
      </c>
      <c r="CO216">
        <f t="shared" si="72"/>
        <v>0</v>
      </c>
    </row>
    <row r="217" spans="1:93" s="12" customFormat="1" ht="14.45" customHeight="1" x14ac:dyDescent="0.25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+VLOOKUP(G217,Liste!$A$7:$G$69,3,FALSE)</f>
        <v>Pin sylvestre</v>
      </c>
      <c r="BI217" s="96" t="str">
        <f>+VLOOKUP(H217,Liste!$B$7:$G$69,5,FALSE)</f>
        <v>GS Pineraies des plaines du Centre et du Nord Ouest</v>
      </c>
      <c r="BJ217" s="135">
        <f t="shared" si="71"/>
        <v>62</v>
      </c>
      <c r="BK217" s="135" t="str">
        <f t="shared" si="73"/>
        <v>Pin sylvestre_F2_Eclaircie tardive_GS Pineraies des plaines du Centre et du Nord Ouest_62_</v>
      </c>
      <c r="BL217" s="319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97" t="str">
        <f>+VLOOKUP(G217,Liste!$A$7:$H$69,8,FALSE)</f>
        <v>Résineux</v>
      </c>
      <c r="BU217" s="297">
        <f t="shared" si="74"/>
        <v>0</v>
      </c>
      <c r="BV217" s="299">
        <f t="shared" si="75"/>
        <v>1</v>
      </c>
      <c r="BW217" s="318">
        <v>0</v>
      </c>
      <c r="BX217" s="297">
        <f t="shared" si="76"/>
        <v>0.43</v>
      </c>
      <c r="BY217">
        <f t="shared" si="77"/>
        <v>0</v>
      </c>
      <c r="BZ217" s="303">
        <f t="shared" si="78"/>
        <v>0</v>
      </c>
      <c r="CB217" s="298">
        <v>0.6</v>
      </c>
      <c r="CC217" s="298">
        <v>0.4</v>
      </c>
      <c r="CD217">
        <f t="shared" si="79"/>
        <v>0</v>
      </c>
      <c r="CE217">
        <f t="shared" si="80"/>
        <v>0</v>
      </c>
      <c r="CF217">
        <f t="shared" si="81"/>
        <v>0</v>
      </c>
      <c r="CG217">
        <f t="shared" si="82"/>
        <v>0</v>
      </c>
      <c r="CH217">
        <f t="shared" si="83"/>
        <v>0</v>
      </c>
      <c r="CI217">
        <f t="shared" si="84"/>
        <v>0</v>
      </c>
      <c r="CJ217">
        <f t="shared" si="85"/>
        <v>0</v>
      </c>
      <c r="CK217">
        <f t="shared" si="86"/>
        <v>0</v>
      </c>
      <c r="CL217">
        <f t="shared" si="87"/>
        <v>0</v>
      </c>
      <c r="CM217">
        <f t="shared" si="89"/>
        <v>0</v>
      </c>
      <c r="CN217">
        <f t="shared" si="88"/>
        <v>0</v>
      </c>
      <c r="CO217">
        <f t="shared" si="72"/>
        <v>0</v>
      </c>
    </row>
    <row r="218" spans="1:93" s="12" customFormat="1" ht="14.45" customHeight="1" x14ac:dyDescent="0.25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10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+VLOOKUP(G218,Liste!$A$7:$G$69,3,FALSE)</f>
        <v>Pin sylvestre</v>
      </c>
      <c r="BI218" s="96" t="str">
        <f>+VLOOKUP(H218,Liste!$B$7:$G$69,5,FALSE)</f>
        <v>GS Pineraies des plaines du Centre et du Nord Ouest</v>
      </c>
      <c r="BJ218" s="135">
        <f t="shared" si="71"/>
        <v>63</v>
      </c>
      <c r="BK218" s="135" t="str">
        <f t="shared" si="73"/>
        <v>Pin sylvestre_F2_Eclaircie tardive_GS Pineraies des plaines du Centre et du Nord Ouest_63_</v>
      </c>
      <c r="BL218" s="319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97" t="str">
        <f>+VLOOKUP(G218,Liste!$A$7:$H$69,8,FALSE)</f>
        <v>Résineux</v>
      </c>
      <c r="BU218" s="297">
        <f t="shared" si="74"/>
        <v>0</v>
      </c>
      <c r="BV218" s="299">
        <f t="shared" si="75"/>
        <v>1</v>
      </c>
      <c r="BW218" s="318">
        <v>0</v>
      </c>
      <c r="BX218" s="297">
        <f t="shared" si="76"/>
        <v>0.43</v>
      </c>
      <c r="BY218">
        <f t="shared" si="77"/>
        <v>0</v>
      </c>
      <c r="BZ218" s="303">
        <f t="shared" si="78"/>
        <v>0</v>
      </c>
      <c r="CB218" s="298">
        <v>0.6</v>
      </c>
      <c r="CC218" s="298">
        <v>0.4</v>
      </c>
      <c r="CD218">
        <f t="shared" si="79"/>
        <v>0</v>
      </c>
      <c r="CE218">
        <f t="shared" si="80"/>
        <v>0</v>
      </c>
      <c r="CF218">
        <f t="shared" si="81"/>
        <v>0</v>
      </c>
      <c r="CG218">
        <f t="shared" si="82"/>
        <v>0</v>
      </c>
      <c r="CH218">
        <f t="shared" si="83"/>
        <v>0</v>
      </c>
      <c r="CI218">
        <f t="shared" si="84"/>
        <v>0</v>
      </c>
      <c r="CJ218">
        <f t="shared" si="85"/>
        <v>0</v>
      </c>
      <c r="CK218">
        <f t="shared" si="86"/>
        <v>0</v>
      </c>
      <c r="CL218">
        <f t="shared" si="87"/>
        <v>0</v>
      </c>
      <c r="CM218">
        <f t="shared" si="89"/>
        <v>0</v>
      </c>
      <c r="CN218">
        <f t="shared" si="88"/>
        <v>0</v>
      </c>
      <c r="CO218">
        <f t="shared" si="72"/>
        <v>0</v>
      </c>
    </row>
    <row r="219" spans="1:93" s="12" customFormat="1" ht="14.45" customHeight="1" x14ac:dyDescent="0.25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10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+VLOOKUP(G219,Liste!$A$7:$G$69,3,FALSE)</f>
        <v>Pin sylvestre</v>
      </c>
      <c r="BI219" s="96" t="str">
        <f>+VLOOKUP(H219,Liste!$B$7:$G$69,5,FALSE)</f>
        <v>GS Pineraies des plaines du Centre et du Nord Ouest</v>
      </c>
      <c r="BJ219" s="135">
        <f t="shared" si="71"/>
        <v>64</v>
      </c>
      <c r="BK219" s="135" t="str">
        <f t="shared" si="73"/>
        <v>Pin sylvestre_F2_Eclaircie tardive_GS Pineraies des plaines du Centre et du Nord Ouest_64_</v>
      </c>
      <c r="BL219" s="319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97" t="str">
        <f>+VLOOKUP(G219,Liste!$A$7:$H$69,8,FALSE)</f>
        <v>Résineux</v>
      </c>
      <c r="BU219" s="297">
        <f t="shared" si="74"/>
        <v>0</v>
      </c>
      <c r="BV219" s="299">
        <f t="shared" si="75"/>
        <v>1</v>
      </c>
      <c r="BW219" s="318">
        <v>0</v>
      </c>
      <c r="BX219" s="297">
        <f t="shared" si="76"/>
        <v>0.43</v>
      </c>
      <c r="BY219">
        <f t="shared" si="77"/>
        <v>0</v>
      </c>
      <c r="BZ219" s="303">
        <f t="shared" si="78"/>
        <v>0</v>
      </c>
      <c r="CB219" s="298">
        <v>0.6</v>
      </c>
      <c r="CC219" s="298">
        <v>0.4</v>
      </c>
      <c r="CD219">
        <f t="shared" si="79"/>
        <v>0</v>
      </c>
      <c r="CE219">
        <f t="shared" si="80"/>
        <v>0</v>
      </c>
      <c r="CF219">
        <f t="shared" si="81"/>
        <v>0</v>
      </c>
      <c r="CG219">
        <f t="shared" si="82"/>
        <v>0</v>
      </c>
      <c r="CH219">
        <f t="shared" si="83"/>
        <v>0</v>
      </c>
      <c r="CI219">
        <f t="shared" si="84"/>
        <v>0</v>
      </c>
      <c r="CJ219">
        <f t="shared" si="85"/>
        <v>0</v>
      </c>
      <c r="CK219">
        <f t="shared" si="86"/>
        <v>0</v>
      </c>
      <c r="CL219">
        <f t="shared" si="87"/>
        <v>0</v>
      </c>
      <c r="CM219">
        <f t="shared" si="89"/>
        <v>0</v>
      </c>
      <c r="CN219">
        <f t="shared" si="88"/>
        <v>0</v>
      </c>
      <c r="CO219">
        <f t="shared" si="72"/>
        <v>0</v>
      </c>
    </row>
    <row r="220" spans="1:93" s="12" customFormat="1" ht="14.45" customHeight="1" x14ac:dyDescent="0.25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10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+VLOOKUP(G220,Liste!$A$7:$G$69,3,FALSE)</f>
        <v>Pin sylvestre</v>
      </c>
      <c r="BI220" s="96" t="str">
        <f>+VLOOKUP(H220,Liste!$B$7:$G$69,5,FALSE)</f>
        <v>GS Pineraies des plaines du Centre et du Nord Ouest</v>
      </c>
      <c r="BJ220" s="135">
        <f t="shared" si="71"/>
        <v>65</v>
      </c>
      <c r="BK220" s="135" t="str">
        <f t="shared" si="73"/>
        <v>Pin sylvestre_F2_Eclaircie tardive_GS Pineraies des plaines du Centre et du Nord Ouest_65_</v>
      </c>
      <c r="BL220" s="319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97" t="str">
        <f>+VLOOKUP(G220,Liste!$A$7:$H$69,8,FALSE)</f>
        <v>Résineux</v>
      </c>
      <c r="BU220" s="297">
        <f t="shared" si="74"/>
        <v>0</v>
      </c>
      <c r="BV220" s="299">
        <f t="shared" si="75"/>
        <v>1</v>
      </c>
      <c r="BW220" s="318">
        <v>0</v>
      </c>
      <c r="BX220" s="297">
        <f t="shared" si="76"/>
        <v>0.43</v>
      </c>
      <c r="BY220">
        <f t="shared" si="77"/>
        <v>0</v>
      </c>
      <c r="BZ220" s="303">
        <f t="shared" si="78"/>
        <v>0</v>
      </c>
      <c r="CB220" s="298">
        <v>0.6</v>
      </c>
      <c r="CC220" s="298">
        <v>0.4</v>
      </c>
      <c r="CD220">
        <f t="shared" si="79"/>
        <v>0</v>
      </c>
      <c r="CE220">
        <f t="shared" si="80"/>
        <v>0</v>
      </c>
      <c r="CF220">
        <f t="shared" si="81"/>
        <v>0</v>
      </c>
      <c r="CG220">
        <f t="shared" si="82"/>
        <v>0</v>
      </c>
      <c r="CH220">
        <f t="shared" si="83"/>
        <v>0</v>
      </c>
      <c r="CI220">
        <f t="shared" si="84"/>
        <v>0</v>
      </c>
      <c r="CJ220">
        <f t="shared" si="85"/>
        <v>0</v>
      </c>
      <c r="CK220">
        <f t="shared" si="86"/>
        <v>0</v>
      </c>
      <c r="CL220">
        <f t="shared" si="87"/>
        <v>0</v>
      </c>
      <c r="CM220">
        <f t="shared" si="89"/>
        <v>0</v>
      </c>
      <c r="CN220">
        <f t="shared" si="88"/>
        <v>0</v>
      </c>
      <c r="CO220">
        <f t="shared" si="72"/>
        <v>0</v>
      </c>
    </row>
    <row r="221" spans="1:93" s="12" customFormat="1" ht="14.45" customHeight="1" x14ac:dyDescent="0.25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10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+VLOOKUP(G221,Liste!$A$7:$G$69,3,FALSE)</f>
        <v>Pin sylvestre</v>
      </c>
      <c r="BI221" s="96" t="str">
        <f>+VLOOKUP(H221,Liste!$B$7:$G$69,5,FALSE)</f>
        <v>GS Pineraies des plaines du Centre et du Nord Ouest</v>
      </c>
      <c r="BJ221" s="135">
        <f t="shared" si="71"/>
        <v>66</v>
      </c>
      <c r="BK221" s="135" t="str">
        <f t="shared" si="73"/>
        <v>Pin sylvestre_F2_Eclaircie tardive_GS Pineraies des plaines du Centre et du Nord Ouest_66_</v>
      </c>
      <c r="BL221" s="319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97" t="str">
        <f>+VLOOKUP(G221,Liste!$A$7:$H$69,8,FALSE)</f>
        <v>Résineux</v>
      </c>
      <c r="BU221" s="297">
        <f t="shared" si="74"/>
        <v>0</v>
      </c>
      <c r="BV221" s="299">
        <f t="shared" si="75"/>
        <v>1</v>
      </c>
      <c r="BW221" s="318">
        <v>0</v>
      </c>
      <c r="BX221" s="297">
        <f t="shared" si="76"/>
        <v>0.43</v>
      </c>
      <c r="BY221">
        <f t="shared" si="77"/>
        <v>0</v>
      </c>
      <c r="BZ221" s="303">
        <f t="shared" si="78"/>
        <v>0</v>
      </c>
      <c r="CB221" s="298">
        <v>0.6</v>
      </c>
      <c r="CC221" s="298">
        <v>0.4</v>
      </c>
      <c r="CD221">
        <f t="shared" si="79"/>
        <v>0</v>
      </c>
      <c r="CE221">
        <f t="shared" si="80"/>
        <v>0</v>
      </c>
      <c r="CF221">
        <f t="shared" si="81"/>
        <v>0</v>
      </c>
      <c r="CG221">
        <f t="shared" si="82"/>
        <v>0</v>
      </c>
      <c r="CH221">
        <f t="shared" si="83"/>
        <v>0</v>
      </c>
      <c r="CI221">
        <f t="shared" si="84"/>
        <v>0</v>
      </c>
      <c r="CJ221">
        <f t="shared" si="85"/>
        <v>0</v>
      </c>
      <c r="CK221">
        <f t="shared" si="86"/>
        <v>0</v>
      </c>
      <c r="CL221">
        <f t="shared" si="87"/>
        <v>0</v>
      </c>
      <c r="CM221">
        <f t="shared" si="89"/>
        <v>0</v>
      </c>
      <c r="CN221">
        <f t="shared" si="88"/>
        <v>0</v>
      </c>
      <c r="CO221">
        <f t="shared" si="72"/>
        <v>0</v>
      </c>
    </row>
    <row r="222" spans="1:93" s="12" customFormat="1" ht="14.45" customHeight="1" x14ac:dyDescent="0.25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10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+VLOOKUP(G222,Liste!$A$7:$G$69,3,FALSE)</f>
        <v>Pin sylvestre</v>
      </c>
      <c r="BI222" s="96" t="str">
        <f>+VLOOKUP(H222,Liste!$B$7:$G$69,5,FALSE)</f>
        <v>GS Pineraies des plaines du Centre et du Nord Ouest</v>
      </c>
      <c r="BJ222" s="135">
        <f t="shared" si="71"/>
        <v>67</v>
      </c>
      <c r="BK222" s="135" t="str">
        <f t="shared" si="73"/>
        <v>Pin sylvestre_F2_Eclaircie tardive_GS Pineraies des plaines du Centre et du Nord Ouest_67_</v>
      </c>
      <c r="BL222" s="319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97" t="str">
        <f>+VLOOKUP(G222,Liste!$A$7:$H$69,8,FALSE)</f>
        <v>Résineux</v>
      </c>
      <c r="BU222" s="297">
        <f t="shared" si="74"/>
        <v>0</v>
      </c>
      <c r="BV222" s="299">
        <f t="shared" si="75"/>
        <v>1</v>
      </c>
      <c r="BW222" s="318">
        <v>0</v>
      </c>
      <c r="BX222" s="297">
        <f t="shared" si="76"/>
        <v>0.43</v>
      </c>
      <c r="BY222">
        <f t="shared" si="77"/>
        <v>0</v>
      </c>
      <c r="BZ222" s="303">
        <f t="shared" si="78"/>
        <v>0</v>
      </c>
      <c r="CB222" s="298">
        <v>0.6</v>
      </c>
      <c r="CC222" s="298">
        <v>0.4</v>
      </c>
      <c r="CD222">
        <f t="shared" si="79"/>
        <v>0</v>
      </c>
      <c r="CE222">
        <f t="shared" si="80"/>
        <v>0</v>
      </c>
      <c r="CF222">
        <f t="shared" si="81"/>
        <v>0</v>
      </c>
      <c r="CG222">
        <f t="shared" si="82"/>
        <v>0</v>
      </c>
      <c r="CH222">
        <f t="shared" si="83"/>
        <v>0</v>
      </c>
      <c r="CI222">
        <f t="shared" si="84"/>
        <v>0</v>
      </c>
      <c r="CJ222">
        <f t="shared" si="85"/>
        <v>0</v>
      </c>
      <c r="CK222">
        <f t="shared" si="86"/>
        <v>0</v>
      </c>
      <c r="CL222">
        <f t="shared" si="87"/>
        <v>0</v>
      </c>
      <c r="CM222">
        <f t="shared" si="89"/>
        <v>0</v>
      </c>
      <c r="CN222">
        <f t="shared" si="88"/>
        <v>0</v>
      </c>
      <c r="CO222">
        <f t="shared" si="72"/>
        <v>0</v>
      </c>
    </row>
    <row r="223" spans="1:93" s="12" customFormat="1" ht="14.45" customHeight="1" x14ac:dyDescent="0.25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10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+VLOOKUP(G223,Liste!$A$7:$G$69,3,FALSE)</f>
        <v>Pin sylvestre</v>
      </c>
      <c r="BI223" s="96" t="str">
        <f>+VLOOKUP(H223,Liste!$B$7:$G$69,5,FALSE)</f>
        <v>GS Pineraies des plaines du Centre et du Nord Ouest</v>
      </c>
      <c r="BJ223" s="135">
        <f t="shared" si="71"/>
        <v>68</v>
      </c>
      <c r="BK223" s="135" t="str">
        <f t="shared" si="73"/>
        <v>Pin sylvestre_F2_Eclaircie tardive_GS Pineraies des plaines du Centre et du Nord Ouest_68_</v>
      </c>
      <c r="BL223" s="319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97" t="str">
        <f>+VLOOKUP(G223,Liste!$A$7:$H$69,8,FALSE)</f>
        <v>Résineux</v>
      </c>
      <c r="BU223" s="297">
        <f t="shared" si="74"/>
        <v>0</v>
      </c>
      <c r="BV223" s="299">
        <f t="shared" si="75"/>
        <v>1</v>
      </c>
      <c r="BW223" s="318">
        <v>0</v>
      </c>
      <c r="BX223" s="297">
        <f t="shared" si="76"/>
        <v>0.43</v>
      </c>
      <c r="BY223">
        <f t="shared" si="77"/>
        <v>0</v>
      </c>
      <c r="BZ223" s="303">
        <f t="shared" si="78"/>
        <v>0</v>
      </c>
      <c r="CB223" s="298">
        <v>0.6</v>
      </c>
      <c r="CC223" s="298">
        <v>0.4</v>
      </c>
      <c r="CD223">
        <f t="shared" si="79"/>
        <v>0</v>
      </c>
      <c r="CE223">
        <f t="shared" si="80"/>
        <v>0</v>
      </c>
      <c r="CF223">
        <f t="shared" si="81"/>
        <v>0</v>
      </c>
      <c r="CG223">
        <f t="shared" si="82"/>
        <v>0</v>
      </c>
      <c r="CH223">
        <f t="shared" si="83"/>
        <v>0</v>
      </c>
      <c r="CI223">
        <f t="shared" si="84"/>
        <v>0</v>
      </c>
      <c r="CJ223">
        <f t="shared" si="85"/>
        <v>0</v>
      </c>
      <c r="CK223">
        <f t="shared" si="86"/>
        <v>0</v>
      </c>
      <c r="CL223">
        <f t="shared" si="87"/>
        <v>0</v>
      </c>
      <c r="CM223">
        <f t="shared" si="89"/>
        <v>0</v>
      </c>
      <c r="CN223">
        <f t="shared" si="88"/>
        <v>0</v>
      </c>
      <c r="CO223">
        <f t="shared" si="72"/>
        <v>0</v>
      </c>
    </row>
    <row r="224" spans="1:93" s="12" customFormat="1" ht="14.45" customHeight="1" x14ac:dyDescent="0.25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10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+VLOOKUP(G224,Liste!$A$7:$G$69,3,FALSE)</f>
        <v>Pin sylvestre</v>
      </c>
      <c r="BI224" s="96" t="str">
        <f>+VLOOKUP(H224,Liste!$B$7:$G$69,5,FALSE)</f>
        <v>GS Pineraies des plaines du Centre et du Nord Ouest</v>
      </c>
      <c r="BJ224" s="135">
        <f t="shared" si="71"/>
        <v>69</v>
      </c>
      <c r="BK224" s="135" t="str">
        <f t="shared" si="73"/>
        <v>Pin sylvestre_F2_Eclaircie tardive_GS Pineraies des plaines du Centre et du Nord Ouest_69_</v>
      </c>
      <c r="BL224" s="319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97" t="str">
        <f>+VLOOKUP(G224,Liste!$A$7:$H$69,8,FALSE)</f>
        <v>Résineux</v>
      </c>
      <c r="BU224" s="297">
        <f t="shared" si="74"/>
        <v>0</v>
      </c>
      <c r="BV224" s="299">
        <f t="shared" si="75"/>
        <v>1</v>
      </c>
      <c r="BW224" s="318">
        <v>0</v>
      </c>
      <c r="BX224" s="297">
        <f t="shared" si="76"/>
        <v>0.43</v>
      </c>
      <c r="BY224">
        <f t="shared" si="77"/>
        <v>0</v>
      </c>
      <c r="BZ224" s="303">
        <f t="shared" si="78"/>
        <v>0</v>
      </c>
      <c r="CB224" s="298">
        <v>0.6</v>
      </c>
      <c r="CC224" s="298">
        <v>0.4</v>
      </c>
      <c r="CD224">
        <f t="shared" si="79"/>
        <v>0</v>
      </c>
      <c r="CE224">
        <f t="shared" si="80"/>
        <v>0</v>
      </c>
      <c r="CF224">
        <f t="shared" si="81"/>
        <v>0</v>
      </c>
      <c r="CG224">
        <f t="shared" si="82"/>
        <v>0</v>
      </c>
      <c r="CH224">
        <f t="shared" si="83"/>
        <v>0</v>
      </c>
      <c r="CI224">
        <f t="shared" si="84"/>
        <v>0</v>
      </c>
      <c r="CJ224">
        <f t="shared" si="85"/>
        <v>0</v>
      </c>
      <c r="CK224">
        <f t="shared" si="86"/>
        <v>0</v>
      </c>
      <c r="CL224">
        <f t="shared" si="87"/>
        <v>0</v>
      </c>
      <c r="CM224">
        <f t="shared" si="89"/>
        <v>0</v>
      </c>
      <c r="CN224">
        <f t="shared" si="88"/>
        <v>0</v>
      </c>
      <c r="CO224">
        <f t="shared" si="72"/>
        <v>0</v>
      </c>
    </row>
    <row r="225" spans="1:93" s="12" customFormat="1" ht="14.45" customHeight="1" x14ac:dyDescent="0.25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10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+VLOOKUP(G225,Liste!$A$7:$G$69,3,FALSE)</f>
        <v>Pin sylvestre</v>
      </c>
      <c r="BI225" s="96" t="str">
        <f>+VLOOKUP(H225,Liste!$B$7:$G$69,5,FALSE)</f>
        <v>GS Pineraies des plaines du Centre et du Nord Ouest</v>
      </c>
      <c r="BJ225" s="135">
        <f t="shared" si="71"/>
        <v>70</v>
      </c>
      <c r="BK225" s="135" t="str">
        <f t="shared" si="73"/>
        <v>Pin sylvestre_F2_Eclaircie tardive_GS Pineraies des plaines du Centre et du Nord Ouest_70_</v>
      </c>
      <c r="BL225" s="319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97" t="str">
        <f>+VLOOKUP(G225,Liste!$A$7:$H$69,8,FALSE)</f>
        <v>Résineux</v>
      </c>
      <c r="BU225" s="297">
        <f t="shared" si="74"/>
        <v>0</v>
      </c>
      <c r="BV225" s="299">
        <f t="shared" si="75"/>
        <v>1</v>
      </c>
      <c r="BW225" s="318">
        <v>0</v>
      </c>
      <c r="BX225" s="297">
        <f t="shared" si="76"/>
        <v>0.43</v>
      </c>
      <c r="BY225">
        <f t="shared" si="77"/>
        <v>0</v>
      </c>
      <c r="BZ225" s="303">
        <f t="shared" si="78"/>
        <v>0</v>
      </c>
      <c r="CB225" s="298">
        <v>0.6</v>
      </c>
      <c r="CC225" s="298">
        <v>0.4</v>
      </c>
      <c r="CD225">
        <f t="shared" si="79"/>
        <v>0</v>
      </c>
      <c r="CE225">
        <f t="shared" si="80"/>
        <v>0</v>
      </c>
      <c r="CF225">
        <f t="shared" si="81"/>
        <v>0</v>
      </c>
      <c r="CG225">
        <f t="shared" si="82"/>
        <v>0</v>
      </c>
      <c r="CH225">
        <f t="shared" si="83"/>
        <v>0</v>
      </c>
      <c r="CI225">
        <f t="shared" si="84"/>
        <v>0</v>
      </c>
      <c r="CJ225">
        <f t="shared" si="85"/>
        <v>0</v>
      </c>
      <c r="CK225">
        <f t="shared" si="86"/>
        <v>0</v>
      </c>
      <c r="CL225">
        <f t="shared" si="87"/>
        <v>0</v>
      </c>
      <c r="CM225">
        <f t="shared" si="89"/>
        <v>0</v>
      </c>
      <c r="CN225">
        <f t="shared" si="88"/>
        <v>0</v>
      </c>
      <c r="CO225">
        <f t="shared" si="72"/>
        <v>0</v>
      </c>
    </row>
    <row r="226" spans="1:93" s="12" customFormat="1" ht="14.45" customHeight="1" x14ac:dyDescent="0.25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10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+VLOOKUP(G226,Liste!$A$7:$G$69,3,FALSE)</f>
        <v>Pin sylvestre</v>
      </c>
      <c r="BI226" s="96" t="str">
        <f>+VLOOKUP(H226,Liste!$B$7:$G$69,5,FALSE)</f>
        <v>GS Pineraies des plaines du Centre et du Nord Ouest</v>
      </c>
      <c r="BJ226" s="135">
        <f t="shared" si="71"/>
        <v>71</v>
      </c>
      <c r="BK226" s="135" t="str">
        <f t="shared" si="73"/>
        <v>Pin sylvestre_F2_Eclaircie tardive_GS Pineraies des plaines du Centre et du Nord Ouest_71_</v>
      </c>
      <c r="BL226" s="319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97" t="str">
        <f>+VLOOKUP(G226,Liste!$A$7:$H$69,8,FALSE)</f>
        <v>Résineux</v>
      </c>
      <c r="BU226" s="297">
        <f t="shared" si="74"/>
        <v>0</v>
      </c>
      <c r="BV226" s="299">
        <f t="shared" si="75"/>
        <v>1</v>
      </c>
      <c r="BW226" s="318">
        <v>0</v>
      </c>
      <c r="BX226" s="297">
        <f t="shared" si="76"/>
        <v>0.43</v>
      </c>
      <c r="BY226">
        <f t="shared" si="77"/>
        <v>0</v>
      </c>
      <c r="BZ226" s="303">
        <f t="shared" si="78"/>
        <v>0</v>
      </c>
      <c r="CB226" s="298">
        <v>0.6</v>
      </c>
      <c r="CC226" s="298">
        <v>0.4</v>
      </c>
      <c r="CD226">
        <f t="shared" si="79"/>
        <v>0</v>
      </c>
      <c r="CE226">
        <f t="shared" si="80"/>
        <v>0</v>
      </c>
      <c r="CF226">
        <f t="shared" si="81"/>
        <v>0</v>
      </c>
      <c r="CG226">
        <f t="shared" si="82"/>
        <v>0</v>
      </c>
      <c r="CH226">
        <f t="shared" si="83"/>
        <v>0</v>
      </c>
      <c r="CI226">
        <f t="shared" si="84"/>
        <v>0</v>
      </c>
      <c r="CJ226">
        <f t="shared" si="85"/>
        <v>0</v>
      </c>
      <c r="CK226">
        <f t="shared" si="86"/>
        <v>0</v>
      </c>
      <c r="CL226">
        <f t="shared" si="87"/>
        <v>0</v>
      </c>
      <c r="CM226">
        <f t="shared" si="89"/>
        <v>0</v>
      </c>
      <c r="CN226">
        <f t="shared" si="88"/>
        <v>0</v>
      </c>
      <c r="CO226">
        <f t="shared" si="72"/>
        <v>0</v>
      </c>
    </row>
    <row r="227" spans="1:93" s="12" customFormat="1" ht="14.45" customHeight="1" x14ac:dyDescent="0.25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10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+VLOOKUP(G227,Liste!$A$7:$G$69,3,FALSE)</f>
        <v>Pin sylvestre</v>
      </c>
      <c r="BI227" s="96" t="str">
        <f>+VLOOKUP(H227,Liste!$B$7:$G$69,5,FALSE)</f>
        <v>GS Pineraies des plaines du Centre et du Nord Ouest</v>
      </c>
      <c r="BJ227" s="135">
        <f t="shared" si="71"/>
        <v>72</v>
      </c>
      <c r="BK227" s="135" t="str">
        <f t="shared" si="73"/>
        <v>Pin sylvestre_F2_Eclaircie tardive_GS Pineraies des plaines du Centre et du Nord Ouest_72_</v>
      </c>
      <c r="BL227" s="319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97" t="str">
        <f>+VLOOKUP(G227,Liste!$A$7:$H$69,8,FALSE)</f>
        <v>Résineux</v>
      </c>
      <c r="BU227" s="297">
        <f t="shared" si="74"/>
        <v>0</v>
      </c>
      <c r="BV227" s="299">
        <f t="shared" si="75"/>
        <v>1</v>
      </c>
      <c r="BW227" s="318">
        <v>0</v>
      </c>
      <c r="BX227" s="297">
        <f t="shared" si="76"/>
        <v>0.43</v>
      </c>
      <c r="BY227">
        <f t="shared" si="77"/>
        <v>0</v>
      </c>
      <c r="BZ227" s="303">
        <f t="shared" si="78"/>
        <v>0</v>
      </c>
      <c r="CB227" s="298">
        <v>0.6</v>
      </c>
      <c r="CC227" s="298">
        <v>0.4</v>
      </c>
      <c r="CD227">
        <f t="shared" si="79"/>
        <v>0</v>
      </c>
      <c r="CE227">
        <f t="shared" si="80"/>
        <v>0</v>
      </c>
      <c r="CF227">
        <f t="shared" si="81"/>
        <v>0</v>
      </c>
      <c r="CG227">
        <f t="shared" si="82"/>
        <v>0</v>
      </c>
      <c r="CH227">
        <f t="shared" si="83"/>
        <v>0</v>
      </c>
      <c r="CI227">
        <f t="shared" si="84"/>
        <v>0</v>
      </c>
      <c r="CJ227">
        <f t="shared" si="85"/>
        <v>0</v>
      </c>
      <c r="CK227">
        <f t="shared" si="86"/>
        <v>0</v>
      </c>
      <c r="CL227">
        <f t="shared" si="87"/>
        <v>0</v>
      </c>
      <c r="CM227">
        <f t="shared" si="89"/>
        <v>0</v>
      </c>
      <c r="CN227">
        <f t="shared" si="88"/>
        <v>0</v>
      </c>
      <c r="CO227">
        <f t="shared" si="72"/>
        <v>0</v>
      </c>
    </row>
    <row r="228" spans="1:93" s="12" customFormat="1" ht="14.45" customHeight="1" x14ac:dyDescent="0.25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+VLOOKUP(G228,Liste!$A$7:$G$69,3,FALSE)</f>
        <v>Pin sylvestre</v>
      </c>
      <c r="BI228" s="96" t="str">
        <f>+VLOOKUP(H228,Liste!$B$7:$G$69,5,FALSE)</f>
        <v>GS Pineraies des plaines du Centre et du Nord Ouest</v>
      </c>
      <c r="BJ228" s="135">
        <f t="shared" si="71"/>
        <v>72</v>
      </c>
      <c r="BK228" s="135" t="str">
        <f t="shared" si="73"/>
        <v>Pin sylvestre_F2_Eclaircie tardive_GS Pineraies des plaines du Centre et du Nord Ouest_72_</v>
      </c>
      <c r="BL228" s="319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97" t="str">
        <f>+VLOOKUP(G228,Liste!$A$7:$H$69,8,FALSE)</f>
        <v>Résineux</v>
      </c>
      <c r="BU228" s="297">
        <f t="shared" si="74"/>
        <v>0</v>
      </c>
      <c r="BV228" s="299">
        <f t="shared" si="75"/>
        <v>1</v>
      </c>
      <c r="BW228" s="318">
        <v>0</v>
      </c>
      <c r="BX228" s="297">
        <f t="shared" si="76"/>
        <v>0.43</v>
      </c>
      <c r="BY228">
        <f t="shared" si="77"/>
        <v>0</v>
      </c>
      <c r="BZ228" s="303">
        <f t="shared" si="78"/>
        <v>0</v>
      </c>
      <c r="CB228" s="298">
        <v>0.6</v>
      </c>
      <c r="CC228" s="298">
        <v>0.4</v>
      </c>
      <c r="CD228">
        <f t="shared" si="79"/>
        <v>0</v>
      </c>
      <c r="CE228">
        <f t="shared" si="80"/>
        <v>0</v>
      </c>
      <c r="CF228">
        <f t="shared" si="81"/>
        <v>0</v>
      </c>
      <c r="CG228">
        <f t="shared" si="82"/>
        <v>0</v>
      </c>
      <c r="CH228">
        <f t="shared" si="83"/>
        <v>0</v>
      </c>
      <c r="CI228">
        <f t="shared" si="84"/>
        <v>0</v>
      </c>
      <c r="CJ228">
        <f t="shared" si="85"/>
        <v>0</v>
      </c>
      <c r="CK228">
        <f t="shared" si="86"/>
        <v>0</v>
      </c>
      <c r="CL228">
        <f t="shared" si="87"/>
        <v>0</v>
      </c>
      <c r="CM228">
        <f t="shared" si="89"/>
        <v>0</v>
      </c>
      <c r="CN228">
        <f t="shared" si="88"/>
        <v>0</v>
      </c>
      <c r="CO228">
        <f t="shared" si="72"/>
        <v>0</v>
      </c>
    </row>
    <row r="229" spans="1:93" s="12" customFormat="1" ht="14.45" customHeight="1" x14ac:dyDescent="0.25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10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+VLOOKUP(G229,Liste!$A$7:$G$69,3,FALSE)</f>
        <v>Pin sylvestre</v>
      </c>
      <c r="BI229" s="96" t="str">
        <f>+VLOOKUP(H229,Liste!$B$7:$G$69,5,FALSE)</f>
        <v>GS Pineraies des plaines du Centre et du Nord Ouest</v>
      </c>
      <c r="BJ229" s="135">
        <f t="shared" si="71"/>
        <v>73</v>
      </c>
      <c r="BK229" s="135" t="str">
        <f t="shared" si="73"/>
        <v>Pin sylvestre_F2_Eclaircie tardive_GS Pineraies des plaines du Centre et du Nord Ouest_73_</v>
      </c>
      <c r="BL229" s="319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97" t="str">
        <f>+VLOOKUP(G229,Liste!$A$7:$H$69,8,FALSE)</f>
        <v>Résineux</v>
      </c>
      <c r="BU229" s="297">
        <f t="shared" si="74"/>
        <v>0</v>
      </c>
      <c r="BV229" s="299">
        <f t="shared" si="75"/>
        <v>1</v>
      </c>
      <c r="BW229" s="318">
        <v>0</v>
      </c>
      <c r="BX229" s="297">
        <f t="shared" si="76"/>
        <v>0.43</v>
      </c>
      <c r="BY229">
        <f t="shared" si="77"/>
        <v>0</v>
      </c>
      <c r="BZ229" s="303">
        <f t="shared" si="78"/>
        <v>0</v>
      </c>
      <c r="CB229" s="298">
        <v>0.6</v>
      </c>
      <c r="CC229" s="298">
        <v>0.4</v>
      </c>
      <c r="CD229">
        <f t="shared" si="79"/>
        <v>0</v>
      </c>
      <c r="CE229">
        <f t="shared" si="80"/>
        <v>0</v>
      </c>
      <c r="CF229">
        <f t="shared" si="81"/>
        <v>0</v>
      </c>
      <c r="CG229">
        <f t="shared" si="82"/>
        <v>0</v>
      </c>
      <c r="CH229">
        <f t="shared" si="83"/>
        <v>0</v>
      </c>
      <c r="CI229">
        <f t="shared" si="84"/>
        <v>0</v>
      </c>
      <c r="CJ229">
        <f t="shared" si="85"/>
        <v>0</v>
      </c>
      <c r="CK229">
        <f t="shared" si="86"/>
        <v>0</v>
      </c>
      <c r="CL229">
        <f t="shared" si="87"/>
        <v>0</v>
      </c>
      <c r="CM229">
        <f t="shared" si="89"/>
        <v>0</v>
      </c>
      <c r="CN229">
        <f t="shared" si="88"/>
        <v>0</v>
      </c>
      <c r="CO229">
        <f t="shared" si="72"/>
        <v>0</v>
      </c>
    </row>
    <row r="230" spans="1:93" s="12" customFormat="1" ht="14.45" customHeight="1" x14ac:dyDescent="0.25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10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+VLOOKUP(G230,Liste!$A$7:$G$69,3,FALSE)</f>
        <v>Pin sylvestre</v>
      </c>
      <c r="BI230" s="96" t="str">
        <f>+VLOOKUP(H230,Liste!$B$7:$G$69,5,FALSE)</f>
        <v>GS Pineraies des plaines du Centre et du Nord Ouest</v>
      </c>
      <c r="BJ230" s="135">
        <f t="shared" si="71"/>
        <v>74</v>
      </c>
      <c r="BK230" s="135" t="str">
        <f t="shared" si="73"/>
        <v>Pin sylvestre_F2_Eclaircie tardive_GS Pineraies des plaines du Centre et du Nord Ouest_74_</v>
      </c>
      <c r="BL230" s="319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97" t="str">
        <f>+VLOOKUP(G230,Liste!$A$7:$H$69,8,FALSE)</f>
        <v>Résineux</v>
      </c>
      <c r="BU230" s="297">
        <f t="shared" si="74"/>
        <v>0</v>
      </c>
      <c r="BV230" s="299">
        <f t="shared" si="75"/>
        <v>1</v>
      </c>
      <c r="BW230" s="318">
        <v>0</v>
      </c>
      <c r="BX230" s="297">
        <f t="shared" si="76"/>
        <v>0.43</v>
      </c>
      <c r="BY230">
        <f t="shared" si="77"/>
        <v>0</v>
      </c>
      <c r="BZ230" s="303">
        <f t="shared" si="78"/>
        <v>0</v>
      </c>
      <c r="CB230" s="298">
        <v>0.6</v>
      </c>
      <c r="CC230" s="298">
        <v>0.4</v>
      </c>
      <c r="CD230">
        <f t="shared" si="79"/>
        <v>0</v>
      </c>
      <c r="CE230">
        <f t="shared" si="80"/>
        <v>0</v>
      </c>
      <c r="CF230">
        <f t="shared" si="81"/>
        <v>0</v>
      </c>
      <c r="CG230">
        <f t="shared" si="82"/>
        <v>0</v>
      </c>
      <c r="CH230">
        <f t="shared" si="83"/>
        <v>0</v>
      </c>
      <c r="CI230">
        <f t="shared" si="84"/>
        <v>0</v>
      </c>
      <c r="CJ230">
        <f t="shared" si="85"/>
        <v>0</v>
      </c>
      <c r="CK230">
        <f t="shared" si="86"/>
        <v>0</v>
      </c>
      <c r="CL230">
        <f t="shared" si="87"/>
        <v>0</v>
      </c>
      <c r="CM230">
        <f t="shared" si="89"/>
        <v>0</v>
      </c>
      <c r="CN230">
        <f t="shared" si="88"/>
        <v>0</v>
      </c>
      <c r="CO230">
        <f t="shared" si="72"/>
        <v>0</v>
      </c>
    </row>
    <row r="231" spans="1:93" s="12" customFormat="1" ht="14.45" customHeight="1" x14ac:dyDescent="0.25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10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+VLOOKUP(G231,Liste!$A$7:$G$69,3,FALSE)</f>
        <v>Pin sylvestre</v>
      </c>
      <c r="BI231" s="96" t="str">
        <f>+VLOOKUP(H231,Liste!$B$7:$G$69,5,FALSE)</f>
        <v>GS Pineraies des plaines du Centre et du Nord Ouest</v>
      </c>
      <c r="BJ231" s="135">
        <f t="shared" si="71"/>
        <v>75</v>
      </c>
      <c r="BK231" s="135" t="str">
        <f t="shared" si="73"/>
        <v>Pin sylvestre_F2_Eclaircie tardive_GS Pineraies des plaines du Centre et du Nord Ouest_75_</v>
      </c>
      <c r="BL231" s="319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97" t="str">
        <f>+VLOOKUP(G231,Liste!$A$7:$H$69,8,FALSE)</f>
        <v>Résineux</v>
      </c>
      <c r="BU231" s="297">
        <f t="shared" si="74"/>
        <v>0</v>
      </c>
      <c r="BV231" s="299">
        <f t="shared" si="75"/>
        <v>1</v>
      </c>
      <c r="BW231" s="318">
        <v>0</v>
      </c>
      <c r="BX231" s="297">
        <f t="shared" si="76"/>
        <v>0.43</v>
      </c>
      <c r="BY231">
        <f t="shared" si="77"/>
        <v>0</v>
      </c>
      <c r="BZ231" s="303">
        <f t="shared" si="78"/>
        <v>0</v>
      </c>
      <c r="CB231" s="298">
        <v>0.6</v>
      </c>
      <c r="CC231" s="298">
        <v>0.4</v>
      </c>
      <c r="CD231">
        <f t="shared" si="79"/>
        <v>0</v>
      </c>
      <c r="CE231">
        <f t="shared" si="80"/>
        <v>0</v>
      </c>
      <c r="CF231">
        <f t="shared" si="81"/>
        <v>0</v>
      </c>
      <c r="CG231">
        <f t="shared" si="82"/>
        <v>0</v>
      </c>
      <c r="CH231">
        <f t="shared" si="83"/>
        <v>0</v>
      </c>
      <c r="CI231">
        <f t="shared" si="84"/>
        <v>0</v>
      </c>
      <c r="CJ231">
        <f t="shared" si="85"/>
        <v>0</v>
      </c>
      <c r="CK231">
        <f t="shared" si="86"/>
        <v>0</v>
      </c>
      <c r="CL231">
        <f t="shared" si="87"/>
        <v>0</v>
      </c>
      <c r="CM231">
        <f t="shared" si="89"/>
        <v>0</v>
      </c>
      <c r="CN231">
        <f t="shared" si="88"/>
        <v>0</v>
      </c>
      <c r="CO231">
        <f t="shared" si="72"/>
        <v>0</v>
      </c>
    </row>
    <row r="232" spans="1:93" s="12" customFormat="1" ht="14.45" customHeight="1" x14ac:dyDescent="0.25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10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+VLOOKUP(G232,Liste!$A$7:$G$69,3,FALSE)</f>
        <v>Pin sylvestre</v>
      </c>
      <c r="BI232" s="96" t="str">
        <f>+VLOOKUP(H232,Liste!$B$7:$G$69,5,FALSE)</f>
        <v>GS Pineraies des plaines du Centre et du Nord Ouest</v>
      </c>
      <c r="BJ232" s="135">
        <f t="shared" si="71"/>
        <v>76</v>
      </c>
      <c r="BK232" s="135" t="str">
        <f t="shared" si="73"/>
        <v>Pin sylvestre_F2_Eclaircie tardive_GS Pineraies des plaines du Centre et du Nord Ouest_76_</v>
      </c>
      <c r="BL232" s="319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97" t="str">
        <f>+VLOOKUP(G232,Liste!$A$7:$H$69,8,FALSE)</f>
        <v>Résineux</v>
      </c>
      <c r="BU232" s="297">
        <f t="shared" si="74"/>
        <v>0</v>
      </c>
      <c r="BV232" s="299">
        <f t="shared" si="75"/>
        <v>1</v>
      </c>
      <c r="BW232" s="318">
        <v>0</v>
      </c>
      <c r="BX232" s="297">
        <f t="shared" si="76"/>
        <v>0.43</v>
      </c>
      <c r="BY232">
        <f t="shared" si="77"/>
        <v>0</v>
      </c>
      <c r="BZ232" s="303">
        <f t="shared" si="78"/>
        <v>0</v>
      </c>
      <c r="CB232" s="298">
        <v>0.6</v>
      </c>
      <c r="CC232" s="298">
        <v>0.4</v>
      </c>
      <c r="CD232">
        <f t="shared" si="79"/>
        <v>0</v>
      </c>
      <c r="CE232">
        <f t="shared" si="80"/>
        <v>0</v>
      </c>
      <c r="CF232">
        <f t="shared" si="81"/>
        <v>0</v>
      </c>
      <c r="CG232">
        <f t="shared" si="82"/>
        <v>0</v>
      </c>
      <c r="CH232">
        <f t="shared" si="83"/>
        <v>0</v>
      </c>
      <c r="CI232">
        <f t="shared" si="84"/>
        <v>0</v>
      </c>
      <c r="CJ232">
        <f t="shared" si="85"/>
        <v>0</v>
      </c>
      <c r="CK232">
        <f t="shared" si="86"/>
        <v>0</v>
      </c>
      <c r="CL232">
        <f t="shared" si="87"/>
        <v>0</v>
      </c>
      <c r="CM232">
        <f t="shared" si="89"/>
        <v>0</v>
      </c>
      <c r="CN232">
        <f t="shared" si="88"/>
        <v>0</v>
      </c>
      <c r="CO232">
        <f t="shared" si="72"/>
        <v>0</v>
      </c>
    </row>
    <row r="233" spans="1:93" s="12" customFormat="1" ht="14.45" customHeight="1" x14ac:dyDescent="0.25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10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+VLOOKUP(G233,Liste!$A$7:$G$69,3,FALSE)</f>
        <v>Pin sylvestre</v>
      </c>
      <c r="BI233" s="96" t="str">
        <f>+VLOOKUP(H233,Liste!$B$7:$G$69,5,FALSE)</f>
        <v>GS Pineraies des plaines du Centre et du Nord Ouest</v>
      </c>
      <c r="BJ233" s="135">
        <f t="shared" si="71"/>
        <v>77</v>
      </c>
      <c r="BK233" s="135" t="str">
        <f t="shared" si="73"/>
        <v>Pin sylvestre_F2_Eclaircie tardive_GS Pineraies des plaines du Centre et du Nord Ouest_77_</v>
      </c>
      <c r="BL233" s="319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97" t="str">
        <f>+VLOOKUP(G233,Liste!$A$7:$H$69,8,FALSE)</f>
        <v>Résineux</v>
      </c>
      <c r="BU233" s="297">
        <f t="shared" si="74"/>
        <v>0</v>
      </c>
      <c r="BV233" s="299">
        <f t="shared" si="75"/>
        <v>1</v>
      </c>
      <c r="BW233" s="318">
        <v>0</v>
      </c>
      <c r="BX233" s="297">
        <f t="shared" si="76"/>
        <v>0.43</v>
      </c>
      <c r="BY233">
        <f t="shared" si="77"/>
        <v>0</v>
      </c>
      <c r="BZ233" s="303">
        <f t="shared" si="78"/>
        <v>0</v>
      </c>
      <c r="CB233" s="298">
        <v>0.6</v>
      </c>
      <c r="CC233" s="298">
        <v>0.4</v>
      </c>
      <c r="CD233">
        <f t="shared" si="79"/>
        <v>0</v>
      </c>
      <c r="CE233">
        <f t="shared" si="80"/>
        <v>0</v>
      </c>
      <c r="CF233">
        <f t="shared" si="81"/>
        <v>0</v>
      </c>
      <c r="CG233">
        <f t="shared" si="82"/>
        <v>0</v>
      </c>
      <c r="CH233">
        <f t="shared" si="83"/>
        <v>0</v>
      </c>
      <c r="CI233">
        <f t="shared" si="84"/>
        <v>0</v>
      </c>
      <c r="CJ233">
        <f t="shared" si="85"/>
        <v>0</v>
      </c>
      <c r="CK233">
        <f t="shared" si="86"/>
        <v>0</v>
      </c>
      <c r="CL233">
        <f t="shared" si="87"/>
        <v>0</v>
      </c>
      <c r="CM233">
        <f t="shared" si="89"/>
        <v>0</v>
      </c>
      <c r="CN233">
        <f t="shared" si="88"/>
        <v>0</v>
      </c>
      <c r="CO233">
        <f t="shared" si="72"/>
        <v>0</v>
      </c>
    </row>
    <row r="234" spans="1:93" s="12" customFormat="1" ht="14.45" customHeight="1" x14ac:dyDescent="0.25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10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+VLOOKUP(G234,Liste!$A$7:$G$69,3,FALSE)</f>
        <v>Pin sylvestre</v>
      </c>
      <c r="BI234" s="96" t="str">
        <f>+VLOOKUP(H234,Liste!$B$7:$G$69,5,FALSE)</f>
        <v>GS Pineraies des plaines du Centre et du Nord Ouest</v>
      </c>
      <c r="BJ234" s="135">
        <f t="shared" si="71"/>
        <v>78</v>
      </c>
      <c r="BK234" s="135" t="str">
        <f t="shared" si="73"/>
        <v>Pin sylvestre_F2_Eclaircie tardive_GS Pineraies des plaines du Centre et du Nord Ouest_78_</v>
      </c>
      <c r="BL234" s="319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97" t="str">
        <f>+VLOOKUP(G234,Liste!$A$7:$H$69,8,FALSE)</f>
        <v>Résineux</v>
      </c>
      <c r="BU234" s="297">
        <f t="shared" si="74"/>
        <v>0</v>
      </c>
      <c r="BV234" s="299">
        <f t="shared" si="75"/>
        <v>1</v>
      </c>
      <c r="BW234" s="318">
        <v>0</v>
      </c>
      <c r="BX234" s="297">
        <f t="shared" si="76"/>
        <v>0.43</v>
      </c>
      <c r="BY234">
        <f t="shared" si="77"/>
        <v>0</v>
      </c>
      <c r="BZ234" s="303">
        <f t="shared" si="78"/>
        <v>0</v>
      </c>
      <c r="CB234" s="298">
        <v>0.6</v>
      </c>
      <c r="CC234" s="298">
        <v>0.4</v>
      </c>
      <c r="CD234">
        <f t="shared" si="79"/>
        <v>0</v>
      </c>
      <c r="CE234">
        <f t="shared" si="80"/>
        <v>0</v>
      </c>
      <c r="CF234">
        <f t="shared" si="81"/>
        <v>0</v>
      </c>
      <c r="CG234">
        <f t="shared" si="82"/>
        <v>0</v>
      </c>
      <c r="CH234">
        <f t="shared" si="83"/>
        <v>0</v>
      </c>
      <c r="CI234">
        <f t="shared" si="84"/>
        <v>0</v>
      </c>
      <c r="CJ234">
        <f t="shared" si="85"/>
        <v>0</v>
      </c>
      <c r="CK234">
        <f t="shared" si="86"/>
        <v>0</v>
      </c>
      <c r="CL234">
        <f t="shared" si="87"/>
        <v>0</v>
      </c>
      <c r="CM234">
        <f t="shared" si="89"/>
        <v>0</v>
      </c>
      <c r="CN234">
        <f t="shared" si="88"/>
        <v>0</v>
      </c>
      <c r="CO234">
        <f t="shared" si="72"/>
        <v>0</v>
      </c>
    </row>
    <row r="235" spans="1:93" s="12" customFormat="1" ht="14.45" customHeight="1" x14ac:dyDescent="0.25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10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+VLOOKUP(G235,Liste!$A$7:$G$69,3,FALSE)</f>
        <v>Pin sylvestre</v>
      </c>
      <c r="BI235" s="96" t="str">
        <f>+VLOOKUP(H235,Liste!$B$7:$G$69,5,FALSE)</f>
        <v>GS Pineraies des plaines du Centre et du Nord Ouest</v>
      </c>
      <c r="BJ235" s="135">
        <f t="shared" si="71"/>
        <v>79</v>
      </c>
      <c r="BK235" s="135" t="str">
        <f t="shared" si="73"/>
        <v>Pin sylvestre_F2_Eclaircie tardive_GS Pineraies des plaines du Centre et du Nord Ouest_79_</v>
      </c>
      <c r="BL235" s="319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97" t="str">
        <f>+VLOOKUP(G235,Liste!$A$7:$H$69,8,FALSE)</f>
        <v>Résineux</v>
      </c>
      <c r="BU235" s="297">
        <f t="shared" si="74"/>
        <v>0</v>
      </c>
      <c r="BV235" s="299">
        <f t="shared" si="75"/>
        <v>1</v>
      </c>
      <c r="BW235" s="318">
        <v>0</v>
      </c>
      <c r="BX235" s="297">
        <f t="shared" si="76"/>
        <v>0.43</v>
      </c>
      <c r="BY235">
        <f t="shared" si="77"/>
        <v>0</v>
      </c>
      <c r="BZ235" s="303">
        <f t="shared" si="78"/>
        <v>0</v>
      </c>
      <c r="CB235" s="298">
        <v>0.6</v>
      </c>
      <c r="CC235" s="298">
        <v>0.4</v>
      </c>
      <c r="CD235">
        <f t="shared" si="79"/>
        <v>0</v>
      </c>
      <c r="CE235">
        <f t="shared" si="80"/>
        <v>0</v>
      </c>
      <c r="CF235">
        <f t="shared" si="81"/>
        <v>0</v>
      </c>
      <c r="CG235">
        <f t="shared" si="82"/>
        <v>0</v>
      </c>
      <c r="CH235">
        <f t="shared" si="83"/>
        <v>0</v>
      </c>
      <c r="CI235">
        <f t="shared" si="84"/>
        <v>0</v>
      </c>
      <c r="CJ235">
        <f t="shared" si="85"/>
        <v>0</v>
      </c>
      <c r="CK235">
        <f t="shared" si="86"/>
        <v>0</v>
      </c>
      <c r="CL235">
        <f t="shared" si="87"/>
        <v>0</v>
      </c>
      <c r="CM235">
        <f t="shared" si="89"/>
        <v>0</v>
      </c>
      <c r="CN235">
        <f t="shared" si="88"/>
        <v>0</v>
      </c>
      <c r="CO235">
        <f t="shared" si="72"/>
        <v>0</v>
      </c>
    </row>
    <row r="236" spans="1:93" s="12" customFormat="1" ht="14.45" customHeight="1" x14ac:dyDescent="0.25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10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+VLOOKUP(G236,Liste!$A$7:$G$69,3,FALSE)</f>
        <v>Pin sylvestre</v>
      </c>
      <c r="BI236" s="96" t="str">
        <f>+VLOOKUP(H236,Liste!$B$7:$G$69,5,FALSE)</f>
        <v>GS Pineraies des plaines du Centre et du Nord Ouest</v>
      </c>
      <c r="BJ236" s="135">
        <f t="shared" si="71"/>
        <v>80</v>
      </c>
      <c r="BK236" s="135" t="str">
        <f t="shared" si="73"/>
        <v>Pin sylvestre_F2_Eclaircie tardive_GS Pineraies des plaines du Centre et du Nord Ouest_80_</v>
      </c>
      <c r="BL236" s="319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97" t="str">
        <f>+VLOOKUP(G236,Liste!$A$7:$H$69,8,FALSE)</f>
        <v>Résineux</v>
      </c>
      <c r="BU236" s="297">
        <f t="shared" si="74"/>
        <v>0</v>
      </c>
      <c r="BV236" s="299">
        <f t="shared" si="75"/>
        <v>1</v>
      </c>
      <c r="BW236" s="318">
        <v>0</v>
      </c>
      <c r="BX236" s="297">
        <f t="shared" si="76"/>
        <v>0.43</v>
      </c>
      <c r="BY236">
        <f t="shared" si="77"/>
        <v>0</v>
      </c>
      <c r="BZ236" s="303">
        <f t="shared" si="78"/>
        <v>0</v>
      </c>
      <c r="CB236" s="298">
        <v>0.6</v>
      </c>
      <c r="CC236" s="298">
        <v>0.4</v>
      </c>
      <c r="CD236">
        <f t="shared" si="79"/>
        <v>0</v>
      </c>
      <c r="CE236">
        <f t="shared" si="80"/>
        <v>0</v>
      </c>
      <c r="CF236">
        <f t="shared" si="81"/>
        <v>0</v>
      </c>
      <c r="CG236">
        <f t="shared" si="82"/>
        <v>0</v>
      </c>
      <c r="CH236">
        <f t="shared" si="83"/>
        <v>0</v>
      </c>
      <c r="CI236">
        <f t="shared" si="84"/>
        <v>0</v>
      </c>
      <c r="CJ236">
        <f t="shared" si="85"/>
        <v>0</v>
      </c>
      <c r="CK236">
        <f t="shared" si="86"/>
        <v>0</v>
      </c>
      <c r="CL236">
        <f t="shared" si="87"/>
        <v>0</v>
      </c>
      <c r="CM236">
        <f t="shared" si="89"/>
        <v>0</v>
      </c>
      <c r="CN236">
        <f t="shared" si="88"/>
        <v>0</v>
      </c>
      <c r="CO236">
        <f t="shared" si="72"/>
        <v>0</v>
      </c>
    </row>
    <row r="237" spans="1:93" s="12" customFormat="1" ht="14.45" customHeight="1" x14ac:dyDescent="0.25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10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+VLOOKUP(G237,Liste!$A$7:$G$69,3,FALSE)</f>
        <v>Pin sylvestre</v>
      </c>
      <c r="BI237" s="96" t="str">
        <f>+VLOOKUP(H237,Liste!$B$7:$G$69,5,FALSE)</f>
        <v>GS Pineraies des plaines du Centre et du Nord Ouest</v>
      </c>
      <c r="BJ237" s="135">
        <f t="shared" si="71"/>
        <v>81</v>
      </c>
      <c r="BK237" s="135" t="str">
        <f t="shared" si="73"/>
        <v>Pin sylvestre_F2_Eclaircie tardive_GS Pineraies des plaines du Centre et du Nord Ouest_81_</v>
      </c>
      <c r="BL237" s="319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97" t="str">
        <f>+VLOOKUP(G237,Liste!$A$7:$H$69,8,FALSE)</f>
        <v>Résineux</v>
      </c>
      <c r="BU237" s="297">
        <f t="shared" si="74"/>
        <v>0</v>
      </c>
      <c r="BV237" s="299">
        <f t="shared" si="75"/>
        <v>1</v>
      </c>
      <c r="BW237" s="318">
        <v>0</v>
      </c>
      <c r="BX237" s="297">
        <f t="shared" si="76"/>
        <v>0.43</v>
      </c>
      <c r="BY237">
        <f t="shared" si="77"/>
        <v>0</v>
      </c>
      <c r="BZ237" s="303">
        <f t="shared" si="78"/>
        <v>0</v>
      </c>
      <c r="CB237" s="298">
        <v>0.6</v>
      </c>
      <c r="CC237" s="298">
        <v>0.4</v>
      </c>
      <c r="CD237">
        <f t="shared" si="79"/>
        <v>0</v>
      </c>
      <c r="CE237">
        <f t="shared" si="80"/>
        <v>0</v>
      </c>
      <c r="CF237">
        <f t="shared" si="81"/>
        <v>0</v>
      </c>
      <c r="CG237">
        <f t="shared" si="82"/>
        <v>0</v>
      </c>
      <c r="CH237">
        <f t="shared" si="83"/>
        <v>0</v>
      </c>
      <c r="CI237">
        <f t="shared" si="84"/>
        <v>0</v>
      </c>
      <c r="CJ237">
        <f t="shared" si="85"/>
        <v>0</v>
      </c>
      <c r="CK237">
        <f t="shared" si="86"/>
        <v>0</v>
      </c>
      <c r="CL237">
        <f t="shared" si="87"/>
        <v>0</v>
      </c>
      <c r="CM237">
        <f t="shared" si="89"/>
        <v>0</v>
      </c>
      <c r="CN237">
        <f t="shared" si="88"/>
        <v>0</v>
      </c>
      <c r="CO237">
        <f t="shared" si="72"/>
        <v>0</v>
      </c>
    </row>
    <row r="238" spans="1:93" s="12" customFormat="1" ht="14.45" customHeight="1" x14ac:dyDescent="0.25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10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+VLOOKUP(G238,Liste!$A$7:$G$69,3,FALSE)</f>
        <v>Pin sylvestre</v>
      </c>
      <c r="BI238" s="96" t="str">
        <f>+VLOOKUP(H238,Liste!$B$7:$G$69,5,FALSE)</f>
        <v>GS Pineraies des plaines du Centre et du Nord Ouest</v>
      </c>
      <c r="BJ238" s="135">
        <f t="shared" si="71"/>
        <v>82</v>
      </c>
      <c r="BK238" s="135" t="str">
        <f t="shared" si="73"/>
        <v>Pin sylvestre_F2_Eclaircie tardive_GS Pineraies des plaines du Centre et du Nord Ouest_82_</v>
      </c>
      <c r="BL238" s="319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97" t="str">
        <f>+VLOOKUP(G238,Liste!$A$7:$H$69,8,FALSE)</f>
        <v>Résineux</v>
      </c>
      <c r="BU238" s="297">
        <f t="shared" si="74"/>
        <v>0</v>
      </c>
      <c r="BV238" s="299">
        <f t="shared" si="75"/>
        <v>1</v>
      </c>
      <c r="BW238" s="318">
        <v>0</v>
      </c>
      <c r="BX238" s="297">
        <f t="shared" si="76"/>
        <v>0.43</v>
      </c>
      <c r="BY238">
        <f t="shared" si="77"/>
        <v>0</v>
      </c>
      <c r="BZ238" s="303">
        <f t="shared" si="78"/>
        <v>0</v>
      </c>
      <c r="CB238" s="298">
        <v>0.6</v>
      </c>
      <c r="CC238" s="298">
        <v>0.4</v>
      </c>
      <c r="CD238">
        <f t="shared" si="79"/>
        <v>0</v>
      </c>
      <c r="CE238">
        <f t="shared" si="80"/>
        <v>0</v>
      </c>
      <c r="CF238">
        <f t="shared" si="81"/>
        <v>0</v>
      </c>
      <c r="CG238">
        <f t="shared" si="82"/>
        <v>0</v>
      </c>
      <c r="CH238">
        <f t="shared" si="83"/>
        <v>0</v>
      </c>
      <c r="CI238">
        <f t="shared" si="84"/>
        <v>0</v>
      </c>
      <c r="CJ238">
        <f t="shared" si="85"/>
        <v>0</v>
      </c>
      <c r="CK238">
        <f t="shared" si="86"/>
        <v>0</v>
      </c>
      <c r="CL238">
        <f t="shared" si="87"/>
        <v>0</v>
      </c>
      <c r="CM238">
        <f t="shared" si="89"/>
        <v>0</v>
      </c>
      <c r="CN238">
        <f t="shared" si="88"/>
        <v>0</v>
      </c>
      <c r="CO238">
        <f t="shared" si="72"/>
        <v>0</v>
      </c>
    </row>
    <row r="239" spans="1:93" s="12" customFormat="1" ht="14.45" customHeight="1" x14ac:dyDescent="0.25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+VLOOKUP(G239,Liste!$A$7:$G$69,3,FALSE)</f>
        <v>Pin sylvestre</v>
      </c>
      <c r="BI239" s="96" t="str">
        <f>+VLOOKUP(H239,Liste!$B$7:$G$69,5,FALSE)</f>
        <v>GS Pineraies des plaines du Centre et du Nord Ouest</v>
      </c>
      <c r="BJ239" s="135">
        <f t="shared" si="71"/>
        <v>82</v>
      </c>
      <c r="BK239" s="135" t="str">
        <f t="shared" si="73"/>
        <v>Pin sylvestre_F2_Eclaircie tardive_GS Pineraies des plaines du Centre et du Nord Ouest_82_</v>
      </c>
      <c r="BL239" s="319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97" t="str">
        <f>+VLOOKUP(G239,Liste!$A$7:$H$69,8,FALSE)</f>
        <v>Résineux</v>
      </c>
      <c r="BU239" s="297">
        <f t="shared" si="74"/>
        <v>0</v>
      </c>
      <c r="BV239" s="299">
        <f t="shared" si="75"/>
        <v>1</v>
      </c>
      <c r="BW239" s="318">
        <v>0</v>
      </c>
      <c r="BX239" s="297">
        <f t="shared" si="76"/>
        <v>0.43</v>
      </c>
      <c r="BY239">
        <f t="shared" si="77"/>
        <v>0</v>
      </c>
      <c r="BZ239" s="303">
        <f t="shared" si="78"/>
        <v>0</v>
      </c>
      <c r="CB239" s="298">
        <v>0.6</v>
      </c>
      <c r="CC239" s="298">
        <v>0.4</v>
      </c>
      <c r="CD239">
        <f t="shared" si="79"/>
        <v>0</v>
      </c>
      <c r="CE239">
        <f t="shared" si="80"/>
        <v>0</v>
      </c>
      <c r="CF239">
        <f t="shared" si="81"/>
        <v>0</v>
      </c>
      <c r="CG239">
        <f t="shared" si="82"/>
        <v>0</v>
      </c>
      <c r="CH239">
        <f t="shared" si="83"/>
        <v>0</v>
      </c>
      <c r="CI239">
        <f t="shared" si="84"/>
        <v>0</v>
      </c>
      <c r="CJ239">
        <f t="shared" si="85"/>
        <v>0</v>
      </c>
      <c r="CK239">
        <f t="shared" si="86"/>
        <v>0</v>
      </c>
      <c r="CL239">
        <f t="shared" si="87"/>
        <v>0</v>
      </c>
      <c r="CM239">
        <f t="shared" si="89"/>
        <v>0</v>
      </c>
      <c r="CN239">
        <f t="shared" si="88"/>
        <v>0</v>
      </c>
      <c r="CO239">
        <f t="shared" si="72"/>
        <v>0</v>
      </c>
    </row>
    <row r="240" spans="1:93" s="12" customFormat="1" ht="14.45" customHeight="1" x14ac:dyDescent="0.25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10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+VLOOKUP(G240,Liste!$A$7:$G$69,3,FALSE)</f>
        <v>Pin sylvestre</v>
      </c>
      <c r="BI240" s="96" t="str">
        <f>+VLOOKUP(H240,Liste!$B$7:$G$69,5,FALSE)</f>
        <v>GS Pineraies des plaines du Centre et du Nord Ouest</v>
      </c>
      <c r="BJ240" s="135">
        <f t="shared" si="71"/>
        <v>83</v>
      </c>
      <c r="BK240" s="135" t="str">
        <f t="shared" si="73"/>
        <v>Pin sylvestre_F2_Eclaircie tardive_GS Pineraies des plaines du Centre et du Nord Ouest_83_</v>
      </c>
      <c r="BL240" s="319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97" t="str">
        <f>+VLOOKUP(G240,Liste!$A$7:$H$69,8,FALSE)</f>
        <v>Résineux</v>
      </c>
      <c r="BU240" s="297">
        <f t="shared" si="74"/>
        <v>0</v>
      </c>
      <c r="BV240" s="299">
        <f t="shared" si="75"/>
        <v>1</v>
      </c>
      <c r="BW240" s="318">
        <v>0</v>
      </c>
      <c r="BX240" s="297">
        <f t="shared" si="76"/>
        <v>0.43</v>
      </c>
      <c r="BY240">
        <f t="shared" si="77"/>
        <v>0</v>
      </c>
      <c r="BZ240" s="303">
        <f t="shared" si="78"/>
        <v>0</v>
      </c>
      <c r="CB240" s="298">
        <v>0.6</v>
      </c>
      <c r="CC240" s="298">
        <v>0.4</v>
      </c>
      <c r="CD240">
        <f t="shared" si="79"/>
        <v>0</v>
      </c>
      <c r="CE240">
        <f t="shared" si="80"/>
        <v>0</v>
      </c>
      <c r="CF240">
        <f t="shared" si="81"/>
        <v>0</v>
      </c>
      <c r="CG240">
        <f t="shared" si="82"/>
        <v>0</v>
      </c>
      <c r="CH240">
        <f t="shared" si="83"/>
        <v>0</v>
      </c>
      <c r="CI240">
        <f t="shared" si="84"/>
        <v>0</v>
      </c>
      <c r="CJ240">
        <f t="shared" si="85"/>
        <v>0</v>
      </c>
      <c r="CK240">
        <f t="shared" si="86"/>
        <v>0</v>
      </c>
      <c r="CL240">
        <f t="shared" si="87"/>
        <v>0</v>
      </c>
      <c r="CM240">
        <f t="shared" si="89"/>
        <v>0</v>
      </c>
      <c r="CN240">
        <f t="shared" si="88"/>
        <v>0</v>
      </c>
      <c r="CO240">
        <f t="shared" si="72"/>
        <v>0</v>
      </c>
    </row>
    <row r="241" spans="1:93" s="12" customFormat="1" ht="14.45" customHeight="1" x14ac:dyDescent="0.25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10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+VLOOKUP(G241,Liste!$A$7:$G$69,3,FALSE)</f>
        <v>Pin sylvestre</v>
      </c>
      <c r="BI241" s="96" t="str">
        <f>+VLOOKUP(H241,Liste!$B$7:$G$69,5,FALSE)</f>
        <v>GS Pineraies des plaines du Centre et du Nord Ouest</v>
      </c>
      <c r="BJ241" s="135">
        <f t="shared" si="71"/>
        <v>84</v>
      </c>
      <c r="BK241" s="135" t="str">
        <f t="shared" si="73"/>
        <v>Pin sylvestre_F2_Eclaircie tardive_GS Pineraies des plaines du Centre et du Nord Ouest_84_</v>
      </c>
      <c r="BL241" s="319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97" t="str">
        <f>+VLOOKUP(G241,Liste!$A$7:$H$69,8,FALSE)</f>
        <v>Résineux</v>
      </c>
      <c r="BU241" s="297">
        <f t="shared" si="74"/>
        <v>0</v>
      </c>
      <c r="BV241" s="299">
        <f t="shared" si="75"/>
        <v>1</v>
      </c>
      <c r="BW241" s="318">
        <v>0</v>
      </c>
      <c r="BX241" s="297">
        <f t="shared" si="76"/>
        <v>0.43</v>
      </c>
      <c r="BY241">
        <f t="shared" si="77"/>
        <v>0</v>
      </c>
      <c r="BZ241" s="303">
        <f t="shared" si="78"/>
        <v>0</v>
      </c>
      <c r="CB241" s="298">
        <v>0.6</v>
      </c>
      <c r="CC241" s="298">
        <v>0.4</v>
      </c>
      <c r="CD241">
        <f t="shared" si="79"/>
        <v>0</v>
      </c>
      <c r="CE241">
        <f t="shared" si="80"/>
        <v>0</v>
      </c>
      <c r="CF241">
        <f t="shared" si="81"/>
        <v>0</v>
      </c>
      <c r="CG241">
        <f t="shared" si="82"/>
        <v>0</v>
      </c>
      <c r="CH241">
        <f t="shared" si="83"/>
        <v>0</v>
      </c>
      <c r="CI241">
        <f t="shared" si="84"/>
        <v>0</v>
      </c>
      <c r="CJ241">
        <f t="shared" si="85"/>
        <v>0</v>
      </c>
      <c r="CK241">
        <f t="shared" si="86"/>
        <v>0</v>
      </c>
      <c r="CL241">
        <f t="shared" si="87"/>
        <v>0</v>
      </c>
      <c r="CM241">
        <f t="shared" si="89"/>
        <v>0</v>
      </c>
      <c r="CN241">
        <f t="shared" si="88"/>
        <v>0</v>
      </c>
      <c r="CO241">
        <f t="shared" si="72"/>
        <v>0</v>
      </c>
    </row>
    <row r="242" spans="1:93" s="12" customFormat="1" ht="14.45" customHeight="1" x14ac:dyDescent="0.25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10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+VLOOKUP(G242,Liste!$A$7:$G$69,3,FALSE)</f>
        <v>Pin sylvestre</v>
      </c>
      <c r="BI242" s="96" t="str">
        <f>+VLOOKUP(H242,Liste!$B$7:$G$69,5,FALSE)</f>
        <v>GS Pineraies des plaines du Centre et du Nord Ouest</v>
      </c>
      <c r="BJ242" s="135">
        <f t="shared" si="71"/>
        <v>85</v>
      </c>
      <c r="BK242" s="135" t="str">
        <f t="shared" si="73"/>
        <v>Pin sylvestre_F2_Eclaircie tardive_GS Pineraies des plaines du Centre et du Nord Ouest_85_</v>
      </c>
      <c r="BL242" s="319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97" t="str">
        <f>+VLOOKUP(G242,Liste!$A$7:$H$69,8,FALSE)</f>
        <v>Résineux</v>
      </c>
      <c r="BU242" s="297">
        <f t="shared" si="74"/>
        <v>0</v>
      </c>
      <c r="BV242" s="299">
        <f t="shared" si="75"/>
        <v>1</v>
      </c>
      <c r="BW242" s="318">
        <v>0</v>
      </c>
      <c r="BX242" s="297">
        <f t="shared" si="76"/>
        <v>0.43</v>
      </c>
      <c r="BY242">
        <f t="shared" si="77"/>
        <v>0</v>
      </c>
      <c r="BZ242" s="303">
        <f t="shared" si="78"/>
        <v>0</v>
      </c>
      <c r="CB242" s="298">
        <v>0.6</v>
      </c>
      <c r="CC242" s="298">
        <v>0.4</v>
      </c>
      <c r="CD242">
        <f t="shared" si="79"/>
        <v>0</v>
      </c>
      <c r="CE242">
        <f t="shared" si="80"/>
        <v>0</v>
      </c>
      <c r="CF242">
        <f t="shared" si="81"/>
        <v>0</v>
      </c>
      <c r="CG242">
        <f t="shared" si="82"/>
        <v>0</v>
      </c>
      <c r="CH242">
        <f t="shared" si="83"/>
        <v>0</v>
      </c>
      <c r="CI242">
        <f t="shared" si="84"/>
        <v>0</v>
      </c>
      <c r="CJ242">
        <f t="shared" si="85"/>
        <v>0</v>
      </c>
      <c r="CK242">
        <f t="shared" si="86"/>
        <v>0</v>
      </c>
      <c r="CL242">
        <f t="shared" si="87"/>
        <v>0</v>
      </c>
      <c r="CM242">
        <f t="shared" si="89"/>
        <v>0</v>
      </c>
      <c r="CN242">
        <f t="shared" si="88"/>
        <v>0</v>
      </c>
      <c r="CO242">
        <f t="shared" si="72"/>
        <v>0</v>
      </c>
    </row>
    <row r="243" spans="1:93" s="12" customFormat="1" ht="14.45" customHeight="1" x14ac:dyDescent="0.25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10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+VLOOKUP(G243,Liste!$A$7:$G$69,3,FALSE)</f>
        <v>Pin sylvestre</v>
      </c>
      <c r="BI243" s="96" t="str">
        <f>+VLOOKUP(H243,Liste!$B$7:$G$69,5,FALSE)</f>
        <v>GS Pineraies des plaines du Centre et du Nord Ouest</v>
      </c>
      <c r="BJ243" s="135">
        <f t="shared" si="71"/>
        <v>86</v>
      </c>
      <c r="BK243" s="135" t="str">
        <f t="shared" si="73"/>
        <v>Pin sylvestre_F2_Eclaircie tardive_GS Pineraies des plaines du Centre et du Nord Ouest_86_</v>
      </c>
      <c r="BL243" s="319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97" t="str">
        <f>+VLOOKUP(G243,Liste!$A$7:$H$69,8,FALSE)</f>
        <v>Résineux</v>
      </c>
      <c r="BU243" s="297">
        <f t="shared" si="74"/>
        <v>0</v>
      </c>
      <c r="BV243" s="299">
        <f t="shared" si="75"/>
        <v>1</v>
      </c>
      <c r="BW243" s="318">
        <v>0</v>
      </c>
      <c r="BX243" s="297">
        <f t="shared" si="76"/>
        <v>0.43</v>
      </c>
      <c r="BY243">
        <f t="shared" si="77"/>
        <v>0</v>
      </c>
      <c r="BZ243" s="303">
        <f t="shared" si="78"/>
        <v>0</v>
      </c>
      <c r="CB243" s="298">
        <v>0.6</v>
      </c>
      <c r="CC243" s="298">
        <v>0.4</v>
      </c>
      <c r="CD243">
        <f t="shared" si="79"/>
        <v>0</v>
      </c>
      <c r="CE243">
        <f t="shared" si="80"/>
        <v>0</v>
      </c>
      <c r="CF243">
        <f t="shared" si="81"/>
        <v>0</v>
      </c>
      <c r="CG243">
        <f t="shared" si="82"/>
        <v>0</v>
      </c>
      <c r="CH243">
        <f t="shared" si="83"/>
        <v>0</v>
      </c>
      <c r="CI243">
        <f t="shared" si="84"/>
        <v>0</v>
      </c>
      <c r="CJ243">
        <f t="shared" si="85"/>
        <v>0</v>
      </c>
      <c r="CK243">
        <f t="shared" si="86"/>
        <v>0</v>
      </c>
      <c r="CL243">
        <f t="shared" si="87"/>
        <v>0</v>
      </c>
      <c r="CM243">
        <f t="shared" si="89"/>
        <v>0</v>
      </c>
      <c r="CN243">
        <f t="shared" si="88"/>
        <v>0</v>
      </c>
      <c r="CO243">
        <f t="shared" si="72"/>
        <v>0</v>
      </c>
    </row>
    <row r="244" spans="1:93" s="12" customFormat="1" ht="14.45" customHeight="1" x14ac:dyDescent="0.25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10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+VLOOKUP(G244,Liste!$A$7:$G$69,3,FALSE)</f>
        <v>Pin sylvestre</v>
      </c>
      <c r="BI244" s="96" t="str">
        <f>+VLOOKUP(H244,Liste!$B$7:$G$69,5,FALSE)</f>
        <v>GS Pineraies des plaines du Centre et du Nord Ouest</v>
      </c>
      <c r="BJ244" s="135">
        <f t="shared" si="71"/>
        <v>87</v>
      </c>
      <c r="BK244" s="135" t="str">
        <f t="shared" si="73"/>
        <v>Pin sylvestre_F2_Eclaircie tardive_GS Pineraies des plaines du Centre et du Nord Ouest_87_</v>
      </c>
      <c r="BL244" s="319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97" t="str">
        <f>+VLOOKUP(G244,Liste!$A$7:$H$69,8,FALSE)</f>
        <v>Résineux</v>
      </c>
      <c r="BU244" s="297">
        <f t="shared" si="74"/>
        <v>0</v>
      </c>
      <c r="BV244" s="299">
        <f t="shared" si="75"/>
        <v>1</v>
      </c>
      <c r="BW244" s="318">
        <v>0</v>
      </c>
      <c r="BX244" s="297">
        <f t="shared" si="76"/>
        <v>0.43</v>
      </c>
      <c r="BY244">
        <f t="shared" si="77"/>
        <v>0</v>
      </c>
      <c r="BZ244" s="303">
        <f t="shared" si="78"/>
        <v>0</v>
      </c>
      <c r="CB244" s="298">
        <v>0.6</v>
      </c>
      <c r="CC244" s="298">
        <v>0.4</v>
      </c>
      <c r="CD244">
        <f t="shared" si="79"/>
        <v>0</v>
      </c>
      <c r="CE244">
        <f t="shared" si="80"/>
        <v>0</v>
      </c>
      <c r="CF244">
        <f t="shared" si="81"/>
        <v>0</v>
      </c>
      <c r="CG244">
        <f t="shared" si="82"/>
        <v>0</v>
      </c>
      <c r="CH244">
        <f t="shared" si="83"/>
        <v>0</v>
      </c>
      <c r="CI244">
        <f t="shared" si="84"/>
        <v>0</v>
      </c>
      <c r="CJ244">
        <f t="shared" si="85"/>
        <v>0</v>
      </c>
      <c r="CK244">
        <f t="shared" si="86"/>
        <v>0</v>
      </c>
      <c r="CL244">
        <f t="shared" si="87"/>
        <v>0</v>
      </c>
      <c r="CM244">
        <f t="shared" si="89"/>
        <v>0</v>
      </c>
      <c r="CN244">
        <f t="shared" si="88"/>
        <v>0</v>
      </c>
      <c r="CO244">
        <f t="shared" si="72"/>
        <v>0</v>
      </c>
    </row>
    <row r="245" spans="1:93" s="12" customFormat="1" ht="14.45" customHeight="1" x14ac:dyDescent="0.25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10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+VLOOKUP(G245,Liste!$A$7:$G$69,3,FALSE)</f>
        <v>Pin sylvestre</v>
      </c>
      <c r="BI245" s="96" t="str">
        <f>+VLOOKUP(H245,Liste!$B$7:$G$69,5,FALSE)</f>
        <v>GS Pineraies des plaines du Centre et du Nord Ouest</v>
      </c>
      <c r="BJ245" s="135">
        <f t="shared" si="71"/>
        <v>88</v>
      </c>
      <c r="BK245" s="135" t="str">
        <f t="shared" si="73"/>
        <v>Pin sylvestre_F2_Eclaircie tardive_GS Pineraies des plaines du Centre et du Nord Ouest_88_</v>
      </c>
      <c r="BL245" s="319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97" t="str">
        <f>+VLOOKUP(G245,Liste!$A$7:$H$69,8,FALSE)</f>
        <v>Résineux</v>
      </c>
      <c r="BU245" s="297">
        <f t="shared" si="74"/>
        <v>0</v>
      </c>
      <c r="BV245" s="299">
        <f t="shared" si="75"/>
        <v>1</v>
      </c>
      <c r="BW245" s="318">
        <v>0</v>
      </c>
      <c r="BX245" s="297">
        <f t="shared" si="76"/>
        <v>0.43</v>
      </c>
      <c r="BY245">
        <f t="shared" si="77"/>
        <v>0</v>
      </c>
      <c r="BZ245" s="303">
        <f t="shared" si="78"/>
        <v>0</v>
      </c>
      <c r="CB245" s="298">
        <v>0.6</v>
      </c>
      <c r="CC245" s="298">
        <v>0.4</v>
      </c>
      <c r="CD245">
        <f t="shared" si="79"/>
        <v>0</v>
      </c>
      <c r="CE245">
        <f t="shared" si="80"/>
        <v>0</v>
      </c>
      <c r="CF245">
        <f t="shared" si="81"/>
        <v>0</v>
      </c>
      <c r="CG245">
        <f t="shared" si="82"/>
        <v>0</v>
      </c>
      <c r="CH245">
        <f t="shared" si="83"/>
        <v>0</v>
      </c>
      <c r="CI245">
        <f t="shared" si="84"/>
        <v>0</v>
      </c>
      <c r="CJ245">
        <f t="shared" si="85"/>
        <v>0</v>
      </c>
      <c r="CK245">
        <f t="shared" si="86"/>
        <v>0</v>
      </c>
      <c r="CL245">
        <f t="shared" si="87"/>
        <v>0</v>
      </c>
      <c r="CM245">
        <f t="shared" si="89"/>
        <v>0</v>
      </c>
      <c r="CN245">
        <f t="shared" si="88"/>
        <v>0</v>
      </c>
      <c r="CO245">
        <f t="shared" si="72"/>
        <v>0</v>
      </c>
    </row>
    <row r="246" spans="1:93" s="12" customFormat="1" ht="14.45" customHeight="1" x14ac:dyDescent="0.25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10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+VLOOKUP(G246,Liste!$A$7:$G$69,3,FALSE)</f>
        <v>Pin sylvestre</v>
      </c>
      <c r="BI246" s="96" t="str">
        <f>+VLOOKUP(H246,Liste!$B$7:$G$69,5,FALSE)</f>
        <v>GS Pineraies des plaines du Centre et du Nord Ouest</v>
      </c>
      <c r="BJ246" s="135">
        <f t="shared" si="71"/>
        <v>89</v>
      </c>
      <c r="BK246" s="135" t="str">
        <f t="shared" si="73"/>
        <v>Pin sylvestre_F2_Eclaircie tardive_GS Pineraies des plaines du Centre et du Nord Ouest_89_</v>
      </c>
      <c r="BL246" s="319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97" t="str">
        <f>+VLOOKUP(G246,Liste!$A$7:$H$69,8,FALSE)</f>
        <v>Résineux</v>
      </c>
      <c r="BU246" s="297">
        <f t="shared" si="74"/>
        <v>0</v>
      </c>
      <c r="BV246" s="299">
        <f t="shared" si="75"/>
        <v>1</v>
      </c>
      <c r="BW246" s="318">
        <v>0</v>
      </c>
      <c r="BX246" s="297">
        <f t="shared" si="76"/>
        <v>0.43</v>
      </c>
      <c r="BY246">
        <f t="shared" si="77"/>
        <v>0</v>
      </c>
      <c r="BZ246" s="303">
        <f t="shared" si="78"/>
        <v>0</v>
      </c>
      <c r="CB246" s="298">
        <v>0.6</v>
      </c>
      <c r="CC246" s="298">
        <v>0.4</v>
      </c>
      <c r="CD246">
        <f t="shared" si="79"/>
        <v>0</v>
      </c>
      <c r="CE246">
        <f t="shared" si="80"/>
        <v>0</v>
      </c>
      <c r="CF246">
        <f t="shared" si="81"/>
        <v>0</v>
      </c>
      <c r="CG246">
        <f t="shared" si="82"/>
        <v>0</v>
      </c>
      <c r="CH246">
        <f t="shared" si="83"/>
        <v>0</v>
      </c>
      <c r="CI246">
        <f t="shared" si="84"/>
        <v>0</v>
      </c>
      <c r="CJ246">
        <f t="shared" si="85"/>
        <v>0</v>
      </c>
      <c r="CK246">
        <f t="shared" si="86"/>
        <v>0</v>
      </c>
      <c r="CL246">
        <f t="shared" si="87"/>
        <v>0</v>
      </c>
      <c r="CM246">
        <f t="shared" si="89"/>
        <v>0</v>
      </c>
      <c r="CN246">
        <f t="shared" si="88"/>
        <v>0</v>
      </c>
      <c r="CO246">
        <f t="shared" si="72"/>
        <v>0</v>
      </c>
    </row>
    <row r="247" spans="1:93" s="12" customFormat="1" ht="14.45" customHeight="1" x14ac:dyDescent="0.25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10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+VLOOKUP(G247,Liste!$A$7:$G$69,3,FALSE)</f>
        <v>Pin sylvestre</v>
      </c>
      <c r="BI247" s="96" t="str">
        <f>+VLOOKUP(H247,Liste!$B$7:$G$69,5,FALSE)</f>
        <v>GS Pineraies des plaines du Centre et du Nord Ouest</v>
      </c>
      <c r="BJ247" s="135">
        <f t="shared" si="71"/>
        <v>90</v>
      </c>
      <c r="BK247" s="135" t="str">
        <f t="shared" si="73"/>
        <v>Pin sylvestre_F2_Eclaircie tardive_GS Pineraies des plaines du Centre et du Nord Ouest_90_</v>
      </c>
      <c r="BL247" s="319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97" t="str">
        <f>+VLOOKUP(G247,Liste!$A$7:$H$69,8,FALSE)</f>
        <v>Résineux</v>
      </c>
      <c r="BU247" s="297">
        <f t="shared" si="74"/>
        <v>0</v>
      </c>
      <c r="BV247" s="299">
        <f t="shared" si="75"/>
        <v>1</v>
      </c>
      <c r="BW247" s="318">
        <v>0</v>
      </c>
      <c r="BX247" s="297">
        <f t="shared" si="76"/>
        <v>0.43</v>
      </c>
      <c r="BY247">
        <f t="shared" si="77"/>
        <v>0</v>
      </c>
      <c r="BZ247" s="303">
        <f t="shared" si="78"/>
        <v>0</v>
      </c>
      <c r="CB247" s="298">
        <v>0.6</v>
      </c>
      <c r="CC247" s="298">
        <v>0.4</v>
      </c>
      <c r="CD247">
        <f t="shared" si="79"/>
        <v>0</v>
      </c>
      <c r="CE247">
        <f t="shared" si="80"/>
        <v>0</v>
      </c>
      <c r="CF247">
        <f t="shared" si="81"/>
        <v>0</v>
      </c>
      <c r="CG247">
        <f t="shared" si="82"/>
        <v>0</v>
      </c>
      <c r="CH247">
        <f t="shared" si="83"/>
        <v>0</v>
      </c>
      <c r="CI247">
        <f t="shared" si="84"/>
        <v>0</v>
      </c>
      <c r="CJ247">
        <f t="shared" si="85"/>
        <v>0</v>
      </c>
      <c r="CK247">
        <f t="shared" si="86"/>
        <v>0</v>
      </c>
      <c r="CL247">
        <f t="shared" si="87"/>
        <v>0</v>
      </c>
      <c r="CM247">
        <f t="shared" si="89"/>
        <v>0</v>
      </c>
      <c r="CN247">
        <f t="shared" si="88"/>
        <v>0</v>
      </c>
      <c r="CO247">
        <f t="shared" si="72"/>
        <v>0</v>
      </c>
    </row>
    <row r="248" spans="1:93" s="12" customFormat="1" ht="14.45" customHeight="1" x14ac:dyDescent="0.25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10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+VLOOKUP(G248,Liste!$A$7:$G$69,3,FALSE)</f>
        <v>Pin sylvestre</v>
      </c>
      <c r="BI248" s="96" t="str">
        <f>+VLOOKUP(H248,Liste!$B$7:$G$69,5,FALSE)</f>
        <v>GS Pineraies des plaines du Centre et du Nord Ouest</v>
      </c>
      <c r="BJ248" s="135">
        <f t="shared" si="71"/>
        <v>91</v>
      </c>
      <c r="BK248" s="135" t="str">
        <f t="shared" si="73"/>
        <v>Pin sylvestre_F2_Eclaircie tardive_GS Pineraies des plaines du Centre et du Nord Ouest_91_</v>
      </c>
      <c r="BL248" s="319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97" t="str">
        <f>+VLOOKUP(G248,Liste!$A$7:$H$69,8,FALSE)</f>
        <v>Résineux</v>
      </c>
      <c r="BU248" s="297">
        <f t="shared" si="74"/>
        <v>0</v>
      </c>
      <c r="BV248" s="299">
        <f t="shared" si="75"/>
        <v>1</v>
      </c>
      <c r="BW248" s="318">
        <v>0</v>
      </c>
      <c r="BX248" s="297">
        <f t="shared" si="76"/>
        <v>0.43</v>
      </c>
      <c r="BY248">
        <f t="shared" si="77"/>
        <v>0</v>
      </c>
      <c r="BZ248" s="303">
        <f t="shared" si="78"/>
        <v>0</v>
      </c>
      <c r="CB248" s="298">
        <v>0.6</v>
      </c>
      <c r="CC248" s="298">
        <v>0.4</v>
      </c>
      <c r="CD248">
        <f t="shared" si="79"/>
        <v>0</v>
      </c>
      <c r="CE248">
        <f t="shared" si="80"/>
        <v>0</v>
      </c>
      <c r="CF248">
        <f t="shared" si="81"/>
        <v>0</v>
      </c>
      <c r="CG248">
        <f t="shared" si="82"/>
        <v>0</v>
      </c>
      <c r="CH248">
        <f t="shared" si="83"/>
        <v>0</v>
      </c>
      <c r="CI248">
        <f t="shared" si="84"/>
        <v>0</v>
      </c>
      <c r="CJ248">
        <f t="shared" si="85"/>
        <v>0</v>
      </c>
      <c r="CK248">
        <f t="shared" si="86"/>
        <v>0</v>
      </c>
      <c r="CL248">
        <f t="shared" si="87"/>
        <v>0</v>
      </c>
      <c r="CM248">
        <f t="shared" si="89"/>
        <v>0</v>
      </c>
      <c r="CN248">
        <f t="shared" si="88"/>
        <v>0</v>
      </c>
      <c r="CO248">
        <f t="shared" si="72"/>
        <v>0</v>
      </c>
    </row>
    <row r="249" spans="1:93" s="12" customFormat="1" ht="14.45" customHeight="1" x14ac:dyDescent="0.25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10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+VLOOKUP(G249,Liste!$A$7:$G$69,3,FALSE)</f>
        <v>Pin sylvestre</v>
      </c>
      <c r="BI249" s="96" t="str">
        <f>+VLOOKUP(H249,Liste!$B$7:$G$69,5,FALSE)</f>
        <v>GS Pineraies des plaines du Centre et du Nord Ouest</v>
      </c>
      <c r="BJ249" s="135">
        <f t="shared" si="71"/>
        <v>92</v>
      </c>
      <c r="BK249" s="135" t="str">
        <f t="shared" si="73"/>
        <v>Pin sylvestre_F2_Eclaircie tardive_GS Pineraies des plaines du Centre et du Nord Ouest_92_</v>
      </c>
      <c r="BL249" s="319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97" t="str">
        <f>+VLOOKUP(G249,Liste!$A$7:$H$69,8,FALSE)</f>
        <v>Résineux</v>
      </c>
      <c r="BU249" s="297">
        <f t="shared" si="74"/>
        <v>0</v>
      </c>
      <c r="BV249" s="299">
        <f t="shared" si="75"/>
        <v>1</v>
      </c>
      <c r="BW249" s="318">
        <v>0</v>
      </c>
      <c r="BX249" s="297">
        <f t="shared" si="76"/>
        <v>0.43</v>
      </c>
      <c r="BY249">
        <f t="shared" si="77"/>
        <v>0</v>
      </c>
      <c r="BZ249" s="303">
        <f t="shared" si="78"/>
        <v>0</v>
      </c>
      <c r="CB249" s="298">
        <v>0.6</v>
      </c>
      <c r="CC249" s="298">
        <v>0.4</v>
      </c>
      <c r="CD249">
        <f t="shared" si="79"/>
        <v>0</v>
      </c>
      <c r="CE249">
        <f t="shared" si="80"/>
        <v>0</v>
      </c>
      <c r="CF249">
        <f t="shared" si="81"/>
        <v>0</v>
      </c>
      <c r="CG249">
        <f t="shared" si="82"/>
        <v>0</v>
      </c>
      <c r="CH249">
        <f t="shared" si="83"/>
        <v>0</v>
      </c>
      <c r="CI249">
        <f t="shared" si="84"/>
        <v>0</v>
      </c>
      <c r="CJ249">
        <f t="shared" si="85"/>
        <v>0</v>
      </c>
      <c r="CK249">
        <f t="shared" si="86"/>
        <v>0</v>
      </c>
      <c r="CL249">
        <f t="shared" si="87"/>
        <v>0</v>
      </c>
      <c r="CM249">
        <f t="shared" si="89"/>
        <v>0</v>
      </c>
      <c r="CN249">
        <f t="shared" si="88"/>
        <v>0</v>
      </c>
      <c r="CO249">
        <f t="shared" si="72"/>
        <v>0</v>
      </c>
    </row>
    <row r="250" spans="1:93" s="12" customFormat="1" ht="14.45" customHeight="1" x14ac:dyDescent="0.25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+VLOOKUP(G250,Liste!$A$7:$G$69,3,FALSE)</f>
        <v>Pin sylvestre</v>
      </c>
      <c r="BI250" s="96" t="str">
        <f>+VLOOKUP(H250,Liste!$B$7:$G$69,5,FALSE)</f>
        <v>GS Pineraies des plaines du Centre et du Nord Ouest</v>
      </c>
      <c r="BJ250" s="135">
        <f t="shared" si="71"/>
        <v>92</v>
      </c>
      <c r="BK250" s="135" t="str">
        <f t="shared" si="73"/>
        <v>Pin sylvestre_F2_Eclaircie tardive_GS Pineraies des plaines du Centre et du Nord Ouest_92_</v>
      </c>
      <c r="BL250" s="319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97" t="str">
        <f>+VLOOKUP(G250,Liste!$A$7:$H$69,8,FALSE)</f>
        <v>Résineux</v>
      </c>
      <c r="BU250" s="297">
        <f t="shared" si="74"/>
        <v>0</v>
      </c>
      <c r="BV250" s="299">
        <f t="shared" si="75"/>
        <v>1</v>
      </c>
      <c r="BW250" s="318">
        <v>0</v>
      </c>
      <c r="BX250" s="297">
        <f t="shared" si="76"/>
        <v>0.43</v>
      </c>
      <c r="BY250">
        <f t="shared" si="77"/>
        <v>0</v>
      </c>
      <c r="BZ250" s="303">
        <f t="shared" si="78"/>
        <v>0</v>
      </c>
      <c r="CB250" s="298">
        <v>0.6</v>
      </c>
      <c r="CC250" s="298">
        <v>0.4</v>
      </c>
      <c r="CD250">
        <f t="shared" si="79"/>
        <v>0</v>
      </c>
      <c r="CE250">
        <f t="shared" si="80"/>
        <v>0</v>
      </c>
      <c r="CF250">
        <f t="shared" si="81"/>
        <v>0</v>
      </c>
      <c r="CG250">
        <f t="shared" si="82"/>
        <v>0</v>
      </c>
      <c r="CH250">
        <f t="shared" si="83"/>
        <v>0</v>
      </c>
      <c r="CI250">
        <f t="shared" si="84"/>
        <v>0</v>
      </c>
      <c r="CJ250">
        <f t="shared" si="85"/>
        <v>0</v>
      </c>
      <c r="CK250">
        <f t="shared" si="86"/>
        <v>0</v>
      </c>
      <c r="CL250">
        <f t="shared" si="87"/>
        <v>0</v>
      </c>
      <c r="CM250">
        <f t="shared" si="89"/>
        <v>0</v>
      </c>
      <c r="CN250">
        <f t="shared" si="88"/>
        <v>0</v>
      </c>
      <c r="CO250">
        <f t="shared" si="72"/>
        <v>0</v>
      </c>
    </row>
    <row r="251" spans="1:93" s="12" customFormat="1" ht="14.45" customHeight="1" x14ac:dyDescent="0.25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10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+VLOOKUP(G251,Liste!$A$7:$G$69,3,FALSE)</f>
        <v>Pin sylvestre</v>
      </c>
      <c r="BI251" s="96" t="str">
        <f>+VLOOKUP(H251,Liste!$B$7:$G$69,5,FALSE)</f>
        <v>GS Pineraies des plaines du Centre et du Nord Ouest</v>
      </c>
      <c r="BJ251" s="135">
        <f t="shared" si="71"/>
        <v>93</v>
      </c>
      <c r="BK251" s="135" t="str">
        <f t="shared" si="73"/>
        <v>Pin sylvestre_F2_Eclaircie tardive_GS Pineraies des plaines du Centre et du Nord Ouest_93_</v>
      </c>
      <c r="BL251" s="319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97" t="str">
        <f>+VLOOKUP(G251,Liste!$A$7:$H$69,8,FALSE)</f>
        <v>Résineux</v>
      </c>
      <c r="BU251" s="297">
        <f t="shared" si="74"/>
        <v>0</v>
      </c>
      <c r="BV251" s="299">
        <f t="shared" si="75"/>
        <v>1</v>
      </c>
      <c r="BW251" s="318">
        <v>0</v>
      </c>
      <c r="BX251" s="297">
        <f t="shared" si="76"/>
        <v>0.43</v>
      </c>
      <c r="BY251">
        <f t="shared" si="77"/>
        <v>0</v>
      </c>
      <c r="BZ251" s="303">
        <f t="shared" si="78"/>
        <v>0</v>
      </c>
      <c r="CB251" s="298">
        <v>0.6</v>
      </c>
      <c r="CC251" s="298">
        <v>0.4</v>
      </c>
      <c r="CD251">
        <f t="shared" si="79"/>
        <v>0</v>
      </c>
      <c r="CE251">
        <f t="shared" si="80"/>
        <v>0</v>
      </c>
      <c r="CF251">
        <f t="shared" si="81"/>
        <v>0</v>
      </c>
      <c r="CG251">
        <f t="shared" si="82"/>
        <v>0</v>
      </c>
      <c r="CH251">
        <f t="shared" si="83"/>
        <v>0</v>
      </c>
      <c r="CI251">
        <f t="shared" si="84"/>
        <v>0</v>
      </c>
      <c r="CJ251">
        <f t="shared" si="85"/>
        <v>0</v>
      </c>
      <c r="CK251">
        <f t="shared" si="86"/>
        <v>0</v>
      </c>
      <c r="CL251">
        <f t="shared" si="87"/>
        <v>0</v>
      </c>
      <c r="CM251">
        <f t="shared" si="89"/>
        <v>0</v>
      </c>
      <c r="CN251">
        <f t="shared" si="88"/>
        <v>0</v>
      </c>
      <c r="CO251">
        <f t="shared" si="72"/>
        <v>0</v>
      </c>
    </row>
    <row r="252" spans="1:93" s="12" customFormat="1" ht="14.45" customHeight="1" x14ac:dyDescent="0.25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10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+VLOOKUP(G252,Liste!$A$7:$G$69,3,FALSE)</f>
        <v>Pin sylvestre</v>
      </c>
      <c r="BI252" s="96" t="str">
        <f>+VLOOKUP(H252,Liste!$B$7:$G$69,5,FALSE)</f>
        <v>GS Pineraies des plaines du Centre et du Nord Ouest</v>
      </c>
      <c r="BJ252" s="135">
        <f t="shared" si="71"/>
        <v>94</v>
      </c>
      <c r="BK252" s="135" t="str">
        <f t="shared" si="73"/>
        <v>Pin sylvestre_F2_Eclaircie tardive_GS Pineraies des plaines du Centre et du Nord Ouest_94_</v>
      </c>
      <c r="BL252" s="319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97" t="str">
        <f>+VLOOKUP(G252,Liste!$A$7:$H$69,8,FALSE)</f>
        <v>Résineux</v>
      </c>
      <c r="BU252" s="297">
        <f t="shared" si="74"/>
        <v>0</v>
      </c>
      <c r="BV252" s="299">
        <f t="shared" si="75"/>
        <v>1</v>
      </c>
      <c r="BW252" s="318">
        <v>0</v>
      </c>
      <c r="BX252" s="297">
        <f t="shared" si="76"/>
        <v>0.43</v>
      </c>
      <c r="BY252">
        <f t="shared" si="77"/>
        <v>0</v>
      </c>
      <c r="BZ252" s="303">
        <f t="shared" si="78"/>
        <v>0</v>
      </c>
      <c r="CB252" s="298">
        <v>0.6</v>
      </c>
      <c r="CC252" s="298">
        <v>0.4</v>
      </c>
      <c r="CD252">
        <f t="shared" si="79"/>
        <v>0</v>
      </c>
      <c r="CE252">
        <f t="shared" si="80"/>
        <v>0</v>
      </c>
      <c r="CF252">
        <f t="shared" si="81"/>
        <v>0</v>
      </c>
      <c r="CG252">
        <f t="shared" si="82"/>
        <v>0</v>
      </c>
      <c r="CH252">
        <f t="shared" si="83"/>
        <v>0</v>
      </c>
      <c r="CI252">
        <f t="shared" si="84"/>
        <v>0</v>
      </c>
      <c r="CJ252">
        <f t="shared" si="85"/>
        <v>0</v>
      </c>
      <c r="CK252">
        <f t="shared" si="86"/>
        <v>0</v>
      </c>
      <c r="CL252">
        <f t="shared" si="87"/>
        <v>0</v>
      </c>
      <c r="CM252">
        <f t="shared" si="89"/>
        <v>0</v>
      </c>
      <c r="CN252">
        <f t="shared" si="88"/>
        <v>0</v>
      </c>
      <c r="CO252">
        <f t="shared" si="72"/>
        <v>0</v>
      </c>
    </row>
    <row r="253" spans="1:93" s="12" customFormat="1" ht="14.45" customHeight="1" x14ac:dyDescent="0.25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10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+VLOOKUP(G253,Liste!$A$7:$G$69,3,FALSE)</f>
        <v>Pin sylvestre</v>
      </c>
      <c r="BI253" s="96" t="str">
        <f>+VLOOKUP(H253,Liste!$B$7:$G$69,5,FALSE)</f>
        <v>GS Pineraies des plaines du Centre et du Nord Ouest</v>
      </c>
      <c r="BJ253" s="135">
        <f t="shared" si="71"/>
        <v>95</v>
      </c>
      <c r="BK253" s="135" t="str">
        <f t="shared" si="73"/>
        <v>Pin sylvestre_F2_Eclaircie tardive_GS Pineraies des plaines du Centre et du Nord Ouest_95_</v>
      </c>
      <c r="BL253" s="319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97" t="str">
        <f>+VLOOKUP(G253,Liste!$A$7:$H$69,8,FALSE)</f>
        <v>Résineux</v>
      </c>
      <c r="BU253" s="297">
        <f t="shared" si="74"/>
        <v>0</v>
      </c>
      <c r="BV253" s="299">
        <f t="shared" si="75"/>
        <v>1</v>
      </c>
      <c r="BW253" s="318">
        <v>0</v>
      </c>
      <c r="BX253" s="297">
        <f t="shared" si="76"/>
        <v>0.43</v>
      </c>
      <c r="BY253">
        <f t="shared" si="77"/>
        <v>0</v>
      </c>
      <c r="BZ253" s="303">
        <f t="shared" si="78"/>
        <v>0</v>
      </c>
      <c r="CB253" s="298">
        <v>0.6</v>
      </c>
      <c r="CC253" s="298">
        <v>0.4</v>
      </c>
      <c r="CD253">
        <f t="shared" si="79"/>
        <v>0</v>
      </c>
      <c r="CE253">
        <f t="shared" si="80"/>
        <v>0</v>
      </c>
      <c r="CF253">
        <f t="shared" si="81"/>
        <v>0</v>
      </c>
      <c r="CG253">
        <f t="shared" si="82"/>
        <v>0</v>
      </c>
      <c r="CH253">
        <f t="shared" si="83"/>
        <v>0</v>
      </c>
      <c r="CI253">
        <f t="shared" si="84"/>
        <v>0</v>
      </c>
      <c r="CJ253">
        <f t="shared" si="85"/>
        <v>0</v>
      </c>
      <c r="CK253">
        <f t="shared" si="86"/>
        <v>0</v>
      </c>
      <c r="CL253">
        <f t="shared" si="87"/>
        <v>0</v>
      </c>
      <c r="CM253">
        <f t="shared" si="89"/>
        <v>0</v>
      </c>
      <c r="CN253">
        <f t="shared" si="88"/>
        <v>0</v>
      </c>
      <c r="CO253">
        <f t="shared" si="72"/>
        <v>0</v>
      </c>
    </row>
    <row r="254" spans="1:93" s="12" customFormat="1" ht="14.45" customHeight="1" x14ac:dyDescent="0.25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10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+VLOOKUP(G254,Liste!$A$7:$G$69,3,FALSE)</f>
        <v>Pin sylvestre</v>
      </c>
      <c r="BI254" s="96" t="str">
        <f>+VLOOKUP(H254,Liste!$B$7:$G$69,5,FALSE)</f>
        <v>GS Pineraies des plaines du Centre et du Nord Ouest</v>
      </c>
      <c r="BJ254" s="135">
        <f t="shared" si="71"/>
        <v>96</v>
      </c>
      <c r="BK254" s="135" t="str">
        <f t="shared" si="73"/>
        <v>Pin sylvestre_F2_Eclaircie tardive_GS Pineraies des plaines du Centre et du Nord Ouest_96_</v>
      </c>
      <c r="BL254" s="319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97" t="str">
        <f>+VLOOKUP(G254,Liste!$A$7:$H$69,8,FALSE)</f>
        <v>Résineux</v>
      </c>
      <c r="BU254" s="297">
        <f t="shared" si="74"/>
        <v>0</v>
      </c>
      <c r="BV254" s="299">
        <f t="shared" si="75"/>
        <v>1</v>
      </c>
      <c r="BW254" s="318">
        <v>0</v>
      </c>
      <c r="BX254" s="297">
        <f t="shared" si="76"/>
        <v>0.43</v>
      </c>
      <c r="BY254">
        <f t="shared" si="77"/>
        <v>0</v>
      </c>
      <c r="BZ254" s="303">
        <f t="shared" si="78"/>
        <v>0</v>
      </c>
      <c r="CB254" s="298">
        <v>0.6</v>
      </c>
      <c r="CC254" s="298">
        <v>0.4</v>
      </c>
      <c r="CD254">
        <f t="shared" si="79"/>
        <v>0</v>
      </c>
      <c r="CE254">
        <f t="shared" si="80"/>
        <v>0</v>
      </c>
      <c r="CF254">
        <f t="shared" si="81"/>
        <v>0</v>
      </c>
      <c r="CG254">
        <f t="shared" si="82"/>
        <v>0</v>
      </c>
      <c r="CH254">
        <f t="shared" si="83"/>
        <v>0</v>
      </c>
      <c r="CI254">
        <f t="shared" si="84"/>
        <v>0</v>
      </c>
      <c r="CJ254">
        <f t="shared" si="85"/>
        <v>0</v>
      </c>
      <c r="CK254">
        <f t="shared" si="86"/>
        <v>0</v>
      </c>
      <c r="CL254">
        <f t="shared" si="87"/>
        <v>0</v>
      </c>
      <c r="CM254">
        <f t="shared" si="89"/>
        <v>0</v>
      </c>
      <c r="CN254">
        <f t="shared" si="88"/>
        <v>0</v>
      </c>
      <c r="CO254">
        <f t="shared" si="72"/>
        <v>0</v>
      </c>
    </row>
    <row r="255" spans="1:93" s="12" customFormat="1" ht="14.45" customHeight="1" x14ac:dyDescent="0.25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10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+VLOOKUP(G255,Liste!$A$7:$G$69,3,FALSE)</f>
        <v>Pin sylvestre</v>
      </c>
      <c r="BI255" s="96" t="str">
        <f>+VLOOKUP(H255,Liste!$B$7:$G$69,5,FALSE)</f>
        <v>GS Pineraies des plaines du Centre et du Nord Ouest</v>
      </c>
      <c r="BJ255" s="135">
        <f t="shared" si="71"/>
        <v>97</v>
      </c>
      <c r="BK255" s="135" t="str">
        <f t="shared" si="73"/>
        <v>Pin sylvestre_F2_Eclaircie tardive_GS Pineraies des plaines du Centre et du Nord Ouest_97_</v>
      </c>
      <c r="BL255" s="319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97" t="str">
        <f>+VLOOKUP(G255,Liste!$A$7:$H$69,8,FALSE)</f>
        <v>Résineux</v>
      </c>
      <c r="BU255" s="297">
        <f t="shared" si="74"/>
        <v>0</v>
      </c>
      <c r="BV255" s="299">
        <f t="shared" si="75"/>
        <v>1</v>
      </c>
      <c r="BW255" s="318">
        <v>0</v>
      </c>
      <c r="BX255" s="297">
        <f t="shared" si="76"/>
        <v>0.43</v>
      </c>
      <c r="BY255">
        <f t="shared" si="77"/>
        <v>0</v>
      </c>
      <c r="BZ255" s="303">
        <f t="shared" si="78"/>
        <v>0</v>
      </c>
      <c r="CB255" s="298">
        <v>0.6</v>
      </c>
      <c r="CC255" s="298">
        <v>0.4</v>
      </c>
      <c r="CD255">
        <f t="shared" si="79"/>
        <v>0</v>
      </c>
      <c r="CE255">
        <f t="shared" si="80"/>
        <v>0</v>
      </c>
      <c r="CF255">
        <f t="shared" si="81"/>
        <v>0</v>
      </c>
      <c r="CG255">
        <f t="shared" si="82"/>
        <v>0</v>
      </c>
      <c r="CH255">
        <f t="shared" si="83"/>
        <v>0</v>
      </c>
      <c r="CI255">
        <f t="shared" si="84"/>
        <v>0</v>
      </c>
      <c r="CJ255">
        <f t="shared" si="85"/>
        <v>0</v>
      </c>
      <c r="CK255">
        <f t="shared" si="86"/>
        <v>0</v>
      </c>
      <c r="CL255">
        <f t="shared" si="87"/>
        <v>0</v>
      </c>
      <c r="CM255">
        <f t="shared" si="89"/>
        <v>0</v>
      </c>
      <c r="CN255">
        <f t="shared" si="88"/>
        <v>0</v>
      </c>
      <c r="CO255">
        <f t="shared" si="72"/>
        <v>0</v>
      </c>
    </row>
    <row r="256" spans="1:93" s="12" customFormat="1" ht="14.45" customHeight="1" x14ac:dyDescent="0.25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10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+VLOOKUP(G256,Liste!$A$7:$G$69,3,FALSE)</f>
        <v>Pin sylvestre</v>
      </c>
      <c r="BI256" s="96" t="str">
        <f>+VLOOKUP(H256,Liste!$B$7:$G$69,5,FALSE)</f>
        <v>GS Pineraies des plaines du Centre et du Nord Ouest</v>
      </c>
      <c r="BJ256" s="135">
        <f t="shared" si="71"/>
        <v>98</v>
      </c>
      <c r="BK256" s="135" t="str">
        <f t="shared" si="73"/>
        <v>Pin sylvestre_F2_Eclaircie tardive_GS Pineraies des plaines du Centre et du Nord Ouest_98_</v>
      </c>
      <c r="BL256" s="319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97" t="str">
        <f>+VLOOKUP(G256,Liste!$A$7:$H$69,8,FALSE)</f>
        <v>Résineux</v>
      </c>
      <c r="BU256" s="297">
        <f t="shared" si="74"/>
        <v>0</v>
      </c>
      <c r="BV256" s="299">
        <f t="shared" si="75"/>
        <v>1</v>
      </c>
      <c r="BW256" s="318">
        <v>0</v>
      </c>
      <c r="BX256" s="297">
        <f t="shared" si="76"/>
        <v>0.43</v>
      </c>
      <c r="BY256">
        <f t="shared" si="77"/>
        <v>0</v>
      </c>
      <c r="BZ256" s="303">
        <f t="shared" si="78"/>
        <v>0</v>
      </c>
      <c r="CB256" s="298">
        <v>0.6</v>
      </c>
      <c r="CC256" s="298">
        <v>0.4</v>
      </c>
      <c r="CD256">
        <f t="shared" si="79"/>
        <v>0</v>
      </c>
      <c r="CE256">
        <f t="shared" si="80"/>
        <v>0</v>
      </c>
      <c r="CF256">
        <f t="shared" si="81"/>
        <v>0</v>
      </c>
      <c r="CG256">
        <f t="shared" si="82"/>
        <v>0</v>
      </c>
      <c r="CH256">
        <f t="shared" si="83"/>
        <v>0</v>
      </c>
      <c r="CI256">
        <f t="shared" si="84"/>
        <v>0</v>
      </c>
      <c r="CJ256">
        <f t="shared" si="85"/>
        <v>0</v>
      </c>
      <c r="CK256">
        <f t="shared" si="86"/>
        <v>0</v>
      </c>
      <c r="CL256">
        <f t="shared" si="87"/>
        <v>0</v>
      </c>
      <c r="CM256">
        <f t="shared" si="89"/>
        <v>0</v>
      </c>
      <c r="CN256">
        <f t="shared" si="88"/>
        <v>0</v>
      </c>
      <c r="CO256">
        <f t="shared" si="72"/>
        <v>0</v>
      </c>
    </row>
    <row r="257" spans="1:93" s="12" customFormat="1" ht="14.45" customHeight="1" x14ac:dyDescent="0.25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10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+VLOOKUP(G257,Liste!$A$7:$G$69,3,FALSE)</f>
        <v>Pin sylvestre</v>
      </c>
      <c r="BI257" s="96" t="str">
        <f>+VLOOKUP(H257,Liste!$B$7:$G$69,5,FALSE)</f>
        <v>GS Pineraies des plaines du Centre et du Nord Ouest</v>
      </c>
      <c r="BJ257" s="135">
        <f t="shared" si="71"/>
        <v>99</v>
      </c>
      <c r="BK257" s="135" t="str">
        <f t="shared" si="73"/>
        <v>Pin sylvestre_F2_Eclaircie tardive_GS Pineraies des plaines du Centre et du Nord Ouest_99_</v>
      </c>
      <c r="BL257" s="319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97" t="str">
        <f>+VLOOKUP(G257,Liste!$A$7:$H$69,8,FALSE)</f>
        <v>Résineux</v>
      </c>
      <c r="BU257" s="297">
        <f t="shared" si="74"/>
        <v>0</v>
      </c>
      <c r="BV257" s="299">
        <f t="shared" si="75"/>
        <v>1</v>
      </c>
      <c r="BW257" s="318">
        <v>0</v>
      </c>
      <c r="BX257" s="297">
        <f t="shared" si="76"/>
        <v>0.43</v>
      </c>
      <c r="BY257">
        <f t="shared" si="77"/>
        <v>0</v>
      </c>
      <c r="BZ257" s="303">
        <f t="shared" si="78"/>
        <v>0</v>
      </c>
      <c r="CB257" s="298">
        <v>0.6</v>
      </c>
      <c r="CC257" s="298">
        <v>0.4</v>
      </c>
      <c r="CD257">
        <f t="shared" si="79"/>
        <v>0</v>
      </c>
      <c r="CE257">
        <f t="shared" si="80"/>
        <v>0</v>
      </c>
      <c r="CF257">
        <f t="shared" si="81"/>
        <v>0</v>
      </c>
      <c r="CG257">
        <f t="shared" si="82"/>
        <v>0</v>
      </c>
      <c r="CH257">
        <f t="shared" si="83"/>
        <v>0</v>
      </c>
      <c r="CI257">
        <f t="shared" si="84"/>
        <v>0</v>
      </c>
      <c r="CJ257">
        <f t="shared" si="85"/>
        <v>0</v>
      </c>
      <c r="CK257">
        <f t="shared" si="86"/>
        <v>0</v>
      </c>
      <c r="CL257">
        <f t="shared" si="87"/>
        <v>0</v>
      </c>
      <c r="CM257">
        <f t="shared" si="89"/>
        <v>0</v>
      </c>
      <c r="CN257">
        <f t="shared" si="88"/>
        <v>0</v>
      </c>
      <c r="CO257">
        <f t="shared" si="72"/>
        <v>0</v>
      </c>
    </row>
    <row r="258" spans="1:93" s="12" customFormat="1" ht="14.45" customHeight="1" x14ac:dyDescent="0.25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10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+VLOOKUP(G258,Liste!$A$7:$G$69,3,FALSE)</f>
        <v>Pin sylvestre</v>
      </c>
      <c r="BI258" s="96" t="str">
        <f>+VLOOKUP(H258,Liste!$B$7:$G$69,5,FALSE)</f>
        <v>GS Pineraies des plaines du Centre et du Nord Ouest</v>
      </c>
      <c r="BJ258" s="135">
        <f t="shared" si="71"/>
        <v>100</v>
      </c>
      <c r="BK258" s="135" t="str">
        <f t="shared" si="73"/>
        <v>Pin sylvestre_F2_Eclaircie tardive_GS Pineraies des plaines du Centre et du Nord Ouest_100_</v>
      </c>
      <c r="BL258" s="319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97" t="str">
        <f>+VLOOKUP(G258,Liste!$A$7:$H$69,8,FALSE)</f>
        <v>Résineux</v>
      </c>
      <c r="BU258" s="297">
        <f t="shared" si="74"/>
        <v>0</v>
      </c>
      <c r="BV258" s="299">
        <f t="shared" si="75"/>
        <v>1</v>
      </c>
      <c r="BW258" s="318">
        <v>0</v>
      </c>
      <c r="BX258" s="297">
        <f t="shared" si="76"/>
        <v>0.43</v>
      </c>
      <c r="BY258">
        <f t="shared" si="77"/>
        <v>0</v>
      </c>
      <c r="BZ258" s="303">
        <f t="shared" si="78"/>
        <v>0</v>
      </c>
      <c r="CB258" s="298">
        <v>0.6</v>
      </c>
      <c r="CC258" s="298">
        <v>0.4</v>
      </c>
      <c r="CD258">
        <f t="shared" si="79"/>
        <v>0</v>
      </c>
      <c r="CE258">
        <f t="shared" si="80"/>
        <v>0</v>
      </c>
      <c r="CF258">
        <f t="shared" si="81"/>
        <v>0</v>
      </c>
      <c r="CG258">
        <f t="shared" si="82"/>
        <v>0</v>
      </c>
      <c r="CH258">
        <f t="shared" si="83"/>
        <v>0</v>
      </c>
      <c r="CI258">
        <f t="shared" si="84"/>
        <v>0</v>
      </c>
      <c r="CJ258">
        <f t="shared" si="85"/>
        <v>0</v>
      </c>
      <c r="CK258">
        <f t="shared" si="86"/>
        <v>0</v>
      </c>
      <c r="CL258">
        <f t="shared" si="87"/>
        <v>0</v>
      </c>
      <c r="CM258">
        <f t="shared" si="89"/>
        <v>0</v>
      </c>
      <c r="CN258">
        <f t="shared" si="88"/>
        <v>0</v>
      </c>
      <c r="CO258">
        <f t="shared" si="72"/>
        <v>0</v>
      </c>
    </row>
    <row r="259" spans="1:93" s="12" customFormat="1" ht="14.45" customHeight="1" x14ac:dyDescent="0.25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10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+VLOOKUP(G259,Liste!$A$7:$G$69,3,FALSE)</f>
        <v>Pin sylvestre</v>
      </c>
      <c r="BI259" s="96" t="str">
        <f>+VLOOKUP(H259,Liste!$B$7:$G$69,5,FALSE)</f>
        <v>GS Pineraies des plaines du Centre et du Nord Ouest</v>
      </c>
      <c r="BJ259" s="135">
        <f t="shared" ref="BJ259:BJ322" si="90">+AC259</f>
        <v>101</v>
      </c>
      <c r="BK259" s="135" t="str">
        <f t="shared" si="73"/>
        <v>Pin sylvestre_F2_Eclaircie tardive_GS Pineraies des plaines du Centre et du Nord Ouest_101_</v>
      </c>
      <c r="BL259" s="319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97" t="str">
        <f>+VLOOKUP(G259,Liste!$A$7:$H$69,8,FALSE)</f>
        <v>Résineux</v>
      </c>
      <c r="BU259" s="297">
        <f t="shared" si="74"/>
        <v>0</v>
      </c>
      <c r="BV259" s="299">
        <f t="shared" si="75"/>
        <v>1</v>
      </c>
      <c r="BW259" s="318">
        <v>0</v>
      </c>
      <c r="BX259" s="297">
        <f t="shared" si="76"/>
        <v>0.43</v>
      </c>
      <c r="BY259">
        <f t="shared" si="77"/>
        <v>0</v>
      </c>
      <c r="BZ259" s="303">
        <f t="shared" si="78"/>
        <v>0</v>
      </c>
      <c r="CB259" s="298">
        <v>0.6</v>
      </c>
      <c r="CC259" s="298">
        <v>0.4</v>
      </c>
      <c r="CD259">
        <f t="shared" si="79"/>
        <v>0</v>
      </c>
      <c r="CE259">
        <f t="shared" si="80"/>
        <v>0</v>
      </c>
      <c r="CF259">
        <f t="shared" si="81"/>
        <v>0</v>
      </c>
      <c r="CG259">
        <f t="shared" si="82"/>
        <v>0</v>
      </c>
      <c r="CH259">
        <f t="shared" si="83"/>
        <v>0</v>
      </c>
      <c r="CI259">
        <f t="shared" si="84"/>
        <v>0</v>
      </c>
      <c r="CJ259">
        <f t="shared" si="85"/>
        <v>0</v>
      </c>
      <c r="CK259">
        <f t="shared" si="86"/>
        <v>0</v>
      </c>
      <c r="CL259">
        <f t="shared" si="87"/>
        <v>0</v>
      </c>
      <c r="CM259">
        <f t="shared" si="89"/>
        <v>0</v>
      </c>
      <c r="CN259">
        <f t="shared" si="88"/>
        <v>0</v>
      </c>
      <c r="CO259">
        <f t="shared" ref="CO259:CO322" si="91">+IF(BJ259=30,CN259/30,0)</f>
        <v>0</v>
      </c>
    </row>
    <row r="260" spans="1:93" s="12" customFormat="1" ht="14.45" customHeight="1" x14ac:dyDescent="0.25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10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+VLOOKUP(G260,Liste!$A$7:$G$69,3,FALSE)</f>
        <v>Pin sylvestre</v>
      </c>
      <c r="BI260" s="96" t="str">
        <f>+VLOOKUP(H260,Liste!$B$7:$G$69,5,FALSE)</f>
        <v>GS Pineraies des plaines du Centre et du Nord Ouest</v>
      </c>
      <c r="BJ260" s="135">
        <f t="shared" si="90"/>
        <v>102</v>
      </c>
      <c r="BK260" s="135" t="str">
        <f t="shared" ref="BK260:BK323" si="92">+_xlfn.CONCAT(BH260,"_",J260,"_",I260,"_",BI260,"_",BJ260,"_")</f>
        <v>Pin sylvestre_F2_Eclaircie tardive_GS Pineraies des plaines du Centre et du Nord Ouest_102_</v>
      </c>
      <c r="BL260" s="319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97" t="str">
        <f>+VLOOKUP(G260,Liste!$A$7:$H$69,8,FALSE)</f>
        <v>Résineux</v>
      </c>
      <c r="BU260" s="297">
        <f t="shared" ref="BU260:BU323" si="93">IF(BT260="Résineux",0%,100%)</f>
        <v>0</v>
      </c>
      <c r="BV260" s="299">
        <f t="shared" ref="BV260:BV323" si="94">+IF(BT260="Résineux",100%,0%)</f>
        <v>1</v>
      </c>
      <c r="BW260" s="318">
        <v>0</v>
      </c>
      <c r="BX260" s="297">
        <f t="shared" ref="BX260:BX323" si="95">+IF(BV260&lt;&gt;0,0.43,0.25)</f>
        <v>0.43</v>
      </c>
      <c r="BY260">
        <f t="shared" ref="BY260:BY323" si="96">+IF(BJ260&lt;=30,AV260*BX260,0)</f>
        <v>0</v>
      </c>
      <c r="BZ260" s="303">
        <f t="shared" ref="BZ260:BZ323" si="97">+IF(BJ260&gt;=31,0,BY260+BZ259)</f>
        <v>0</v>
      </c>
      <c r="CB260" s="298">
        <v>0.6</v>
      </c>
      <c r="CC260" s="298">
        <v>0.4</v>
      </c>
      <c r="CD260">
        <f t="shared" ref="CD260:CD323" si="98">+IF(BJ260&lt;=31,AV260*CA260*0.5,0)</f>
        <v>0</v>
      </c>
      <c r="CE260">
        <f t="shared" ref="CE260:CE323" si="99">IF(BJ260&lt;=31,AV260*CB260,0)</f>
        <v>0</v>
      </c>
      <c r="CF260">
        <f t="shared" ref="CF260:CF323" si="100">IF(BJ260&lt;=31,AV260*CC260,0)</f>
        <v>0</v>
      </c>
      <c r="CG260">
        <f t="shared" ref="CG260:CG323" si="101">CD260*44/12*0.475*BF260</f>
        <v>0</v>
      </c>
      <c r="CH260">
        <f t="shared" ref="CH260:CH323" si="102">CE260*44/12*0.475*BF260</f>
        <v>0</v>
      </c>
      <c r="CI260">
        <f t="shared" ref="CI260:CI323" si="103">CF260*44/12*0.475*BF260</f>
        <v>0</v>
      </c>
      <c r="CJ260">
        <f t="shared" ref="CJ260:CJ323" si="104">+IF(BJ260&lt;=31,CJ259*EXP(-$CJ$1)+CG259*(1-EXP(-$CJ$1))/$CJ$1,0)</f>
        <v>0</v>
      </c>
      <c r="CK260">
        <f t="shared" ref="CK260:CK323" si="105">+IF(BJ260&lt;=31,CK259*EXP(-$CK$1)+CH259*(1-EXP(-$CK$1))/$CK$1,0)</f>
        <v>0</v>
      </c>
      <c r="CL260">
        <f t="shared" ref="CL260:CL323" si="106">+IF(BJ260&lt;=31,CL259*EXP(-$CL$1)+CI259*(1-EXP(-$CL$1))/$CL$1,0)</f>
        <v>0</v>
      </c>
      <c r="CM260">
        <f t="shared" si="89"/>
        <v>0</v>
      </c>
      <c r="CN260">
        <f t="shared" ref="CN260:CN323" si="107">+IF(BJ260&lt;=31,CM260+CN259,0)</f>
        <v>0</v>
      </c>
      <c r="CO260">
        <f t="shared" si="91"/>
        <v>0</v>
      </c>
    </row>
    <row r="261" spans="1:93" s="12" customFormat="1" ht="14.45" customHeight="1" x14ac:dyDescent="0.25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+VLOOKUP(G261,Liste!$A$7:$G$69,3,FALSE)</f>
        <v>Pin sylvestre</v>
      </c>
      <c r="BI261" s="96" t="str">
        <f>+VLOOKUP(H261,Liste!$B$7:$G$69,5,FALSE)</f>
        <v>GS Pineraies des plaines du Centre et du Nord Ouest</v>
      </c>
      <c r="BJ261" s="135">
        <f t="shared" si="90"/>
        <v>102</v>
      </c>
      <c r="BK261" s="135" t="str">
        <f t="shared" si="92"/>
        <v>Pin sylvestre_F2_Eclaircie tardive_GS Pineraies des plaines du Centre et du Nord Ouest_102_</v>
      </c>
      <c r="BL261" s="319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97" t="str">
        <f>+VLOOKUP(G261,Liste!$A$7:$H$69,8,FALSE)</f>
        <v>Résineux</v>
      </c>
      <c r="BU261" s="297">
        <f t="shared" si="93"/>
        <v>0</v>
      </c>
      <c r="BV261" s="299">
        <f t="shared" si="94"/>
        <v>1</v>
      </c>
      <c r="BW261" s="318">
        <v>0</v>
      </c>
      <c r="BX261" s="297">
        <f t="shared" si="95"/>
        <v>0.43</v>
      </c>
      <c r="BY261">
        <f t="shared" si="96"/>
        <v>0</v>
      </c>
      <c r="BZ261" s="303">
        <f t="shared" si="97"/>
        <v>0</v>
      </c>
      <c r="CB261" s="298">
        <v>0.6</v>
      </c>
      <c r="CC261" s="298">
        <v>0.4</v>
      </c>
      <c r="CD261">
        <f t="shared" si="98"/>
        <v>0</v>
      </c>
      <c r="CE261">
        <f t="shared" si="99"/>
        <v>0</v>
      </c>
      <c r="CF261">
        <f t="shared" si="100"/>
        <v>0</v>
      </c>
      <c r="CG261">
        <f t="shared" si="101"/>
        <v>0</v>
      </c>
      <c r="CH261">
        <f t="shared" si="102"/>
        <v>0</v>
      </c>
      <c r="CI261">
        <f t="shared" si="103"/>
        <v>0</v>
      </c>
      <c r="CJ261">
        <f t="shared" si="104"/>
        <v>0</v>
      </c>
      <c r="CK261">
        <f t="shared" si="105"/>
        <v>0</v>
      </c>
      <c r="CL261">
        <f t="shared" si="106"/>
        <v>0</v>
      </c>
      <c r="CM261">
        <f t="shared" ref="CM261:CM324" si="108">+CJ261+CK261+CL261</f>
        <v>0</v>
      </c>
      <c r="CN261">
        <f t="shared" si="107"/>
        <v>0</v>
      </c>
      <c r="CO261">
        <f t="shared" si="91"/>
        <v>0</v>
      </c>
    </row>
    <row r="262" spans="1:93" s="12" customFormat="1" ht="14.45" customHeight="1" x14ac:dyDescent="0.25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10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+VLOOKUP(G262,Liste!$A$7:$G$69,3,FALSE)</f>
        <v>Pin sylvestre</v>
      </c>
      <c r="BI262" s="96" t="str">
        <f>+VLOOKUP(H262,Liste!$B$7:$G$69,5,FALSE)</f>
        <v>GS Pineraies des plaines du Centre et du Nord Ouest</v>
      </c>
      <c r="BJ262" s="135">
        <f t="shared" si="90"/>
        <v>103</v>
      </c>
      <c r="BK262" s="135" t="str">
        <f t="shared" si="92"/>
        <v>Pin sylvestre_F2_Eclaircie tardive_GS Pineraies des plaines du Centre et du Nord Ouest_103_</v>
      </c>
      <c r="BL262" s="319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97" t="str">
        <f>+VLOOKUP(G262,Liste!$A$7:$H$69,8,FALSE)</f>
        <v>Résineux</v>
      </c>
      <c r="BU262" s="297">
        <f t="shared" si="93"/>
        <v>0</v>
      </c>
      <c r="BV262" s="299">
        <f t="shared" si="94"/>
        <v>1</v>
      </c>
      <c r="BW262" s="318">
        <v>0</v>
      </c>
      <c r="BX262" s="297">
        <f t="shared" si="95"/>
        <v>0.43</v>
      </c>
      <c r="BY262">
        <f t="shared" si="96"/>
        <v>0</v>
      </c>
      <c r="BZ262" s="303">
        <f t="shared" si="97"/>
        <v>0</v>
      </c>
      <c r="CB262" s="298">
        <v>0.6</v>
      </c>
      <c r="CC262" s="298">
        <v>0.4</v>
      </c>
      <c r="CD262">
        <f t="shared" si="98"/>
        <v>0</v>
      </c>
      <c r="CE262">
        <f t="shared" si="99"/>
        <v>0</v>
      </c>
      <c r="CF262">
        <f t="shared" si="100"/>
        <v>0</v>
      </c>
      <c r="CG262">
        <f t="shared" si="101"/>
        <v>0</v>
      </c>
      <c r="CH262">
        <f t="shared" si="102"/>
        <v>0</v>
      </c>
      <c r="CI262">
        <f t="shared" si="103"/>
        <v>0</v>
      </c>
      <c r="CJ262">
        <f t="shared" si="104"/>
        <v>0</v>
      </c>
      <c r="CK262">
        <f t="shared" si="105"/>
        <v>0</v>
      </c>
      <c r="CL262">
        <f t="shared" si="106"/>
        <v>0</v>
      </c>
      <c r="CM262">
        <f t="shared" si="108"/>
        <v>0</v>
      </c>
      <c r="CN262">
        <f t="shared" si="107"/>
        <v>0</v>
      </c>
      <c r="CO262">
        <f t="shared" si="91"/>
        <v>0</v>
      </c>
    </row>
    <row r="263" spans="1:93" s="12" customFormat="1" ht="14.45" customHeight="1" x14ac:dyDescent="0.25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10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+VLOOKUP(G263,Liste!$A$7:$G$69,3,FALSE)</f>
        <v>Pin sylvestre</v>
      </c>
      <c r="BI263" s="96" t="str">
        <f>+VLOOKUP(H263,Liste!$B$7:$G$69,5,FALSE)</f>
        <v>GS Pineraies des plaines du Centre et du Nord Ouest</v>
      </c>
      <c r="BJ263" s="135">
        <f t="shared" si="90"/>
        <v>104</v>
      </c>
      <c r="BK263" s="135" t="str">
        <f t="shared" si="92"/>
        <v>Pin sylvestre_F2_Eclaircie tardive_GS Pineraies des plaines du Centre et du Nord Ouest_104_</v>
      </c>
      <c r="BL263" s="319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97" t="str">
        <f>+VLOOKUP(G263,Liste!$A$7:$H$69,8,FALSE)</f>
        <v>Résineux</v>
      </c>
      <c r="BU263" s="297">
        <f t="shared" si="93"/>
        <v>0</v>
      </c>
      <c r="BV263" s="299">
        <f t="shared" si="94"/>
        <v>1</v>
      </c>
      <c r="BW263" s="318">
        <v>0</v>
      </c>
      <c r="BX263" s="297">
        <f t="shared" si="95"/>
        <v>0.43</v>
      </c>
      <c r="BY263">
        <f t="shared" si="96"/>
        <v>0</v>
      </c>
      <c r="BZ263" s="303">
        <f t="shared" si="97"/>
        <v>0</v>
      </c>
      <c r="CB263" s="298">
        <v>0.6</v>
      </c>
      <c r="CC263" s="298">
        <v>0.4</v>
      </c>
      <c r="CD263">
        <f t="shared" si="98"/>
        <v>0</v>
      </c>
      <c r="CE263">
        <f t="shared" si="99"/>
        <v>0</v>
      </c>
      <c r="CF263">
        <f t="shared" si="100"/>
        <v>0</v>
      </c>
      <c r="CG263">
        <f t="shared" si="101"/>
        <v>0</v>
      </c>
      <c r="CH263">
        <f t="shared" si="102"/>
        <v>0</v>
      </c>
      <c r="CI263">
        <f t="shared" si="103"/>
        <v>0</v>
      </c>
      <c r="CJ263">
        <f t="shared" si="104"/>
        <v>0</v>
      </c>
      <c r="CK263">
        <f t="shared" si="105"/>
        <v>0</v>
      </c>
      <c r="CL263">
        <f t="shared" si="106"/>
        <v>0</v>
      </c>
      <c r="CM263">
        <f t="shared" si="108"/>
        <v>0</v>
      </c>
      <c r="CN263">
        <f t="shared" si="107"/>
        <v>0</v>
      </c>
      <c r="CO263">
        <f t="shared" si="91"/>
        <v>0</v>
      </c>
    </row>
    <row r="264" spans="1:93" s="12" customFormat="1" ht="14.45" customHeight="1" x14ac:dyDescent="0.25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10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+VLOOKUP(G264,Liste!$A$7:$G$69,3,FALSE)</f>
        <v>Pin sylvestre</v>
      </c>
      <c r="BI264" s="96" t="str">
        <f>+VLOOKUP(H264,Liste!$B$7:$G$69,5,FALSE)</f>
        <v>GS Pineraies des plaines du Centre et du Nord Ouest</v>
      </c>
      <c r="BJ264" s="135">
        <f t="shared" si="90"/>
        <v>105</v>
      </c>
      <c r="BK264" s="135" t="str">
        <f t="shared" si="92"/>
        <v>Pin sylvestre_F2_Eclaircie tardive_GS Pineraies des plaines du Centre et du Nord Ouest_105_</v>
      </c>
      <c r="BL264" s="319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97" t="str">
        <f>+VLOOKUP(G264,Liste!$A$7:$H$69,8,FALSE)</f>
        <v>Résineux</v>
      </c>
      <c r="BU264" s="297">
        <f t="shared" si="93"/>
        <v>0</v>
      </c>
      <c r="BV264" s="299">
        <f t="shared" si="94"/>
        <v>1</v>
      </c>
      <c r="BW264" s="318">
        <v>0</v>
      </c>
      <c r="BX264" s="297">
        <f t="shared" si="95"/>
        <v>0.43</v>
      </c>
      <c r="BY264">
        <f t="shared" si="96"/>
        <v>0</v>
      </c>
      <c r="BZ264" s="303">
        <f t="shared" si="97"/>
        <v>0</v>
      </c>
      <c r="CB264" s="298">
        <v>0.6</v>
      </c>
      <c r="CC264" s="298">
        <v>0.4</v>
      </c>
      <c r="CD264">
        <f t="shared" si="98"/>
        <v>0</v>
      </c>
      <c r="CE264">
        <f t="shared" si="99"/>
        <v>0</v>
      </c>
      <c r="CF264">
        <f t="shared" si="100"/>
        <v>0</v>
      </c>
      <c r="CG264">
        <f t="shared" si="101"/>
        <v>0</v>
      </c>
      <c r="CH264">
        <f t="shared" si="102"/>
        <v>0</v>
      </c>
      <c r="CI264">
        <f t="shared" si="103"/>
        <v>0</v>
      </c>
      <c r="CJ264">
        <f t="shared" si="104"/>
        <v>0</v>
      </c>
      <c r="CK264">
        <f t="shared" si="105"/>
        <v>0</v>
      </c>
      <c r="CL264">
        <f t="shared" si="106"/>
        <v>0</v>
      </c>
      <c r="CM264">
        <f t="shared" si="108"/>
        <v>0</v>
      </c>
      <c r="CN264">
        <f t="shared" si="107"/>
        <v>0</v>
      </c>
      <c r="CO264">
        <f t="shared" si="91"/>
        <v>0</v>
      </c>
    </row>
    <row r="265" spans="1:93" s="12" customFormat="1" ht="14.45" customHeight="1" x14ac:dyDescent="0.25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10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+VLOOKUP(G265,Liste!$A$7:$G$69,3,FALSE)</f>
        <v>Pin sylvestre</v>
      </c>
      <c r="BI265" s="96" t="str">
        <f>+VLOOKUP(H265,Liste!$B$7:$G$69,5,FALSE)</f>
        <v>GS Pineraies des plaines du Centre et du Nord Ouest</v>
      </c>
      <c r="BJ265" s="135">
        <f t="shared" si="90"/>
        <v>106</v>
      </c>
      <c r="BK265" s="135" t="str">
        <f t="shared" si="92"/>
        <v>Pin sylvestre_F2_Eclaircie tardive_GS Pineraies des plaines du Centre et du Nord Ouest_106_</v>
      </c>
      <c r="BL265" s="319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97" t="str">
        <f>+VLOOKUP(G265,Liste!$A$7:$H$69,8,FALSE)</f>
        <v>Résineux</v>
      </c>
      <c r="BU265" s="297">
        <f t="shared" si="93"/>
        <v>0</v>
      </c>
      <c r="BV265" s="299">
        <f t="shared" si="94"/>
        <v>1</v>
      </c>
      <c r="BW265" s="318">
        <v>0</v>
      </c>
      <c r="BX265" s="297">
        <f t="shared" si="95"/>
        <v>0.43</v>
      </c>
      <c r="BY265">
        <f t="shared" si="96"/>
        <v>0</v>
      </c>
      <c r="BZ265" s="303">
        <f t="shared" si="97"/>
        <v>0</v>
      </c>
      <c r="CB265" s="298">
        <v>0.6</v>
      </c>
      <c r="CC265" s="298">
        <v>0.4</v>
      </c>
      <c r="CD265">
        <f t="shared" si="98"/>
        <v>0</v>
      </c>
      <c r="CE265">
        <f t="shared" si="99"/>
        <v>0</v>
      </c>
      <c r="CF265">
        <f t="shared" si="100"/>
        <v>0</v>
      </c>
      <c r="CG265">
        <f t="shared" si="101"/>
        <v>0</v>
      </c>
      <c r="CH265">
        <f t="shared" si="102"/>
        <v>0</v>
      </c>
      <c r="CI265">
        <f t="shared" si="103"/>
        <v>0</v>
      </c>
      <c r="CJ265">
        <f t="shared" si="104"/>
        <v>0</v>
      </c>
      <c r="CK265">
        <f t="shared" si="105"/>
        <v>0</v>
      </c>
      <c r="CL265">
        <f t="shared" si="106"/>
        <v>0</v>
      </c>
      <c r="CM265">
        <f t="shared" si="108"/>
        <v>0</v>
      </c>
      <c r="CN265">
        <f t="shared" si="107"/>
        <v>0</v>
      </c>
      <c r="CO265">
        <f t="shared" si="91"/>
        <v>0</v>
      </c>
    </row>
    <row r="266" spans="1:93" s="12" customFormat="1" ht="14.45" customHeight="1" x14ac:dyDescent="0.25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10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+VLOOKUP(G266,Liste!$A$7:$G$69,3,FALSE)</f>
        <v>Pin sylvestre</v>
      </c>
      <c r="BI266" s="96" t="str">
        <f>+VLOOKUP(H266,Liste!$B$7:$G$69,5,FALSE)</f>
        <v>GS Pineraies des plaines du Centre et du Nord Ouest</v>
      </c>
      <c r="BJ266" s="135">
        <f t="shared" si="90"/>
        <v>107</v>
      </c>
      <c r="BK266" s="135" t="str">
        <f t="shared" si="92"/>
        <v>Pin sylvestre_F2_Eclaircie tardive_GS Pineraies des plaines du Centre et du Nord Ouest_107_</v>
      </c>
      <c r="BL266" s="319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97" t="str">
        <f>+VLOOKUP(G266,Liste!$A$7:$H$69,8,FALSE)</f>
        <v>Résineux</v>
      </c>
      <c r="BU266" s="297">
        <f t="shared" si="93"/>
        <v>0</v>
      </c>
      <c r="BV266" s="299">
        <f t="shared" si="94"/>
        <v>1</v>
      </c>
      <c r="BW266" s="318">
        <v>0</v>
      </c>
      <c r="BX266" s="297">
        <f t="shared" si="95"/>
        <v>0.43</v>
      </c>
      <c r="BY266">
        <f t="shared" si="96"/>
        <v>0</v>
      </c>
      <c r="BZ266" s="303">
        <f t="shared" si="97"/>
        <v>0</v>
      </c>
      <c r="CB266" s="298">
        <v>0.6</v>
      </c>
      <c r="CC266" s="298">
        <v>0.4</v>
      </c>
      <c r="CD266">
        <f t="shared" si="98"/>
        <v>0</v>
      </c>
      <c r="CE266">
        <f t="shared" si="99"/>
        <v>0</v>
      </c>
      <c r="CF266">
        <f t="shared" si="100"/>
        <v>0</v>
      </c>
      <c r="CG266">
        <f t="shared" si="101"/>
        <v>0</v>
      </c>
      <c r="CH266">
        <f t="shared" si="102"/>
        <v>0</v>
      </c>
      <c r="CI266">
        <f t="shared" si="103"/>
        <v>0</v>
      </c>
      <c r="CJ266">
        <f t="shared" si="104"/>
        <v>0</v>
      </c>
      <c r="CK266">
        <f t="shared" si="105"/>
        <v>0</v>
      </c>
      <c r="CL266">
        <f t="shared" si="106"/>
        <v>0</v>
      </c>
      <c r="CM266">
        <f t="shared" si="108"/>
        <v>0</v>
      </c>
      <c r="CN266">
        <f t="shared" si="107"/>
        <v>0</v>
      </c>
      <c r="CO266">
        <f t="shared" si="91"/>
        <v>0</v>
      </c>
    </row>
    <row r="267" spans="1:93" s="12" customFormat="1" ht="14.45" customHeight="1" x14ac:dyDescent="0.25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10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+VLOOKUP(G267,Liste!$A$7:$G$69,3,FALSE)</f>
        <v>Pin sylvestre</v>
      </c>
      <c r="BI267" s="96" t="str">
        <f>+VLOOKUP(H267,Liste!$B$7:$G$69,5,FALSE)</f>
        <v>GS Pineraies des plaines du Centre et du Nord Ouest</v>
      </c>
      <c r="BJ267" s="135">
        <f t="shared" si="90"/>
        <v>108</v>
      </c>
      <c r="BK267" s="135" t="str">
        <f t="shared" si="92"/>
        <v>Pin sylvestre_F2_Eclaircie tardive_GS Pineraies des plaines du Centre et du Nord Ouest_108_</v>
      </c>
      <c r="BL267" s="319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97" t="str">
        <f>+VLOOKUP(G267,Liste!$A$7:$H$69,8,FALSE)</f>
        <v>Résineux</v>
      </c>
      <c r="BU267" s="297">
        <f t="shared" si="93"/>
        <v>0</v>
      </c>
      <c r="BV267" s="299">
        <f t="shared" si="94"/>
        <v>1</v>
      </c>
      <c r="BW267" s="318">
        <v>0</v>
      </c>
      <c r="BX267" s="297">
        <f t="shared" si="95"/>
        <v>0.43</v>
      </c>
      <c r="BY267">
        <f t="shared" si="96"/>
        <v>0</v>
      </c>
      <c r="BZ267" s="303">
        <f t="shared" si="97"/>
        <v>0</v>
      </c>
      <c r="CB267" s="298">
        <v>0.6</v>
      </c>
      <c r="CC267" s="298">
        <v>0.4</v>
      </c>
      <c r="CD267">
        <f t="shared" si="98"/>
        <v>0</v>
      </c>
      <c r="CE267">
        <f t="shared" si="99"/>
        <v>0</v>
      </c>
      <c r="CF267">
        <f t="shared" si="100"/>
        <v>0</v>
      </c>
      <c r="CG267">
        <f t="shared" si="101"/>
        <v>0</v>
      </c>
      <c r="CH267">
        <f t="shared" si="102"/>
        <v>0</v>
      </c>
      <c r="CI267">
        <f t="shared" si="103"/>
        <v>0</v>
      </c>
      <c r="CJ267">
        <f t="shared" si="104"/>
        <v>0</v>
      </c>
      <c r="CK267">
        <f t="shared" si="105"/>
        <v>0</v>
      </c>
      <c r="CL267">
        <f t="shared" si="106"/>
        <v>0</v>
      </c>
      <c r="CM267">
        <f t="shared" si="108"/>
        <v>0</v>
      </c>
      <c r="CN267">
        <f t="shared" si="107"/>
        <v>0</v>
      </c>
      <c r="CO267">
        <f t="shared" si="91"/>
        <v>0</v>
      </c>
    </row>
    <row r="268" spans="1:93" s="12" customFormat="1" ht="14.45" customHeight="1" x14ac:dyDescent="0.25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10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+VLOOKUP(G268,Liste!$A$7:$G$69,3,FALSE)</f>
        <v>Pin sylvestre</v>
      </c>
      <c r="BI268" s="96" t="str">
        <f>+VLOOKUP(H268,Liste!$B$7:$G$69,5,FALSE)</f>
        <v>GS Pineraies des plaines du Centre et du Nord Ouest</v>
      </c>
      <c r="BJ268" s="135">
        <f t="shared" si="90"/>
        <v>109</v>
      </c>
      <c r="BK268" s="135" t="str">
        <f t="shared" si="92"/>
        <v>Pin sylvestre_F2_Eclaircie tardive_GS Pineraies des plaines du Centre et du Nord Ouest_109_</v>
      </c>
      <c r="BL268" s="319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97" t="str">
        <f>+VLOOKUP(G268,Liste!$A$7:$H$69,8,FALSE)</f>
        <v>Résineux</v>
      </c>
      <c r="BU268" s="297">
        <f t="shared" si="93"/>
        <v>0</v>
      </c>
      <c r="BV268" s="299">
        <f t="shared" si="94"/>
        <v>1</v>
      </c>
      <c r="BW268" s="318">
        <v>0</v>
      </c>
      <c r="BX268" s="297">
        <f t="shared" si="95"/>
        <v>0.43</v>
      </c>
      <c r="BY268">
        <f t="shared" si="96"/>
        <v>0</v>
      </c>
      <c r="BZ268" s="303">
        <f t="shared" si="97"/>
        <v>0</v>
      </c>
      <c r="CB268" s="298">
        <v>0.6</v>
      </c>
      <c r="CC268" s="298">
        <v>0.4</v>
      </c>
      <c r="CD268">
        <f t="shared" si="98"/>
        <v>0</v>
      </c>
      <c r="CE268">
        <f t="shared" si="99"/>
        <v>0</v>
      </c>
      <c r="CF268">
        <f t="shared" si="100"/>
        <v>0</v>
      </c>
      <c r="CG268">
        <f t="shared" si="101"/>
        <v>0</v>
      </c>
      <c r="CH268">
        <f t="shared" si="102"/>
        <v>0</v>
      </c>
      <c r="CI268">
        <f t="shared" si="103"/>
        <v>0</v>
      </c>
      <c r="CJ268">
        <f t="shared" si="104"/>
        <v>0</v>
      </c>
      <c r="CK268">
        <f t="shared" si="105"/>
        <v>0</v>
      </c>
      <c r="CL268">
        <f t="shared" si="106"/>
        <v>0</v>
      </c>
      <c r="CM268">
        <f t="shared" si="108"/>
        <v>0</v>
      </c>
      <c r="CN268">
        <f t="shared" si="107"/>
        <v>0</v>
      </c>
      <c r="CO268">
        <f t="shared" si="91"/>
        <v>0</v>
      </c>
    </row>
    <row r="269" spans="1:93" s="12" customFormat="1" ht="14.45" customHeight="1" x14ac:dyDescent="0.25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10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+VLOOKUP(G269,Liste!$A$7:$G$69,3,FALSE)</f>
        <v>Pin sylvestre</v>
      </c>
      <c r="BI269" s="96" t="str">
        <f>+VLOOKUP(H269,Liste!$B$7:$G$69,5,FALSE)</f>
        <v>GS Pineraies des plaines du Centre et du Nord Ouest</v>
      </c>
      <c r="BJ269" s="135">
        <f t="shared" si="90"/>
        <v>110</v>
      </c>
      <c r="BK269" s="135" t="str">
        <f t="shared" si="92"/>
        <v>Pin sylvestre_F2_Eclaircie tardive_GS Pineraies des plaines du Centre et du Nord Ouest_110_</v>
      </c>
      <c r="BL269" s="319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97" t="str">
        <f>+VLOOKUP(G269,Liste!$A$7:$H$69,8,FALSE)</f>
        <v>Résineux</v>
      </c>
      <c r="BU269" s="297">
        <f t="shared" si="93"/>
        <v>0</v>
      </c>
      <c r="BV269" s="299">
        <f t="shared" si="94"/>
        <v>1</v>
      </c>
      <c r="BW269" s="318">
        <v>0</v>
      </c>
      <c r="BX269" s="297">
        <f t="shared" si="95"/>
        <v>0.43</v>
      </c>
      <c r="BY269">
        <f t="shared" si="96"/>
        <v>0</v>
      </c>
      <c r="BZ269" s="303">
        <f t="shared" si="97"/>
        <v>0</v>
      </c>
      <c r="CB269" s="298">
        <v>0.6</v>
      </c>
      <c r="CC269" s="298">
        <v>0.4</v>
      </c>
      <c r="CD269">
        <f t="shared" si="98"/>
        <v>0</v>
      </c>
      <c r="CE269">
        <f t="shared" si="99"/>
        <v>0</v>
      </c>
      <c r="CF269">
        <f t="shared" si="100"/>
        <v>0</v>
      </c>
      <c r="CG269">
        <f t="shared" si="101"/>
        <v>0</v>
      </c>
      <c r="CH269">
        <f t="shared" si="102"/>
        <v>0</v>
      </c>
      <c r="CI269">
        <f t="shared" si="103"/>
        <v>0</v>
      </c>
      <c r="CJ269">
        <f t="shared" si="104"/>
        <v>0</v>
      </c>
      <c r="CK269">
        <f t="shared" si="105"/>
        <v>0</v>
      </c>
      <c r="CL269">
        <f t="shared" si="106"/>
        <v>0</v>
      </c>
      <c r="CM269">
        <f t="shared" si="108"/>
        <v>0</v>
      </c>
      <c r="CN269">
        <f t="shared" si="107"/>
        <v>0</v>
      </c>
      <c r="CO269">
        <f t="shared" si="91"/>
        <v>0</v>
      </c>
    </row>
    <row r="270" spans="1:93" s="12" customFormat="1" ht="14.45" customHeight="1" x14ac:dyDescent="0.25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10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+VLOOKUP(G270,Liste!$A$7:$G$69,3,FALSE)</f>
        <v>Pin sylvestre</v>
      </c>
      <c r="BI270" s="96" t="str">
        <f>+VLOOKUP(H270,Liste!$B$7:$G$69,5,FALSE)</f>
        <v>GS Pineraies des plaines du Centre et du Nord Ouest</v>
      </c>
      <c r="BJ270" s="135">
        <f t="shared" si="90"/>
        <v>111</v>
      </c>
      <c r="BK270" s="135" t="str">
        <f t="shared" si="92"/>
        <v>Pin sylvestre_F2_Eclaircie tardive_GS Pineraies des plaines du Centre et du Nord Ouest_111_</v>
      </c>
      <c r="BL270" s="319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97" t="str">
        <f>+VLOOKUP(G270,Liste!$A$7:$H$69,8,FALSE)</f>
        <v>Résineux</v>
      </c>
      <c r="BU270" s="297">
        <f t="shared" si="93"/>
        <v>0</v>
      </c>
      <c r="BV270" s="299">
        <f t="shared" si="94"/>
        <v>1</v>
      </c>
      <c r="BW270" s="318">
        <v>0</v>
      </c>
      <c r="BX270" s="297">
        <f t="shared" si="95"/>
        <v>0.43</v>
      </c>
      <c r="BY270">
        <f t="shared" si="96"/>
        <v>0</v>
      </c>
      <c r="BZ270" s="303">
        <f t="shared" si="97"/>
        <v>0</v>
      </c>
      <c r="CB270" s="298">
        <v>0.6</v>
      </c>
      <c r="CC270" s="298">
        <v>0.4</v>
      </c>
      <c r="CD270">
        <f t="shared" si="98"/>
        <v>0</v>
      </c>
      <c r="CE270">
        <f t="shared" si="99"/>
        <v>0</v>
      </c>
      <c r="CF270">
        <f t="shared" si="100"/>
        <v>0</v>
      </c>
      <c r="CG270">
        <f t="shared" si="101"/>
        <v>0</v>
      </c>
      <c r="CH270">
        <f t="shared" si="102"/>
        <v>0</v>
      </c>
      <c r="CI270">
        <f t="shared" si="103"/>
        <v>0</v>
      </c>
      <c r="CJ270">
        <f t="shared" si="104"/>
        <v>0</v>
      </c>
      <c r="CK270">
        <f t="shared" si="105"/>
        <v>0</v>
      </c>
      <c r="CL270">
        <f t="shared" si="106"/>
        <v>0</v>
      </c>
      <c r="CM270">
        <f t="shared" si="108"/>
        <v>0</v>
      </c>
      <c r="CN270">
        <f t="shared" si="107"/>
        <v>0</v>
      </c>
      <c r="CO270">
        <f t="shared" si="91"/>
        <v>0</v>
      </c>
    </row>
    <row r="271" spans="1:93" s="12" customFormat="1" ht="14.45" customHeight="1" x14ac:dyDescent="0.25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10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+VLOOKUP(G271,Liste!$A$7:$G$69,3,FALSE)</f>
        <v>Pin sylvestre</v>
      </c>
      <c r="BI271" s="96" t="str">
        <f>+VLOOKUP(H271,Liste!$B$7:$G$69,5,FALSE)</f>
        <v>GS Pineraies des plaines du Centre et du Nord Ouest</v>
      </c>
      <c r="BJ271" s="135">
        <f t="shared" si="90"/>
        <v>112</v>
      </c>
      <c r="BK271" s="135" t="str">
        <f t="shared" si="92"/>
        <v>Pin sylvestre_F2_Eclaircie tardive_GS Pineraies des plaines du Centre et du Nord Ouest_112_</v>
      </c>
      <c r="BL271" s="319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97" t="str">
        <f>+VLOOKUP(G271,Liste!$A$7:$H$69,8,FALSE)</f>
        <v>Résineux</v>
      </c>
      <c r="BU271" s="297">
        <f t="shared" si="93"/>
        <v>0</v>
      </c>
      <c r="BV271" s="299">
        <f t="shared" si="94"/>
        <v>1</v>
      </c>
      <c r="BW271" s="318">
        <v>0</v>
      </c>
      <c r="BX271" s="297">
        <f t="shared" si="95"/>
        <v>0.43</v>
      </c>
      <c r="BY271">
        <f t="shared" si="96"/>
        <v>0</v>
      </c>
      <c r="BZ271" s="303">
        <f t="shared" si="97"/>
        <v>0</v>
      </c>
      <c r="CB271" s="298">
        <v>0.6</v>
      </c>
      <c r="CC271" s="298">
        <v>0.4</v>
      </c>
      <c r="CD271">
        <f t="shared" si="98"/>
        <v>0</v>
      </c>
      <c r="CE271">
        <f t="shared" si="99"/>
        <v>0</v>
      </c>
      <c r="CF271">
        <f t="shared" si="100"/>
        <v>0</v>
      </c>
      <c r="CG271">
        <f t="shared" si="101"/>
        <v>0</v>
      </c>
      <c r="CH271">
        <f t="shared" si="102"/>
        <v>0</v>
      </c>
      <c r="CI271">
        <f t="shared" si="103"/>
        <v>0</v>
      </c>
      <c r="CJ271">
        <f t="shared" si="104"/>
        <v>0</v>
      </c>
      <c r="CK271">
        <f t="shared" si="105"/>
        <v>0</v>
      </c>
      <c r="CL271">
        <f t="shared" si="106"/>
        <v>0</v>
      </c>
      <c r="CM271">
        <f t="shared" si="108"/>
        <v>0</v>
      </c>
      <c r="CN271">
        <f t="shared" si="107"/>
        <v>0</v>
      </c>
      <c r="CO271">
        <f t="shared" si="91"/>
        <v>0</v>
      </c>
    </row>
    <row r="272" spans="1:93" s="12" customFormat="1" ht="14.45" customHeight="1" x14ac:dyDescent="0.25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+VLOOKUP(G272,Liste!$A$7:$G$69,3,FALSE)</f>
        <v>Pin sylvestre</v>
      </c>
      <c r="BI272" s="96" t="str">
        <f>+VLOOKUP(H272,Liste!$B$7:$G$69,5,FALSE)</f>
        <v>GS Pineraies des plaines du Centre et du Nord Ouest</v>
      </c>
      <c r="BJ272" s="135">
        <f t="shared" si="90"/>
        <v>112</v>
      </c>
      <c r="BK272" s="135" t="str">
        <f t="shared" si="92"/>
        <v>Pin sylvestre_F2_Eclaircie tardive_GS Pineraies des plaines du Centre et du Nord Ouest_112_</v>
      </c>
      <c r="BL272" s="319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97" t="str">
        <f>+VLOOKUP(G272,Liste!$A$7:$H$69,8,FALSE)</f>
        <v>Résineux</v>
      </c>
      <c r="BU272" s="297">
        <f t="shared" si="93"/>
        <v>0</v>
      </c>
      <c r="BV272" s="299">
        <f t="shared" si="94"/>
        <v>1</v>
      </c>
      <c r="BW272" s="318">
        <v>0</v>
      </c>
      <c r="BX272" s="297">
        <f t="shared" si="95"/>
        <v>0.43</v>
      </c>
      <c r="BY272">
        <f t="shared" si="96"/>
        <v>0</v>
      </c>
      <c r="BZ272" s="303">
        <f t="shared" si="97"/>
        <v>0</v>
      </c>
      <c r="CB272" s="298">
        <v>0.6</v>
      </c>
      <c r="CC272" s="298">
        <v>0.4</v>
      </c>
      <c r="CD272">
        <f t="shared" si="98"/>
        <v>0</v>
      </c>
      <c r="CE272">
        <f t="shared" si="99"/>
        <v>0</v>
      </c>
      <c r="CF272">
        <f t="shared" si="100"/>
        <v>0</v>
      </c>
      <c r="CG272">
        <f t="shared" si="101"/>
        <v>0</v>
      </c>
      <c r="CH272">
        <f t="shared" si="102"/>
        <v>0</v>
      </c>
      <c r="CI272">
        <f t="shared" si="103"/>
        <v>0</v>
      </c>
      <c r="CJ272">
        <f t="shared" si="104"/>
        <v>0</v>
      </c>
      <c r="CK272">
        <f t="shared" si="105"/>
        <v>0</v>
      </c>
      <c r="CL272">
        <f t="shared" si="106"/>
        <v>0</v>
      </c>
      <c r="CM272">
        <f t="shared" si="108"/>
        <v>0</v>
      </c>
      <c r="CN272">
        <f t="shared" si="107"/>
        <v>0</v>
      </c>
      <c r="CO272">
        <f t="shared" si="91"/>
        <v>0</v>
      </c>
    </row>
    <row r="273" spans="1:93" s="12" customFormat="1" ht="14.45" customHeight="1" x14ac:dyDescent="0.25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10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+VLOOKUP(G273,Liste!$A$7:$G$69,3,FALSE)</f>
        <v>Pin sylvestre</v>
      </c>
      <c r="BI273" s="96" t="str">
        <f>+VLOOKUP(H273,Liste!$B$7:$G$69,5,FALSE)</f>
        <v>GS Pineraies des plaines du Centre et du Nord Ouest</v>
      </c>
      <c r="BJ273" s="135">
        <f t="shared" si="90"/>
        <v>113</v>
      </c>
      <c r="BK273" s="135" t="str">
        <f t="shared" si="92"/>
        <v>Pin sylvestre_F2_Eclaircie tardive_GS Pineraies des plaines du Centre et du Nord Ouest_113_</v>
      </c>
      <c r="BL273" s="319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97" t="str">
        <f>+VLOOKUP(G273,Liste!$A$7:$H$69,8,FALSE)</f>
        <v>Résineux</v>
      </c>
      <c r="BU273" s="297">
        <f t="shared" si="93"/>
        <v>0</v>
      </c>
      <c r="BV273" s="299">
        <f t="shared" si="94"/>
        <v>1</v>
      </c>
      <c r="BW273" s="318">
        <v>0</v>
      </c>
      <c r="BX273" s="297">
        <f t="shared" si="95"/>
        <v>0.43</v>
      </c>
      <c r="BY273">
        <f t="shared" si="96"/>
        <v>0</v>
      </c>
      <c r="BZ273" s="303">
        <f t="shared" si="97"/>
        <v>0</v>
      </c>
      <c r="CB273" s="298">
        <v>0.6</v>
      </c>
      <c r="CC273" s="298">
        <v>0.4</v>
      </c>
      <c r="CD273">
        <f t="shared" si="98"/>
        <v>0</v>
      </c>
      <c r="CE273">
        <f t="shared" si="99"/>
        <v>0</v>
      </c>
      <c r="CF273">
        <f t="shared" si="100"/>
        <v>0</v>
      </c>
      <c r="CG273">
        <f t="shared" si="101"/>
        <v>0</v>
      </c>
      <c r="CH273">
        <f t="shared" si="102"/>
        <v>0</v>
      </c>
      <c r="CI273">
        <f t="shared" si="103"/>
        <v>0</v>
      </c>
      <c r="CJ273">
        <f t="shared" si="104"/>
        <v>0</v>
      </c>
      <c r="CK273">
        <f t="shared" si="105"/>
        <v>0</v>
      </c>
      <c r="CL273">
        <f t="shared" si="106"/>
        <v>0</v>
      </c>
      <c r="CM273">
        <f t="shared" si="108"/>
        <v>0</v>
      </c>
      <c r="CN273">
        <f t="shared" si="107"/>
        <v>0</v>
      </c>
      <c r="CO273">
        <f t="shared" si="91"/>
        <v>0</v>
      </c>
    </row>
    <row r="274" spans="1:93" s="12" customFormat="1" ht="14.45" customHeight="1" x14ac:dyDescent="0.25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10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+VLOOKUP(G274,Liste!$A$7:$G$69,3,FALSE)</f>
        <v>Pin sylvestre</v>
      </c>
      <c r="BI274" s="96" t="str">
        <f>+VLOOKUP(H274,Liste!$B$7:$G$69,5,FALSE)</f>
        <v>GS Pineraies des plaines du Centre et du Nord Ouest</v>
      </c>
      <c r="BJ274" s="135">
        <f t="shared" si="90"/>
        <v>114</v>
      </c>
      <c r="BK274" s="135" t="str">
        <f t="shared" si="92"/>
        <v>Pin sylvestre_F2_Eclaircie tardive_GS Pineraies des plaines du Centre et du Nord Ouest_114_</v>
      </c>
      <c r="BL274" s="319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97" t="str">
        <f>+VLOOKUP(G274,Liste!$A$7:$H$69,8,FALSE)</f>
        <v>Résineux</v>
      </c>
      <c r="BU274" s="297">
        <f t="shared" si="93"/>
        <v>0</v>
      </c>
      <c r="BV274" s="299">
        <f t="shared" si="94"/>
        <v>1</v>
      </c>
      <c r="BW274" s="318">
        <v>0</v>
      </c>
      <c r="BX274" s="297">
        <f t="shared" si="95"/>
        <v>0.43</v>
      </c>
      <c r="BY274">
        <f t="shared" si="96"/>
        <v>0</v>
      </c>
      <c r="BZ274" s="303">
        <f t="shared" si="97"/>
        <v>0</v>
      </c>
      <c r="CB274" s="298">
        <v>0.6</v>
      </c>
      <c r="CC274" s="298">
        <v>0.4</v>
      </c>
      <c r="CD274">
        <f t="shared" si="98"/>
        <v>0</v>
      </c>
      <c r="CE274">
        <f t="shared" si="99"/>
        <v>0</v>
      </c>
      <c r="CF274">
        <f t="shared" si="100"/>
        <v>0</v>
      </c>
      <c r="CG274">
        <f t="shared" si="101"/>
        <v>0</v>
      </c>
      <c r="CH274">
        <f t="shared" si="102"/>
        <v>0</v>
      </c>
      <c r="CI274">
        <f t="shared" si="103"/>
        <v>0</v>
      </c>
      <c r="CJ274">
        <f t="shared" si="104"/>
        <v>0</v>
      </c>
      <c r="CK274">
        <f t="shared" si="105"/>
        <v>0</v>
      </c>
      <c r="CL274">
        <f t="shared" si="106"/>
        <v>0</v>
      </c>
      <c r="CM274">
        <f t="shared" si="108"/>
        <v>0</v>
      </c>
      <c r="CN274">
        <f t="shared" si="107"/>
        <v>0</v>
      </c>
      <c r="CO274">
        <f t="shared" si="91"/>
        <v>0</v>
      </c>
    </row>
    <row r="275" spans="1:93" s="12" customFormat="1" x14ac:dyDescent="0.25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10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+VLOOKUP(G275,Liste!$A$7:$G$69,3,FALSE)</f>
        <v>Pin sylvestre</v>
      </c>
      <c r="BI275" s="96" t="str">
        <f>+VLOOKUP(H275,Liste!$B$7:$G$69,5,FALSE)</f>
        <v>GS Pineraies des plaines du Centre et du Nord Ouest</v>
      </c>
      <c r="BJ275" s="135">
        <f t="shared" si="90"/>
        <v>115</v>
      </c>
      <c r="BK275" s="135" t="str">
        <f t="shared" si="92"/>
        <v>Pin sylvestre_F2_Eclaircie tardive_GS Pineraies des plaines du Centre et du Nord Ouest_115_</v>
      </c>
      <c r="BL275" s="319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97" t="str">
        <f>+VLOOKUP(G275,Liste!$A$7:$H$69,8,FALSE)</f>
        <v>Résineux</v>
      </c>
      <c r="BU275" s="297">
        <f t="shared" si="93"/>
        <v>0</v>
      </c>
      <c r="BV275" s="299">
        <f t="shared" si="94"/>
        <v>1</v>
      </c>
      <c r="BW275" s="318">
        <v>0</v>
      </c>
      <c r="BX275" s="297">
        <f t="shared" si="95"/>
        <v>0.43</v>
      </c>
      <c r="BY275">
        <f t="shared" si="96"/>
        <v>0</v>
      </c>
      <c r="BZ275" s="303">
        <f t="shared" si="97"/>
        <v>0</v>
      </c>
      <c r="CB275" s="298">
        <v>0.6</v>
      </c>
      <c r="CC275" s="298">
        <v>0.4</v>
      </c>
      <c r="CD275">
        <f t="shared" si="98"/>
        <v>0</v>
      </c>
      <c r="CE275">
        <f t="shared" si="99"/>
        <v>0</v>
      </c>
      <c r="CF275">
        <f t="shared" si="100"/>
        <v>0</v>
      </c>
      <c r="CG275">
        <f t="shared" si="101"/>
        <v>0</v>
      </c>
      <c r="CH275">
        <f t="shared" si="102"/>
        <v>0</v>
      </c>
      <c r="CI275">
        <f t="shared" si="103"/>
        <v>0</v>
      </c>
      <c r="CJ275">
        <f t="shared" si="104"/>
        <v>0</v>
      </c>
      <c r="CK275">
        <f t="shared" si="105"/>
        <v>0</v>
      </c>
      <c r="CL275">
        <f t="shared" si="106"/>
        <v>0</v>
      </c>
      <c r="CM275">
        <f t="shared" si="108"/>
        <v>0</v>
      </c>
      <c r="CN275">
        <f t="shared" si="107"/>
        <v>0</v>
      </c>
      <c r="CO275">
        <f t="shared" si="91"/>
        <v>0</v>
      </c>
    </row>
    <row r="276" spans="1:93" s="12" customFormat="1" x14ac:dyDescent="0.25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10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+VLOOKUP(G276,Liste!$A$7:$G$69,3,FALSE)</f>
        <v>Pin sylvestre</v>
      </c>
      <c r="BI276" s="96" t="str">
        <f>+VLOOKUP(H276,Liste!$B$7:$G$69,5,FALSE)</f>
        <v>GS Pineraies des plaines du Centre et du Nord Ouest</v>
      </c>
      <c r="BJ276" s="135">
        <f t="shared" si="90"/>
        <v>116</v>
      </c>
      <c r="BK276" s="135" t="str">
        <f t="shared" si="92"/>
        <v>Pin sylvestre_F2_Eclaircie tardive_GS Pineraies des plaines du Centre et du Nord Ouest_116_</v>
      </c>
      <c r="BL276" s="319"/>
      <c r="BM276" s="13">
        <v>33.436072028939563</v>
      </c>
      <c r="BN276" s="13">
        <v>152.02174029047001</v>
      </c>
      <c r="BP276" s="13">
        <v>268.42</v>
      </c>
      <c r="BQ276" s="13"/>
      <c r="BT276" s="297" t="str">
        <f>+VLOOKUP(G276,Liste!$A$7:$H$69,8,FALSE)</f>
        <v>Résineux</v>
      </c>
      <c r="BU276" s="297">
        <f t="shared" si="93"/>
        <v>0</v>
      </c>
      <c r="BV276" s="299">
        <f t="shared" si="94"/>
        <v>1</v>
      </c>
      <c r="BW276" s="318">
        <v>0</v>
      </c>
      <c r="BX276" s="297">
        <f t="shared" si="95"/>
        <v>0.43</v>
      </c>
      <c r="BY276">
        <f t="shared" si="96"/>
        <v>0</v>
      </c>
      <c r="BZ276" s="303">
        <f t="shared" si="97"/>
        <v>0</v>
      </c>
      <c r="CB276" s="298">
        <v>0.6</v>
      </c>
      <c r="CC276" s="298">
        <v>0.4</v>
      </c>
      <c r="CD276">
        <f t="shared" si="98"/>
        <v>0</v>
      </c>
      <c r="CE276">
        <f t="shared" si="99"/>
        <v>0</v>
      </c>
      <c r="CF276">
        <f t="shared" si="100"/>
        <v>0</v>
      </c>
      <c r="CG276">
        <f t="shared" si="101"/>
        <v>0</v>
      </c>
      <c r="CH276">
        <f t="shared" si="102"/>
        <v>0</v>
      </c>
      <c r="CI276">
        <f t="shared" si="103"/>
        <v>0</v>
      </c>
      <c r="CJ276">
        <f t="shared" si="104"/>
        <v>0</v>
      </c>
      <c r="CK276">
        <f t="shared" si="105"/>
        <v>0</v>
      </c>
      <c r="CL276">
        <f t="shared" si="106"/>
        <v>0</v>
      </c>
      <c r="CM276">
        <f t="shared" si="108"/>
        <v>0</v>
      </c>
      <c r="CN276">
        <f t="shared" si="107"/>
        <v>0</v>
      </c>
      <c r="CO276">
        <f t="shared" si="91"/>
        <v>0</v>
      </c>
    </row>
    <row r="277" spans="1:93" s="12" customFormat="1" x14ac:dyDescent="0.25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+VLOOKUP(G277,Liste!$A$7:$G$69,3,FALSE)</f>
        <v>Pin sylvestre</v>
      </c>
      <c r="BI277" s="96" t="str">
        <f>+VLOOKUP(H277,Liste!$B$7:$G$69,5,FALSE)</f>
        <v>GS Pineraies des plaines du Centre et du Nord Ouest</v>
      </c>
      <c r="BJ277" s="135">
        <f t="shared" si="90"/>
        <v>116</v>
      </c>
      <c r="BK277" s="135" t="str">
        <f t="shared" si="92"/>
        <v>Pin sylvestre_F2_Eclaircie tardive_GS Pineraies des plaines du Centre et du Nord Ouest_116_</v>
      </c>
      <c r="BL277" s="319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97" t="str">
        <f>+VLOOKUP(G277,Liste!$A$7:$H$69,8,FALSE)</f>
        <v>Résineux</v>
      </c>
      <c r="BU277" s="297">
        <f t="shared" si="93"/>
        <v>0</v>
      </c>
      <c r="BV277" s="299">
        <f t="shared" si="94"/>
        <v>1</v>
      </c>
      <c r="BW277" s="318">
        <v>0</v>
      </c>
      <c r="BX277" s="297">
        <f t="shared" si="95"/>
        <v>0.43</v>
      </c>
      <c r="BY277">
        <f t="shared" si="96"/>
        <v>0</v>
      </c>
      <c r="BZ277" s="303">
        <f t="shared" si="97"/>
        <v>0</v>
      </c>
      <c r="CB277" s="298">
        <v>0.6</v>
      </c>
      <c r="CC277" s="298">
        <v>0.4</v>
      </c>
      <c r="CD277">
        <f t="shared" si="98"/>
        <v>0</v>
      </c>
      <c r="CE277">
        <f t="shared" si="99"/>
        <v>0</v>
      </c>
      <c r="CF277">
        <f t="shared" si="100"/>
        <v>0</v>
      </c>
      <c r="CG277">
        <f t="shared" si="101"/>
        <v>0</v>
      </c>
      <c r="CH277">
        <f t="shared" si="102"/>
        <v>0</v>
      </c>
      <c r="CI277">
        <f t="shared" si="103"/>
        <v>0</v>
      </c>
      <c r="CJ277">
        <f t="shared" si="104"/>
        <v>0</v>
      </c>
      <c r="CK277">
        <f t="shared" si="105"/>
        <v>0</v>
      </c>
      <c r="CL277">
        <f t="shared" si="106"/>
        <v>0</v>
      </c>
      <c r="CM277">
        <f t="shared" si="108"/>
        <v>0</v>
      </c>
      <c r="CN277">
        <f t="shared" si="107"/>
        <v>0</v>
      </c>
      <c r="CO277">
        <f t="shared" si="91"/>
        <v>0</v>
      </c>
    </row>
    <row r="278" spans="1:93" s="12" customFormat="1" x14ac:dyDescent="0.25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10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+VLOOKUP(G278,Liste!$A$7:$G$69,3,FALSE)</f>
        <v>Pin sylvestre</v>
      </c>
      <c r="BI278" s="96" t="str">
        <f>+VLOOKUP(H278,Liste!$B$7:$G$69,5,FALSE)</f>
        <v>GS Pineraies des plaines du Centre et du Nord Ouest</v>
      </c>
      <c r="BJ278" s="135">
        <f t="shared" si="90"/>
        <v>21</v>
      </c>
      <c r="BK278" s="135" t="str">
        <f t="shared" si="92"/>
        <v>Pin sylvestre_F1_Eclaircie tardive_GS Pineraies des plaines du Centre et du Nord Ouest_21_</v>
      </c>
      <c r="BL278" s="319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97" t="str">
        <f>+VLOOKUP(G278,Liste!$A$7:$H$69,8,FALSE)</f>
        <v>Résineux</v>
      </c>
      <c r="BU278" s="297">
        <f t="shared" si="93"/>
        <v>0</v>
      </c>
      <c r="BV278" s="299">
        <f t="shared" si="94"/>
        <v>1</v>
      </c>
      <c r="BW278" s="318">
        <v>0</v>
      </c>
      <c r="BX278" s="297">
        <f t="shared" si="95"/>
        <v>0.43</v>
      </c>
      <c r="BY278">
        <f t="shared" si="96"/>
        <v>0</v>
      </c>
      <c r="BZ278" s="303">
        <f t="shared" si="97"/>
        <v>0</v>
      </c>
      <c r="CB278" s="298">
        <v>0.6</v>
      </c>
      <c r="CC278" s="298">
        <v>0.4</v>
      </c>
      <c r="CD278">
        <f t="shared" si="98"/>
        <v>0</v>
      </c>
      <c r="CE278">
        <f t="shared" si="99"/>
        <v>0</v>
      </c>
      <c r="CF278">
        <f t="shared" si="100"/>
        <v>0</v>
      </c>
      <c r="CG278">
        <f t="shared" si="101"/>
        <v>0</v>
      </c>
      <c r="CH278">
        <f t="shared" si="102"/>
        <v>0</v>
      </c>
      <c r="CI278">
        <f t="shared" si="103"/>
        <v>0</v>
      </c>
      <c r="CJ278">
        <f t="shared" si="104"/>
        <v>0</v>
      </c>
      <c r="CK278">
        <f t="shared" si="105"/>
        <v>0</v>
      </c>
      <c r="CL278">
        <f t="shared" si="106"/>
        <v>0</v>
      </c>
      <c r="CM278">
        <f t="shared" si="108"/>
        <v>0</v>
      </c>
      <c r="CN278">
        <f t="shared" si="107"/>
        <v>0</v>
      </c>
      <c r="CO278">
        <f t="shared" si="91"/>
        <v>0</v>
      </c>
    </row>
    <row r="279" spans="1:93" s="12" customFormat="1" x14ac:dyDescent="0.25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10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+VLOOKUP(G279,Liste!$A$7:$G$69,3,FALSE)</f>
        <v>Pin sylvestre</v>
      </c>
      <c r="BI279" s="96" t="str">
        <f>+VLOOKUP(H279,Liste!$B$7:$G$69,5,FALSE)</f>
        <v>GS Pineraies des plaines du Centre et du Nord Ouest</v>
      </c>
      <c r="BJ279" s="135">
        <f t="shared" si="90"/>
        <v>22</v>
      </c>
      <c r="BK279" s="135" t="str">
        <f t="shared" si="92"/>
        <v>Pin sylvestre_F1_Eclaircie tardive_GS Pineraies des plaines du Centre et du Nord Ouest_22_</v>
      </c>
      <c r="BL279" s="319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97" t="str">
        <f>+VLOOKUP(G279,Liste!$A$7:$H$69,8,FALSE)</f>
        <v>Résineux</v>
      </c>
      <c r="BU279" s="297">
        <f t="shared" si="93"/>
        <v>0</v>
      </c>
      <c r="BV279" s="299">
        <f t="shared" si="94"/>
        <v>1</v>
      </c>
      <c r="BW279" s="318">
        <v>0</v>
      </c>
      <c r="BX279" s="297">
        <f t="shared" si="95"/>
        <v>0.43</v>
      </c>
      <c r="BY279">
        <f t="shared" si="96"/>
        <v>0</v>
      </c>
      <c r="BZ279" s="303">
        <f t="shared" si="97"/>
        <v>0</v>
      </c>
      <c r="CB279" s="298">
        <v>0.6</v>
      </c>
      <c r="CC279" s="298">
        <v>0.4</v>
      </c>
      <c r="CD279">
        <f t="shared" si="98"/>
        <v>0</v>
      </c>
      <c r="CE279">
        <f t="shared" si="99"/>
        <v>0</v>
      </c>
      <c r="CF279">
        <f t="shared" si="100"/>
        <v>0</v>
      </c>
      <c r="CG279">
        <f t="shared" si="101"/>
        <v>0</v>
      </c>
      <c r="CH279">
        <f t="shared" si="102"/>
        <v>0</v>
      </c>
      <c r="CI279">
        <f t="shared" si="103"/>
        <v>0</v>
      </c>
      <c r="CJ279">
        <f t="shared" si="104"/>
        <v>0</v>
      </c>
      <c r="CK279">
        <f t="shared" si="105"/>
        <v>0</v>
      </c>
      <c r="CL279">
        <f t="shared" si="106"/>
        <v>0</v>
      </c>
      <c r="CM279">
        <f t="shared" si="108"/>
        <v>0</v>
      </c>
      <c r="CN279">
        <f t="shared" si="107"/>
        <v>0</v>
      </c>
      <c r="CO279">
        <f t="shared" si="91"/>
        <v>0</v>
      </c>
    </row>
    <row r="280" spans="1:93" s="12" customFormat="1" x14ac:dyDescent="0.25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10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+VLOOKUP(G280,Liste!$A$7:$G$69,3,FALSE)</f>
        <v>Pin sylvestre</v>
      </c>
      <c r="BI280" s="96" t="str">
        <f>+VLOOKUP(H280,Liste!$B$7:$G$69,5,FALSE)</f>
        <v>GS Pineraies des plaines du Centre et du Nord Ouest</v>
      </c>
      <c r="BJ280" s="135">
        <f t="shared" si="90"/>
        <v>23</v>
      </c>
      <c r="BK280" s="135" t="str">
        <f t="shared" si="92"/>
        <v>Pin sylvestre_F1_Eclaircie tardive_GS Pineraies des plaines du Centre et du Nord Ouest_23_</v>
      </c>
      <c r="BL280" s="319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97" t="str">
        <f>+VLOOKUP(G280,Liste!$A$7:$H$69,8,FALSE)</f>
        <v>Résineux</v>
      </c>
      <c r="BU280" s="297">
        <f t="shared" si="93"/>
        <v>0</v>
      </c>
      <c r="BV280" s="299">
        <f t="shared" si="94"/>
        <v>1</v>
      </c>
      <c r="BW280" s="318">
        <v>0</v>
      </c>
      <c r="BX280" s="297">
        <f t="shared" si="95"/>
        <v>0.43</v>
      </c>
      <c r="BY280">
        <f t="shared" si="96"/>
        <v>0</v>
      </c>
      <c r="BZ280" s="303">
        <f t="shared" si="97"/>
        <v>0</v>
      </c>
      <c r="CB280" s="298">
        <v>0.6</v>
      </c>
      <c r="CC280" s="298">
        <v>0.4</v>
      </c>
      <c r="CD280">
        <f t="shared" si="98"/>
        <v>0</v>
      </c>
      <c r="CE280">
        <f t="shared" si="99"/>
        <v>0</v>
      </c>
      <c r="CF280">
        <f t="shared" si="100"/>
        <v>0</v>
      </c>
      <c r="CG280">
        <f t="shared" si="101"/>
        <v>0</v>
      </c>
      <c r="CH280">
        <f t="shared" si="102"/>
        <v>0</v>
      </c>
      <c r="CI280">
        <f t="shared" si="103"/>
        <v>0</v>
      </c>
      <c r="CJ280">
        <f t="shared" si="104"/>
        <v>0</v>
      </c>
      <c r="CK280">
        <f t="shared" si="105"/>
        <v>0</v>
      </c>
      <c r="CL280">
        <f t="shared" si="106"/>
        <v>0</v>
      </c>
      <c r="CM280">
        <f t="shared" si="108"/>
        <v>0</v>
      </c>
      <c r="CN280">
        <f t="shared" si="107"/>
        <v>0</v>
      </c>
      <c r="CO280">
        <f t="shared" si="91"/>
        <v>0</v>
      </c>
    </row>
    <row r="281" spans="1:93" s="12" customFormat="1" x14ac:dyDescent="0.25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+VLOOKUP(G281,Liste!$A$7:$G$69,3,FALSE)</f>
        <v>Pin sylvestre</v>
      </c>
      <c r="BI281" s="96" t="str">
        <f>+VLOOKUP(H281,Liste!$B$7:$G$69,5,FALSE)</f>
        <v>GS Pineraies des plaines du Centre et du Nord Ouest</v>
      </c>
      <c r="BJ281" s="135">
        <f t="shared" si="90"/>
        <v>23</v>
      </c>
      <c r="BK281" s="135" t="str">
        <f t="shared" si="92"/>
        <v>Pin sylvestre_F1_Eclaircie tardive_GS Pineraies des plaines du Centre et du Nord Ouest_23_</v>
      </c>
      <c r="BL281" s="319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97" t="str">
        <f>+VLOOKUP(G281,Liste!$A$7:$H$69,8,FALSE)</f>
        <v>Résineux</v>
      </c>
      <c r="BU281" s="297">
        <f t="shared" si="93"/>
        <v>0</v>
      </c>
      <c r="BV281" s="299">
        <f t="shared" si="94"/>
        <v>1</v>
      </c>
      <c r="BW281" s="318">
        <v>0</v>
      </c>
      <c r="BX281" s="297">
        <f t="shared" si="95"/>
        <v>0.43</v>
      </c>
      <c r="BY281">
        <f t="shared" si="96"/>
        <v>22.648067162862954</v>
      </c>
      <c r="BZ281" s="303">
        <f t="shared" si="97"/>
        <v>22.648067162862954</v>
      </c>
      <c r="CB281" s="298">
        <v>0.6</v>
      </c>
      <c r="CC281" s="298">
        <v>0.4</v>
      </c>
      <c r="CD281">
        <f t="shared" si="98"/>
        <v>0</v>
      </c>
      <c r="CE281">
        <f t="shared" si="99"/>
        <v>31.601954180739003</v>
      </c>
      <c r="CF281">
        <f t="shared" si="100"/>
        <v>21.067969453826006</v>
      </c>
      <c r="CG281">
        <f t="shared" si="101"/>
        <v>0</v>
      </c>
      <c r="CH281">
        <f t="shared" si="102"/>
        <v>24.217630887172987</v>
      </c>
      <c r="CI281">
        <f t="shared" si="103"/>
        <v>16.145087258115328</v>
      </c>
      <c r="CJ281">
        <f t="shared" si="104"/>
        <v>0</v>
      </c>
      <c r="CK281">
        <f t="shared" si="105"/>
        <v>0</v>
      </c>
      <c r="CL281">
        <f t="shared" si="106"/>
        <v>0</v>
      </c>
      <c r="CM281">
        <f t="shared" si="108"/>
        <v>0</v>
      </c>
      <c r="CN281">
        <f t="shared" si="107"/>
        <v>0</v>
      </c>
      <c r="CO281">
        <f t="shared" si="91"/>
        <v>0</v>
      </c>
    </row>
    <row r="282" spans="1:93" s="12" customFormat="1" x14ac:dyDescent="0.25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10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+VLOOKUP(G282,Liste!$A$7:$G$69,3,FALSE)</f>
        <v>Pin sylvestre</v>
      </c>
      <c r="BI282" s="96" t="str">
        <f>+VLOOKUP(H282,Liste!$B$7:$G$69,5,FALSE)</f>
        <v>GS Pineraies des plaines du Centre et du Nord Ouest</v>
      </c>
      <c r="BJ282" s="135">
        <f t="shared" si="90"/>
        <v>24</v>
      </c>
      <c r="BK282" s="135" t="str">
        <f t="shared" si="92"/>
        <v>Pin sylvestre_F1_Eclaircie tardive_GS Pineraies des plaines du Centre et du Nord Ouest_24_</v>
      </c>
      <c r="BL282" s="319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97" t="str">
        <f>+VLOOKUP(G282,Liste!$A$7:$H$69,8,FALSE)</f>
        <v>Résineux</v>
      </c>
      <c r="BU282" s="297">
        <f t="shared" si="93"/>
        <v>0</v>
      </c>
      <c r="BV282" s="299">
        <f t="shared" si="94"/>
        <v>1</v>
      </c>
      <c r="BW282" s="318">
        <v>0</v>
      </c>
      <c r="BX282" s="297">
        <f t="shared" si="95"/>
        <v>0.43</v>
      </c>
      <c r="BY282">
        <f t="shared" si="96"/>
        <v>0</v>
      </c>
      <c r="BZ282" s="303">
        <f t="shared" si="97"/>
        <v>22.648067162862954</v>
      </c>
      <c r="CB282" s="298">
        <v>0.6</v>
      </c>
      <c r="CC282" s="298">
        <v>0.4</v>
      </c>
      <c r="CD282">
        <f t="shared" si="98"/>
        <v>0</v>
      </c>
      <c r="CE282">
        <f t="shared" si="99"/>
        <v>0</v>
      </c>
      <c r="CF282">
        <f t="shared" si="100"/>
        <v>0</v>
      </c>
      <c r="CG282">
        <f t="shared" si="101"/>
        <v>0</v>
      </c>
      <c r="CH282">
        <f t="shared" si="102"/>
        <v>0</v>
      </c>
      <c r="CI282">
        <f t="shared" si="103"/>
        <v>0</v>
      </c>
      <c r="CJ282">
        <f t="shared" si="104"/>
        <v>0</v>
      </c>
      <c r="CK282">
        <f t="shared" si="105"/>
        <v>23.884984629982629</v>
      </c>
      <c r="CL282">
        <f t="shared" si="106"/>
        <v>13.644393882503854</v>
      </c>
      <c r="CM282">
        <f t="shared" si="108"/>
        <v>37.529378512486481</v>
      </c>
      <c r="CN282">
        <f t="shared" si="107"/>
        <v>37.529378512486481</v>
      </c>
      <c r="CO282">
        <f t="shared" si="91"/>
        <v>0</v>
      </c>
    </row>
    <row r="283" spans="1:93" s="12" customFormat="1" x14ac:dyDescent="0.25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10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+VLOOKUP(G283,Liste!$A$7:$G$69,3,FALSE)</f>
        <v>Pin sylvestre</v>
      </c>
      <c r="BI283" s="96" t="str">
        <f>+VLOOKUP(H283,Liste!$B$7:$G$69,5,FALSE)</f>
        <v>GS Pineraies des plaines du Centre et du Nord Ouest</v>
      </c>
      <c r="BJ283" s="135">
        <f t="shared" si="90"/>
        <v>25</v>
      </c>
      <c r="BK283" s="135" t="str">
        <f t="shared" si="92"/>
        <v>Pin sylvestre_F1_Eclaircie tardive_GS Pineraies des plaines du Centre et du Nord Ouest_25_</v>
      </c>
      <c r="BL283" s="319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97" t="str">
        <f>+VLOOKUP(G283,Liste!$A$7:$H$69,8,FALSE)</f>
        <v>Résineux</v>
      </c>
      <c r="BU283" s="297">
        <f t="shared" si="93"/>
        <v>0</v>
      </c>
      <c r="BV283" s="299">
        <f t="shared" si="94"/>
        <v>1</v>
      </c>
      <c r="BW283" s="318">
        <v>0</v>
      </c>
      <c r="BX283" s="297">
        <f t="shared" si="95"/>
        <v>0.43</v>
      </c>
      <c r="BY283">
        <f t="shared" si="96"/>
        <v>0</v>
      </c>
      <c r="BZ283" s="303">
        <f t="shared" si="97"/>
        <v>22.648067162862954</v>
      </c>
      <c r="CB283" s="298">
        <v>0.6</v>
      </c>
      <c r="CC283" s="298">
        <v>0.4</v>
      </c>
      <c r="CD283">
        <f t="shared" si="98"/>
        <v>0</v>
      </c>
      <c r="CE283">
        <f t="shared" si="99"/>
        <v>0</v>
      </c>
      <c r="CF283">
        <f t="shared" si="100"/>
        <v>0</v>
      </c>
      <c r="CG283">
        <f t="shared" si="101"/>
        <v>0</v>
      </c>
      <c r="CH283">
        <f t="shared" si="102"/>
        <v>0</v>
      </c>
      <c r="CI283">
        <f t="shared" si="103"/>
        <v>0</v>
      </c>
      <c r="CJ283">
        <f t="shared" si="104"/>
        <v>0</v>
      </c>
      <c r="CK283">
        <f t="shared" si="105"/>
        <v>23.231848469219003</v>
      </c>
      <c r="CL283">
        <f t="shared" si="106"/>
        <v>9.6480434394987213</v>
      </c>
      <c r="CM283">
        <f t="shared" si="108"/>
        <v>32.879891908717724</v>
      </c>
      <c r="CN283">
        <f t="shared" si="107"/>
        <v>70.409270421204212</v>
      </c>
      <c r="CO283">
        <f t="shared" si="91"/>
        <v>0</v>
      </c>
    </row>
    <row r="284" spans="1:93" s="12" customFormat="1" x14ac:dyDescent="0.25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10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+VLOOKUP(G284,Liste!$A$7:$G$69,3,FALSE)</f>
        <v>Pin sylvestre</v>
      </c>
      <c r="BI284" s="96" t="str">
        <f>+VLOOKUP(H284,Liste!$B$7:$G$69,5,FALSE)</f>
        <v>GS Pineraies des plaines du Centre et du Nord Ouest</v>
      </c>
      <c r="BJ284" s="135">
        <f t="shared" si="90"/>
        <v>26</v>
      </c>
      <c r="BK284" s="135" t="str">
        <f t="shared" si="92"/>
        <v>Pin sylvestre_F1_Eclaircie tardive_GS Pineraies des plaines du Centre et du Nord Ouest_26_</v>
      </c>
      <c r="BL284" s="319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97" t="str">
        <f>+VLOOKUP(G284,Liste!$A$7:$H$69,8,FALSE)</f>
        <v>Résineux</v>
      </c>
      <c r="BU284" s="297">
        <f t="shared" si="93"/>
        <v>0</v>
      </c>
      <c r="BV284" s="299">
        <f t="shared" si="94"/>
        <v>1</v>
      </c>
      <c r="BW284" s="318">
        <v>0</v>
      </c>
      <c r="BX284" s="297">
        <f t="shared" si="95"/>
        <v>0.43</v>
      </c>
      <c r="BY284">
        <f t="shared" si="96"/>
        <v>0</v>
      </c>
      <c r="BZ284" s="303">
        <f t="shared" si="97"/>
        <v>22.648067162862954</v>
      </c>
      <c r="CB284" s="298">
        <v>0.6</v>
      </c>
      <c r="CC284" s="298">
        <v>0.4</v>
      </c>
      <c r="CD284">
        <f t="shared" si="98"/>
        <v>0</v>
      </c>
      <c r="CE284">
        <f t="shared" si="99"/>
        <v>0</v>
      </c>
      <c r="CF284">
        <f t="shared" si="100"/>
        <v>0</v>
      </c>
      <c r="CG284">
        <f t="shared" si="101"/>
        <v>0</v>
      </c>
      <c r="CH284">
        <f t="shared" si="102"/>
        <v>0</v>
      </c>
      <c r="CI284">
        <f t="shared" si="103"/>
        <v>0</v>
      </c>
      <c r="CJ284">
        <f t="shared" si="104"/>
        <v>0</v>
      </c>
      <c r="CK284">
        <f t="shared" si="105"/>
        <v>22.596572351118397</v>
      </c>
      <c r="CL284">
        <f t="shared" si="106"/>
        <v>6.8221969412519279</v>
      </c>
      <c r="CM284">
        <f t="shared" si="108"/>
        <v>29.418769292370325</v>
      </c>
      <c r="CN284">
        <f t="shared" si="107"/>
        <v>99.82803971357454</v>
      </c>
      <c r="CO284">
        <f t="shared" si="91"/>
        <v>0</v>
      </c>
    </row>
    <row r="285" spans="1:93" s="12" customFormat="1" x14ac:dyDescent="0.25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10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+VLOOKUP(G285,Liste!$A$7:$G$69,3,FALSE)</f>
        <v>Pin sylvestre</v>
      </c>
      <c r="BI285" s="96" t="str">
        <f>+VLOOKUP(H285,Liste!$B$7:$G$69,5,FALSE)</f>
        <v>GS Pineraies des plaines du Centre et du Nord Ouest</v>
      </c>
      <c r="BJ285" s="135">
        <f t="shared" si="90"/>
        <v>27</v>
      </c>
      <c r="BK285" s="135" t="str">
        <f t="shared" si="92"/>
        <v>Pin sylvestre_F1_Eclaircie tardive_GS Pineraies des plaines du Centre et du Nord Ouest_27_</v>
      </c>
      <c r="BL285" s="319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97" t="str">
        <f>+VLOOKUP(G285,Liste!$A$7:$H$69,8,FALSE)</f>
        <v>Résineux</v>
      </c>
      <c r="BU285" s="297">
        <f t="shared" si="93"/>
        <v>0</v>
      </c>
      <c r="BV285" s="299">
        <f t="shared" si="94"/>
        <v>1</v>
      </c>
      <c r="BW285" s="318">
        <v>0</v>
      </c>
      <c r="BX285" s="297">
        <f t="shared" si="95"/>
        <v>0.43</v>
      </c>
      <c r="BY285">
        <f t="shared" si="96"/>
        <v>0</v>
      </c>
      <c r="BZ285" s="303">
        <f t="shared" si="97"/>
        <v>22.648067162862954</v>
      </c>
      <c r="CB285" s="298">
        <v>0.6</v>
      </c>
      <c r="CC285" s="298">
        <v>0.4</v>
      </c>
      <c r="CD285">
        <f t="shared" si="98"/>
        <v>0</v>
      </c>
      <c r="CE285">
        <f t="shared" si="99"/>
        <v>0</v>
      </c>
      <c r="CF285">
        <f t="shared" si="100"/>
        <v>0</v>
      </c>
      <c r="CG285">
        <f t="shared" si="101"/>
        <v>0</v>
      </c>
      <c r="CH285">
        <f t="shared" si="102"/>
        <v>0</v>
      </c>
      <c r="CI285">
        <f t="shared" si="103"/>
        <v>0</v>
      </c>
      <c r="CJ285">
        <f t="shared" si="104"/>
        <v>0</v>
      </c>
      <c r="CK285">
        <f t="shared" si="105"/>
        <v>21.97866789187497</v>
      </c>
      <c r="CL285">
        <f t="shared" si="106"/>
        <v>4.8240217197493616</v>
      </c>
      <c r="CM285">
        <f t="shared" si="108"/>
        <v>26.802689611624331</v>
      </c>
      <c r="CN285">
        <f t="shared" si="107"/>
        <v>126.63072932519887</v>
      </c>
      <c r="CO285">
        <f t="shared" si="91"/>
        <v>0</v>
      </c>
    </row>
    <row r="286" spans="1:93" s="12" customFormat="1" x14ac:dyDescent="0.25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10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+VLOOKUP(G286,Liste!$A$7:$G$69,3,FALSE)</f>
        <v>Pin sylvestre</v>
      </c>
      <c r="BI286" s="96" t="str">
        <f>+VLOOKUP(H286,Liste!$B$7:$G$69,5,FALSE)</f>
        <v>GS Pineraies des plaines du Centre et du Nord Ouest</v>
      </c>
      <c r="BJ286" s="135">
        <f t="shared" si="90"/>
        <v>28</v>
      </c>
      <c r="BK286" s="135" t="str">
        <f t="shared" si="92"/>
        <v>Pin sylvestre_F1_Eclaircie tardive_GS Pineraies des plaines du Centre et du Nord Ouest_28_</v>
      </c>
      <c r="BL286" s="319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97" t="str">
        <f>+VLOOKUP(G286,Liste!$A$7:$H$69,8,FALSE)</f>
        <v>Résineux</v>
      </c>
      <c r="BU286" s="297">
        <f t="shared" si="93"/>
        <v>0</v>
      </c>
      <c r="BV286" s="299">
        <f t="shared" si="94"/>
        <v>1</v>
      </c>
      <c r="BW286" s="318">
        <v>0</v>
      </c>
      <c r="BX286" s="297">
        <f t="shared" si="95"/>
        <v>0.43</v>
      </c>
      <c r="BY286">
        <f t="shared" si="96"/>
        <v>0</v>
      </c>
      <c r="BZ286" s="303">
        <f t="shared" si="97"/>
        <v>22.648067162862954</v>
      </c>
      <c r="CB286" s="298">
        <v>0.6</v>
      </c>
      <c r="CC286" s="298">
        <v>0.4</v>
      </c>
      <c r="CD286">
        <f t="shared" si="98"/>
        <v>0</v>
      </c>
      <c r="CE286">
        <f t="shared" si="99"/>
        <v>0</v>
      </c>
      <c r="CF286">
        <f t="shared" si="100"/>
        <v>0</v>
      </c>
      <c r="CG286">
        <f t="shared" si="101"/>
        <v>0</v>
      </c>
      <c r="CH286">
        <f t="shared" si="102"/>
        <v>0</v>
      </c>
      <c r="CI286">
        <f t="shared" si="103"/>
        <v>0</v>
      </c>
      <c r="CJ286">
        <f t="shared" si="104"/>
        <v>0</v>
      </c>
      <c r="CK286">
        <f t="shared" si="105"/>
        <v>21.377660062563738</v>
      </c>
      <c r="CL286">
        <f t="shared" si="106"/>
        <v>3.4110984706259648</v>
      </c>
      <c r="CM286">
        <f t="shared" si="108"/>
        <v>24.788758533189704</v>
      </c>
      <c r="CN286">
        <f t="shared" si="107"/>
        <v>151.41948785838858</v>
      </c>
      <c r="CO286">
        <f t="shared" si="91"/>
        <v>0</v>
      </c>
    </row>
    <row r="287" spans="1:93" s="12" customFormat="1" x14ac:dyDescent="0.25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+VLOOKUP(G287,Liste!$A$7:$G$69,3,FALSE)</f>
        <v>Pin sylvestre</v>
      </c>
      <c r="BI287" s="96" t="str">
        <f>+VLOOKUP(H287,Liste!$B$7:$G$69,5,FALSE)</f>
        <v>GS Pineraies des plaines du Centre et du Nord Ouest</v>
      </c>
      <c r="BJ287" s="135">
        <f t="shared" si="90"/>
        <v>28</v>
      </c>
      <c r="BK287" s="135" t="str">
        <f t="shared" si="92"/>
        <v>Pin sylvestre_F1_Eclaircie tardive_GS Pineraies des plaines du Centre et du Nord Ouest_28_</v>
      </c>
      <c r="BL287" s="319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97" t="str">
        <f>+VLOOKUP(G287,Liste!$A$7:$H$69,8,FALSE)</f>
        <v>Résineux</v>
      </c>
      <c r="BU287" s="297">
        <f t="shared" si="93"/>
        <v>0</v>
      </c>
      <c r="BV287" s="299">
        <f t="shared" si="94"/>
        <v>1</v>
      </c>
      <c r="BW287" s="318">
        <v>0</v>
      </c>
      <c r="BX287" s="297">
        <f t="shared" si="95"/>
        <v>0.43</v>
      </c>
      <c r="BY287">
        <f t="shared" si="96"/>
        <v>19.482711101090796</v>
      </c>
      <c r="BZ287" s="303">
        <f t="shared" si="97"/>
        <v>42.130778263953751</v>
      </c>
      <c r="CB287" s="298">
        <v>0.6</v>
      </c>
      <c r="CC287" s="298">
        <v>0.4</v>
      </c>
      <c r="CD287">
        <f t="shared" si="98"/>
        <v>0</v>
      </c>
      <c r="CE287">
        <f t="shared" si="99"/>
        <v>27.18517828059181</v>
      </c>
      <c r="CF287">
        <f t="shared" si="100"/>
        <v>18.123452187061208</v>
      </c>
      <c r="CG287">
        <f t="shared" si="101"/>
        <v>0</v>
      </c>
      <c r="CH287">
        <f t="shared" si="102"/>
        <v>20.832908289026854</v>
      </c>
      <c r="CI287">
        <f t="shared" si="103"/>
        <v>13.888605526017905</v>
      </c>
      <c r="CJ287">
        <f t="shared" si="104"/>
        <v>0</v>
      </c>
      <c r="CK287">
        <f t="shared" si="105"/>
        <v>20.793086823950649</v>
      </c>
      <c r="CL287">
        <f t="shared" si="106"/>
        <v>2.4120108598746812</v>
      </c>
      <c r="CM287">
        <f t="shared" si="108"/>
        <v>23.205097683825329</v>
      </c>
      <c r="CN287">
        <f t="shared" si="107"/>
        <v>174.62458554221391</v>
      </c>
      <c r="CO287">
        <f t="shared" si="91"/>
        <v>0</v>
      </c>
    </row>
    <row r="288" spans="1:93" s="12" customFormat="1" x14ac:dyDescent="0.25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10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+VLOOKUP(G288,Liste!$A$7:$G$69,3,FALSE)</f>
        <v>Pin sylvestre</v>
      </c>
      <c r="BI288" s="96" t="str">
        <f>+VLOOKUP(H288,Liste!$B$7:$G$69,5,FALSE)</f>
        <v>GS Pineraies des plaines du Centre et du Nord Ouest</v>
      </c>
      <c r="BJ288" s="135">
        <f t="shared" si="90"/>
        <v>29</v>
      </c>
      <c r="BK288" s="135" t="str">
        <f t="shared" si="92"/>
        <v>Pin sylvestre_F1_Eclaircie tardive_GS Pineraies des plaines du Centre et du Nord Ouest_29_</v>
      </c>
      <c r="BL288" s="319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97" t="str">
        <f>+VLOOKUP(G288,Liste!$A$7:$H$69,8,FALSE)</f>
        <v>Résineux</v>
      </c>
      <c r="BU288" s="297">
        <f t="shared" si="93"/>
        <v>0</v>
      </c>
      <c r="BV288" s="299">
        <f t="shared" si="94"/>
        <v>1</v>
      </c>
      <c r="BW288" s="318">
        <v>0</v>
      </c>
      <c r="BX288" s="297">
        <f t="shared" si="95"/>
        <v>0.43</v>
      </c>
      <c r="BY288">
        <f t="shared" si="96"/>
        <v>0</v>
      </c>
      <c r="BZ288" s="303">
        <f t="shared" si="97"/>
        <v>42.130778263953751</v>
      </c>
      <c r="CB288" s="298">
        <v>0.6</v>
      </c>
      <c r="CC288" s="298">
        <v>0.4</v>
      </c>
      <c r="CD288">
        <f t="shared" si="98"/>
        <v>0</v>
      </c>
      <c r="CE288">
        <f t="shared" si="99"/>
        <v>0</v>
      </c>
      <c r="CF288">
        <f t="shared" si="100"/>
        <v>0</v>
      </c>
      <c r="CG288">
        <f t="shared" si="101"/>
        <v>0</v>
      </c>
      <c r="CH288">
        <f t="shared" si="102"/>
        <v>0</v>
      </c>
      <c r="CI288">
        <f t="shared" si="103"/>
        <v>0</v>
      </c>
      <c r="CJ288">
        <f t="shared" si="104"/>
        <v>0</v>
      </c>
      <c r="CK288">
        <f t="shared" si="105"/>
        <v>40.771252357528226</v>
      </c>
      <c r="CL288">
        <f t="shared" si="106"/>
        <v>13.442965159185114</v>
      </c>
      <c r="CM288">
        <f t="shared" si="108"/>
        <v>54.21421751671334</v>
      </c>
      <c r="CN288">
        <f t="shared" si="107"/>
        <v>228.83880305892725</v>
      </c>
      <c r="CO288">
        <f t="shared" si="91"/>
        <v>0</v>
      </c>
    </row>
    <row r="289" spans="1:93" s="12" customFormat="1" x14ac:dyDescent="0.25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10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+VLOOKUP(G289,Liste!$A$7:$G$69,3,FALSE)</f>
        <v>Pin sylvestre</v>
      </c>
      <c r="BI289" s="96" t="str">
        <f>+VLOOKUP(H289,Liste!$B$7:$G$69,5,FALSE)</f>
        <v>GS Pineraies des plaines du Centre et du Nord Ouest</v>
      </c>
      <c r="BJ289" s="135">
        <f t="shared" si="90"/>
        <v>30</v>
      </c>
      <c r="BK289" s="135" t="str">
        <f t="shared" si="92"/>
        <v>Pin sylvestre_F1_Eclaircie tardive_GS Pineraies des plaines du Centre et du Nord Ouest_30_</v>
      </c>
      <c r="BL289" s="319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97" t="str">
        <f>+VLOOKUP(G289,Liste!$A$7:$H$69,8,FALSE)</f>
        <v>Résineux</v>
      </c>
      <c r="BU289" s="297">
        <f t="shared" si="93"/>
        <v>0</v>
      </c>
      <c r="BV289" s="299">
        <f t="shared" si="94"/>
        <v>1</v>
      </c>
      <c r="BW289" s="318">
        <v>0</v>
      </c>
      <c r="BX289" s="297">
        <f t="shared" si="95"/>
        <v>0.43</v>
      </c>
      <c r="BY289">
        <f t="shared" si="96"/>
        <v>0</v>
      </c>
      <c r="BZ289" s="303">
        <f t="shared" si="97"/>
        <v>42.130778263953751</v>
      </c>
      <c r="CB289" s="298">
        <v>0.6</v>
      </c>
      <c r="CC289" s="298">
        <v>0.4</v>
      </c>
      <c r="CD289">
        <f t="shared" si="98"/>
        <v>0</v>
      </c>
      <c r="CE289">
        <f t="shared" si="99"/>
        <v>0</v>
      </c>
      <c r="CF289">
        <f t="shared" si="100"/>
        <v>0</v>
      </c>
      <c r="CG289">
        <f t="shared" si="101"/>
        <v>0</v>
      </c>
      <c r="CH289">
        <f t="shared" si="102"/>
        <v>0</v>
      </c>
      <c r="CI289">
        <f t="shared" si="103"/>
        <v>0</v>
      </c>
      <c r="CJ289">
        <f t="shared" si="104"/>
        <v>0</v>
      </c>
      <c r="CK289">
        <f t="shared" si="105"/>
        <v>39.656360317744642</v>
      </c>
      <c r="CL289">
        <f t="shared" si="106"/>
        <v>9.5056118233142914</v>
      </c>
      <c r="CM289">
        <f t="shared" si="108"/>
        <v>49.161972141058932</v>
      </c>
      <c r="CN289">
        <f t="shared" si="107"/>
        <v>278.00077519998621</v>
      </c>
      <c r="CO289">
        <f t="shared" si="91"/>
        <v>9.2666925066662067</v>
      </c>
    </row>
    <row r="290" spans="1:93" x14ac:dyDescent="0.25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10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+VLOOKUP(G290,Liste!$A$7:$G$69,3,FALSE)</f>
        <v>Pin sylvestre</v>
      </c>
      <c r="BI290" s="96" t="str">
        <f>+VLOOKUP(H290,Liste!$B$7:$G$69,5,FALSE)</f>
        <v>GS Pineraies des plaines du Centre et du Nord Ouest</v>
      </c>
      <c r="BJ290" s="135">
        <f t="shared" si="90"/>
        <v>31</v>
      </c>
      <c r="BK290" s="135" t="str">
        <f t="shared" si="92"/>
        <v>Pin sylvestre_F1_Eclaircie tardive_GS Pineraies des plaines du Centre et du Nord Ouest_31_</v>
      </c>
      <c r="BL290" s="319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97" t="str">
        <f>+VLOOKUP(G290,Liste!$A$7:$H$69,8,FALSE)</f>
        <v>Résineux</v>
      </c>
      <c r="BU290" s="297">
        <f t="shared" si="93"/>
        <v>0</v>
      </c>
      <c r="BV290" s="299">
        <f t="shared" si="94"/>
        <v>1</v>
      </c>
      <c r="BW290" s="318">
        <v>0</v>
      </c>
      <c r="BX290" s="297">
        <f t="shared" si="95"/>
        <v>0.43</v>
      </c>
      <c r="BY290">
        <f t="shared" si="96"/>
        <v>0</v>
      </c>
      <c r="BZ290" s="303">
        <f t="shared" si="97"/>
        <v>0</v>
      </c>
      <c r="CB290" s="298">
        <v>0.6</v>
      </c>
      <c r="CC290" s="298">
        <v>0.4</v>
      </c>
      <c r="CD290">
        <f t="shared" si="98"/>
        <v>0</v>
      </c>
      <c r="CE290">
        <f t="shared" si="99"/>
        <v>0</v>
      </c>
      <c r="CF290">
        <f t="shared" si="100"/>
        <v>0</v>
      </c>
      <c r="CG290">
        <f t="shared" si="101"/>
        <v>0</v>
      </c>
      <c r="CH290">
        <f t="shared" si="102"/>
        <v>0</v>
      </c>
      <c r="CI290">
        <f t="shared" si="103"/>
        <v>0</v>
      </c>
      <c r="CJ290">
        <f t="shared" si="104"/>
        <v>0</v>
      </c>
      <c r="CK290">
        <f t="shared" si="105"/>
        <v>38.571955059418563</v>
      </c>
      <c r="CL290">
        <f t="shared" si="106"/>
        <v>6.7214825795925579</v>
      </c>
      <c r="CM290">
        <f t="shared" si="108"/>
        <v>45.293437639011124</v>
      </c>
      <c r="CN290">
        <f t="shared" si="107"/>
        <v>323.29421283899734</v>
      </c>
      <c r="CO290">
        <f t="shared" si="91"/>
        <v>0</v>
      </c>
    </row>
    <row r="291" spans="1:93" x14ac:dyDescent="0.25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10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+VLOOKUP(G291,Liste!$A$7:$G$69,3,FALSE)</f>
        <v>Pin sylvestre</v>
      </c>
      <c r="BI291" s="96" t="str">
        <f>+VLOOKUP(H291,Liste!$B$7:$G$69,5,FALSE)</f>
        <v>GS Pineraies des plaines du Centre et du Nord Ouest</v>
      </c>
      <c r="BJ291" s="135">
        <f t="shared" si="90"/>
        <v>32</v>
      </c>
      <c r="BK291" s="135" t="str">
        <f t="shared" si="92"/>
        <v>Pin sylvestre_F1_Eclaircie tardive_GS Pineraies des plaines du Centre et du Nord Ouest_32_</v>
      </c>
      <c r="BL291" s="319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97" t="str">
        <f>+VLOOKUP(G291,Liste!$A$7:$H$69,8,FALSE)</f>
        <v>Résineux</v>
      </c>
      <c r="BU291" s="297">
        <f t="shared" si="93"/>
        <v>0</v>
      </c>
      <c r="BV291" s="299">
        <f t="shared" si="94"/>
        <v>1</v>
      </c>
      <c r="BW291" s="318">
        <v>0</v>
      </c>
      <c r="BX291" s="297">
        <f t="shared" si="95"/>
        <v>0.43</v>
      </c>
      <c r="BY291">
        <f t="shared" si="96"/>
        <v>0</v>
      </c>
      <c r="BZ291" s="303">
        <f t="shared" si="97"/>
        <v>0</v>
      </c>
      <c r="CB291" s="298">
        <v>0.6</v>
      </c>
      <c r="CC291" s="298">
        <v>0.4</v>
      </c>
      <c r="CD291">
        <f t="shared" si="98"/>
        <v>0</v>
      </c>
      <c r="CE291">
        <f t="shared" si="99"/>
        <v>0</v>
      </c>
      <c r="CF291">
        <f t="shared" si="100"/>
        <v>0</v>
      </c>
      <c r="CG291">
        <f t="shared" si="101"/>
        <v>0</v>
      </c>
      <c r="CH291">
        <f t="shared" si="102"/>
        <v>0</v>
      </c>
      <c r="CI291">
        <f t="shared" si="103"/>
        <v>0</v>
      </c>
      <c r="CJ291">
        <f t="shared" si="104"/>
        <v>0</v>
      </c>
      <c r="CK291">
        <f t="shared" si="105"/>
        <v>0</v>
      </c>
      <c r="CL291">
        <f t="shared" si="106"/>
        <v>0</v>
      </c>
      <c r="CM291">
        <f t="shared" si="108"/>
        <v>0</v>
      </c>
      <c r="CN291">
        <f t="shared" si="107"/>
        <v>0</v>
      </c>
      <c r="CO291">
        <f t="shared" si="91"/>
        <v>0</v>
      </c>
    </row>
    <row r="292" spans="1:93" x14ac:dyDescent="0.25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10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+VLOOKUP(G292,Liste!$A$7:$G$69,3,FALSE)</f>
        <v>Pin sylvestre</v>
      </c>
      <c r="BI292" s="96" t="str">
        <f>+VLOOKUP(H292,Liste!$B$7:$G$69,5,FALSE)</f>
        <v>GS Pineraies des plaines du Centre et du Nord Ouest</v>
      </c>
      <c r="BJ292" s="135">
        <f t="shared" si="90"/>
        <v>33</v>
      </c>
      <c r="BK292" s="135" t="str">
        <f t="shared" si="92"/>
        <v>Pin sylvestre_F1_Eclaircie tardive_GS Pineraies des plaines du Centre et du Nord Ouest_33_</v>
      </c>
      <c r="BL292" s="319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97" t="str">
        <f>+VLOOKUP(G292,Liste!$A$7:$H$69,8,FALSE)</f>
        <v>Résineux</v>
      </c>
      <c r="BU292" s="297">
        <f t="shared" si="93"/>
        <v>0</v>
      </c>
      <c r="BV292" s="299">
        <f t="shared" si="94"/>
        <v>1</v>
      </c>
      <c r="BW292" s="318">
        <v>0</v>
      </c>
      <c r="BX292" s="297">
        <f t="shared" si="95"/>
        <v>0.43</v>
      </c>
      <c r="BY292">
        <f t="shared" si="96"/>
        <v>0</v>
      </c>
      <c r="BZ292" s="303">
        <f t="shared" si="97"/>
        <v>0</v>
      </c>
      <c r="CB292" s="298">
        <v>0.6</v>
      </c>
      <c r="CC292" s="298">
        <v>0.4</v>
      </c>
      <c r="CD292">
        <f t="shared" si="98"/>
        <v>0</v>
      </c>
      <c r="CE292">
        <f t="shared" si="99"/>
        <v>0</v>
      </c>
      <c r="CF292">
        <f t="shared" si="100"/>
        <v>0</v>
      </c>
      <c r="CG292">
        <f t="shared" si="101"/>
        <v>0</v>
      </c>
      <c r="CH292">
        <f t="shared" si="102"/>
        <v>0</v>
      </c>
      <c r="CI292">
        <f t="shared" si="103"/>
        <v>0</v>
      </c>
      <c r="CJ292">
        <f t="shared" si="104"/>
        <v>0</v>
      </c>
      <c r="CK292">
        <f t="shared" si="105"/>
        <v>0</v>
      </c>
      <c r="CL292">
        <f t="shared" si="106"/>
        <v>0</v>
      </c>
      <c r="CM292">
        <f t="shared" si="108"/>
        <v>0</v>
      </c>
      <c r="CN292">
        <f t="shared" si="107"/>
        <v>0</v>
      </c>
      <c r="CO292">
        <f t="shared" si="91"/>
        <v>0</v>
      </c>
    </row>
    <row r="293" spans="1:93" ht="14.45" customHeight="1" x14ac:dyDescent="0.25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10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+VLOOKUP(G293,Liste!$A$7:$G$69,3,FALSE)</f>
        <v>Pin sylvestre</v>
      </c>
      <c r="BI293" s="96" t="str">
        <f>+VLOOKUP(H293,Liste!$B$7:$G$69,5,FALSE)</f>
        <v>GS Pineraies des plaines du Centre et du Nord Ouest</v>
      </c>
      <c r="BJ293" s="135">
        <f t="shared" si="90"/>
        <v>34</v>
      </c>
      <c r="BK293" s="135" t="str">
        <f t="shared" si="92"/>
        <v>Pin sylvestre_F1_Eclaircie tardive_GS Pineraies des plaines du Centre et du Nord Ouest_34_</v>
      </c>
      <c r="BL293" s="319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97" t="str">
        <f>+VLOOKUP(G293,Liste!$A$7:$H$69,8,FALSE)</f>
        <v>Résineux</v>
      </c>
      <c r="BU293" s="297">
        <f t="shared" si="93"/>
        <v>0</v>
      </c>
      <c r="BV293" s="299">
        <f t="shared" si="94"/>
        <v>1</v>
      </c>
      <c r="BW293" s="318">
        <v>0</v>
      </c>
      <c r="BX293" s="297">
        <f t="shared" si="95"/>
        <v>0.43</v>
      </c>
      <c r="BY293">
        <f t="shared" si="96"/>
        <v>0</v>
      </c>
      <c r="BZ293" s="303">
        <f t="shared" si="97"/>
        <v>0</v>
      </c>
      <c r="CB293" s="298">
        <v>0.6</v>
      </c>
      <c r="CC293" s="298">
        <v>0.4</v>
      </c>
      <c r="CD293">
        <f t="shared" si="98"/>
        <v>0</v>
      </c>
      <c r="CE293">
        <f t="shared" si="99"/>
        <v>0</v>
      </c>
      <c r="CF293">
        <f t="shared" si="100"/>
        <v>0</v>
      </c>
      <c r="CG293">
        <f t="shared" si="101"/>
        <v>0</v>
      </c>
      <c r="CH293">
        <f t="shared" si="102"/>
        <v>0</v>
      </c>
      <c r="CI293">
        <f t="shared" si="103"/>
        <v>0</v>
      </c>
      <c r="CJ293">
        <f t="shared" si="104"/>
        <v>0</v>
      </c>
      <c r="CK293">
        <f t="shared" si="105"/>
        <v>0</v>
      </c>
      <c r="CL293">
        <f t="shared" si="106"/>
        <v>0</v>
      </c>
      <c r="CM293">
        <f t="shared" si="108"/>
        <v>0</v>
      </c>
      <c r="CN293">
        <f t="shared" si="107"/>
        <v>0</v>
      </c>
      <c r="CO293">
        <f t="shared" si="91"/>
        <v>0</v>
      </c>
    </row>
    <row r="294" spans="1:93" ht="14.45" customHeight="1" x14ac:dyDescent="0.25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+VLOOKUP(G294,Liste!$A$7:$G$69,3,FALSE)</f>
        <v>Pin sylvestre</v>
      </c>
      <c r="BI294" s="96" t="str">
        <f>+VLOOKUP(H294,Liste!$B$7:$G$69,5,FALSE)</f>
        <v>GS Pineraies des plaines du Centre et du Nord Ouest</v>
      </c>
      <c r="BJ294" s="135">
        <f t="shared" si="90"/>
        <v>34</v>
      </c>
      <c r="BK294" s="135" t="str">
        <f t="shared" si="92"/>
        <v>Pin sylvestre_F1_Eclaircie tardive_GS Pineraies des plaines du Centre et du Nord Ouest_34_</v>
      </c>
      <c r="BL294" s="319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97" t="str">
        <f>+VLOOKUP(G294,Liste!$A$7:$H$69,8,FALSE)</f>
        <v>Résineux</v>
      </c>
      <c r="BU294" s="297">
        <f t="shared" si="93"/>
        <v>0</v>
      </c>
      <c r="BV294" s="299">
        <f t="shared" si="94"/>
        <v>1</v>
      </c>
      <c r="BW294" s="318">
        <v>0</v>
      </c>
      <c r="BX294" s="297">
        <f t="shared" si="95"/>
        <v>0.43</v>
      </c>
      <c r="BY294">
        <f t="shared" si="96"/>
        <v>0</v>
      </c>
      <c r="BZ294" s="303">
        <f t="shared" si="97"/>
        <v>0</v>
      </c>
      <c r="CB294" s="298">
        <v>0.6</v>
      </c>
      <c r="CC294" s="298">
        <v>0.4</v>
      </c>
      <c r="CD294">
        <f t="shared" si="98"/>
        <v>0</v>
      </c>
      <c r="CE294">
        <f t="shared" si="99"/>
        <v>0</v>
      </c>
      <c r="CF294">
        <f t="shared" si="100"/>
        <v>0</v>
      </c>
      <c r="CG294">
        <f t="shared" si="101"/>
        <v>0</v>
      </c>
      <c r="CH294">
        <f t="shared" si="102"/>
        <v>0</v>
      </c>
      <c r="CI294">
        <f t="shared" si="103"/>
        <v>0</v>
      </c>
      <c r="CJ294">
        <f t="shared" si="104"/>
        <v>0</v>
      </c>
      <c r="CK294">
        <f t="shared" si="105"/>
        <v>0</v>
      </c>
      <c r="CL294">
        <f t="shared" si="106"/>
        <v>0</v>
      </c>
      <c r="CM294">
        <f t="shared" si="108"/>
        <v>0</v>
      </c>
      <c r="CN294">
        <f t="shared" si="107"/>
        <v>0</v>
      </c>
      <c r="CO294">
        <f t="shared" si="91"/>
        <v>0</v>
      </c>
    </row>
    <row r="295" spans="1:93" ht="14.45" customHeight="1" x14ac:dyDescent="0.25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10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+VLOOKUP(G295,Liste!$A$7:$G$69,3,FALSE)</f>
        <v>Pin sylvestre</v>
      </c>
      <c r="BI295" s="96" t="str">
        <f>+VLOOKUP(H295,Liste!$B$7:$G$69,5,FALSE)</f>
        <v>GS Pineraies des plaines du Centre et du Nord Ouest</v>
      </c>
      <c r="BJ295" s="135">
        <f t="shared" si="90"/>
        <v>35</v>
      </c>
      <c r="BK295" s="135" t="str">
        <f t="shared" si="92"/>
        <v>Pin sylvestre_F1_Eclaircie tardive_GS Pineraies des plaines du Centre et du Nord Ouest_35_</v>
      </c>
      <c r="BL295" s="319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97" t="str">
        <f>+VLOOKUP(G295,Liste!$A$7:$H$69,8,FALSE)</f>
        <v>Résineux</v>
      </c>
      <c r="BU295" s="297">
        <f t="shared" si="93"/>
        <v>0</v>
      </c>
      <c r="BV295" s="299">
        <f t="shared" si="94"/>
        <v>1</v>
      </c>
      <c r="BW295" s="318">
        <v>0</v>
      </c>
      <c r="BX295" s="297">
        <f t="shared" si="95"/>
        <v>0.43</v>
      </c>
      <c r="BY295">
        <f t="shared" si="96"/>
        <v>0</v>
      </c>
      <c r="BZ295" s="303">
        <f t="shared" si="97"/>
        <v>0</v>
      </c>
      <c r="CB295" s="298">
        <v>0.6</v>
      </c>
      <c r="CC295" s="298">
        <v>0.4</v>
      </c>
      <c r="CD295">
        <f t="shared" si="98"/>
        <v>0</v>
      </c>
      <c r="CE295">
        <f t="shared" si="99"/>
        <v>0</v>
      </c>
      <c r="CF295">
        <f t="shared" si="100"/>
        <v>0</v>
      </c>
      <c r="CG295">
        <f t="shared" si="101"/>
        <v>0</v>
      </c>
      <c r="CH295">
        <f t="shared" si="102"/>
        <v>0</v>
      </c>
      <c r="CI295">
        <f t="shared" si="103"/>
        <v>0</v>
      </c>
      <c r="CJ295">
        <f t="shared" si="104"/>
        <v>0</v>
      </c>
      <c r="CK295">
        <f t="shared" si="105"/>
        <v>0</v>
      </c>
      <c r="CL295">
        <f t="shared" si="106"/>
        <v>0</v>
      </c>
      <c r="CM295">
        <f t="shared" si="108"/>
        <v>0</v>
      </c>
      <c r="CN295">
        <f t="shared" si="107"/>
        <v>0</v>
      </c>
      <c r="CO295">
        <f t="shared" si="91"/>
        <v>0</v>
      </c>
    </row>
    <row r="296" spans="1:93" ht="14.45" customHeight="1" x14ac:dyDescent="0.25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10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+VLOOKUP(G296,Liste!$A$7:$G$69,3,FALSE)</f>
        <v>Pin sylvestre</v>
      </c>
      <c r="BI296" s="96" t="str">
        <f>+VLOOKUP(H296,Liste!$B$7:$G$69,5,FALSE)</f>
        <v>GS Pineraies des plaines du Centre et du Nord Ouest</v>
      </c>
      <c r="BJ296" s="135">
        <f t="shared" si="90"/>
        <v>36</v>
      </c>
      <c r="BK296" s="135" t="str">
        <f t="shared" si="92"/>
        <v>Pin sylvestre_F1_Eclaircie tardive_GS Pineraies des plaines du Centre et du Nord Ouest_36_</v>
      </c>
      <c r="BL296" s="319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97" t="str">
        <f>+VLOOKUP(G296,Liste!$A$7:$H$69,8,FALSE)</f>
        <v>Résineux</v>
      </c>
      <c r="BU296" s="297">
        <f t="shared" si="93"/>
        <v>0</v>
      </c>
      <c r="BV296" s="299">
        <f t="shared" si="94"/>
        <v>1</v>
      </c>
      <c r="BW296" s="318">
        <v>0</v>
      </c>
      <c r="BX296" s="297">
        <f t="shared" si="95"/>
        <v>0.43</v>
      </c>
      <c r="BY296">
        <f t="shared" si="96"/>
        <v>0</v>
      </c>
      <c r="BZ296" s="303">
        <f t="shared" si="97"/>
        <v>0</v>
      </c>
      <c r="CB296" s="298">
        <v>0.6</v>
      </c>
      <c r="CC296" s="298">
        <v>0.4</v>
      </c>
      <c r="CD296">
        <f t="shared" si="98"/>
        <v>0</v>
      </c>
      <c r="CE296">
        <f t="shared" si="99"/>
        <v>0</v>
      </c>
      <c r="CF296">
        <f t="shared" si="100"/>
        <v>0</v>
      </c>
      <c r="CG296">
        <f t="shared" si="101"/>
        <v>0</v>
      </c>
      <c r="CH296">
        <f t="shared" si="102"/>
        <v>0</v>
      </c>
      <c r="CI296">
        <f t="shared" si="103"/>
        <v>0</v>
      </c>
      <c r="CJ296">
        <f t="shared" si="104"/>
        <v>0</v>
      </c>
      <c r="CK296">
        <f t="shared" si="105"/>
        <v>0</v>
      </c>
      <c r="CL296">
        <f t="shared" si="106"/>
        <v>0</v>
      </c>
      <c r="CM296">
        <f t="shared" si="108"/>
        <v>0</v>
      </c>
      <c r="CN296">
        <f t="shared" si="107"/>
        <v>0</v>
      </c>
      <c r="CO296">
        <f t="shared" si="91"/>
        <v>0</v>
      </c>
    </row>
    <row r="297" spans="1:93" ht="14.45" customHeight="1" x14ac:dyDescent="0.25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10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+VLOOKUP(G297,Liste!$A$7:$G$69,3,FALSE)</f>
        <v>Pin sylvestre</v>
      </c>
      <c r="BI297" s="96" t="str">
        <f>+VLOOKUP(H297,Liste!$B$7:$G$69,5,FALSE)</f>
        <v>GS Pineraies des plaines du Centre et du Nord Ouest</v>
      </c>
      <c r="BJ297" s="135">
        <f t="shared" si="90"/>
        <v>37</v>
      </c>
      <c r="BK297" s="135" t="str">
        <f t="shared" si="92"/>
        <v>Pin sylvestre_F1_Eclaircie tardive_GS Pineraies des plaines du Centre et du Nord Ouest_37_</v>
      </c>
      <c r="BL297" s="319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97" t="str">
        <f>+VLOOKUP(G297,Liste!$A$7:$H$69,8,FALSE)</f>
        <v>Résineux</v>
      </c>
      <c r="BU297" s="297">
        <f t="shared" si="93"/>
        <v>0</v>
      </c>
      <c r="BV297" s="299">
        <f t="shared" si="94"/>
        <v>1</v>
      </c>
      <c r="BW297" s="318">
        <v>0</v>
      </c>
      <c r="BX297" s="297">
        <f t="shared" si="95"/>
        <v>0.43</v>
      </c>
      <c r="BY297">
        <f t="shared" si="96"/>
        <v>0</v>
      </c>
      <c r="BZ297" s="303">
        <f t="shared" si="97"/>
        <v>0</v>
      </c>
      <c r="CB297" s="298">
        <v>0.6</v>
      </c>
      <c r="CC297" s="298">
        <v>0.4</v>
      </c>
      <c r="CD297">
        <f t="shared" si="98"/>
        <v>0</v>
      </c>
      <c r="CE297">
        <f t="shared" si="99"/>
        <v>0</v>
      </c>
      <c r="CF297">
        <f t="shared" si="100"/>
        <v>0</v>
      </c>
      <c r="CG297">
        <f t="shared" si="101"/>
        <v>0</v>
      </c>
      <c r="CH297">
        <f t="shared" si="102"/>
        <v>0</v>
      </c>
      <c r="CI297">
        <f t="shared" si="103"/>
        <v>0</v>
      </c>
      <c r="CJ297">
        <f t="shared" si="104"/>
        <v>0</v>
      </c>
      <c r="CK297">
        <f t="shared" si="105"/>
        <v>0</v>
      </c>
      <c r="CL297">
        <f t="shared" si="106"/>
        <v>0</v>
      </c>
      <c r="CM297">
        <f t="shared" si="108"/>
        <v>0</v>
      </c>
      <c r="CN297">
        <f t="shared" si="107"/>
        <v>0</v>
      </c>
      <c r="CO297">
        <f t="shared" si="91"/>
        <v>0</v>
      </c>
    </row>
    <row r="298" spans="1:93" ht="14.45" customHeight="1" x14ac:dyDescent="0.25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10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+VLOOKUP(G298,Liste!$A$7:$G$69,3,FALSE)</f>
        <v>Pin sylvestre</v>
      </c>
      <c r="BI298" s="96" t="str">
        <f>+VLOOKUP(H298,Liste!$B$7:$G$69,5,FALSE)</f>
        <v>GS Pineraies des plaines du Centre et du Nord Ouest</v>
      </c>
      <c r="BJ298" s="135">
        <f t="shared" si="90"/>
        <v>38</v>
      </c>
      <c r="BK298" s="135" t="str">
        <f t="shared" si="92"/>
        <v>Pin sylvestre_F1_Eclaircie tardive_GS Pineraies des plaines du Centre et du Nord Ouest_38_</v>
      </c>
      <c r="BL298" s="319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97" t="str">
        <f>+VLOOKUP(G298,Liste!$A$7:$H$69,8,FALSE)</f>
        <v>Résineux</v>
      </c>
      <c r="BU298" s="297">
        <f t="shared" si="93"/>
        <v>0</v>
      </c>
      <c r="BV298" s="299">
        <f t="shared" si="94"/>
        <v>1</v>
      </c>
      <c r="BW298" s="318">
        <v>0</v>
      </c>
      <c r="BX298" s="297">
        <f t="shared" si="95"/>
        <v>0.43</v>
      </c>
      <c r="BY298">
        <f t="shared" si="96"/>
        <v>0</v>
      </c>
      <c r="BZ298" s="303">
        <f t="shared" si="97"/>
        <v>0</v>
      </c>
      <c r="CB298" s="298">
        <v>0.6</v>
      </c>
      <c r="CC298" s="298">
        <v>0.4</v>
      </c>
      <c r="CD298">
        <f t="shared" si="98"/>
        <v>0</v>
      </c>
      <c r="CE298">
        <f t="shared" si="99"/>
        <v>0</v>
      </c>
      <c r="CF298">
        <f t="shared" si="100"/>
        <v>0</v>
      </c>
      <c r="CG298">
        <f t="shared" si="101"/>
        <v>0</v>
      </c>
      <c r="CH298">
        <f t="shared" si="102"/>
        <v>0</v>
      </c>
      <c r="CI298">
        <f t="shared" si="103"/>
        <v>0</v>
      </c>
      <c r="CJ298">
        <f t="shared" si="104"/>
        <v>0</v>
      </c>
      <c r="CK298">
        <f t="shared" si="105"/>
        <v>0</v>
      </c>
      <c r="CL298">
        <f t="shared" si="106"/>
        <v>0</v>
      </c>
      <c r="CM298">
        <f t="shared" si="108"/>
        <v>0</v>
      </c>
      <c r="CN298">
        <f t="shared" si="107"/>
        <v>0</v>
      </c>
      <c r="CO298">
        <f t="shared" si="91"/>
        <v>0</v>
      </c>
    </row>
    <row r="299" spans="1:93" ht="14.45" customHeight="1" x14ac:dyDescent="0.25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10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+VLOOKUP(G299,Liste!$A$7:$G$69,3,FALSE)</f>
        <v>Pin sylvestre</v>
      </c>
      <c r="BI299" s="96" t="str">
        <f>+VLOOKUP(H299,Liste!$B$7:$G$69,5,FALSE)</f>
        <v>GS Pineraies des plaines du Centre et du Nord Ouest</v>
      </c>
      <c r="BJ299" s="135">
        <f t="shared" si="90"/>
        <v>39</v>
      </c>
      <c r="BK299" s="135" t="str">
        <f t="shared" si="92"/>
        <v>Pin sylvestre_F1_Eclaircie tardive_GS Pineraies des plaines du Centre et du Nord Ouest_39_</v>
      </c>
      <c r="BL299" s="319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97" t="str">
        <f>+VLOOKUP(G299,Liste!$A$7:$H$69,8,FALSE)</f>
        <v>Résineux</v>
      </c>
      <c r="BU299" s="297">
        <f t="shared" si="93"/>
        <v>0</v>
      </c>
      <c r="BV299" s="299">
        <f t="shared" si="94"/>
        <v>1</v>
      </c>
      <c r="BW299" s="318">
        <v>0</v>
      </c>
      <c r="BX299" s="297">
        <f t="shared" si="95"/>
        <v>0.43</v>
      </c>
      <c r="BY299">
        <f t="shared" si="96"/>
        <v>0</v>
      </c>
      <c r="BZ299" s="303">
        <f t="shared" si="97"/>
        <v>0</v>
      </c>
      <c r="CB299" s="298">
        <v>0.6</v>
      </c>
      <c r="CC299" s="298">
        <v>0.4</v>
      </c>
      <c r="CD299">
        <f t="shared" si="98"/>
        <v>0</v>
      </c>
      <c r="CE299">
        <f t="shared" si="99"/>
        <v>0</v>
      </c>
      <c r="CF299">
        <f t="shared" si="100"/>
        <v>0</v>
      </c>
      <c r="CG299">
        <f t="shared" si="101"/>
        <v>0</v>
      </c>
      <c r="CH299">
        <f t="shared" si="102"/>
        <v>0</v>
      </c>
      <c r="CI299">
        <f t="shared" si="103"/>
        <v>0</v>
      </c>
      <c r="CJ299">
        <f t="shared" si="104"/>
        <v>0</v>
      </c>
      <c r="CK299">
        <f t="shared" si="105"/>
        <v>0</v>
      </c>
      <c r="CL299">
        <f t="shared" si="106"/>
        <v>0</v>
      </c>
      <c r="CM299">
        <f t="shared" si="108"/>
        <v>0</v>
      </c>
      <c r="CN299">
        <f t="shared" si="107"/>
        <v>0</v>
      </c>
      <c r="CO299">
        <f t="shared" si="91"/>
        <v>0</v>
      </c>
    </row>
    <row r="300" spans="1:93" ht="14.45" customHeight="1" x14ac:dyDescent="0.25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10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+VLOOKUP(G300,Liste!$A$7:$G$69,3,FALSE)</f>
        <v>Pin sylvestre</v>
      </c>
      <c r="BI300" s="96" t="str">
        <f>+VLOOKUP(H300,Liste!$B$7:$G$69,5,FALSE)</f>
        <v>GS Pineraies des plaines du Centre et du Nord Ouest</v>
      </c>
      <c r="BJ300" s="135">
        <f t="shared" si="90"/>
        <v>40</v>
      </c>
      <c r="BK300" s="135" t="str">
        <f t="shared" si="92"/>
        <v>Pin sylvestre_F1_Eclaircie tardive_GS Pineraies des plaines du Centre et du Nord Ouest_40_</v>
      </c>
      <c r="BL300" s="319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97" t="str">
        <f>+VLOOKUP(G300,Liste!$A$7:$H$69,8,FALSE)</f>
        <v>Résineux</v>
      </c>
      <c r="BU300" s="297">
        <f t="shared" si="93"/>
        <v>0</v>
      </c>
      <c r="BV300" s="299">
        <f t="shared" si="94"/>
        <v>1</v>
      </c>
      <c r="BW300" s="318">
        <v>0</v>
      </c>
      <c r="BX300" s="297">
        <f t="shared" si="95"/>
        <v>0.43</v>
      </c>
      <c r="BY300">
        <f t="shared" si="96"/>
        <v>0</v>
      </c>
      <c r="BZ300" s="303">
        <f t="shared" si="97"/>
        <v>0</v>
      </c>
      <c r="CB300" s="298">
        <v>0.6</v>
      </c>
      <c r="CC300" s="298">
        <v>0.4</v>
      </c>
      <c r="CD300">
        <f t="shared" si="98"/>
        <v>0</v>
      </c>
      <c r="CE300">
        <f t="shared" si="99"/>
        <v>0</v>
      </c>
      <c r="CF300">
        <f t="shared" si="100"/>
        <v>0</v>
      </c>
      <c r="CG300">
        <f t="shared" si="101"/>
        <v>0</v>
      </c>
      <c r="CH300">
        <f t="shared" si="102"/>
        <v>0</v>
      </c>
      <c r="CI300">
        <f t="shared" si="103"/>
        <v>0</v>
      </c>
      <c r="CJ300">
        <f t="shared" si="104"/>
        <v>0</v>
      </c>
      <c r="CK300">
        <f t="shared" si="105"/>
        <v>0</v>
      </c>
      <c r="CL300">
        <f t="shared" si="106"/>
        <v>0</v>
      </c>
      <c r="CM300">
        <f t="shared" si="108"/>
        <v>0</v>
      </c>
      <c r="CN300">
        <f t="shared" si="107"/>
        <v>0</v>
      </c>
      <c r="CO300">
        <f t="shared" si="91"/>
        <v>0</v>
      </c>
    </row>
    <row r="301" spans="1:93" ht="14.45" customHeight="1" x14ac:dyDescent="0.25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+VLOOKUP(G301,Liste!$A$7:$G$69,3,FALSE)</f>
        <v>Pin sylvestre</v>
      </c>
      <c r="BI301" s="96" t="str">
        <f>+VLOOKUP(H301,Liste!$B$7:$G$69,5,FALSE)</f>
        <v>GS Pineraies des plaines du Centre et du Nord Ouest</v>
      </c>
      <c r="BJ301" s="135">
        <f t="shared" si="90"/>
        <v>40</v>
      </c>
      <c r="BK301" s="135" t="str">
        <f t="shared" si="92"/>
        <v>Pin sylvestre_F1_Eclaircie tardive_GS Pineraies des plaines du Centre et du Nord Ouest_40_</v>
      </c>
      <c r="BL301" s="319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97" t="str">
        <f>+VLOOKUP(G301,Liste!$A$7:$H$69,8,FALSE)</f>
        <v>Résineux</v>
      </c>
      <c r="BU301" s="297">
        <f t="shared" si="93"/>
        <v>0</v>
      </c>
      <c r="BV301" s="299">
        <f t="shared" si="94"/>
        <v>1</v>
      </c>
      <c r="BW301" s="318">
        <v>0</v>
      </c>
      <c r="BX301" s="297">
        <f t="shared" si="95"/>
        <v>0.43</v>
      </c>
      <c r="BY301">
        <f t="shared" si="96"/>
        <v>0</v>
      </c>
      <c r="BZ301" s="303">
        <f t="shared" si="97"/>
        <v>0</v>
      </c>
      <c r="CB301" s="298">
        <v>0.6</v>
      </c>
      <c r="CC301" s="298">
        <v>0.4</v>
      </c>
      <c r="CD301">
        <f t="shared" si="98"/>
        <v>0</v>
      </c>
      <c r="CE301">
        <f t="shared" si="99"/>
        <v>0</v>
      </c>
      <c r="CF301">
        <f t="shared" si="100"/>
        <v>0</v>
      </c>
      <c r="CG301">
        <f t="shared" si="101"/>
        <v>0</v>
      </c>
      <c r="CH301">
        <f t="shared" si="102"/>
        <v>0</v>
      </c>
      <c r="CI301">
        <f t="shared" si="103"/>
        <v>0</v>
      </c>
      <c r="CJ301">
        <f t="shared" si="104"/>
        <v>0</v>
      </c>
      <c r="CK301">
        <f t="shared" si="105"/>
        <v>0</v>
      </c>
      <c r="CL301">
        <f t="shared" si="106"/>
        <v>0</v>
      </c>
      <c r="CM301">
        <f t="shared" si="108"/>
        <v>0</v>
      </c>
      <c r="CN301">
        <f t="shared" si="107"/>
        <v>0</v>
      </c>
      <c r="CO301">
        <f t="shared" si="91"/>
        <v>0</v>
      </c>
    </row>
    <row r="302" spans="1:93" ht="14.45" customHeight="1" x14ac:dyDescent="0.25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10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+VLOOKUP(G302,Liste!$A$7:$G$69,3,FALSE)</f>
        <v>Pin sylvestre</v>
      </c>
      <c r="BI302" s="96" t="str">
        <f>+VLOOKUP(H302,Liste!$B$7:$G$69,5,FALSE)</f>
        <v>GS Pineraies des plaines du Centre et du Nord Ouest</v>
      </c>
      <c r="BJ302" s="135">
        <f t="shared" si="90"/>
        <v>41</v>
      </c>
      <c r="BK302" s="135" t="str">
        <f t="shared" si="92"/>
        <v>Pin sylvestre_F1_Eclaircie tardive_GS Pineraies des plaines du Centre et du Nord Ouest_41_</v>
      </c>
      <c r="BL302" s="319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97" t="str">
        <f>+VLOOKUP(G302,Liste!$A$7:$H$69,8,FALSE)</f>
        <v>Résineux</v>
      </c>
      <c r="BU302" s="297">
        <f t="shared" si="93"/>
        <v>0</v>
      </c>
      <c r="BV302" s="299">
        <f t="shared" si="94"/>
        <v>1</v>
      </c>
      <c r="BW302" s="318">
        <v>0</v>
      </c>
      <c r="BX302" s="297">
        <f t="shared" si="95"/>
        <v>0.43</v>
      </c>
      <c r="BY302">
        <f t="shared" si="96"/>
        <v>0</v>
      </c>
      <c r="BZ302" s="303">
        <f t="shared" si="97"/>
        <v>0</v>
      </c>
      <c r="CB302" s="298">
        <v>0.6</v>
      </c>
      <c r="CC302" s="298">
        <v>0.4</v>
      </c>
      <c r="CD302">
        <f t="shared" si="98"/>
        <v>0</v>
      </c>
      <c r="CE302">
        <f t="shared" si="99"/>
        <v>0</v>
      </c>
      <c r="CF302">
        <f t="shared" si="100"/>
        <v>0</v>
      </c>
      <c r="CG302">
        <f t="shared" si="101"/>
        <v>0</v>
      </c>
      <c r="CH302">
        <f t="shared" si="102"/>
        <v>0</v>
      </c>
      <c r="CI302">
        <f t="shared" si="103"/>
        <v>0</v>
      </c>
      <c r="CJ302">
        <f t="shared" si="104"/>
        <v>0</v>
      </c>
      <c r="CK302">
        <f t="shared" si="105"/>
        <v>0</v>
      </c>
      <c r="CL302">
        <f t="shared" si="106"/>
        <v>0</v>
      </c>
      <c r="CM302">
        <f t="shared" si="108"/>
        <v>0</v>
      </c>
      <c r="CN302">
        <f t="shared" si="107"/>
        <v>0</v>
      </c>
      <c r="CO302">
        <f t="shared" si="91"/>
        <v>0</v>
      </c>
    </row>
    <row r="303" spans="1:93" ht="14.45" customHeight="1" x14ac:dyDescent="0.25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10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+VLOOKUP(G303,Liste!$A$7:$G$69,3,FALSE)</f>
        <v>Pin sylvestre</v>
      </c>
      <c r="BI303" s="96" t="str">
        <f>+VLOOKUP(H303,Liste!$B$7:$G$69,5,FALSE)</f>
        <v>GS Pineraies des plaines du Centre et du Nord Ouest</v>
      </c>
      <c r="BJ303" s="135">
        <f t="shared" si="90"/>
        <v>42</v>
      </c>
      <c r="BK303" s="135" t="str">
        <f t="shared" si="92"/>
        <v>Pin sylvestre_F1_Eclaircie tardive_GS Pineraies des plaines du Centre et du Nord Ouest_42_</v>
      </c>
      <c r="BL303" s="319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97" t="str">
        <f>+VLOOKUP(G303,Liste!$A$7:$H$69,8,FALSE)</f>
        <v>Résineux</v>
      </c>
      <c r="BU303" s="297">
        <f t="shared" si="93"/>
        <v>0</v>
      </c>
      <c r="BV303" s="299">
        <f t="shared" si="94"/>
        <v>1</v>
      </c>
      <c r="BW303" s="318">
        <v>0</v>
      </c>
      <c r="BX303" s="297">
        <f t="shared" si="95"/>
        <v>0.43</v>
      </c>
      <c r="BY303">
        <f t="shared" si="96"/>
        <v>0</v>
      </c>
      <c r="BZ303" s="303">
        <f t="shared" si="97"/>
        <v>0</v>
      </c>
      <c r="CB303" s="298">
        <v>0.6</v>
      </c>
      <c r="CC303" s="298">
        <v>0.4</v>
      </c>
      <c r="CD303">
        <f t="shared" si="98"/>
        <v>0</v>
      </c>
      <c r="CE303">
        <f t="shared" si="99"/>
        <v>0</v>
      </c>
      <c r="CF303">
        <f t="shared" si="100"/>
        <v>0</v>
      </c>
      <c r="CG303">
        <f t="shared" si="101"/>
        <v>0</v>
      </c>
      <c r="CH303">
        <f t="shared" si="102"/>
        <v>0</v>
      </c>
      <c r="CI303">
        <f t="shared" si="103"/>
        <v>0</v>
      </c>
      <c r="CJ303">
        <f t="shared" si="104"/>
        <v>0</v>
      </c>
      <c r="CK303">
        <f t="shared" si="105"/>
        <v>0</v>
      </c>
      <c r="CL303">
        <f t="shared" si="106"/>
        <v>0</v>
      </c>
      <c r="CM303">
        <f t="shared" si="108"/>
        <v>0</v>
      </c>
      <c r="CN303">
        <f t="shared" si="107"/>
        <v>0</v>
      </c>
      <c r="CO303">
        <f t="shared" si="91"/>
        <v>0</v>
      </c>
    </row>
    <row r="304" spans="1:93" ht="14.45" customHeight="1" x14ac:dyDescent="0.25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10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+VLOOKUP(G304,Liste!$A$7:$G$69,3,FALSE)</f>
        <v>Pin sylvestre</v>
      </c>
      <c r="BI304" s="96" t="str">
        <f>+VLOOKUP(H304,Liste!$B$7:$G$69,5,FALSE)</f>
        <v>GS Pineraies des plaines du Centre et du Nord Ouest</v>
      </c>
      <c r="BJ304" s="135">
        <f t="shared" si="90"/>
        <v>43</v>
      </c>
      <c r="BK304" s="135" t="str">
        <f t="shared" si="92"/>
        <v>Pin sylvestre_F1_Eclaircie tardive_GS Pineraies des plaines du Centre et du Nord Ouest_43_</v>
      </c>
      <c r="BL304" s="319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97" t="str">
        <f>+VLOOKUP(G304,Liste!$A$7:$H$69,8,FALSE)</f>
        <v>Résineux</v>
      </c>
      <c r="BU304" s="297">
        <f t="shared" si="93"/>
        <v>0</v>
      </c>
      <c r="BV304" s="299">
        <f t="shared" si="94"/>
        <v>1</v>
      </c>
      <c r="BW304" s="318">
        <v>0</v>
      </c>
      <c r="BX304" s="297">
        <f t="shared" si="95"/>
        <v>0.43</v>
      </c>
      <c r="BY304">
        <f t="shared" si="96"/>
        <v>0</v>
      </c>
      <c r="BZ304" s="303">
        <f t="shared" si="97"/>
        <v>0</v>
      </c>
      <c r="CB304" s="298">
        <v>0.6</v>
      </c>
      <c r="CC304" s="298">
        <v>0.4</v>
      </c>
      <c r="CD304">
        <f t="shared" si="98"/>
        <v>0</v>
      </c>
      <c r="CE304">
        <f t="shared" si="99"/>
        <v>0</v>
      </c>
      <c r="CF304">
        <f t="shared" si="100"/>
        <v>0</v>
      </c>
      <c r="CG304">
        <f t="shared" si="101"/>
        <v>0</v>
      </c>
      <c r="CH304">
        <f t="shared" si="102"/>
        <v>0</v>
      </c>
      <c r="CI304">
        <f t="shared" si="103"/>
        <v>0</v>
      </c>
      <c r="CJ304">
        <f t="shared" si="104"/>
        <v>0</v>
      </c>
      <c r="CK304">
        <f t="shared" si="105"/>
        <v>0</v>
      </c>
      <c r="CL304">
        <f t="shared" si="106"/>
        <v>0</v>
      </c>
      <c r="CM304">
        <f t="shared" si="108"/>
        <v>0</v>
      </c>
      <c r="CN304">
        <f t="shared" si="107"/>
        <v>0</v>
      </c>
      <c r="CO304">
        <f t="shared" si="91"/>
        <v>0</v>
      </c>
    </row>
    <row r="305" spans="1:93" ht="14.45" customHeight="1" x14ac:dyDescent="0.25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10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+VLOOKUP(G305,Liste!$A$7:$G$69,3,FALSE)</f>
        <v>Pin sylvestre</v>
      </c>
      <c r="BI305" s="96" t="str">
        <f>+VLOOKUP(H305,Liste!$B$7:$G$69,5,FALSE)</f>
        <v>GS Pineraies des plaines du Centre et du Nord Ouest</v>
      </c>
      <c r="BJ305" s="135">
        <f t="shared" si="90"/>
        <v>44</v>
      </c>
      <c r="BK305" s="135" t="str">
        <f t="shared" si="92"/>
        <v>Pin sylvestre_F1_Eclaircie tardive_GS Pineraies des plaines du Centre et du Nord Ouest_44_</v>
      </c>
      <c r="BL305" s="319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97" t="str">
        <f>+VLOOKUP(G305,Liste!$A$7:$H$69,8,FALSE)</f>
        <v>Résineux</v>
      </c>
      <c r="BU305" s="297">
        <f t="shared" si="93"/>
        <v>0</v>
      </c>
      <c r="BV305" s="299">
        <f t="shared" si="94"/>
        <v>1</v>
      </c>
      <c r="BW305" s="318">
        <v>0</v>
      </c>
      <c r="BX305" s="297">
        <f t="shared" si="95"/>
        <v>0.43</v>
      </c>
      <c r="BY305">
        <f t="shared" si="96"/>
        <v>0</v>
      </c>
      <c r="BZ305" s="303">
        <f t="shared" si="97"/>
        <v>0</v>
      </c>
      <c r="CB305" s="298">
        <v>0.6</v>
      </c>
      <c r="CC305" s="298">
        <v>0.4</v>
      </c>
      <c r="CD305">
        <f t="shared" si="98"/>
        <v>0</v>
      </c>
      <c r="CE305">
        <f t="shared" si="99"/>
        <v>0</v>
      </c>
      <c r="CF305">
        <f t="shared" si="100"/>
        <v>0</v>
      </c>
      <c r="CG305">
        <f t="shared" si="101"/>
        <v>0</v>
      </c>
      <c r="CH305">
        <f t="shared" si="102"/>
        <v>0</v>
      </c>
      <c r="CI305">
        <f t="shared" si="103"/>
        <v>0</v>
      </c>
      <c r="CJ305">
        <f t="shared" si="104"/>
        <v>0</v>
      </c>
      <c r="CK305">
        <f t="shared" si="105"/>
        <v>0</v>
      </c>
      <c r="CL305">
        <f t="shared" si="106"/>
        <v>0</v>
      </c>
      <c r="CM305">
        <f t="shared" si="108"/>
        <v>0</v>
      </c>
      <c r="CN305">
        <f t="shared" si="107"/>
        <v>0</v>
      </c>
      <c r="CO305">
        <f t="shared" si="91"/>
        <v>0</v>
      </c>
    </row>
    <row r="306" spans="1:93" s="12" customFormat="1" ht="14.45" customHeight="1" x14ac:dyDescent="0.25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10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+VLOOKUP(G306,Liste!$A$7:$G$69,3,FALSE)</f>
        <v>Pin sylvestre</v>
      </c>
      <c r="BI306" s="96" t="str">
        <f>+VLOOKUP(H306,Liste!$B$7:$G$69,5,FALSE)</f>
        <v>GS Pineraies des plaines du Centre et du Nord Ouest</v>
      </c>
      <c r="BJ306" s="135">
        <f t="shared" si="90"/>
        <v>45</v>
      </c>
      <c r="BK306" s="135" t="str">
        <f t="shared" si="92"/>
        <v>Pin sylvestre_F1_Eclaircie tardive_GS Pineraies des plaines du Centre et du Nord Ouest_45_</v>
      </c>
      <c r="BL306" s="319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97" t="str">
        <f>+VLOOKUP(G306,Liste!$A$7:$H$69,8,FALSE)</f>
        <v>Résineux</v>
      </c>
      <c r="BU306" s="297">
        <f t="shared" si="93"/>
        <v>0</v>
      </c>
      <c r="BV306" s="299">
        <f t="shared" si="94"/>
        <v>1</v>
      </c>
      <c r="BW306" s="318">
        <v>0</v>
      </c>
      <c r="BX306" s="297">
        <f t="shared" si="95"/>
        <v>0.43</v>
      </c>
      <c r="BY306">
        <f t="shared" si="96"/>
        <v>0</v>
      </c>
      <c r="BZ306" s="303">
        <f t="shared" si="97"/>
        <v>0</v>
      </c>
      <c r="CB306" s="298">
        <v>0.6</v>
      </c>
      <c r="CC306" s="298">
        <v>0.4</v>
      </c>
      <c r="CD306">
        <f t="shared" si="98"/>
        <v>0</v>
      </c>
      <c r="CE306">
        <f t="shared" si="99"/>
        <v>0</v>
      </c>
      <c r="CF306">
        <f t="shared" si="100"/>
        <v>0</v>
      </c>
      <c r="CG306">
        <f t="shared" si="101"/>
        <v>0</v>
      </c>
      <c r="CH306">
        <f t="shared" si="102"/>
        <v>0</v>
      </c>
      <c r="CI306">
        <f t="shared" si="103"/>
        <v>0</v>
      </c>
      <c r="CJ306">
        <f t="shared" si="104"/>
        <v>0</v>
      </c>
      <c r="CK306">
        <f t="shared" si="105"/>
        <v>0</v>
      </c>
      <c r="CL306">
        <f t="shared" si="106"/>
        <v>0</v>
      </c>
      <c r="CM306">
        <f t="shared" si="108"/>
        <v>0</v>
      </c>
      <c r="CN306">
        <f t="shared" si="107"/>
        <v>0</v>
      </c>
      <c r="CO306">
        <f t="shared" si="91"/>
        <v>0</v>
      </c>
    </row>
    <row r="307" spans="1:93" s="12" customFormat="1" ht="14.45" customHeight="1" x14ac:dyDescent="0.25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10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+VLOOKUP(G307,Liste!$A$7:$G$69,3,FALSE)</f>
        <v>Pin sylvestre</v>
      </c>
      <c r="BI307" s="96" t="str">
        <f>+VLOOKUP(H307,Liste!$B$7:$G$69,5,FALSE)</f>
        <v>GS Pineraies des plaines du Centre et du Nord Ouest</v>
      </c>
      <c r="BJ307" s="135">
        <f t="shared" si="90"/>
        <v>46</v>
      </c>
      <c r="BK307" s="135" t="str">
        <f t="shared" si="92"/>
        <v>Pin sylvestre_F1_Eclaircie tardive_GS Pineraies des plaines du Centre et du Nord Ouest_46_</v>
      </c>
      <c r="BL307" s="319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97" t="str">
        <f>+VLOOKUP(G307,Liste!$A$7:$H$69,8,FALSE)</f>
        <v>Résineux</v>
      </c>
      <c r="BU307" s="297">
        <f t="shared" si="93"/>
        <v>0</v>
      </c>
      <c r="BV307" s="299">
        <f t="shared" si="94"/>
        <v>1</v>
      </c>
      <c r="BW307" s="318">
        <v>0</v>
      </c>
      <c r="BX307" s="297">
        <f t="shared" si="95"/>
        <v>0.43</v>
      </c>
      <c r="BY307">
        <f t="shared" si="96"/>
        <v>0</v>
      </c>
      <c r="BZ307" s="303">
        <f t="shared" si="97"/>
        <v>0</v>
      </c>
      <c r="CB307" s="298">
        <v>0.6</v>
      </c>
      <c r="CC307" s="298">
        <v>0.4</v>
      </c>
      <c r="CD307">
        <f t="shared" si="98"/>
        <v>0</v>
      </c>
      <c r="CE307">
        <f t="shared" si="99"/>
        <v>0</v>
      </c>
      <c r="CF307">
        <f t="shared" si="100"/>
        <v>0</v>
      </c>
      <c r="CG307">
        <f t="shared" si="101"/>
        <v>0</v>
      </c>
      <c r="CH307">
        <f t="shared" si="102"/>
        <v>0</v>
      </c>
      <c r="CI307">
        <f t="shared" si="103"/>
        <v>0</v>
      </c>
      <c r="CJ307">
        <f t="shared" si="104"/>
        <v>0</v>
      </c>
      <c r="CK307">
        <f t="shared" si="105"/>
        <v>0</v>
      </c>
      <c r="CL307">
        <f t="shared" si="106"/>
        <v>0</v>
      </c>
      <c r="CM307">
        <f t="shared" si="108"/>
        <v>0</v>
      </c>
      <c r="CN307">
        <f t="shared" si="107"/>
        <v>0</v>
      </c>
      <c r="CO307">
        <f t="shared" si="91"/>
        <v>0</v>
      </c>
    </row>
    <row r="308" spans="1:93" s="12" customFormat="1" ht="14.45" customHeight="1" x14ac:dyDescent="0.25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10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+VLOOKUP(G308,Liste!$A$7:$G$69,3,FALSE)</f>
        <v>Pin sylvestre</v>
      </c>
      <c r="BI308" s="96" t="str">
        <f>+VLOOKUP(H308,Liste!$B$7:$G$69,5,FALSE)</f>
        <v>GS Pineraies des plaines du Centre et du Nord Ouest</v>
      </c>
      <c r="BJ308" s="135">
        <f t="shared" si="90"/>
        <v>47</v>
      </c>
      <c r="BK308" s="135" t="str">
        <f t="shared" si="92"/>
        <v>Pin sylvestre_F1_Eclaircie tardive_GS Pineraies des plaines du Centre et du Nord Ouest_47_</v>
      </c>
      <c r="BL308" s="319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97" t="str">
        <f>+VLOOKUP(G308,Liste!$A$7:$H$69,8,FALSE)</f>
        <v>Résineux</v>
      </c>
      <c r="BU308" s="297">
        <f t="shared" si="93"/>
        <v>0</v>
      </c>
      <c r="BV308" s="299">
        <f t="shared" si="94"/>
        <v>1</v>
      </c>
      <c r="BW308" s="318">
        <v>0</v>
      </c>
      <c r="BX308" s="297">
        <f t="shared" si="95"/>
        <v>0.43</v>
      </c>
      <c r="BY308">
        <f t="shared" si="96"/>
        <v>0</v>
      </c>
      <c r="BZ308" s="303">
        <f t="shared" si="97"/>
        <v>0</v>
      </c>
      <c r="CB308" s="298">
        <v>0.6</v>
      </c>
      <c r="CC308" s="298">
        <v>0.4</v>
      </c>
      <c r="CD308">
        <f t="shared" si="98"/>
        <v>0</v>
      </c>
      <c r="CE308">
        <f t="shared" si="99"/>
        <v>0</v>
      </c>
      <c r="CF308">
        <f t="shared" si="100"/>
        <v>0</v>
      </c>
      <c r="CG308">
        <f t="shared" si="101"/>
        <v>0</v>
      </c>
      <c r="CH308">
        <f t="shared" si="102"/>
        <v>0</v>
      </c>
      <c r="CI308">
        <f t="shared" si="103"/>
        <v>0</v>
      </c>
      <c r="CJ308">
        <f t="shared" si="104"/>
        <v>0</v>
      </c>
      <c r="CK308">
        <f t="shared" si="105"/>
        <v>0</v>
      </c>
      <c r="CL308">
        <f t="shared" si="106"/>
        <v>0</v>
      </c>
      <c r="CM308">
        <f t="shared" si="108"/>
        <v>0</v>
      </c>
      <c r="CN308">
        <f t="shared" si="107"/>
        <v>0</v>
      </c>
      <c r="CO308">
        <f t="shared" si="91"/>
        <v>0</v>
      </c>
    </row>
    <row r="309" spans="1:93" s="12" customFormat="1" ht="14.45" customHeight="1" x14ac:dyDescent="0.25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+VLOOKUP(G309,Liste!$A$7:$G$69,3,FALSE)</f>
        <v>Pin sylvestre</v>
      </c>
      <c r="BI309" s="96" t="str">
        <f>+VLOOKUP(H309,Liste!$B$7:$G$69,5,FALSE)</f>
        <v>GS Pineraies des plaines du Centre et du Nord Ouest</v>
      </c>
      <c r="BJ309" s="135">
        <f t="shared" si="90"/>
        <v>47</v>
      </c>
      <c r="BK309" s="135" t="str">
        <f t="shared" si="92"/>
        <v>Pin sylvestre_F1_Eclaircie tardive_GS Pineraies des plaines du Centre et du Nord Ouest_47_</v>
      </c>
      <c r="BL309" s="319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97" t="str">
        <f>+VLOOKUP(G309,Liste!$A$7:$H$69,8,FALSE)</f>
        <v>Résineux</v>
      </c>
      <c r="BU309" s="297">
        <f t="shared" si="93"/>
        <v>0</v>
      </c>
      <c r="BV309" s="299">
        <f t="shared" si="94"/>
        <v>1</v>
      </c>
      <c r="BW309" s="318">
        <v>0</v>
      </c>
      <c r="BX309" s="297">
        <f t="shared" si="95"/>
        <v>0.43</v>
      </c>
      <c r="BY309">
        <f t="shared" si="96"/>
        <v>0</v>
      </c>
      <c r="BZ309" s="303">
        <f t="shared" si="97"/>
        <v>0</v>
      </c>
      <c r="CB309" s="298">
        <v>0.6</v>
      </c>
      <c r="CC309" s="298">
        <v>0.4</v>
      </c>
      <c r="CD309">
        <f t="shared" si="98"/>
        <v>0</v>
      </c>
      <c r="CE309">
        <f t="shared" si="99"/>
        <v>0</v>
      </c>
      <c r="CF309">
        <f t="shared" si="100"/>
        <v>0</v>
      </c>
      <c r="CG309">
        <f t="shared" si="101"/>
        <v>0</v>
      </c>
      <c r="CH309">
        <f t="shared" si="102"/>
        <v>0</v>
      </c>
      <c r="CI309">
        <f t="shared" si="103"/>
        <v>0</v>
      </c>
      <c r="CJ309">
        <f t="shared" si="104"/>
        <v>0</v>
      </c>
      <c r="CK309">
        <f t="shared" si="105"/>
        <v>0</v>
      </c>
      <c r="CL309">
        <f t="shared" si="106"/>
        <v>0</v>
      </c>
      <c r="CM309">
        <f t="shared" si="108"/>
        <v>0</v>
      </c>
      <c r="CN309">
        <f t="shared" si="107"/>
        <v>0</v>
      </c>
      <c r="CO309">
        <f t="shared" si="91"/>
        <v>0</v>
      </c>
    </row>
    <row r="310" spans="1:93" s="12" customFormat="1" ht="14.45" customHeight="1" x14ac:dyDescent="0.25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10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+VLOOKUP(G310,Liste!$A$7:$G$69,3,FALSE)</f>
        <v>Pin sylvestre</v>
      </c>
      <c r="BI310" s="96" t="str">
        <f>+VLOOKUP(H310,Liste!$B$7:$G$69,5,FALSE)</f>
        <v>GS Pineraies des plaines du Centre et du Nord Ouest</v>
      </c>
      <c r="BJ310" s="135">
        <f t="shared" si="90"/>
        <v>48</v>
      </c>
      <c r="BK310" s="135" t="str">
        <f t="shared" si="92"/>
        <v>Pin sylvestre_F1_Eclaircie tardive_GS Pineraies des plaines du Centre et du Nord Ouest_48_</v>
      </c>
      <c r="BL310" s="319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97" t="str">
        <f>+VLOOKUP(G310,Liste!$A$7:$H$69,8,FALSE)</f>
        <v>Résineux</v>
      </c>
      <c r="BU310" s="297">
        <f t="shared" si="93"/>
        <v>0</v>
      </c>
      <c r="BV310" s="299">
        <f t="shared" si="94"/>
        <v>1</v>
      </c>
      <c r="BW310" s="318">
        <v>0</v>
      </c>
      <c r="BX310" s="297">
        <f t="shared" si="95"/>
        <v>0.43</v>
      </c>
      <c r="BY310">
        <f t="shared" si="96"/>
        <v>0</v>
      </c>
      <c r="BZ310" s="303">
        <f t="shared" si="97"/>
        <v>0</v>
      </c>
      <c r="CB310" s="298">
        <v>0.6</v>
      </c>
      <c r="CC310" s="298">
        <v>0.4</v>
      </c>
      <c r="CD310">
        <f t="shared" si="98"/>
        <v>0</v>
      </c>
      <c r="CE310">
        <f t="shared" si="99"/>
        <v>0</v>
      </c>
      <c r="CF310">
        <f t="shared" si="100"/>
        <v>0</v>
      </c>
      <c r="CG310">
        <f t="shared" si="101"/>
        <v>0</v>
      </c>
      <c r="CH310">
        <f t="shared" si="102"/>
        <v>0</v>
      </c>
      <c r="CI310">
        <f t="shared" si="103"/>
        <v>0</v>
      </c>
      <c r="CJ310">
        <f t="shared" si="104"/>
        <v>0</v>
      </c>
      <c r="CK310">
        <f t="shared" si="105"/>
        <v>0</v>
      </c>
      <c r="CL310">
        <f t="shared" si="106"/>
        <v>0</v>
      </c>
      <c r="CM310">
        <f t="shared" si="108"/>
        <v>0</v>
      </c>
      <c r="CN310">
        <f t="shared" si="107"/>
        <v>0</v>
      </c>
      <c r="CO310">
        <f t="shared" si="91"/>
        <v>0</v>
      </c>
    </row>
    <row r="311" spans="1:93" s="12" customFormat="1" ht="14.45" customHeight="1" x14ac:dyDescent="0.25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10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+VLOOKUP(G311,Liste!$A$7:$G$69,3,FALSE)</f>
        <v>Pin sylvestre</v>
      </c>
      <c r="BI311" s="96" t="str">
        <f>+VLOOKUP(H311,Liste!$B$7:$G$69,5,FALSE)</f>
        <v>GS Pineraies des plaines du Centre et du Nord Ouest</v>
      </c>
      <c r="BJ311" s="135">
        <f t="shared" si="90"/>
        <v>49</v>
      </c>
      <c r="BK311" s="135" t="str">
        <f t="shared" si="92"/>
        <v>Pin sylvestre_F1_Eclaircie tardive_GS Pineraies des plaines du Centre et du Nord Ouest_49_</v>
      </c>
      <c r="BL311" s="319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97" t="str">
        <f>+VLOOKUP(G311,Liste!$A$7:$H$69,8,FALSE)</f>
        <v>Résineux</v>
      </c>
      <c r="BU311" s="297">
        <f t="shared" si="93"/>
        <v>0</v>
      </c>
      <c r="BV311" s="299">
        <f t="shared" si="94"/>
        <v>1</v>
      </c>
      <c r="BW311" s="318">
        <v>0</v>
      </c>
      <c r="BX311" s="297">
        <f t="shared" si="95"/>
        <v>0.43</v>
      </c>
      <c r="BY311">
        <f t="shared" si="96"/>
        <v>0</v>
      </c>
      <c r="BZ311" s="303">
        <f t="shared" si="97"/>
        <v>0</v>
      </c>
      <c r="CB311" s="298">
        <v>0.6</v>
      </c>
      <c r="CC311" s="298">
        <v>0.4</v>
      </c>
      <c r="CD311">
        <f t="shared" si="98"/>
        <v>0</v>
      </c>
      <c r="CE311">
        <f t="shared" si="99"/>
        <v>0</v>
      </c>
      <c r="CF311">
        <f t="shared" si="100"/>
        <v>0</v>
      </c>
      <c r="CG311">
        <f t="shared" si="101"/>
        <v>0</v>
      </c>
      <c r="CH311">
        <f t="shared" si="102"/>
        <v>0</v>
      </c>
      <c r="CI311">
        <f t="shared" si="103"/>
        <v>0</v>
      </c>
      <c r="CJ311">
        <f t="shared" si="104"/>
        <v>0</v>
      </c>
      <c r="CK311">
        <f t="shared" si="105"/>
        <v>0</v>
      </c>
      <c r="CL311">
        <f t="shared" si="106"/>
        <v>0</v>
      </c>
      <c r="CM311">
        <f t="shared" si="108"/>
        <v>0</v>
      </c>
      <c r="CN311">
        <f t="shared" si="107"/>
        <v>0</v>
      </c>
      <c r="CO311">
        <f t="shared" si="91"/>
        <v>0</v>
      </c>
    </row>
    <row r="312" spans="1:93" s="12" customFormat="1" ht="14.45" customHeight="1" x14ac:dyDescent="0.25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10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+VLOOKUP(G312,Liste!$A$7:$G$69,3,FALSE)</f>
        <v>Pin sylvestre</v>
      </c>
      <c r="BI312" s="96" t="str">
        <f>+VLOOKUP(H312,Liste!$B$7:$G$69,5,FALSE)</f>
        <v>GS Pineraies des plaines du Centre et du Nord Ouest</v>
      </c>
      <c r="BJ312" s="135">
        <f t="shared" si="90"/>
        <v>50</v>
      </c>
      <c r="BK312" s="135" t="str">
        <f t="shared" si="92"/>
        <v>Pin sylvestre_F1_Eclaircie tardive_GS Pineraies des plaines du Centre et du Nord Ouest_50_</v>
      </c>
      <c r="BL312" s="319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97" t="str">
        <f>+VLOOKUP(G312,Liste!$A$7:$H$69,8,FALSE)</f>
        <v>Résineux</v>
      </c>
      <c r="BU312" s="297">
        <f t="shared" si="93"/>
        <v>0</v>
      </c>
      <c r="BV312" s="299">
        <f t="shared" si="94"/>
        <v>1</v>
      </c>
      <c r="BW312" s="318">
        <v>0</v>
      </c>
      <c r="BX312" s="297">
        <f t="shared" si="95"/>
        <v>0.43</v>
      </c>
      <c r="BY312">
        <f t="shared" si="96"/>
        <v>0</v>
      </c>
      <c r="BZ312" s="303">
        <f t="shared" si="97"/>
        <v>0</v>
      </c>
      <c r="CB312" s="298">
        <v>0.6</v>
      </c>
      <c r="CC312" s="298">
        <v>0.4</v>
      </c>
      <c r="CD312">
        <f t="shared" si="98"/>
        <v>0</v>
      </c>
      <c r="CE312">
        <f t="shared" si="99"/>
        <v>0</v>
      </c>
      <c r="CF312">
        <f t="shared" si="100"/>
        <v>0</v>
      </c>
      <c r="CG312">
        <f t="shared" si="101"/>
        <v>0</v>
      </c>
      <c r="CH312">
        <f t="shared" si="102"/>
        <v>0</v>
      </c>
      <c r="CI312">
        <f t="shared" si="103"/>
        <v>0</v>
      </c>
      <c r="CJ312">
        <f t="shared" si="104"/>
        <v>0</v>
      </c>
      <c r="CK312">
        <f t="shared" si="105"/>
        <v>0</v>
      </c>
      <c r="CL312">
        <f t="shared" si="106"/>
        <v>0</v>
      </c>
      <c r="CM312">
        <f t="shared" si="108"/>
        <v>0</v>
      </c>
      <c r="CN312">
        <f t="shared" si="107"/>
        <v>0</v>
      </c>
      <c r="CO312">
        <f t="shared" si="91"/>
        <v>0</v>
      </c>
    </row>
    <row r="313" spans="1:93" s="12" customFormat="1" ht="14.45" customHeight="1" x14ac:dyDescent="0.25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10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+VLOOKUP(G313,Liste!$A$7:$G$69,3,FALSE)</f>
        <v>Pin sylvestre</v>
      </c>
      <c r="BI313" s="96" t="str">
        <f>+VLOOKUP(H313,Liste!$B$7:$G$69,5,FALSE)</f>
        <v>GS Pineraies des plaines du Centre et du Nord Ouest</v>
      </c>
      <c r="BJ313" s="135">
        <f t="shared" si="90"/>
        <v>51</v>
      </c>
      <c r="BK313" s="135" t="str">
        <f t="shared" si="92"/>
        <v>Pin sylvestre_F1_Eclaircie tardive_GS Pineraies des plaines du Centre et du Nord Ouest_51_</v>
      </c>
      <c r="BL313" s="319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97" t="str">
        <f>+VLOOKUP(G313,Liste!$A$7:$H$69,8,FALSE)</f>
        <v>Résineux</v>
      </c>
      <c r="BU313" s="297">
        <f t="shared" si="93"/>
        <v>0</v>
      </c>
      <c r="BV313" s="299">
        <f t="shared" si="94"/>
        <v>1</v>
      </c>
      <c r="BW313" s="318">
        <v>0</v>
      </c>
      <c r="BX313" s="297">
        <f t="shared" si="95"/>
        <v>0.43</v>
      </c>
      <c r="BY313">
        <f t="shared" si="96"/>
        <v>0</v>
      </c>
      <c r="BZ313" s="303">
        <f t="shared" si="97"/>
        <v>0</v>
      </c>
      <c r="CB313" s="298">
        <v>0.6</v>
      </c>
      <c r="CC313" s="298">
        <v>0.4</v>
      </c>
      <c r="CD313">
        <f t="shared" si="98"/>
        <v>0</v>
      </c>
      <c r="CE313">
        <f t="shared" si="99"/>
        <v>0</v>
      </c>
      <c r="CF313">
        <f t="shared" si="100"/>
        <v>0</v>
      </c>
      <c r="CG313">
        <f t="shared" si="101"/>
        <v>0</v>
      </c>
      <c r="CH313">
        <f t="shared" si="102"/>
        <v>0</v>
      </c>
      <c r="CI313">
        <f t="shared" si="103"/>
        <v>0</v>
      </c>
      <c r="CJ313">
        <f t="shared" si="104"/>
        <v>0</v>
      </c>
      <c r="CK313">
        <f t="shared" si="105"/>
        <v>0</v>
      </c>
      <c r="CL313">
        <f t="shared" si="106"/>
        <v>0</v>
      </c>
      <c r="CM313">
        <f t="shared" si="108"/>
        <v>0</v>
      </c>
      <c r="CN313">
        <f t="shared" si="107"/>
        <v>0</v>
      </c>
      <c r="CO313">
        <f t="shared" si="91"/>
        <v>0</v>
      </c>
    </row>
    <row r="314" spans="1:93" s="12" customFormat="1" ht="14.45" customHeight="1" x14ac:dyDescent="0.25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10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+VLOOKUP(G314,Liste!$A$7:$G$69,3,FALSE)</f>
        <v>Pin sylvestre</v>
      </c>
      <c r="BI314" s="96" t="str">
        <f>+VLOOKUP(H314,Liste!$B$7:$G$69,5,FALSE)</f>
        <v>GS Pineraies des plaines du Centre et du Nord Ouest</v>
      </c>
      <c r="BJ314" s="135">
        <f t="shared" si="90"/>
        <v>52</v>
      </c>
      <c r="BK314" s="135" t="str">
        <f t="shared" si="92"/>
        <v>Pin sylvestre_F1_Eclaircie tardive_GS Pineraies des plaines du Centre et du Nord Ouest_52_</v>
      </c>
      <c r="BL314" s="319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97" t="str">
        <f>+VLOOKUP(G314,Liste!$A$7:$H$69,8,FALSE)</f>
        <v>Résineux</v>
      </c>
      <c r="BU314" s="297">
        <f t="shared" si="93"/>
        <v>0</v>
      </c>
      <c r="BV314" s="299">
        <f t="shared" si="94"/>
        <v>1</v>
      </c>
      <c r="BW314" s="318">
        <v>0</v>
      </c>
      <c r="BX314" s="297">
        <f t="shared" si="95"/>
        <v>0.43</v>
      </c>
      <c r="BY314">
        <f t="shared" si="96"/>
        <v>0</v>
      </c>
      <c r="BZ314" s="303">
        <f t="shared" si="97"/>
        <v>0</v>
      </c>
      <c r="CB314" s="298">
        <v>0.6</v>
      </c>
      <c r="CC314" s="298">
        <v>0.4</v>
      </c>
      <c r="CD314">
        <f t="shared" si="98"/>
        <v>0</v>
      </c>
      <c r="CE314">
        <f t="shared" si="99"/>
        <v>0</v>
      </c>
      <c r="CF314">
        <f t="shared" si="100"/>
        <v>0</v>
      </c>
      <c r="CG314">
        <f t="shared" si="101"/>
        <v>0</v>
      </c>
      <c r="CH314">
        <f t="shared" si="102"/>
        <v>0</v>
      </c>
      <c r="CI314">
        <f t="shared" si="103"/>
        <v>0</v>
      </c>
      <c r="CJ314">
        <f t="shared" si="104"/>
        <v>0</v>
      </c>
      <c r="CK314">
        <f t="shared" si="105"/>
        <v>0</v>
      </c>
      <c r="CL314">
        <f t="shared" si="106"/>
        <v>0</v>
      </c>
      <c r="CM314">
        <f t="shared" si="108"/>
        <v>0</v>
      </c>
      <c r="CN314">
        <f t="shared" si="107"/>
        <v>0</v>
      </c>
      <c r="CO314">
        <f t="shared" si="91"/>
        <v>0</v>
      </c>
    </row>
    <row r="315" spans="1:93" s="12" customFormat="1" ht="14.45" customHeight="1" x14ac:dyDescent="0.25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10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+VLOOKUP(G315,Liste!$A$7:$G$69,3,FALSE)</f>
        <v>Pin sylvestre</v>
      </c>
      <c r="BI315" s="96" t="str">
        <f>+VLOOKUP(H315,Liste!$B$7:$G$69,5,FALSE)</f>
        <v>GS Pineraies des plaines du Centre et du Nord Ouest</v>
      </c>
      <c r="BJ315" s="135">
        <f t="shared" si="90"/>
        <v>53</v>
      </c>
      <c r="BK315" s="135" t="str">
        <f t="shared" si="92"/>
        <v>Pin sylvestre_F1_Eclaircie tardive_GS Pineraies des plaines du Centre et du Nord Ouest_53_</v>
      </c>
      <c r="BL315" s="319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97" t="str">
        <f>+VLOOKUP(G315,Liste!$A$7:$H$69,8,FALSE)</f>
        <v>Résineux</v>
      </c>
      <c r="BU315" s="297">
        <f t="shared" si="93"/>
        <v>0</v>
      </c>
      <c r="BV315" s="299">
        <f t="shared" si="94"/>
        <v>1</v>
      </c>
      <c r="BW315" s="318">
        <v>0</v>
      </c>
      <c r="BX315" s="297">
        <f t="shared" si="95"/>
        <v>0.43</v>
      </c>
      <c r="BY315">
        <f t="shared" si="96"/>
        <v>0</v>
      </c>
      <c r="BZ315" s="303">
        <f t="shared" si="97"/>
        <v>0</v>
      </c>
      <c r="CB315" s="298">
        <v>0.6</v>
      </c>
      <c r="CC315" s="298">
        <v>0.4</v>
      </c>
      <c r="CD315">
        <f t="shared" si="98"/>
        <v>0</v>
      </c>
      <c r="CE315">
        <f t="shared" si="99"/>
        <v>0</v>
      </c>
      <c r="CF315">
        <f t="shared" si="100"/>
        <v>0</v>
      </c>
      <c r="CG315">
        <f t="shared" si="101"/>
        <v>0</v>
      </c>
      <c r="CH315">
        <f t="shared" si="102"/>
        <v>0</v>
      </c>
      <c r="CI315">
        <f t="shared" si="103"/>
        <v>0</v>
      </c>
      <c r="CJ315">
        <f t="shared" si="104"/>
        <v>0</v>
      </c>
      <c r="CK315">
        <f t="shared" si="105"/>
        <v>0</v>
      </c>
      <c r="CL315">
        <f t="shared" si="106"/>
        <v>0</v>
      </c>
      <c r="CM315">
        <f t="shared" si="108"/>
        <v>0</v>
      </c>
      <c r="CN315">
        <f t="shared" si="107"/>
        <v>0</v>
      </c>
      <c r="CO315">
        <f t="shared" si="91"/>
        <v>0</v>
      </c>
    </row>
    <row r="316" spans="1:93" s="12" customFormat="1" ht="14.45" customHeight="1" x14ac:dyDescent="0.25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10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+VLOOKUP(G316,Liste!$A$7:$G$69,3,FALSE)</f>
        <v>Pin sylvestre</v>
      </c>
      <c r="BI316" s="96" t="str">
        <f>+VLOOKUP(H316,Liste!$B$7:$G$69,5,FALSE)</f>
        <v>GS Pineraies des plaines du Centre et du Nord Ouest</v>
      </c>
      <c r="BJ316" s="135">
        <f t="shared" si="90"/>
        <v>54</v>
      </c>
      <c r="BK316" s="135" t="str">
        <f t="shared" si="92"/>
        <v>Pin sylvestre_F1_Eclaircie tardive_GS Pineraies des plaines du Centre et du Nord Ouest_54_</v>
      </c>
      <c r="BL316" s="319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97" t="str">
        <f>+VLOOKUP(G316,Liste!$A$7:$H$69,8,FALSE)</f>
        <v>Résineux</v>
      </c>
      <c r="BU316" s="297">
        <f t="shared" si="93"/>
        <v>0</v>
      </c>
      <c r="BV316" s="299">
        <f t="shared" si="94"/>
        <v>1</v>
      </c>
      <c r="BW316" s="318">
        <v>0</v>
      </c>
      <c r="BX316" s="297">
        <f t="shared" si="95"/>
        <v>0.43</v>
      </c>
      <c r="BY316">
        <f t="shared" si="96"/>
        <v>0</v>
      </c>
      <c r="BZ316" s="303">
        <f t="shared" si="97"/>
        <v>0</v>
      </c>
      <c r="CB316" s="298">
        <v>0.6</v>
      </c>
      <c r="CC316" s="298">
        <v>0.4</v>
      </c>
      <c r="CD316">
        <f t="shared" si="98"/>
        <v>0</v>
      </c>
      <c r="CE316">
        <f t="shared" si="99"/>
        <v>0</v>
      </c>
      <c r="CF316">
        <f t="shared" si="100"/>
        <v>0</v>
      </c>
      <c r="CG316">
        <f t="shared" si="101"/>
        <v>0</v>
      </c>
      <c r="CH316">
        <f t="shared" si="102"/>
        <v>0</v>
      </c>
      <c r="CI316">
        <f t="shared" si="103"/>
        <v>0</v>
      </c>
      <c r="CJ316">
        <f t="shared" si="104"/>
        <v>0</v>
      </c>
      <c r="CK316">
        <f t="shared" si="105"/>
        <v>0</v>
      </c>
      <c r="CL316">
        <f t="shared" si="106"/>
        <v>0</v>
      </c>
      <c r="CM316">
        <f t="shared" si="108"/>
        <v>0</v>
      </c>
      <c r="CN316">
        <f t="shared" si="107"/>
        <v>0</v>
      </c>
      <c r="CO316">
        <f t="shared" si="91"/>
        <v>0</v>
      </c>
    </row>
    <row r="317" spans="1:93" s="12" customFormat="1" ht="14.45" customHeight="1" x14ac:dyDescent="0.25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+VLOOKUP(G317,Liste!$A$7:$G$69,3,FALSE)</f>
        <v>Pin sylvestre</v>
      </c>
      <c r="BI317" s="96" t="str">
        <f>+VLOOKUP(H317,Liste!$B$7:$G$69,5,FALSE)</f>
        <v>GS Pineraies des plaines du Centre et du Nord Ouest</v>
      </c>
      <c r="BJ317" s="135">
        <f t="shared" si="90"/>
        <v>54</v>
      </c>
      <c r="BK317" s="135" t="str">
        <f t="shared" si="92"/>
        <v>Pin sylvestre_F1_Eclaircie tardive_GS Pineraies des plaines du Centre et du Nord Ouest_54_</v>
      </c>
      <c r="BL317" s="319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97" t="str">
        <f>+VLOOKUP(G317,Liste!$A$7:$H$69,8,FALSE)</f>
        <v>Résineux</v>
      </c>
      <c r="BU317" s="297">
        <f t="shared" si="93"/>
        <v>0</v>
      </c>
      <c r="BV317" s="299">
        <f t="shared" si="94"/>
        <v>1</v>
      </c>
      <c r="BW317" s="318">
        <v>0</v>
      </c>
      <c r="BX317" s="297">
        <f t="shared" si="95"/>
        <v>0.43</v>
      </c>
      <c r="BY317">
        <f t="shared" si="96"/>
        <v>0</v>
      </c>
      <c r="BZ317" s="303">
        <f t="shared" si="97"/>
        <v>0</v>
      </c>
      <c r="CB317" s="298">
        <v>0.6</v>
      </c>
      <c r="CC317" s="298">
        <v>0.4</v>
      </c>
      <c r="CD317">
        <f t="shared" si="98"/>
        <v>0</v>
      </c>
      <c r="CE317">
        <f t="shared" si="99"/>
        <v>0</v>
      </c>
      <c r="CF317">
        <f t="shared" si="100"/>
        <v>0</v>
      </c>
      <c r="CG317">
        <f t="shared" si="101"/>
        <v>0</v>
      </c>
      <c r="CH317">
        <f t="shared" si="102"/>
        <v>0</v>
      </c>
      <c r="CI317">
        <f t="shared" si="103"/>
        <v>0</v>
      </c>
      <c r="CJ317">
        <f t="shared" si="104"/>
        <v>0</v>
      </c>
      <c r="CK317">
        <f t="shared" si="105"/>
        <v>0</v>
      </c>
      <c r="CL317">
        <f t="shared" si="106"/>
        <v>0</v>
      </c>
      <c r="CM317">
        <f t="shared" si="108"/>
        <v>0</v>
      </c>
      <c r="CN317">
        <f t="shared" si="107"/>
        <v>0</v>
      </c>
      <c r="CO317">
        <f t="shared" si="91"/>
        <v>0</v>
      </c>
    </row>
    <row r="318" spans="1:93" s="12" customFormat="1" ht="14.45" customHeight="1" x14ac:dyDescent="0.25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10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+VLOOKUP(G318,Liste!$A$7:$G$69,3,FALSE)</f>
        <v>Pin sylvestre</v>
      </c>
      <c r="BI318" s="96" t="str">
        <f>+VLOOKUP(H318,Liste!$B$7:$G$69,5,FALSE)</f>
        <v>GS Pineraies des plaines du Centre et du Nord Ouest</v>
      </c>
      <c r="BJ318" s="135">
        <f t="shared" si="90"/>
        <v>55</v>
      </c>
      <c r="BK318" s="135" t="str">
        <f t="shared" si="92"/>
        <v>Pin sylvestre_F1_Eclaircie tardive_GS Pineraies des plaines du Centre et du Nord Ouest_55_</v>
      </c>
      <c r="BL318" s="319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97" t="str">
        <f>+VLOOKUP(G318,Liste!$A$7:$H$69,8,FALSE)</f>
        <v>Résineux</v>
      </c>
      <c r="BU318" s="297">
        <f t="shared" si="93"/>
        <v>0</v>
      </c>
      <c r="BV318" s="299">
        <f t="shared" si="94"/>
        <v>1</v>
      </c>
      <c r="BW318" s="318">
        <v>0</v>
      </c>
      <c r="BX318" s="297">
        <f t="shared" si="95"/>
        <v>0.43</v>
      </c>
      <c r="BY318">
        <f t="shared" si="96"/>
        <v>0</v>
      </c>
      <c r="BZ318" s="303">
        <f t="shared" si="97"/>
        <v>0</v>
      </c>
      <c r="CB318" s="298">
        <v>0.6</v>
      </c>
      <c r="CC318" s="298">
        <v>0.4</v>
      </c>
      <c r="CD318">
        <f t="shared" si="98"/>
        <v>0</v>
      </c>
      <c r="CE318">
        <f t="shared" si="99"/>
        <v>0</v>
      </c>
      <c r="CF318">
        <f t="shared" si="100"/>
        <v>0</v>
      </c>
      <c r="CG318">
        <f t="shared" si="101"/>
        <v>0</v>
      </c>
      <c r="CH318">
        <f t="shared" si="102"/>
        <v>0</v>
      </c>
      <c r="CI318">
        <f t="shared" si="103"/>
        <v>0</v>
      </c>
      <c r="CJ318">
        <f t="shared" si="104"/>
        <v>0</v>
      </c>
      <c r="CK318">
        <f t="shared" si="105"/>
        <v>0</v>
      </c>
      <c r="CL318">
        <f t="shared" si="106"/>
        <v>0</v>
      </c>
      <c r="CM318">
        <f t="shared" si="108"/>
        <v>0</v>
      </c>
      <c r="CN318">
        <f t="shared" si="107"/>
        <v>0</v>
      </c>
      <c r="CO318">
        <f t="shared" si="91"/>
        <v>0</v>
      </c>
    </row>
    <row r="319" spans="1:93" s="12" customFormat="1" ht="14.45" customHeight="1" x14ac:dyDescent="0.25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10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+VLOOKUP(G319,Liste!$A$7:$G$69,3,FALSE)</f>
        <v>Pin sylvestre</v>
      </c>
      <c r="BI319" s="96" t="str">
        <f>+VLOOKUP(H319,Liste!$B$7:$G$69,5,FALSE)</f>
        <v>GS Pineraies des plaines du Centre et du Nord Ouest</v>
      </c>
      <c r="BJ319" s="135">
        <f t="shared" si="90"/>
        <v>56</v>
      </c>
      <c r="BK319" s="135" t="str">
        <f t="shared" si="92"/>
        <v>Pin sylvestre_F1_Eclaircie tardive_GS Pineraies des plaines du Centre et du Nord Ouest_56_</v>
      </c>
      <c r="BL319" s="319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97" t="str">
        <f>+VLOOKUP(G319,Liste!$A$7:$H$69,8,FALSE)</f>
        <v>Résineux</v>
      </c>
      <c r="BU319" s="297">
        <f t="shared" si="93"/>
        <v>0</v>
      </c>
      <c r="BV319" s="299">
        <f t="shared" si="94"/>
        <v>1</v>
      </c>
      <c r="BW319" s="318">
        <v>0</v>
      </c>
      <c r="BX319" s="297">
        <f t="shared" si="95"/>
        <v>0.43</v>
      </c>
      <c r="BY319">
        <f t="shared" si="96"/>
        <v>0</v>
      </c>
      <c r="BZ319" s="303">
        <f t="shared" si="97"/>
        <v>0</v>
      </c>
      <c r="CB319" s="298">
        <v>0.6</v>
      </c>
      <c r="CC319" s="298">
        <v>0.4</v>
      </c>
      <c r="CD319">
        <f t="shared" si="98"/>
        <v>0</v>
      </c>
      <c r="CE319">
        <f t="shared" si="99"/>
        <v>0</v>
      </c>
      <c r="CF319">
        <f t="shared" si="100"/>
        <v>0</v>
      </c>
      <c r="CG319">
        <f t="shared" si="101"/>
        <v>0</v>
      </c>
      <c r="CH319">
        <f t="shared" si="102"/>
        <v>0</v>
      </c>
      <c r="CI319">
        <f t="shared" si="103"/>
        <v>0</v>
      </c>
      <c r="CJ319">
        <f t="shared" si="104"/>
        <v>0</v>
      </c>
      <c r="CK319">
        <f t="shared" si="105"/>
        <v>0</v>
      </c>
      <c r="CL319">
        <f t="shared" si="106"/>
        <v>0</v>
      </c>
      <c r="CM319">
        <f t="shared" si="108"/>
        <v>0</v>
      </c>
      <c r="CN319">
        <f t="shared" si="107"/>
        <v>0</v>
      </c>
      <c r="CO319">
        <f t="shared" si="91"/>
        <v>0</v>
      </c>
    </row>
    <row r="320" spans="1:93" s="12" customFormat="1" ht="14.45" customHeight="1" x14ac:dyDescent="0.25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10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+VLOOKUP(G320,Liste!$A$7:$G$69,3,FALSE)</f>
        <v>Pin sylvestre</v>
      </c>
      <c r="BI320" s="96" t="str">
        <f>+VLOOKUP(H320,Liste!$B$7:$G$69,5,FALSE)</f>
        <v>GS Pineraies des plaines du Centre et du Nord Ouest</v>
      </c>
      <c r="BJ320" s="135">
        <f t="shared" si="90"/>
        <v>57</v>
      </c>
      <c r="BK320" s="135" t="str">
        <f t="shared" si="92"/>
        <v>Pin sylvestre_F1_Eclaircie tardive_GS Pineraies des plaines du Centre et du Nord Ouest_57_</v>
      </c>
      <c r="BL320" s="319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97" t="str">
        <f>+VLOOKUP(G320,Liste!$A$7:$H$69,8,FALSE)</f>
        <v>Résineux</v>
      </c>
      <c r="BU320" s="297">
        <f t="shared" si="93"/>
        <v>0</v>
      </c>
      <c r="BV320" s="299">
        <f t="shared" si="94"/>
        <v>1</v>
      </c>
      <c r="BW320" s="318">
        <v>0</v>
      </c>
      <c r="BX320" s="297">
        <f t="shared" si="95"/>
        <v>0.43</v>
      </c>
      <c r="BY320">
        <f t="shared" si="96"/>
        <v>0</v>
      </c>
      <c r="BZ320" s="303">
        <f t="shared" si="97"/>
        <v>0</v>
      </c>
      <c r="CB320" s="298">
        <v>0.6</v>
      </c>
      <c r="CC320" s="298">
        <v>0.4</v>
      </c>
      <c r="CD320">
        <f t="shared" si="98"/>
        <v>0</v>
      </c>
      <c r="CE320">
        <f t="shared" si="99"/>
        <v>0</v>
      </c>
      <c r="CF320">
        <f t="shared" si="100"/>
        <v>0</v>
      </c>
      <c r="CG320">
        <f t="shared" si="101"/>
        <v>0</v>
      </c>
      <c r="CH320">
        <f t="shared" si="102"/>
        <v>0</v>
      </c>
      <c r="CI320">
        <f t="shared" si="103"/>
        <v>0</v>
      </c>
      <c r="CJ320">
        <f t="shared" si="104"/>
        <v>0</v>
      </c>
      <c r="CK320">
        <f t="shared" si="105"/>
        <v>0</v>
      </c>
      <c r="CL320">
        <f t="shared" si="106"/>
        <v>0</v>
      </c>
      <c r="CM320">
        <f t="shared" si="108"/>
        <v>0</v>
      </c>
      <c r="CN320">
        <f t="shared" si="107"/>
        <v>0</v>
      </c>
      <c r="CO320">
        <f t="shared" si="91"/>
        <v>0</v>
      </c>
    </row>
    <row r="321" spans="1:93" s="12" customFormat="1" ht="14.45" customHeight="1" x14ac:dyDescent="0.25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10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+VLOOKUP(G321,Liste!$A$7:$G$69,3,FALSE)</f>
        <v>Pin sylvestre</v>
      </c>
      <c r="BI321" s="96" t="str">
        <f>+VLOOKUP(H321,Liste!$B$7:$G$69,5,FALSE)</f>
        <v>GS Pineraies des plaines du Centre et du Nord Ouest</v>
      </c>
      <c r="BJ321" s="135">
        <f t="shared" si="90"/>
        <v>58</v>
      </c>
      <c r="BK321" s="135" t="str">
        <f t="shared" si="92"/>
        <v>Pin sylvestre_F1_Eclaircie tardive_GS Pineraies des plaines du Centre et du Nord Ouest_58_</v>
      </c>
      <c r="BL321" s="319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97" t="str">
        <f>+VLOOKUP(G321,Liste!$A$7:$H$69,8,FALSE)</f>
        <v>Résineux</v>
      </c>
      <c r="BU321" s="297">
        <f t="shared" si="93"/>
        <v>0</v>
      </c>
      <c r="BV321" s="299">
        <f t="shared" si="94"/>
        <v>1</v>
      </c>
      <c r="BW321" s="318">
        <v>0</v>
      </c>
      <c r="BX321" s="297">
        <f t="shared" si="95"/>
        <v>0.43</v>
      </c>
      <c r="BY321">
        <f t="shared" si="96"/>
        <v>0</v>
      </c>
      <c r="BZ321" s="303">
        <f t="shared" si="97"/>
        <v>0</v>
      </c>
      <c r="CB321" s="298">
        <v>0.6</v>
      </c>
      <c r="CC321" s="298">
        <v>0.4</v>
      </c>
      <c r="CD321">
        <f t="shared" si="98"/>
        <v>0</v>
      </c>
      <c r="CE321">
        <f t="shared" si="99"/>
        <v>0</v>
      </c>
      <c r="CF321">
        <f t="shared" si="100"/>
        <v>0</v>
      </c>
      <c r="CG321">
        <f t="shared" si="101"/>
        <v>0</v>
      </c>
      <c r="CH321">
        <f t="shared" si="102"/>
        <v>0</v>
      </c>
      <c r="CI321">
        <f t="shared" si="103"/>
        <v>0</v>
      </c>
      <c r="CJ321">
        <f t="shared" si="104"/>
        <v>0</v>
      </c>
      <c r="CK321">
        <f t="shared" si="105"/>
        <v>0</v>
      </c>
      <c r="CL321">
        <f t="shared" si="106"/>
        <v>0</v>
      </c>
      <c r="CM321">
        <f t="shared" si="108"/>
        <v>0</v>
      </c>
      <c r="CN321">
        <f t="shared" si="107"/>
        <v>0</v>
      </c>
      <c r="CO321">
        <f t="shared" si="91"/>
        <v>0</v>
      </c>
    </row>
    <row r="322" spans="1:93" s="12" customFormat="1" ht="14.45" customHeight="1" x14ac:dyDescent="0.25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10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+VLOOKUP(G322,Liste!$A$7:$G$69,3,FALSE)</f>
        <v>Pin sylvestre</v>
      </c>
      <c r="BI322" s="96" t="str">
        <f>+VLOOKUP(H322,Liste!$B$7:$G$69,5,FALSE)</f>
        <v>GS Pineraies des plaines du Centre et du Nord Ouest</v>
      </c>
      <c r="BJ322" s="135">
        <f t="shared" si="90"/>
        <v>59</v>
      </c>
      <c r="BK322" s="135" t="str">
        <f t="shared" si="92"/>
        <v>Pin sylvestre_F1_Eclaircie tardive_GS Pineraies des plaines du Centre et du Nord Ouest_59_</v>
      </c>
      <c r="BL322" s="319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97" t="str">
        <f>+VLOOKUP(G322,Liste!$A$7:$H$69,8,FALSE)</f>
        <v>Résineux</v>
      </c>
      <c r="BU322" s="297">
        <f t="shared" si="93"/>
        <v>0</v>
      </c>
      <c r="BV322" s="299">
        <f t="shared" si="94"/>
        <v>1</v>
      </c>
      <c r="BW322" s="318">
        <v>0</v>
      </c>
      <c r="BX322" s="297">
        <f t="shared" si="95"/>
        <v>0.43</v>
      </c>
      <c r="BY322">
        <f t="shared" si="96"/>
        <v>0</v>
      </c>
      <c r="BZ322" s="303">
        <f t="shared" si="97"/>
        <v>0</v>
      </c>
      <c r="CB322" s="298">
        <v>0.6</v>
      </c>
      <c r="CC322" s="298">
        <v>0.4</v>
      </c>
      <c r="CD322">
        <f t="shared" si="98"/>
        <v>0</v>
      </c>
      <c r="CE322">
        <f t="shared" si="99"/>
        <v>0</v>
      </c>
      <c r="CF322">
        <f t="shared" si="100"/>
        <v>0</v>
      </c>
      <c r="CG322">
        <f t="shared" si="101"/>
        <v>0</v>
      </c>
      <c r="CH322">
        <f t="shared" si="102"/>
        <v>0</v>
      </c>
      <c r="CI322">
        <f t="shared" si="103"/>
        <v>0</v>
      </c>
      <c r="CJ322">
        <f t="shared" si="104"/>
        <v>0</v>
      </c>
      <c r="CK322">
        <f t="shared" si="105"/>
        <v>0</v>
      </c>
      <c r="CL322">
        <f t="shared" si="106"/>
        <v>0</v>
      </c>
      <c r="CM322">
        <f t="shared" si="108"/>
        <v>0</v>
      </c>
      <c r="CN322">
        <f t="shared" si="107"/>
        <v>0</v>
      </c>
      <c r="CO322">
        <f t="shared" si="91"/>
        <v>0</v>
      </c>
    </row>
    <row r="323" spans="1:93" s="12" customFormat="1" ht="14.45" customHeight="1" x14ac:dyDescent="0.25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10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+VLOOKUP(G323,Liste!$A$7:$G$69,3,FALSE)</f>
        <v>Pin sylvestre</v>
      </c>
      <c r="BI323" s="96" t="str">
        <f>+VLOOKUP(H323,Liste!$B$7:$G$69,5,FALSE)</f>
        <v>GS Pineraies des plaines du Centre et du Nord Ouest</v>
      </c>
      <c r="BJ323" s="135">
        <f t="shared" ref="BJ323:BJ386" si="109">+AC323</f>
        <v>60</v>
      </c>
      <c r="BK323" s="135" t="str">
        <f t="shared" si="92"/>
        <v>Pin sylvestre_F1_Eclaircie tardive_GS Pineraies des plaines du Centre et du Nord Ouest_60_</v>
      </c>
      <c r="BL323" s="319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97" t="str">
        <f>+VLOOKUP(G323,Liste!$A$7:$H$69,8,FALSE)</f>
        <v>Résineux</v>
      </c>
      <c r="BU323" s="297">
        <f t="shared" si="93"/>
        <v>0</v>
      </c>
      <c r="BV323" s="299">
        <f t="shared" si="94"/>
        <v>1</v>
      </c>
      <c r="BW323" s="318">
        <v>0</v>
      </c>
      <c r="BX323" s="297">
        <f t="shared" si="95"/>
        <v>0.43</v>
      </c>
      <c r="BY323">
        <f t="shared" si="96"/>
        <v>0</v>
      </c>
      <c r="BZ323" s="303">
        <f t="shared" si="97"/>
        <v>0</v>
      </c>
      <c r="CB323" s="298">
        <v>0.6</v>
      </c>
      <c r="CC323" s="298">
        <v>0.4</v>
      </c>
      <c r="CD323">
        <f t="shared" si="98"/>
        <v>0</v>
      </c>
      <c r="CE323">
        <f t="shared" si="99"/>
        <v>0</v>
      </c>
      <c r="CF323">
        <f t="shared" si="100"/>
        <v>0</v>
      </c>
      <c r="CG323">
        <f t="shared" si="101"/>
        <v>0</v>
      </c>
      <c r="CH323">
        <f t="shared" si="102"/>
        <v>0</v>
      </c>
      <c r="CI323">
        <f t="shared" si="103"/>
        <v>0</v>
      </c>
      <c r="CJ323">
        <f t="shared" si="104"/>
        <v>0</v>
      </c>
      <c r="CK323">
        <f t="shared" si="105"/>
        <v>0</v>
      </c>
      <c r="CL323">
        <f t="shared" si="106"/>
        <v>0</v>
      </c>
      <c r="CM323">
        <f t="shared" si="108"/>
        <v>0</v>
      </c>
      <c r="CN323">
        <f t="shared" si="107"/>
        <v>0</v>
      </c>
      <c r="CO323">
        <f t="shared" ref="CO323:CO386" si="110">+IF(BJ323=30,CN323/30,0)</f>
        <v>0</v>
      </c>
    </row>
    <row r="324" spans="1:93" s="12" customFormat="1" ht="14.45" customHeight="1" x14ac:dyDescent="0.25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10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+VLOOKUP(G324,Liste!$A$7:$G$69,3,FALSE)</f>
        <v>Pin sylvestre</v>
      </c>
      <c r="BI324" s="96" t="str">
        <f>+VLOOKUP(H324,Liste!$B$7:$G$69,5,FALSE)</f>
        <v>GS Pineraies des plaines du Centre et du Nord Ouest</v>
      </c>
      <c r="BJ324" s="135">
        <f t="shared" si="109"/>
        <v>61</v>
      </c>
      <c r="BK324" s="135" t="str">
        <f t="shared" ref="BK324:BK387" si="111">+_xlfn.CONCAT(BH324,"_",J324,"_",I324,"_",BI324,"_",BJ324,"_")</f>
        <v>Pin sylvestre_F1_Eclaircie tardive_GS Pineraies des plaines du Centre et du Nord Ouest_61_</v>
      </c>
      <c r="BL324" s="319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97" t="str">
        <f>+VLOOKUP(G324,Liste!$A$7:$H$69,8,FALSE)</f>
        <v>Résineux</v>
      </c>
      <c r="BU324" s="297">
        <f t="shared" ref="BU324:BU387" si="112">IF(BT324="Résineux",0%,100%)</f>
        <v>0</v>
      </c>
      <c r="BV324" s="299">
        <f t="shared" ref="BV324:BV387" si="113">+IF(BT324="Résineux",100%,0%)</f>
        <v>1</v>
      </c>
      <c r="BW324" s="318">
        <v>0</v>
      </c>
      <c r="BX324" s="297">
        <f t="shared" ref="BX324:BX387" si="114">+IF(BV324&lt;&gt;0,0.43,0.25)</f>
        <v>0.43</v>
      </c>
      <c r="BY324">
        <f t="shared" ref="BY324:BY387" si="115">+IF(BJ324&lt;=30,AV324*BX324,0)</f>
        <v>0</v>
      </c>
      <c r="BZ324" s="303">
        <f t="shared" ref="BZ324:BZ387" si="116">+IF(BJ324&gt;=31,0,BY324+BZ323)</f>
        <v>0</v>
      </c>
      <c r="CB324" s="298">
        <v>0.6</v>
      </c>
      <c r="CC324" s="298">
        <v>0.4</v>
      </c>
      <c r="CD324">
        <f t="shared" ref="CD324:CD387" si="117">+IF(BJ324&lt;=31,AV324*CA324*0.5,0)</f>
        <v>0</v>
      </c>
      <c r="CE324">
        <f t="shared" ref="CE324:CE387" si="118">IF(BJ324&lt;=31,AV324*CB324,0)</f>
        <v>0</v>
      </c>
      <c r="CF324">
        <f t="shared" ref="CF324:CF387" si="119">IF(BJ324&lt;=31,AV324*CC324,0)</f>
        <v>0</v>
      </c>
      <c r="CG324">
        <f t="shared" ref="CG324:CG387" si="120">CD324*44/12*0.475*BF324</f>
        <v>0</v>
      </c>
      <c r="CH324">
        <f t="shared" ref="CH324:CH387" si="121">CE324*44/12*0.475*BF324</f>
        <v>0</v>
      </c>
      <c r="CI324">
        <f t="shared" ref="CI324:CI387" si="122">CF324*44/12*0.475*BF324</f>
        <v>0</v>
      </c>
      <c r="CJ324">
        <f t="shared" ref="CJ324:CJ387" si="123">+IF(BJ324&lt;=31,CJ323*EXP(-$CJ$1)+CG323*(1-EXP(-$CJ$1))/$CJ$1,0)</f>
        <v>0</v>
      </c>
      <c r="CK324">
        <f t="shared" ref="CK324:CK387" si="124">+IF(BJ324&lt;=31,CK323*EXP(-$CK$1)+CH323*(1-EXP(-$CK$1))/$CK$1,0)</f>
        <v>0</v>
      </c>
      <c r="CL324">
        <f t="shared" ref="CL324:CL387" si="125">+IF(BJ324&lt;=31,CL323*EXP(-$CL$1)+CI323*(1-EXP(-$CL$1))/$CL$1,0)</f>
        <v>0</v>
      </c>
      <c r="CM324">
        <f t="shared" si="108"/>
        <v>0</v>
      </c>
      <c r="CN324">
        <f t="shared" ref="CN324:CN387" si="126">+IF(BJ324&lt;=31,CM324+CN323,0)</f>
        <v>0</v>
      </c>
      <c r="CO324">
        <f t="shared" si="110"/>
        <v>0</v>
      </c>
    </row>
    <row r="325" spans="1:93" s="12" customFormat="1" ht="14.45" customHeight="1" x14ac:dyDescent="0.25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10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+VLOOKUP(G325,Liste!$A$7:$G$69,3,FALSE)</f>
        <v>Pin sylvestre</v>
      </c>
      <c r="BI325" s="96" t="str">
        <f>+VLOOKUP(H325,Liste!$B$7:$G$69,5,FALSE)</f>
        <v>GS Pineraies des plaines du Centre et du Nord Ouest</v>
      </c>
      <c r="BJ325" s="135">
        <f t="shared" si="109"/>
        <v>62</v>
      </c>
      <c r="BK325" s="135" t="str">
        <f t="shared" si="111"/>
        <v>Pin sylvestre_F1_Eclaircie tardive_GS Pineraies des plaines du Centre et du Nord Ouest_62_</v>
      </c>
      <c r="BL325" s="319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97" t="str">
        <f>+VLOOKUP(G325,Liste!$A$7:$H$69,8,FALSE)</f>
        <v>Résineux</v>
      </c>
      <c r="BU325" s="297">
        <f t="shared" si="112"/>
        <v>0</v>
      </c>
      <c r="BV325" s="299">
        <f t="shared" si="113"/>
        <v>1</v>
      </c>
      <c r="BW325" s="318">
        <v>0</v>
      </c>
      <c r="BX325" s="297">
        <f t="shared" si="114"/>
        <v>0.43</v>
      </c>
      <c r="BY325">
        <f t="shared" si="115"/>
        <v>0</v>
      </c>
      <c r="BZ325" s="303">
        <f t="shared" si="116"/>
        <v>0</v>
      </c>
      <c r="CB325" s="298">
        <v>0.6</v>
      </c>
      <c r="CC325" s="298">
        <v>0.4</v>
      </c>
      <c r="CD325">
        <f t="shared" si="117"/>
        <v>0</v>
      </c>
      <c r="CE325">
        <f t="shared" si="118"/>
        <v>0</v>
      </c>
      <c r="CF325">
        <f t="shared" si="119"/>
        <v>0</v>
      </c>
      <c r="CG325">
        <f t="shared" si="120"/>
        <v>0</v>
      </c>
      <c r="CH325">
        <f t="shared" si="121"/>
        <v>0</v>
      </c>
      <c r="CI325">
        <f t="shared" si="122"/>
        <v>0</v>
      </c>
      <c r="CJ325">
        <f t="shared" si="123"/>
        <v>0</v>
      </c>
      <c r="CK325">
        <f t="shared" si="124"/>
        <v>0</v>
      </c>
      <c r="CL325">
        <f t="shared" si="125"/>
        <v>0</v>
      </c>
      <c r="CM325">
        <f t="shared" ref="CM325:CM388" si="127">+CJ325+CK325+CL325</f>
        <v>0</v>
      </c>
      <c r="CN325">
        <f t="shared" si="126"/>
        <v>0</v>
      </c>
      <c r="CO325">
        <f t="shared" si="110"/>
        <v>0</v>
      </c>
    </row>
    <row r="326" spans="1:93" s="12" customFormat="1" ht="14.45" customHeight="1" x14ac:dyDescent="0.25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10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+VLOOKUP(G326,Liste!$A$7:$G$69,3,FALSE)</f>
        <v>Pin sylvestre</v>
      </c>
      <c r="BI326" s="96" t="str">
        <f>+VLOOKUP(H326,Liste!$B$7:$G$69,5,FALSE)</f>
        <v>GS Pineraies des plaines du Centre et du Nord Ouest</v>
      </c>
      <c r="BJ326" s="135">
        <f t="shared" si="109"/>
        <v>63</v>
      </c>
      <c r="BK326" s="135" t="str">
        <f t="shared" si="111"/>
        <v>Pin sylvestre_F1_Eclaircie tardive_GS Pineraies des plaines du Centre et du Nord Ouest_63_</v>
      </c>
      <c r="BL326" s="319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97" t="str">
        <f>+VLOOKUP(G326,Liste!$A$7:$H$69,8,FALSE)</f>
        <v>Résineux</v>
      </c>
      <c r="BU326" s="297">
        <f t="shared" si="112"/>
        <v>0</v>
      </c>
      <c r="BV326" s="299">
        <f t="shared" si="113"/>
        <v>1</v>
      </c>
      <c r="BW326" s="318">
        <v>0</v>
      </c>
      <c r="BX326" s="297">
        <f t="shared" si="114"/>
        <v>0.43</v>
      </c>
      <c r="BY326">
        <f t="shared" si="115"/>
        <v>0</v>
      </c>
      <c r="BZ326" s="303">
        <f t="shared" si="116"/>
        <v>0</v>
      </c>
      <c r="CB326" s="298">
        <v>0.6</v>
      </c>
      <c r="CC326" s="298">
        <v>0.4</v>
      </c>
      <c r="CD326">
        <f t="shared" si="117"/>
        <v>0</v>
      </c>
      <c r="CE326">
        <f t="shared" si="118"/>
        <v>0</v>
      </c>
      <c r="CF326">
        <f t="shared" si="119"/>
        <v>0</v>
      </c>
      <c r="CG326">
        <f t="shared" si="120"/>
        <v>0</v>
      </c>
      <c r="CH326">
        <f t="shared" si="121"/>
        <v>0</v>
      </c>
      <c r="CI326">
        <f t="shared" si="122"/>
        <v>0</v>
      </c>
      <c r="CJ326">
        <f t="shared" si="123"/>
        <v>0</v>
      </c>
      <c r="CK326">
        <f t="shared" si="124"/>
        <v>0</v>
      </c>
      <c r="CL326">
        <f t="shared" si="125"/>
        <v>0</v>
      </c>
      <c r="CM326">
        <f t="shared" si="127"/>
        <v>0</v>
      </c>
      <c r="CN326">
        <f t="shared" si="126"/>
        <v>0</v>
      </c>
      <c r="CO326">
        <f t="shared" si="110"/>
        <v>0</v>
      </c>
    </row>
    <row r="327" spans="1:93" s="12" customFormat="1" ht="14.45" customHeight="1" x14ac:dyDescent="0.25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+VLOOKUP(G327,Liste!$A$7:$G$69,3,FALSE)</f>
        <v>Pin sylvestre</v>
      </c>
      <c r="BI327" s="96" t="str">
        <f>+VLOOKUP(H327,Liste!$B$7:$G$69,5,FALSE)</f>
        <v>GS Pineraies des plaines du Centre et du Nord Ouest</v>
      </c>
      <c r="BJ327" s="135">
        <f t="shared" si="109"/>
        <v>63</v>
      </c>
      <c r="BK327" s="135" t="str">
        <f t="shared" si="111"/>
        <v>Pin sylvestre_F1_Eclaircie tardive_GS Pineraies des plaines du Centre et du Nord Ouest_63_</v>
      </c>
      <c r="BL327" s="319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97" t="str">
        <f>+VLOOKUP(G327,Liste!$A$7:$H$69,8,FALSE)</f>
        <v>Résineux</v>
      </c>
      <c r="BU327" s="297">
        <f t="shared" si="112"/>
        <v>0</v>
      </c>
      <c r="BV327" s="299">
        <f t="shared" si="113"/>
        <v>1</v>
      </c>
      <c r="BW327" s="318">
        <v>0</v>
      </c>
      <c r="BX327" s="297">
        <f t="shared" si="114"/>
        <v>0.43</v>
      </c>
      <c r="BY327">
        <f t="shared" si="115"/>
        <v>0</v>
      </c>
      <c r="BZ327" s="303">
        <f t="shared" si="116"/>
        <v>0</v>
      </c>
      <c r="CB327" s="298">
        <v>0.6</v>
      </c>
      <c r="CC327" s="298">
        <v>0.4</v>
      </c>
      <c r="CD327">
        <f t="shared" si="117"/>
        <v>0</v>
      </c>
      <c r="CE327">
        <f t="shared" si="118"/>
        <v>0</v>
      </c>
      <c r="CF327">
        <f t="shared" si="119"/>
        <v>0</v>
      </c>
      <c r="CG327">
        <f t="shared" si="120"/>
        <v>0</v>
      </c>
      <c r="CH327">
        <f t="shared" si="121"/>
        <v>0</v>
      </c>
      <c r="CI327">
        <f t="shared" si="122"/>
        <v>0</v>
      </c>
      <c r="CJ327">
        <f t="shared" si="123"/>
        <v>0</v>
      </c>
      <c r="CK327">
        <f t="shared" si="124"/>
        <v>0</v>
      </c>
      <c r="CL327">
        <f t="shared" si="125"/>
        <v>0</v>
      </c>
      <c r="CM327">
        <f t="shared" si="127"/>
        <v>0</v>
      </c>
      <c r="CN327">
        <f t="shared" si="126"/>
        <v>0</v>
      </c>
      <c r="CO327">
        <f t="shared" si="110"/>
        <v>0</v>
      </c>
    </row>
    <row r="328" spans="1:93" s="12" customFormat="1" ht="14.45" customHeight="1" x14ac:dyDescent="0.25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10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+VLOOKUP(G328,Liste!$A$7:$G$69,3,FALSE)</f>
        <v>Pin sylvestre</v>
      </c>
      <c r="BI328" s="96" t="str">
        <f>+VLOOKUP(H328,Liste!$B$7:$G$69,5,FALSE)</f>
        <v>GS Pineraies des plaines du Centre et du Nord Ouest</v>
      </c>
      <c r="BJ328" s="135">
        <f t="shared" si="109"/>
        <v>64</v>
      </c>
      <c r="BK328" s="135" t="str">
        <f t="shared" si="111"/>
        <v>Pin sylvestre_F1_Eclaircie tardive_GS Pineraies des plaines du Centre et du Nord Ouest_64_</v>
      </c>
      <c r="BL328" s="319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97" t="str">
        <f>+VLOOKUP(G328,Liste!$A$7:$H$69,8,FALSE)</f>
        <v>Résineux</v>
      </c>
      <c r="BU328" s="297">
        <f t="shared" si="112"/>
        <v>0</v>
      </c>
      <c r="BV328" s="299">
        <f t="shared" si="113"/>
        <v>1</v>
      </c>
      <c r="BW328" s="318">
        <v>0</v>
      </c>
      <c r="BX328" s="297">
        <f t="shared" si="114"/>
        <v>0.43</v>
      </c>
      <c r="BY328">
        <f t="shared" si="115"/>
        <v>0</v>
      </c>
      <c r="BZ328" s="303">
        <f t="shared" si="116"/>
        <v>0</v>
      </c>
      <c r="CB328" s="298">
        <v>0.6</v>
      </c>
      <c r="CC328" s="298">
        <v>0.4</v>
      </c>
      <c r="CD328">
        <f t="shared" si="117"/>
        <v>0</v>
      </c>
      <c r="CE328">
        <f t="shared" si="118"/>
        <v>0</v>
      </c>
      <c r="CF328">
        <f t="shared" si="119"/>
        <v>0</v>
      </c>
      <c r="CG328">
        <f t="shared" si="120"/>
        <v>0</v>
      </c>
      <c r="CH328">
        <f t="shared" si="121"/>
        <v>0</v>
      </c>
      <c r="CI328">
        <f t="shared" si="122"/>
        <v>0</v>
      </c>
      <c r="CJ328">
        <f t="shared" si="123"/>
        <v>0</v>
      </c>
      <c r="CK328">
        <f t="shared" si="124"/>
        <v>0</v>
      </c>
      <c r="CL328">
        <f t="shared" si="125"/>
        <v>0</v>
      </c>
      <c r="CM328">
        <f t="shared" si="127"/>
        <v>0</v>
      </c>
      <c r="CN328">
        <f t="shared" si="126"/>
        <v>0</v>
      </c>
      <c r="CO328">
        <f t="shared" si="110"/>
        <v>0</v>
      </c>
    </row>
    <row r="329" spans="1:93" s="12" customFormat="1" ht="14.45" customHeight="1" x14ac:dyDescent="0.25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10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+VLOOKUP(G329,Liste!$A$7:$G$69,3,FALSE)</f>
        <v>Pin sylvestre</v>
      </c>
      <c r="BI329" s="96" t="str">
        <f>+VLOOKUP(H329,Liste!$B$7:$G$69,5,FALSE)</f>
        <v>GS Pineraies des plaines du Centre et du Nord Ouest</v>
      </c>
      <c r="BJ329" s="135">
        <f t="shared" si="109"/>
        <v>65</v>
      </c>
      <c r="BK329" s="135" t="str">
        <f t="shared" si="111"/>
        <v>Pin sylvestre_F1_Eclaircie tardive_GS Pineraies des plaines du Centre et du Nord Ouest_65_</v>
      </c>
      <c r="BL329" s="319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97" t="str">
        <f>+VLOOKUP(G329,Liste!$A$7:$H$69,8,FALSE)</f>
        <v>Résineux</v>
      </c>
      <c r="BU329" s="297">
        <f t="shared" si="112"/>
        <v>0</v>
      </c>
      <c r="BV329" s="299">
        <f t="shared" si="113"/>
        <v>1</v>
      </c>
      <c r="BW329" s="318">
        <v>0</v>
      </c>
      <c r="BX329" s="297">
        <f t="shared" si="114"/>
        <v>0.43</v>
      </c>
      <c r="BY329">
        <f t="shared" si="115"/>
        <v>0</v>
      </c>
      <c r="BZ329" s="303">
        <f t="shared" si="116"/>
        <v>0</v>
      </c>
      <c r="CB329" s="298">
        <v>0.6</v>
      </c>
      <c r="CC329" s="298">
        <v>0.4</v>
      </c>
      <c r="CD329">
        <f t="shared" si="117"/>
        <v>0</v>
      </c>
      <c r="CE329">
        <f t="shared" si="118"/>
        <v>0</v>
      </c>
      <c r="CF329">
        <f t="shared" si="119"/>
        <v>0</v>
      </c>
      <c r="CG329">
        <f t="shared" si="120"/>
        <v>0</v>
      </c>
      <c r="CH329">
        <f t="shared" si="121"/>
        <v>0</v>
      </c>
      <c r="CI329">
        <f t="shared" si="122"/>
        <v>0</v>
      </c>
      <c r="CJ329">
        <f t="shared" si="123"/>
        <v>0</v>
      </c>
      <c r="CK329">
        <f t="shared" si="124"/>
        <v>0</v>
      </c>
      <c r="CL329">
        <f t="shared" si="125"/>
        <v>0</v>
      </c>
      <c r="CM329">
        <f t="shared" si="127"/>
        <v>0</v>
      </c>
      <c r="CN329">
        <f t="shared" si="126"/>
        <v>0</v>
      </c>
      <c r="CO329">
        <f t="shared" si="110"/>
        <v>0</v>
      </c>
    </row>
    <row r="330" spans="1:93" s="12" customFormat="1" ht="14.45" customHeight="1" x14ac:dyDescent="0.25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10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+VLOOKUP(G330,Liste!$A$7:$G$69,3,FALSE)</f>
        <v>Pin sylvestre</v>
      </c>
      <c r="BI330" s="96" t="str">
        <f>+VLOOKUP(H330,Liste!$B$7:$G$69,5,FALSE)</f>
        <v>GS Pineraies des plaines du Centre et du Nord Ouest</v>
      </c>
      <c r="BJ330" s="135">
        <f t="shared" si="109"/>
        <v>66</v>
      </c>
      <c r="BK330" s="135" t="str">
        <f t="shared" si="111"/>
        <v>Pin sylvestre_F1_Eclaircie tardive_GS Pineraies des plaines du Centre et du Nord Ouest_66_</v>
      </c>
      <c r="BL330" s="319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97" t="str">
        <f>+VLOOKUP(G330,Liste!$A$7:$H$69,8,FALSE)</f>
        <v>Résineux</v>
      </c>
      <c r="BU330" s="297">
        <f t="shared" si="112"/>
        <v>0</v>
      </c>
      <c r="BV330" s="299">
        <f t="shared" si="113"/>
        <v>1</v>
      </c>
      <c r="BW330" s="318">
        <v>0</v>
      </c>
      <c r="BX330" s="297">
        <f t="shared" si="114"/>
        <v>0.43</v>
      </c>
      <c r="BY330">
        <f t="shared" si="115"/>
        <v>0</v>
      </c>
      <c r="BZ330" s="303">
        <f t="shared" si="116"/>
        <v>0</v>
      </c>
      <c r="CB330" s="298">
        <v>0.6</v>
      </c>
      <c r="CC330" s="298">
        <v>0.4</v>
      </c>
      <c r="CD330">
        <f t="shared" si="117"/>
        <v>0</v>
      </c>
      <c r="CE330">
        <f t="shared" si="118"/>
        <v>0</v>
      </c>
      <c r="CF330">
        <f t="shared" si="119"/>
        <v>0</v>
      </c>
      <c r="CG330">
        <f t="shared" si="120"/>
        <v>0</v>
      </c>
      <c r="CH330">
        <f t="shared" si="121"/>
        <v>0</v>
      </c>
      <c r="CI330">
        <f t="shared" si="122"/>
        <v>0</v>
      </c>
      <c r="CJ330">
        <f t="shared" si="123"/>
        <v>0</v>
      </c>
      <c r="CK330">
        <f t="shared" si="124"/>
        <v>0</v>
      </c>
      <c r="CL330">
        <f t="shared" si="125"/>
        <v>0</v>
      </c>
      <c r="CM330">
        <f t="shared" si="127"/>
        <v>0</v>
      </c>
      <c r="CN330">
        <f t="shared" si="126"/>
        <v>0</v>
      </c>
      <c r="CO330">
        <f t="shared" si="110"/>
        <v>0</v>
      </c>
    </row>
    <row r="331" spans="1:93" s="12" customFormat="1" ht="14.45" customHeight="1" x14ac:dyDescent="0.25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10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+VLOOKUP(G331,Liste!$A$7:$G$69,3,FALSE)</f>
        <v>Pin sylvestre</v>
      </c>
      <c r="BI331" s="96" t="str">
        <f>+VLOOKUP(H331,Liste!$B$7:$G$69,5,FALSE)</f>
        <v>GS Pineraies des plaines du Centre et du Nord Ouest</v>
      </c>
      <c r="BJ331" s="135">
        <f t="shared" si="109"/>
        <v>67</v>
      </c>
      <c r="BK331" s="135" t="str">
        <f t="shared" si="111"/>
        <v>Pin sylvestre_F1_Eclaircie tardive_GS Pineraies des plaines du Centre et du Nord Ouest_67_</v>
      </c>
      <c r="BL331" s="319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97" t="str">
        <f>+VLOOKUP(G331,Liste!$A$7:$H$69,8,FALSE)</f>
        <v>Résineux</v>
      </c>
      <c r="BU331" s="297">
        <f t="shared" si="112"/>
        <v>0</v>
      </c>
      <c r="BV331" s="299">
        <f t="shared" si="113"/>
        <v>1</v>
      </c>
      <c r="BW331" s="318">
        <v>0</v>
      </c>
      <c r="BX331" s="297">
        <f t="shared" si="114"/>
        <v>0.43</v>
      </c>
      <c r="BY331">
        <f t="shared" si="115"/>
        <v>0</v>
      </c>
      <c r="BZ331" s="303">
        <f t="shared" si="116"/>
        <v>0</v>
      </c>
      <c r="CB331" s="298">
        <v>0.6</v>
      </c>
      <c r="CC331" s="298">
        <v>0.4</v>
      </c>
      <c r="CD331">
        <f t="shared" si="117"/>
        <v>0</v>
      </c>
      <c r="CE331">
        <f t="shared" si="118"/>
        <v>0</v>
      </c>
      <c r="CF331">
        <f t="shared" si="119"/>
        <v>0</v>
      </c>
      <c r="CG331">
        <f t="shared" si="120"/>
        <v>0</v>
      </c>
      <c r="CH331">
        <f t="shared" si="121"/>
        <v>0</v>
      </c>
      <c r="CI331">
        <f t="shared" si="122"/>
        <v>0</v>
      </c>
      <c r="CJ331">
        <f t="shared" si="123"/>
        <v>0</v>
      </c>
      <c r="CK331">
        <f t="shared" si="124"/>
        <v>0</v>
      </c>
      <c r="CL331">
        <f t="shared" si="125"/>
        <v>0</v>
      </c>
      <c r="CM331">
        <f t="shared" si="127"/>
        <v>0</v>
      </c>
      <c r="CN331">
        <f t="shared" si="126"/>
        <v>0</v>
      </c>
      <c r="CO331">
        <f t="shared" si="110"/>
        <v>0</v>
      </c>
    </row>
    <row r="332" spans="1:93" s="12" customFormat="1" ht="14.45" customHeight="1" x14ac:dyDescent="0.25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10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+VLOOKUP(G332,Liste!$A$7:$G$69,3,FALSE)</f>
        <v>Pin sylvestre</v>
      </c>
      <c r="BI332" s="96" t="str">
        <f>+VLOOKUP(H332,Liste!$B$7:$G$69,5,FALSE)</f>
        <v>GS Pineraies des plaines du Centre et du Nord Ouest</v>
      </c>
      <c r="BJ332" s="135">
        <f t="shared" si="109"/>
        <v>68</v>
      </c>
      <c r="BK332" s="135" t="str">
        <f t="shared" si="111"/>
        <v>Pin sylvestre_F1_Eclaircie tardive_GS Pineraies des plaines du Centre et du Nord Ouest_68_</v>
      </c>
      <c r="BL332" s="319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97" t="str">
        <f>+VLOOKUP(G332,Liste!$A$7:$H$69,8,FALSE)</f>
        <v>Résineux</v>
      </c>
      <c r="BU332" s="297">
        <f t="shared" si="112"/>
        <v>0</v>
      </c>
      <c r="BV332" s="299">
        <f t="shared" si="113"/>
        <v>1</v>
      </c>
      <c r="BW332" s="318">
        <v>0</v>
      </c>
      <c r="BX332" s="297">
        <f t="shared" si="114"/>
        <v>0.43</v>
      </c>
      <c r="BY332">
        <f t="shared" si="115"/>
        <v>0</v>
      </c>
      <c r="BZ332" s="303">
        <f t="shared" si="116"/>
        <v>0</v>
      </c>
      <c r="CB332" s="298">
        <v>0.6</v>
      </c>
      <c r="CC332" s="298">
        <v>0.4</v>
      </c>
      <c r="CD332">
        <f t="shared" si="117"/>
        <v>0</v>
      </c>
      <c r="CE332">
        <f t="shared" si="118"/>
        <v>0</v>
      </c>
      <c r="CF332">
        <f t="shared" si="119"/>
        <v>0</v>
      </c>
      <c r="CG332">
        <f t="shared" si="120"/>
        <v>0</v>
      </c>
      <c r="CH332">
        <f t="shared" si="121"/>
        <v>0</v>
      </c>
      <c r="CI332">
        <f t="shared" si="122"/>
        <v>0</v>
      </c>
      <c r="CJ332">
        <f t="shared" si="123"/>
        <v>0</v>
      </c>
      <c r="CK332">
        <f t="shared" si="124"/>
        <v>0</v>
      </c>
      <c r="CL332">
        <f t="shared" si="125"/>
        <v>0</v>
      </c>
      <c r="CM332">
        <f t="shared" si="127"/>
        <v>0</v>
      </c>
      <c r="CN332">
        <f t="shared" si="126"/>
        <v>0</v>
      </c>
      <c r="CO332">
        <f t="shared" si="110"/>
        <v>0</v>
      </c>
    </row>
    <row r="333" spans="1:93" s="12" customFormat="1" ht="14.45" customHeight="1" x14ac:dyDescent="0.25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10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+VLOOKUP(G333,Liste!$A$7:$G$69,3,FALSE)</f>
        <v>Pin sylvestre</v>
      </c>
      <c r="BI333" s="96" t="str">
        <f>+VLOOKUP(H333,Liste!$B$7:$G$69,5,FALSE)</f>
        <v>GS Pineraies des plaines du Centre et du Nord Ouest</v>
      </c>
      <c r="BJ333" s="135">
        <f t="shared" si="109"/>
        <v>69</v>
      </c>
      <c r="BK333" s="135" t="str">
        <f t="shared" si="111"/>
        <v>Pin sylvestre_F1_Eclaircie tardive_GS Pineraies des plaines du Centre et du Nord Ouest_69_</v>
      </c>
      <c r="BL333" s="319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97" t="str">
        <f>+VLOOKUP(G333,Liste!$A$7:$H$69,8,FALSE)</f>
        <v>Résineux</v>
      </c>
      <c r="BU333" s="297">
        <f t="shared" si="112"/>
        <v>0</v>
      </c>
      <c r="BV333" s="299">
        <f t="shared" si="113"/>
        <v>1</v>
      </c>
      <c r="BW333" s="318">
        <v>0</v>
      </c>
      <c r="BX333" s="297">
        <f t="shared" si="114"/>
        <v>0.43</v>
      </c>
      <c r="BY333">
        <f t="shared" si="115"/>
        <v>0</v>
      </c>
      <c r="BZ333" s="303">
        <f t="shared" si="116"/>
        <v>0</v>
      </c>
      <c r="CB333" s="298">
        <v>0.6</v>
      </c>
      <c r="CC333" s="298">
        <v>0.4</v>
      </c>
      <c r="CD333">
        <f t="shared" si="117"/>
        <v>0</v>
      </c>
      <c r="CE333">
        <f t="shared" si="118"/>
        <v>0</v>
      </c>
      <c r="CF333">
        <f t="shared" si="119"/>
        <v>0</v>
      </c>
      <c r="CG333">
        <f t="shared" si="120"/>
        <v>0</v>
      </c>
      <c r="CH333">
        <f t="shared" si="121"/>
        <v>0</v>
      </c>
      <c r="CI333">
        <f t="shared" si="122"/>
        <v>0</v>
      </c>
      <c r="CJ333">
        <f t="shared" si="123"/>
        <v>0</v>
      </c>
      <c r="CK333">
        <f t="shared" si="124"/>
        <v>0</v>
      </c>
      <c r="CL333">
        <f t="shared" si="125"/>
        <v>0</v>
      </c>
      <c r="CM333">
        <f t="shared" si="127"/>
        <v>0</v>
      </c>
      <c r="CN333">
        <f t="shared" si="126"/>
        <v>0</v>
      </c>
      <c r="CO333">
        <f t="shared" si="110"/>
        <v>0</v>
      </c>
    </row>
    <row r="334" spans="1:93" s="12" customFormat="1" ht="14.45" customHeight="1" x14ac:dyDescent="0.25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10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+VLOOKUP(G334,Liste!$A$7:$G$69,3,FALSE)</f>
        <v>Pin sylvestre</v>
      </c>
      <c r="BI334" s="96" t="str">
        <f>+VLOOKUP(H334,Liste!$B$7:$G$69,5,FALSE)</f>
        <v>GS Pineraies des plaines du Centre et du Nord Ouest</v>
      </c>
      <c r="BJ334" s="135">
        <f t="shared" si="109"/>
        <v>70</v>
      </c>
      <c r="BK334" s="135" t="str">
        <f t="shared" si="111"/>
        <v>Pin sylvestre_F1_Eclaircie tardive_GS Pineraies des plaines du Centre et du Nord Ouest_70_</v>
      </c>
      <c r="BL334" s="319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97" t="str">
        <f>+VLOOKUP(G334,Liste!$A$7:$H$69,8,FALSE)</f>
        <v>Résineux</v>
      </c>
      <c r="BU334" s="297">
        <f t="shared" si="112"/>
        <v>0</v>
      </c>
      <c r="BV334" s="299">
        <f t="shared" si="113"/>
        <v>1</v>
      </c>
      <c r="BW334" s="318">
        <v>0</v>
      </c>
      <c r="BX334" s="297">
        <f t="shared" si="114"/>
        <v>0.43</v>
      </c>
      <c r="BY334">
        <f t="shared" si="115"/>
        <v>0</v>
      </c>
      <c r="BZ334" s="303">
        <f t="shared" si="116"/>
        <v>0</v>
      </c>
      <c r="CB334" s="298">
        <v>0.6</v>
      </c>
      <c r="CC334" s="298">
        <v>0.4</v>
      </c>
      <c r="CD334">
        <f t="shared" si="117"/>
        <v>0</v>
      </c>
      <c r="CE334">
        <f t="shared" si="118"/>
        <v>0</v>
      </c>
      <c r="CF334">
        <f t="shared" si="119"/>
        <v>0</v>
      </c>
      <c r="CG334">
        <f t="shared" si="120"/>
        <v>0</v>
      </c>
      <c r="CH334">
        <f t="shared" si="121"/>
        <v>0</v>
      </c>
      <c r="CI334">
        <f t="shared" si="122"/>
        <v>0</v>
      </c>
      <c r="CJ334">
        <f t="shared" si="123"/>
        <v>0</v>
      </c>
      <c r="CK334">
        <f t="shared" si="124"/>
        <v>0</v>
      </c>
      <c r="CL334">
        <f t="shared" si="125"/>
        <v>0</v>
      </c>
      <c r="CM334">
        <f t="shared" si="127"/>
        <v>0</v>
      </c>
      <c r="CN334">
        <f t="shared" si="126"/>
        <v>0</v>
      </c>
      <c r="CO334">
        <f t="shared" si="110"/>
        <v>0</v>
      </c>
    </row>
    <row r="335" spans="1:93" s="12" customFormat="1" ht="14.45" customHeight="1" x14ac:dyDescent="0.25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10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+VLOOKUP(G335,Liste!$A$7:$G$69,3,FALSE)</f>
        <v>Pin sylvestre</v>
      </c>
      <c r="BI335" s="96" t="str">
        <f>+VLOOKUP(H335,Liste!$B$7:$G$69,5,FALSE)</f>
        <v>GS Pineraies des plaines du Centre et du Nord Ouest</v>
      </c>
      <c r="BJ335" s="135">
        <f t="shared" si="109"/>
        <v>71</v>
      </c>
      <c r="BK335" s="135" t="str">
        <f t="shared" si="111"/>
        <v>Pin sylvestre_F1_Eclaircie tardive_GS Pineraies des plaines du Centre et du Nord Ouest_71_</v>
      </c>
      <c r="BL335" s="319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97" t="str">
        <f>+VLOOKUP(G335,Liste!$A$7:$H$69,8,FALSE)</f>
        <v>Résineux</v>
      </c>
      <c r="BU335" s="297">
        <f t="shared" si="112"/>
        <v>0</v>
      </c>
      <c r="BV335" s="299">
        <f t="shared" si="113"/>
        <v>1</v>
      </c>
      <c r="BW335" s="318">
        <v>0</v>
      </c>
      <c r="BX335" s="297">
        <f t="shared" si="114"/>
        <v>0.43</v>
      </c>
      <c r="BY335">
        <f t="shared" si="115"/>
        <v>0</v>
      </c>
      <c r="BZ335" s="303">
        <f t="shared" si="116"/>
        <v>0</v>
      </c>
      <c r="CB335" s="298">
        <v>0.6</v>
      </c>
      <c r="CC335" s="298">
        <v>0.4</v>
      </c>
      <c r="CD335">
        <f t="shared" si="117"/>
        <v>0</v>
      </c>
      <c r="CE335">
        <f t="shared" si="118"/>
        <v>0</v>
      </c>
      <c r="CF335">
        <f t="shared" si="119"/>
        <v>0</v>
      </c>
      <c r="CG335">
        <f t="shared" si="120"/>
        <v>0</v>
      </c>
      <c r="CH335">
        <f t="shared" si="121"/>
        <v>0</v>
      </c>
      <c r="CI335">
        <f t="shared" si="122"/>
        <v>0</v>
      </c>
      <c r="CJ335">
        <f t="shared" si="123"/>
        <v>0</v>
      </c>
      <c r="CK335">
        <f t="shared" si="124"/>
        <v>0</v>
      </c>
      <c r="CL335">
        <f t="shared" si="125"/>
        <v>0</v>
      </c>
      <c r="CM335">
        <f t="shared" si="127"/>
        <v>0</v>
      </c>
      <c r="CN335">
        <f t="shared" si="126"/>
        <v>0</v>
      </c>
      <c r="CO335">
        <f t="shared" si="110"/>
        <v>0</v>
      </c>
    </row>
    <row r="336" spans="1:93" s="12" customFormat="1" ht="14.45" customHeight="1" x14ac:dyDescent="0.25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10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+VLOOKUP(G336,Liste!$A$7:$G$69,3,FALSE)</f>
        <v>Pin sylvestre</v>
      </c>
      <c r="BI336" s="96" t="str">
        <f>+VLOOKUP(H336,Liste!$B$7:$G$69,5,FALSE)</f>
        <v>GS Pineraies des plaines du Centre et du Nord Ouest</v>
      </c>
      <c r="BJ336" s="135">
        <f t="shared" si="109"/>
        <v>72</v>
      </c>
      <c r="BK336" s="135" t="str">
        <f t="shared" si="111"/>
        <v>Pin sylvestre_F1_Eclaircie tardive_GS Pineraies des plaines du Centre et du Nord Ouest_72_</v>
      </c>
      <c r="BL336" s="319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97" t="str">
        <f>+VLOOKUP(G336,Liste!$A$7:$H$69,8,FALSE)</f>
        <v>Résineux</v>
      </c>
      <c r="BU336" s="297">
        <f t="shared" si="112"/>
        <v>0</v>
      </c>
      <c r="BV336" s="299">
        <f t="shared" si="113"/>
        <v>1</v>
      </c>
      <c r="BW336" s="318">
        <v>0</v>
      </c>
      <c r="BX336" s="297">
        <f t="shared" si="114"/>
        <v>0.43</v>
      </c>
      <c r="BY336">
        <f t="shared" si="115"/>
        <v>0</v>
      </c>
      <c r="BZ336" s="303">
        <f t="shared" si="116"/>
        <v>0</v>
      </c>
      <c r="CB336" s="298">
        <v>0.6</v>
      </c>
      <c r="CC336" s="298">
        <v>0.4</v>
      </c>
      <c r="CD336">
        <f t="shared" si="117"/>
        <v>0</v>
      </c>
      <c r="CE336">
        <f t="shared" si="118"/>
        <v>0</v>
      </c>
      <c r="CF336">
        <f t="shared" si="119"/>
        <v>0</v>
      </c>
      <c r="CG336">
        <f t="shared" si="120"/>
        <v>0</v>
      </c>
      <c r="CH336">
        <f t="shared" si="121"/>
        <v>0</v>
      </c>
      <c r="CI336">
        <f t="shared" si="122"/>
        <v>0</v>
      </c>
      <c r="CJ336">
        <f t="shared" si="123"/>
        <v>0</v>
      </c>
      <c r="CK336">
        <f t="shared" si="124"/>
        <v>0</v>
      </c>
      <c r="CL336">
        <f t="shared" si="125"/>
        <v>0</v>
      </c>
      <c r="CM336">
        <f t="shared" si="127"/>
        <v>0</v>
      </c>
      <c r="CN336">
        <f t="shared" si="126"/>
        <v>0</v>
      </c>
      <c r="CO336">
        <f t="shared" si="110"/>
        <v>0</v>
      </c>
    </row>
    <row r="337" spans="1:93" s="12" customFormat="1" ht="14.45" customHeight="1" x14ac:dyDescent="0.25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+VLOOKUP(G337,Liste!$A$7:$G$69,3,FALSE)</f>
        <v>Pin sylvestre</v>
      </c>
      <c r="BI337" s="96" t="str">
        <f>+VLOOKUP(H337,Liste!$B$7:$G$69,5,FALSE)</f>
        <v>GS Pineraies des plaines du Centre et du Nord Ouest</v>
      </c>
      <c r="BJ337" s="135">
        <f t="shared" si="109"/>
        <v>72</v>
      </c>
      <c r="BK337" s="135" t="str">
        <f t="shared" si="111"/>
        <v>Pin sylvestre_F1_Eclaircie tardive_GS Pineraies des plaines du Centre et du Nord Ouest_72_</v>
      </c>
      <c r="BL337" s="319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97" t="str">
        <f>+VLOOKUP(G337,Liste!$A$7:$H$69,8,FALSE)</f>
        <v>Résineux</v>
      </c>
      <c r="BU337" s="297">
        <f t="shared" si="112"/>
        <v>0</v>
      </c>
      <c r="BV337" s="299">
        <f t="shared" si="113"/>
        <v>1</v>
      </c>
      <c r="BW337" s="318">
        <v>0</v>
      </c>
      <c r="BX337" s="297">
        <f t="shared" si="114"/>
        <v>0.43</v>
      </c>
      <c r="BY337">
        <f t="shared" si="115"/>
        <v>0</v>
      </c>
      <c r="BZ337" s="303">
        <f t="shared" si="116"/>
        <v>0</v>
      </c>
      <c r="CB337" s="298">
        <v>0.6</v>
      </c>
      <c r="CC337" s="298">
        <v>0.4</v>
      </c>
      <c r="CD337">
        <f t="shared" si="117"/>
        <v>0</v>
      </c>
      <c r="CE337">
        <f t="shared" si="118"/>
        <v>0</v>
      </c>
      <c r="CF337">
        <f t="shared" si="119"/>
        <v>0</v>
      </c>
      <c r="CG337">
        <f t="shared" si="120"/>
        <v>0</v>
      </c>
      <c r="CH337">
        <f t="shared" si="121"/>
        <v>0</v>
      </c>
      <c r="CI337">
        <f t="shared" si="122"/>
        <v>0</v>
      </c>
      <c r="CJ337">
        <f t="shared" si="123"/>
        <v>0</v>
      </c>
      <c r="CK337">
        <f t="shared" si="124"/>
        <v>0</v>
      </c>
      <c r="CL337">
        <f t="shared" si="125"/>
        <v>0</v>
      </c>
      <c r="CM337">
        <f t="shared" si="127"/>
        <v>0</v>
      </c>
      <c r="CN337">
        <f t="shared" si="126"/>
        <v>0</v>
      </c>
      <c r="CO337">
        <f t="shared" si="110"/>
        <v>0</v>
      </c>
    </row>
    <row r="338" spans="1:93" s="12" customFormat="1" ht="14.45" customHeight="1" x14ac:dyDescent="0.25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10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+VLOOKUP(G338,Liste!$A$7:$G$69,3,FALSE)</f>
        <v>Pin sylvestre</v>
      </c>
      <c r="BI338" s="96" t="str">
        <f>+VLOOKUP(H338,Liste!$B$7:$G$69,5,FALSE)</f>
        <v>GS Pineraies des plaines du Centre et du Nord Ouest</v>
      </c>
      <c r="BJ338" s="135">
        <f t="shared" si="109"/>
        <v>73</v>
      </c>
      <c r="BK338" s="135" t="str">
        <f t="shared" si="111"/>
        <v>Pin sylvestre_F1_Eclaircie tardive_GS Pineraies des plaines du Centre et du Nord Ouest_73_</v>
      </c>
      <c r="BL338" s="319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97" t="str">
        <f>+VLOOKUP(G338,Liste!$A$7:$H$69,8,FALSE)</f>
        <v>Résineux</v>
      </c>
      <c r="BU338" s="297">
        <f t="shared" si="112"/>
        <v>0</v>
      </c>
      <c r="BV338" s="299">
        <f t="shared" si="113"/>
        <v>1</v>
      </c>
      <c r="BW338" s="318">
        <v>0</v>
      </c>
      <c r="BX338" s="297">
        <f t="shared" si="114"/>
        <v>0.43</v>
      </c>
      <c r="BY338">
        <f t="shared" si="115"/>
        <v>0</v>
      </c>
      <c r="BZ338" s="303">
        <f t="shared" si="116"/>
        <v>0</v>
      </c>
      <c r="CB338" s="298">
        <v>0.6</v>
      </c>
      <c r="CC338" s="298">
        <v>0.4</v>
      </c>
      <c r="CD338">
        <f t="shared" si="117"/>
        <v>0</v>
      </c>
      <c r="CE338">
        <f t="shared" si="118"/>
        <v>0</v>
      </c>
      <c r="CF338">
        <f t="shared" si="119"/>
        <v>0</v>
      </c>
      <c r="CG338">
        <f t="shared" si="120"/>
        <v>0</v>
      </c>
      <c r="CH338">
        <f t="shared" si="121"/>
        <v>0</v>
      </c>
      <c r="CI338">
        <f t="shared" si="122"/>
        <v>0</v>
      </c>
      <c r="CJ338">
        <f t="shared" si="123"/>
        <v>0</v>
      </c>
      <c r="CK338">
        <f t="shared" si="124"/>
        <v>0</v>
      </c>
      <c r="CL338">
        <f t="shared" si="125"/>
        <v>0</v>
      </c>
      <c r="CM338">
        <f t="shared" si="127"/>
        <v>0</v>
      </c>
      <c r="CN338">
        <f t="shared" si="126"/>
        <v>0</v>
      </c>
      <c r="CO338">
        <f t="shared" si="110"/>
        <v>0</v>
      </c>
    </row>
    <row r="339" spans="1:93" s="12" customFormat="1" ht="14.45" customHeight="1" x14ac:dyDescent="0.25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10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+VLOOKUP(G339,Liste!$A$7:$G$69,3,FALSE)</f>
        <v>Pin sylvestre</v>
      </c>
      <c r="BI339" s="96" t="str">
        <f>+VLOOKUP(H339,Liste!$B$7:$G$69,5,FALSE)</f>
        <v>GS Pineraies des plaines du Centre et du Nord Ouest</v>
      </c>
      <c r="BJ339" s="135">
        <f t="shared" si="109"/>
        <v>74</v>
      </c>
      <c r="BK339" s="135" t="str">
        <f t="shared" si="111"/>
        <v>Pin sylvestre_F1_Eclaircie tardive_GS Pineraies des plaines du Centre et du Nord Ouest_74_</v>
      </c>
      <c r="BL339" s="319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97" t="str">
        <f>+VLOOKUP(G339,Liste!$A$7:$H$69,8,FALSE)</f>
        <v>Résineux</v>
      </c>
      <c r="BU339" s="297">
        <f t="shared" si="112"/>
        <v>0</v>
      </c>
      <c r="BV339" s="299">
        <f t="shared" si="113"/>
        <v>1</v>
      </c>
      <c r="BW339" s="318">
        <v>0</v>
      </c>
      <c r="BX339" s="297">
        <f t="shared" si="114"/>
        <v>0.43</v>
      </c>
      <c r="BY339">
        <f t="shared" si="115"/>
        <v>0</v>
      </c>
      <c r="BZ339" s="303">
        <f t="shared" si="116"/>
        <v>0</v>
      </c>
      <c r="CB339" s="298">
        <v>0.6</v>
      </c>
      <c r="CC339" s="298">
        <v>0.4</v>
      </c>
      <c r="CD339">
        <f t="shared" si="117"/>
        <v>0</v>
      </c>
      <c r="CE339">
        <f t="shared" si="118"/>
        <v>0</v>
      </c>
      <c r="CF339">
        <f t="shared" si="119"/>
        <v>0</v>
      </c>
      <c r="CG339">
        <f t="shared" si="120"/>
        <v>0</v>
      </c>
      <c r="CH339">
        <f t="shared" si="121"/>
        <v>0</v>
      </c>
      <c r="CI339">
        <f t="shared" si="122"/>
        <v>0</v>
      </c>
      <c r="CJ339">
        <f t="shared" si="123"/>
        <v>0</v>
      </c>
      <c r="CK339">
        <f t="shared" si="124"/>
        <v>0</v>
      </c>
      <c r="CL339">
        <f t="shared" si="125"/>
        <v>0</v>
      </c>
      <c r="CM339">
        <f t="shared" si="127"/>
        <v>0</v>
      </c>
      <c r="CN339">
        <f t="shared" si="126"/>
        <v>0</v>
      </c>
      <c r="CO339">
        <f t="shared" si="110"/>
        <v>0</v>
      </c>
    </row>
    <row r="340" spans="1:93" s="12" customFormat="1" ht="14.45" customHeight="1" x14ac:dyDescent="0.25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10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+VLOOKUP(G340,Liste!$A$7:$G$69,3,FALSE)</f>
        <v>Pin sylvestre</v>
      </c>
      <c r="BI340" s="96" t="str">
        <f>+VLOOKUP(H340,Liste!$B$7:$G$69,5,FALSE)</f>
        <v>GS Pineraies des plaines du Centre et du Nord Ouest</v>
      </c>
      <c r="BJ340" s="135">
        <f t="shared" si="109"/>
        <v>75</v>
      </c>
      <c r="BK340" s="135" t="str">
        <f t="shared" si="111"/>
        <v>Pin sylvestre_F1_Eclaircie tardive_GS Pineraies des plaines du Centre et du Nord Ouest_75_</v>
      </c>
      <c r="BL340" s="319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97" t="str">
        <f>+VLOOKUP(G340,Liste!$A$7:$H$69,8,FALSE)</f>
        <v>Résineux</v>
      </c>
      <c r="BU340" s="297">
        <f t="shared" si="112"/>
        <v>0</v>
      </c>
      <c r="BV340" s="299">
        <f t="shared" si="113"/>
        <v>1</v>
      </c>
      <c r="BW340" s="318">
        <v>0</v>
      </c>
      <c r="BX340" s="297">
        <f t="shared" si="114"/>
        <v>0.43</v>
      </c>
      <c r="BY340">
        <f t="shared" si="115"/>
        <v>0</v>
      </c>
      <c r="BZ340" s="303">
        <f t="shared" si="116"/>
        <v>0</v>
      </c>
      <c r="CB340" s="298">
        <v>0.6</v>
      </c>
      <c r="CC340" s="298">
        <v>0.4</v>
      </c>
      <c r="CD340">
        <f t="shared" si="117"/>
        <v>0</v>
      </c>
      <c r="CE340">
        <f t="shared" si="118"/>
        <v>0</v>
      </c>
      <c r="CF340">
        <f t="shared" si="119"/>
        <v>0</v>
      </c>
      <c r="CG340">
        <f t="shared" si="120"/>
        <v>0</v>
      </c>
      <c r="CH340">
        <f t="shared" si="121"/>
        <v>0</v>
      </c>
      <c r="CI340">
        <f t="shared" si="122"/>
        <v>0</v>
      </c>
      <c r="CJ340">
        <f t="shared" si="123"/>
        <v>0</v>
      </c>
      <c r="CK340">
        <f t="shared" si="124"/>
        <v>0</v>
      </c>
      <c r="CL340">
        <f t="shared" si="125"/>
        <v>0</v>
      </c>
      <c r="CM340">
        <f t="shared" si="127"/>
        <v>0</v>
      </c>
      <c r="CN340">
        <f t="shared" si="126"/>
        <v>0</v>
      </c>
      <c r="CO340">
        <f t="shared" si="110"/>
        <v>0</v>
      </c>
    </row>
    <row r="341" spans="1:93" s="12" customFormat="1" ht="14.45" customHeight="1" x14ac:dyDescent="0.25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10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+VLOOKUP(G341,Liste!$A$7:$G$69,3,FALSE)</f>
        <v>Pin sylvestre</v>
      </c>
      <c r="BI341" s="96" t="str">
        <f>+VLOOKUP(H341,Liste!$B$7:$G$69,5,FALSE)</f>
        <v>GS Pineraies des plaines du Centre et du Nord Ouest</v>
      </c>
      <c r="BJ341" s="135">
        <f t="shared" si="109"/>
        <v>76</v>
      </c>
      <c r="BK341" s="135" t="str">
        <f t="shared" si="111"/>
        <v>Pin sylvestre_F1_Eclaircie tardive_GS Pineraies des plaines du Centre et du Nord Ouest_76_</v>
      </c>
      <c r="BL341" s="319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97" t="str">
        <f>+VLOOKUP(G341,Liste!$A$7:$H$69,8,FALSE)</f>
        <v>Résineux</v>
      </c>
      <c r="BU341" s="297">
        <f t="shared" si="112"/>
        <v>0</v>
      </c>
      <c r="BV341" s="299">
        <f t="shared" si="113"/>
        <v>1</v>
      </c>
      <c r="BW341" s="318">
        <v>0</v>
      </c>
      <c r="BX341" s="297">
        <f t="shared" si="114"/>
        <v>0.43</v>
      </c>
      <c r="BY341">
        <f t="shared" si="115"/>
        <v>0</v>
      </c>
      <c r="BZ341" s="303">
        <f t="shared" si="116"/>
        <v>0</v>
      </c>
      <c r="CB341" s="298">
        <v>0.6</v>
      </c>
      <c r="CC341" s="298">
        <v>0.4</v>
      </c>
      <c r="CD341">
        <f t="shared" si="117"/>
        <v>0</v>
      </c>
      <c r="CE341">
        <f t="shared" si="118"/>
        <v>0</v>
      </c>
      <c r="CF341">
        <f t="shared" si="119"/>
        <v>0</v>
      </c>
      <c r="CG341">
        <f t="shared" si="120"/>
        <v>0</v>
      </c>
      <c r="CH341">
        <f t="shared" si="121"/>
        <v>0</v>
      </c>
      <c r="CI341">
        <f t="shared" si="122"/>
        <v>0</v>
      </c>
      <c r="CJ341">
        <f t="shared" si="123"/>
        <v>0</v>
      </c>
      <c r="CK341">
        <f t="shared" si="124"/>
        <v>0</v>
      </c>
      <c r="CL341">
        <f t="shared" si="125"/>
        <v>0</v>
      </c>
      <c r="CM341">
        <f t="shared" si="127"/>
        <v>0</v>
      </c>
      <c r="CN341">
        <f t="shared" si="126"/>
        <v>0</v>
      </c>
      <c r="CO341">
        <f t="shared" si="110"/>
        <v>0</v>
      </c>
    </row>
    <row r="342" spans="1:93" s="12" customFormat="1" ht="14.45" customHeight="1" x14ac:dyDescent="0.25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10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+VLOOKUP(G342,Liste!$A$7:$G$69,3,FALSE)</f>
        <v>Pin sylvestre</v>
      </c>
      <c r="BI342" s="96" t="str">
        <f>+VLOOKUP(H342,Liste!$B$7:$G$69,5,FALSE)</f>
        <v>GS Pineraies des plaines du Centre et du Nord Ouest</v>
      </c>
      <c r="BJ342" s="135">
        <f t="shared" si="109"/>
        <v>77</v>
      </c>
      <c r="BK342" s="135" t="str">
        <f t="shared" si="111"/>
        <v>Pin sylvestre_F1_Eclaircie tardive_GS Pineraies des plaines du Centre et du Nord Ouest_77_</v>
      </c>
      <c r="BL342" s="319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97" t="str">
        <f>+VLOOKUP(G342,Liste!$A$7:$H$69,8,FALSE)</f>
        <v>Résineux</v>
      </c>
      <c r="BU342" s="297">
        <f t="shared" si="112"/>
        <v>0</v>
      </c>
      <c r="BV342" s="299">
        <f t="shared" si="113"/>
        <v>1</v>
      </c>
      <c r="BW342" s="318">
        <v>0</v>
      </c>
      <c r="BX342" s="297">
        <f t="shared" si="114"/>
        <v>0.43</v>
      </c>
      <c r="BY342">
        <f t="shared" si="115"/>
        <v>0</v>
      </c>
      <c r="BZ342" s="303">
        <f t="shared" si="116"/>
        <v>0</v>
      </c>
      <c r="CB342" s="298">
        <v>0.6</v>
      </c>
      <c r="CC342" s="298">
        <v>0.4</v>
      </c>
      <c r="CD342">
        <f t="shared" si="117"/>
        <v>0</v>
      </c>
      <c r="CE342">
        <f t="shared" si="118"/>
        <v>0</v>
      </c>
      <c r="CF342">
        <f t="shared" si="119"/>
        <v>0</v>
      </c>
      <c r="CG342">
        <f t="shared" si="120"/>
        <v>0</v>
      </c>
      <c r="CH342">
        <f t="shared" si="121"/>
        <v>0</v>
      </c>
      <c r="CI342">
        <f t="shared" si="122"/>
        <v>0</v>
      </c>
      <c r="CJ342">
        <f t="shared" si="123"/>
        <v>0</v>
      </c>
      <c r="CK342">
        <f t="shared" si="124"/>
        <v>0</v>
      </c>
      <c r="CL342">
        <f t="shared" si="125"/>
        <v>0</v>
      </c>
      <c r="CM342">
        <f t="shared" si="127"/>
        <v>0</v>
      </c>
      <c r="CN342">
        <f t="shared" si="126"/>
        <v>0</v>
      </c>
      <c r="CO342">
        <f t="shared" si="110"/>
        <v>0</v>
      </c>
    </row>
    <row r="343" spans="1:93" s="12" customFormat="1" ht="14.45" customHeight="1" x14ac:dyDescent="0.25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10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+VLOOKUP(G343,Liste!$A$7:$G$69,3,FALSE)</f>
        <v>Pin sylvestre</v>
      </c>
      <c r="BI343" s="96" t="str">
        <f>+VLOOKUP(H343,Liste!$B$7:$G$69,5,FALSE)</f>
        <v>GS Pineraies des plaines du Centre et du Nord Ouest</v>
      </c>
      <c r="BJ343" s="135">
        <f t="shared" si="109"/>
        <v>78</v>
      </c>
      <c r="BK343" s="135" t="str">
        <f t="shared" si="111"/>
        <v>Pin sylvestre_F1_Eclaircie tardive_GS Pineraies des plaines du Centre et du Nord Ouest_78_</v>
      </c>
      <c r="BL343" s="319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97" t="str">
        <f>+VLOOKUP(G343,Liste!$A$7:$H$69,8,FALSE)</f>
        <v>Résineux</v>
      </c>
      <c r="BU343" s="297">
        <f t="shared" si="112"/>
        <v>0</v>
      </c>
      <c r="BV343" s="299">
        <f t="shared" si="113"/>
        <v>1</v>
      </c>
      <c r="BW343" s="318">
        <v>0</v>
      </c>
      <c r="BX343" s="297">
        <f t="shared" si="114"/>
        <v>0.43</v>
      </c>
      <c r="BY343">
        <f t="shared" si="115"/>
        <v>0</v>
      </c>
      <c r="BZ343" s="303">
        <f t="shared" si="116"/>
        <v>0</v>
      </c>
      <c r="CB343" s="298">
        <v>0.6</v>
      </c>
      <c r="CC343" s="298">
        <v>0.4</v>
      </c>
      <c r="CD343">
        <f t="shared" si="117"/>
        <v>0</v>
      </c>
      <c r="CE343">
        <f t="shared" si="118"/>
        <v>0</v>
      </c>
      <c r="CF343">
        <f t="shared" si="119"/>
        <v>0</v>
      </c>
      <c r="CG343">
        <f t="shared" si="120"/>
        <v>0</v>
      </c>
      <c r="CH343">
        <f t="shared" si="121"/>
        <v>0</v>
      </c>
      <c r="CI343">
        <f t="shared" si="122"/>
        <v>0</v>
      </c>
      <c r="CJ343">
        <f t="shared" si="123"/>
        <v>0</v>
      </c>
      <c r="CK343">
        <f t="shared" si="124"/>
        <v>0</v>
      </c>
      <c r="CL343">
        <f t="shared" si="125"/>
        <v>0</v>
      </c>
      <c r="CM343">
        <f t="shared" si="127"/>
        <v>0</v>
      </c>
      <c r="CN343">
        <f t="shared" si="126"/>
        <v>0</v>
      </c>
      <c r="CO343">
        <f t="shared" si="110"/>
        <v>0</v>
      </c>
    </row>
    <row r="344" spans="1:93" s="12" customFormat="1" ht="14.45" customHeight="1" x14ac:dyDescent="0.25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10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+VLOOKUP(G344,Liste!$A$7:$G$69,3,FALSE)</f>
        <v>Pin sylvestre</v>
      </c>
      <c r="BI344" s="96" t="str">
        <f>+VLOOKUP(H344,Liste!$B$7:$G$69,5,FALSE)</f>
        <v>GS Pineraies des plaines du Centre et du Nord Ouest</v>
      </c>
      <c r="BJ344" s="135">
        <f t="shared" si="109"/>
        <v>79</v>
      </c>
      <c r="BK344" s="135" t="str">
        <f t="shared" si="111"/>
        <v>Pin sylvestre_F1_Eclaircie tardive_GS Pineraies des plaines du Centre et du Nord Ouest_79_</v>
      </c>
      <c r="BL344" s="319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97" t="str">
        <f>+VLOOKUP(G344,Liste!$A$7:$H$69,8,FALSE)</f>
        <v>Résineux</v>
      </c>
      <c r="BU344" s="297">
        <f t="shared" si="112"/>
        <v>0</v>
      </c>
      <c r="BV344" s="299">
        <f t="shared" si="113"/>
        <v>1</v>
      </c>
      <c r="BW344" s="318">
        <v>0</v>
      </c>
      <c r="BX344" s="297">
        <f t="shared" si="114"/>
        <v>0.43</v>
      </c>
      <c r="BY344">
        <f t="shared" si="115"/>
        <v>0</v>
      </c>
      <c r="BZ344" s="303">
        <f t="shared" si="116"/>
        <v>0</v>
      </c>
      <c r="CB344" s="298">
        <v>0.6</v>
      </c>
      <c r="CC344" s="298">
        <v>0.4</v>
      </c>
      <c r="CD344">
        <f t="shared" si="117"/>
        <v>0</v>
      </c>
      <c r="CE344">
        <f t="shared" si="118"/>
        <v>0</v>
      </c>
      <c r="CF344">
        <f t="shared" si="119"/>
        <v>0</v>
      </c>
      <c r="CG344">
        <f t="shared" si="120"/>
        <v>0</v>
      </c>
      <c r="CH344">
        <f t="shared" si="121"/>
        <v>0</v>
      </c>
      <c r="CI344">
        <f t="shared" si="122"/>
        <v>0</v>
      </c>
      <c r="CJ344">
        <f t="shared" si="123"/>
        <v>0</v>
      </c>
      <c r="CK344">
        <f t="shared" si="124"/>
        <v>0</v>
      </c>
      <c r="CL344">
        <f t="shared" si="125"/>
        <v>0</v>
      </c>
      <c r="CM344">
        <f t="shared" si="127"/>
        <v>0</v>
      </c>
      <c r="CN344">
        <f t="shared" si="126"/>
        <v>0</v>
      </c>
      <c r="CO344">
        <f t="shared" si="110"/>
        <v>0</v>
      </c>
    </row>
    <row r="345" spans="1:93" s="12" customFormat="1" ht="14.45" customHeight="1" x14ac:dyDescent="0.25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10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+VLOOKUP(G345,Liste!$A$7:$G$69,3,FALSE)</f>
        <v>Pin sylvestre</v>
      </c>
      <c r="BI345" s="96" t="str">
        <f>+VLOOKUP(H345,Liste!$B$7:$G$69,5,FALSE)</f>
        <v>GS Pineraies des plaines du Centre et du Nord Ouest</v>
      </c>
      <c r="BJ345" s="135">
        <f t="shared" si="109"/>
        <v>80</v>
      </c>
      <c r="BK345" s="135" t="str">
        <f t="shared" si="111"/>
        <v>Pin sylvestre_F1_Eclaircie tardive_GS Pineraies des plaines du Centre et du Nord Ouest_80_</v>
      </c>
      <c r="BL345" s="319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97" t="str">
        <f>+VLOOKUP(G345,Liste!$A$7:$H$69,8,FALSE)</f>
        <v>Résineux</v>
      </c>
      <c r="BU345" s="297">
        <f t="shared" si="112"/>
        <v>0</v>
      </c>
      <c r="BV345" s="299">
        <f t="shared" si="113"/>
        <v>1</v>
      </c>
      <c r="BW345" s="318">
        <v>0</v>
      </c>
      <c r="BX345" s="297">
        <f t="shared" si="114"/>
        <v>0.43</v>
      </c>
      <c r="BY345">
        <f t="shared" si="115"/>
        <v>0</v>
      </c>
      <c r="BZ345" s="303">
        <f t="shared" si="116"/>
        <v>0</v>
      </c>
      <c r="CB345" s="298">
        <v>0.6</v>
      </c>
      <c r="CC345" s="298">
        <v>0.4</v>
      </c>
      <c r="CD345">
        <f t="shared" si="117"/>
        <v>0</v>
      </c>
      <c r="CE345">
        <f t="shared" si="118"/>
        <v>0</v>
      </c>
      <c r="CF345">
        <f t="shared" si="119"/>
        <v>0</v>
      </c>
      <c r="CG345">
        <f t="shared" si="120"/>
        <v>0</v>
      </c>
      <c r="CH345">
        <f t="shared" si="121"/>
        <v>0</v>
      </c>
      <c r="CI345">
        <f t="shared" si="122"/>
        <v>0</v>
      </c>
      <c r="CJ345">
        <f t="shared" si="123"/>
        <v>0</v>
      </c>
      <c r="CK345">
        <f t="shared" si="124"/>
        <v>0</v>
      </c>
      <c r="CL345">
        <f t="shared" si="125"/>
        <v>0</v>
      </c>
      <c r="CM345">
        <f t="shared" si="127"/>
        <v>0</v>
      </c>
      <c r="CN345">
        <f t="shared" si="126"/>
        <v>0</v>
      </c>
      <c r="CO345">
        <f t="shared" si="110"/>
        <v>0</v>
      </c>
    </row>
    <row r="346" spans="1:93" s="12" customFormat="1" ht="14.45" customHeight="1" x14ac:dyDescent="0.25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10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+VLOOKUP(G346,Liste!$A$7:$G$69,3,FALSE)</f>
        <v>Pin sylvestre</v>
      </c>
      <c r="BI346" s="96" t="str">
        <f>+VLOOKUP(H346,Liste!$B$7:$G$69,5,FALSE)</f>
        <v>GS Pineraies des plaines du Centre et du Nord Ouest</v>
      </c>
      <c r="BJ346" s="135">
        <f t="shared" si="109"/>
        <v>81</v>
      </c>
      <c r="BK346" s="135" t="str">
        <f t="shared" si="111"/>
        <v>Pin sylvestre_F1_Eclaircie tardive_GS Pineraies des plaines du Centre et du Nord Ouest_81_</v>
      </c>
      <c r="BL346" s="319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97" t="str">
        <f>+VLOOKUP(G346,Liste!$A$7:$H$69,8,FALSE)</f>
        <v>Résineux</v>
      </c>
      <c r="BU346" s="297">
        <f t="shared" si="112"/>
        <v>0</v>
      </c>
      <c r="BV346" s="299">
        <f t="shared" si="113"/>
        <v>1</v>
      </c>
      <c r="BW346" s="318">
        <v>0</v>
      </c>
      <c r="BX346" s="297">
        <f t="shared" si="114"/>
        <v>0.43</v>
      </c>
      <c r="BY346">
        <f t="shared" si="115"/>
        <v>0</v>
      </c>
      <c r="BZ346" s="303">
        <f t="shared" si="116"/>
        <v>0</v>
      </c>
      <c r="CB346" s="298">
        <v>0.6</v>
      </c>
      <c r="CC346" s="298">
        <v>0.4</v>
      </c>
      <c r="CD346">
        <f t="shared" si="117"/>
        <v>0</v>
      </c>
      <c r="CE346">
        <f t="shared" si="118"/>
        <v>0</v>
      </c>
      <c r="CF346">
        <f t="shared" si="119"/>
        <v>0</v>
      </c>
      <c r="CG346">
        <f t="shared" si="120"/>
        <v>0</v>
      </c>
      <c r="CH346">
        <f t="shared" si="121"/>
        <v>0</v>
      </c>
      <c r="CI346">
        <f t="shared" si="122"/>
        <v>0</v>
      </c>
      <c r="CJ346">
        <f t="shared" si="123"/>
        <v>0</v>
      </c>
      <c r="CK346">
        <f t="shared" si="124"/>
        <v>0</v>
      </c>
      <c r="CL346">
        <f t="shared" si="125"/>
        <v>0</v>
      </c>
      <c r="CM346">
        <f t="shared" si="127"/>
        <v>0</v>
      </c>
      <c r="CN346">
        <f t="shared" si="126"/>
        <v>0</v>
      </c>
      <c r="CO346">
        <f t="shared" si="110"/>
        <v>0</v>
      </c>
    </row>
    <row r="347" spans="1:93" s="12" customFormat="1" ht="14.45" customHeight="1" x14ac:dyDescent="0.25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+VLOOKUP(G347,Liste!$A$7:$G$69,3,FALSE)</f>
        <v>Pin sylvestre</v>
      </c>
      <c r="BI347" s="96" t="str">
        <f>+VLOOKUP(H347,Liste!$B$7:$G$69,5,FALSE)</f>
        <v>GS Pineraies des plaines du Centre et du Nord Ouest</v>
      </c>
      <c r="BJ347" s="135">
        <f t="shared" si="109"/>
        <v>81</v>
      </c>
      <c r="BK347" s="135" t="str">
        <f t="shared" si="111"/>
        <v>Pin sylvestre_F1_Eclaircie tardive_GS Pineraies des plaines du Centre et du Nord Ouest_81_</v>
      </c>
      <c r="BL347" s="319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97" t="str">
        <f>+VLOOKUP(G347,Liste!$A$7:$H$69,8,FALSE)</f>
        <v>Résineux</v>
      </c>
      <c r="BU347" s="297">
        <f t="shared" si="112"/>
        <v>0</v>
      </c>
      <c r="BV347" s="299">
        <f t="shared" si="113"/>
        <v>1</v>
      </c>
      <c r="BW347" s="318">
        <v>0</v>
      </c>
      <c r="BX347" s="297">
        <f t="shared" si="114"/>
        <v>0.43</v>
      </c>
      <c r="BY347">
        <f t="shared" si="115"/>
        <v>0</v>
      </c>
      <c r="BZ347" s="303">
        <f t="shared" si="116"/>
        <v>0</v>
      </c>
      <c r="CB347" s="298">
        <v>0.6</v>
      </c>
      <c r="CC347" s="298">
        <v>0.4</v>
      </c>
      <c r="CD347">
        <f t="shared" si="117"/>
        <v>0</v>
      </c>
      <c r="CE347">
        <f t="shared" si="118"/>
        <v>0</v>
      </c>
      <c r="CF347">
        <f t="shared" si="119"/>
        <v>0</v>
      </c>
      <c r="CG347">
        <f t="shared" si="120"/>
        <v>0</v>
      </c>
      <c r="CH347">
        <f t="shared" si="121"/>
        <v>0</v>
      </c>
      <c r="CI347">
        <f t="shared" si="122"/>
        <v>0</v>
      </c>
      <c r="CJ347">
        <f t="shared" si="123"/>
        <v>0</v>
      </c>
      <c r="CK347">
        <f t="shared" si="124"/>
        <v>0</v>
      </c>
      <c r="CL347">
        <f t="shared" si="125"/>
        <v>0</v>
      </c>
      <c r="CM347">
        <f t="shared" si="127"/>
        <v>0</v>
      </c>
      <c r="CN347">
        <f t="shared" si="126"/>
        <v>0</v>
      </c>
      <c r="CO347">
        <f t="shared" si="110"/>
        <v>0</v>
      </c>
    </row>
    <row r="348" spans="1:93" s="12" customFormat="1" ht="14.45" customHeight="1" x14ac:dyDescent="0.25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10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+VLOOKUP(G348,Liste!$A$7:$G$69,3,FALSE)</f>
        <v>Pin sylvestre</v>
      </c>
      <c r="BI348" s="96" t="str">
        <f>+VLOOKUP(H348,Liste!$B$7:$G$69,5,FALSE)</f>
        <v>GS Pineraies des plaines du Centre et du Nord Ouest</v>
      </c>
      <c r="BJ348" s="135">
        <f t="shared" si="109"/>
        <v>82</v>
      </c>
      <c r="BK348" s="135" t="str">
        <f t="shared" si="111"/>
        <v>Pin sylvestre_F1_Eclaircie tardive_GS Pineraies des plaines du Centre et du Nord Ouest_82_</v>
      </c>
      <c r="BL348" s="319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97" t="str">
        <f>+VLOOKUP(G348,Liste!$A$7:$H$69,8,FALSE)</f>
        <v>Résineux</v>
      </c>
      <c r="BU348" s="297">
        <f t="shared" si="112"/>
        <v>0</v>
      </c>
      <c r="BV348" s="299">
        <f t="shared" si="113"/>
        <v>1</v>
      </c>
      <c r="BW348" s="318">
        <v>0</v>
      </c>
      <c r="BX348" s="297">
        <f t="shared" si="114"/>
        <v>0.43</v>
      </c>
      <c r="BY348">
        <f t="shared" si="115"/>
        <v>0</v>
      </c>
      <c r="BZ348" s="303">
        <f t="shared" si="116"/>
        <v>0</v>
      </c>
      <c r="CB348" s="298">
        <v>0.6</v>
      </c>
      <c r="CC348" s="298">
        <v>0.4</v>
      </c>
      <c r="CD348">
        <f t="shared" si="117"/>
        <v>0</v>
      </c>
      <c r="CE348">
        <f t="shared" si="118"/>
        <v>0</v>
      </c>
      <c r="CF348">
        <f t="shared" si="119"/>
        <v>0</v>
      </c>
      <c r="CG348">
        <f t="shared" si="120"/>
        <v>0</v>
      </c>
      <c r="CH348">
        <f t="shared" si="121"/>
        <v>0</v>
      </c>
      <c r="CI348">
        <f t="shared" si="122"/>
        <v>0</v>
      </c>
      <c r="CJ348">
        <f t="shared" si="123"/>
        <v>0</v>
      </c>
      <c r="CK348">
        <f t="shared" si="124"/>
        <v>0</v>
      </c>
      <c r="CL348">
        <f t="shared" si="125"/>
        <v>0</v>
      </c>
      <c r="CM348">
        <f t="shared" si="127"/>
        <v>0</v>
      </c>
      <c r="CN348">
        <f t="shared" si="126"/>
        <v>0</v>
      </c>
      <c r="CO348">
        <f t="shared" si="110"/>
        <v>0</v>
      </c>
    </row>
    <row r="349" spans="1:93" s="12" customFormat="1" ht="14.45" customHeight="1" x14ac:dyDescent="0.25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10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+VLOOKUP(G349,Liste!$A$7:$G$69,3,FALSE)</f>
        <v>Pin sylvestre</v>
      </c>
      <c r="BI349" s="96" t="str">
        <f>+VLOOKUP(H349,Liste!$B$7:$G$69,5,FALSE)</f>
        <v>GS Pineraies des plaines du Centre et du Nord Ouest</v>
      </c>
      <c r="BJ349" s="135">
        <f t="shared" si="109"/>
        <v>83</v>
      </c>
      <c r="BK349" s="135" t="str">
        <f t="shared" si="111"/>
        <v>Pin sylvestre_F1_Eclaircie tardive_GS Pineraies des plaines du Centre et du Nord Ouest_83_</v>
      </c>
      <c r="BL349" s="319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97" t="str">
        <f>+VLOOKUP(G349,Liste!$A$7:$H$69,8,FALSE)</f>
        <v>Résineux</v>
      </c>
      <c r="BU349" s="297">
        <f t="shared" si="112"/>
        <v>0</v>
      </c>
      <c r="BV349" s="299">
        <f t="shared" si="113"/>
        <v>1</v>
      </c>
      <c r="BW349" s="318">
        <v>0</v>
      </c>
      <c r="BX349" s="297">
        <f t="shared" si="114"/>
        <v>0.43</v>
      </c>
      <c r="BY349">
        <f t="shared" si="115"/>
        <v>0</v>
      </c>
      <c r="BZ349" s="303">
        <f t="shared" si="116"/>
        <v>0</v>
      </c>
      <c r="CB349" s="298">
        <v>0.6</v>
      </c>
      <c r="CC349" s="298">
        <v>0.4</v>
      </c>
      <c r="CD349">
        <f t="shared" si="117"/>
        <v>0</v>
      </c>
      <c r="CE349">
        <f t="shared" si="118"/>
        <v>0</v>
      </c>
      <c r="CF349">
        <f t="shared" si="119"/>
        <v>0</v>
      </c>
      <c r="CG349">
        <f t="shared" si="120"/>
        <v>0</v>
      </c>
      <c r="CH349">
        <f t="shared" si="121"/>
        <v>0</v>
      </c>
      <c r="CI349">
        <f t="shared" si="122"/>
        <v>0</v>
      </c>
      <c r="CJ349">
        <f t="shared" si="123"/>
        <v>0</v>
      </c>
      <c r="CK349">
        <f t="shared" si="124"/>
        <v>0</v>
      </c>
      <c r="CL349">
        <f t="shared" si="125"/>
        <v>0</v>
      </c>
      <c r="CM349">
        <f t="shared" si="127"/>
        <v>0</v>
      </c>
      <c r="CN349">
        <f t="shared" si="126"/>
        <v>0</v>
      </c>
      <c r="CO349">
        <f t="shared" si="110"/>
        <v>0</v>
      </c>
    </row>
    <row r="350" spans="1:93" s="12" customFormat="1" ht="14.45" customHeight="1" x14ac:dyDescent="0.25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10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+VLOOKUP(G350,Liste!$A$7:$G$69,3,FALSE)</f>
        <v>Pin sylvestre</v>
      </c>
      <c r="BI350" s="96" t="str">
        <f>+VLOOKUP(H350,Liste!$B$7:$G$69,5,FALSE)</f>
        <v>GS Pineraies des plaines du Centre et du Nord Ouest</v>
      </c>
      <c r="BJ350" s="135">
        <f t="shared" si="109"/>
        <v>84</v>
      </c>
      <c r="BK350" s="135" t="str">
        <f t="shared" si="111"/>
        <v>Pin sylvestre_F1_Eclaircie tardive_GS Pineraies des plaines du Centre et du Nord Ouest_84_</v>
      </c>
      <c r="BL350" s="319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97" t="str">
        <f>+VLOOKUP(G350,Liste!$A$7:$H$69,8,FALSE)</f>
        <v>Résineux</v>
      </c>
      <c r="BU350" s="297">
        <f t="shared" si="112"/>
        <v>0</v>
      </c>
      <c r="BV350" s="299">
        <f t="shared" si="113"/>
        <v>1</v>
      </c>
      <c r="BW350" s="318">
        <v>0</v>
      </c>
      <c r="BX350" s="297">
        <f t="shared" si="114"/>
        <v>0.43</v>
      </c>
      <c r="BY350">
        <f t="shared" si="115"/>
        <v>0</v>
      </c>
      <c r="BZ350" s="303">
        <f t="shared" si="116"/>
        <v>0</v>
      </c>
      <c r="CB350" s="298">
        <v>0.6</v>
      </c>
      <c r="CC350" s="298">
        <v>0.4</v>
      </c>
      <c r="CD350">
        <f t="shared" si="117"/>
        <v>0</v>
      </c>
      <c r="CE350">
        <f t="shared" si="118"/>
        <v>0</v>
      </c>
      <c r="CF350">
        <f t="shared" si="119"/>
        <v>0</v>
      </c>
      <c r="CG350">
        <f t="shared" si="120"/>
        <v>0</v>
      </c>
      <c r="CH350">
        <f t="shared" si="121"/>
        <v>0</v>
      </c>
      <c r="CI350">
        <f t="shared" si="122"/>
        <v>0</v>
      </c>
      <c r="CJ350">
        <f t="shared" si="123"/>
        <v>0</v>
      </c>
      <c r="CK350">
        <f t="shared" si="124"/>
        <v>0</v>
      </c>
      <c r="CL350">
        <f t="shared" si="125"/>
        <v>0</v>
      </c>
      <c r="CM350">
        <f t="shared" si="127"/>
        <v>0</v>
      </c>
      <c r="CN350">
        <f t="shared" si="126"/>
        <v>0</v>
      </c>
      <c r="CO350">
        <f t="shared" si="110"/>
        <v>0</v>
      </c>
    </row>
    <row r="351" spans="1:93" s="12" customFormat="1" ht="14.45" customHeight="1" x14ac:dyDescent="0.25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10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+VLOOKUP(G351,Liste!$A$7:$G$69,3,FALSE)</f>
        <v>Pin sylvestre</v>
      </c>
      <c r="BI351" s="96" t="str">
        <f>+VLOOKUP(H351,Liste!$B$7:$G$69,5,FALSE)</f>
        <v>GS Pineraies des plaines du Centre et du Nord Ouest</v>
      </c>
      <c r="BJ351" s="135">
        <f t="shared" si="109"/>
        <v>85</v>
      </c>
      <c r="BK351" s="135" t="str">
        <f t="shared" si="111"/>
        <v>Pin sylvestre_F1_Eclaircie tardive_GS Pineraies des plaines du Centre et du Nord Ouest_85_</v>
      </c>
      <c r="BL351" s="319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97" t="str">
        <f>+VLOOKUP(G351,Liste!$A$7:$H$69,8,FALSE)</f>
        <v>Résineux</v>
      </c>
      <c r="BU351" s="297">
        <f t="shared" si="112"/>
        <v>0</v>
      </c>
      <c r="BV351" s="299">
        <f t="shared" si="113"/>
        <v>1</v>
      </c>
      <c r="BW351" s="318">
        <v>0</v>
      </c>
      <c r="BX351" s="297">
        <f t="shared" si="114"/>
        <v>0.43</v>
      </c>
      <c r="BY351">
        <f t="shared" si="115"/>
        <v>0</v>
      </c>
      <c r="BZ351" s="303">
        <f t="shared" si="116"/>
        <v>0</v>
      </c>
      <c r="CB351" s="298">
        <v>0.6</v>
      </c>
      <c r="CC351" s="298">
        <v>0.4</v>
      </c>
      <c r="CD351">
        <f t="shared" si="117"/>
        <v>0</v>
      </c>
      <c r="CE351">
        <f t="shared" si="118"/>
        <v>0</v>
      </c>
      <c r="CF351">
        <f t="shared" si="119"/>
        <v>0</v>
      </c>
      <c r="CG351">
        <f t="shared" si="120"/>
        <v>0</v>
      </c>
      <c r="CH351">
        <f t="shared" si="121"/>
        <v>0</v>
      </c>
      <c r="CI351">
        <f t="shared" si="122"/>
        <v>0</v>
      </c>
      <c r="CJ351">
        <f t="shared" si="123"/>
        <v>0</v>
      </c>
      <c r="CK351">
        <f t="shared" si="124"/>
        <v>0</v>
      </c>
      <c r="CL351">
        <f t="shared" si="125"/>
        <v>0</v>
      </c>
      <c r="CM351">
        <f t="shared" si="127"/>
        <v>0</v>
      </c>
      <c r="CN351">
        <f t="shared" si="126"/>
        <v>0</v>
      </c>
      <c r="CO351">
        <f t="shared" si="110"/>
        <v>0</v>
      </c>
    </row>
    <row r="352" spans="1:93" s="12" customFormat="1" ht="14.45" customHeight="1" x14ac:dyDescent="0.25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10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+VLOOKUP(G352,Liste!$A$7:$G$69,3,FALSE)</f>
        <v>Pin sylvestre</v>
      </c>
      <c r="BI352" s="96" t="str">
        <f>+VLOOKUP(H352,Liste!$B$7:$G$69,5,FALSE)</f>
        <v>GS Pineraies des plaines du Centre et du Nord Ouest</v>
      </c>
      <c r="BJ352" s="135">
        <f t="shared" si="109"/>
        <v>86</v>
      </c>
      <c r="BK352" s="135" t="str">
        <f t="shared" si="111"/>
        <v>Pin sylvestre_F1_Eclaircie tardive_GS Pineraies des plaines du Centre et du Nord Ouest_86_</v>
      </c>
      <c r="BL352" s="319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97" t="str">
        <f>+VLOOKUP(G352,Liste!$A$7:$H$69,8,FALSE)</f>
        <v>Résineux</v>
      </c>
      <c r="BU352" s="297">
        <f t="shared" si="112"/>
        <v>0</v>
      </c>
      <c r="BV352" s="299">
        <f t="shared" si="113"/>
        <v>1</v>
      </c>
      <c r="BW352" s="318">
        <v>0</v>
      </c>
      <c r="BX352" s="297">
        <f t="shared" si="114"/>
        <v>0.43</v>
      </c>
      <c r="BY352">
        <f t="shared" si="115"/>
        <v>0</v>
      </c>
      <c r="BZ352" s="303">
        <f t="shared" si="116"/>
        <v>0</v>
      </c>
      <c r="CB352" s="298">
        <v>0.6</v>
      </c>
      <c r="CC352" s="298">
        <v>0.4</v>
      </c>
      <c r="CD352">
        <f t="shared" si="117"/>
        <v>0</v>
      </c>
      <c r="CE352">
        <f t="shared" si="118"/>
        <v>0</v>
      </c>
      <c r="CF352">
        <f t="shared" si="119"/>
        <v>0</v>
      </c>
      <c r="CG352">
        <f t="shared" si="120"/>
        <v>0</v>
      </c>
      <c r="CH352">
        <f t="shared" si="121"/>
        <v>0</v>
      </c>
      <c r="CI352">
        <f t="shared" si="122"/>
        <v>0</v>
      </c>
      <c r="CJ352">
        <f t="shared" si="123"/>
        <v>0</v>
      </c>
      <c r="CK352">
        <f t="shared" si="124"/>
        <v>0</v>
      </c>
      <c r="CL352">
        <f t="shared" si="125"/>
        <v>0</v>
      </c>
      <c r="CM352">
        <f t="shared" si="127"/>
        <v>0</v>
      </c>
      <c r="CN352">
        <f t="shared" si="126"/>
        <v>0</v>
      </c>
      <c r="CO352">
        <f t="shared" si="110"/>
        <v>0</v>
      </c>
    </row>
    <row r="353" spans="1:93" s="12" customFormat="1" ht="14.45" customHeight="1" x14ac:dyDescent="0.25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10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+VLOOKUP(G353,Liste!$A$7:$G$69,3,FALSE)</f>
        <v>Pin sylvestre</v>
      </c>
      <c r="BI353" s="96" t="str">
        <f>+VLOOKUP(H353,Liste!$B$7:$G$69,5,FALSE)</f>
        <v>GS Pineraies des plaines du Centre et du Nord Ouest</v>
      </c>
      <c r="BJ353" s="135">
        <f t="shared" si="109"/>
        <v>87</v>
      </c>
      <c r="BK353" s="135" t="str">
        <f t="shared" si="111"/>
        <v>Pin sylvestre_F1_Eclaircie tardive_GS Pineraies des plaines du Centre et du Nord Ouest_87_</v>
      </c>
      <c r="BL353" s="319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97" t="str">
        <f>+VLOOKUP(G353,Liste!$A$7:$H$69,8,FALSE)</f>
        <v>Résineux</v>
      </c>
      <c r="BU353" s="297">
        <f t="shared" si="112"/>
        <v>0</v>
      </c>
      <c r="BV353" s="299">
        <f t="shared" si="113"/>
        <v>1</v>
      </c>
      <c r="BW353" s="318">
        <v>0</v>
      </c>
      <c r="BX353" s="297">
        <f t="shared" si="114"/>
        <v>0.43</v>
      </c>
      <c r="BY353">
        <f t="shared" si="115"/>
        <v>0</v>
      </c>
      <c r="BZ353" s="303">
        <f t="shared" si="116"/>
        <v>0</v>
      </c>
      <c r="CB353" s="298">
        <v>0.6</v>
      </c>
      <c r="CC353" s="298">
        <v>0.4</v>
      </c>
      <c r="CD353">
        <f t="shared" si="117"/>
        <v>0</v>
      </c>
      <c r="CE353">
        <f t="shared" si="118"/>
        <v>0</v>
      </c>
      <c r="CF353">
        <f t="shared" si="119"/>
        <v>0</v>
      </c>
      <c r="CG353">
        <f t="shared" si="120"/>
        <v>0</v>
      </c>
      <c r="CH353">
        <f t="shared" si="121"/>
        <v>0</v>
      </c>
      <c r="CI353">
        <f t="shared" si="122"/>
        <v>0</v>
      </c>
      <c r="CJ353">
        <f t="shared" si="123"/>
        <v>0</v>
      </c>
      <c r="CK353">
        <f t="shared" si="124"/>
        <v>0</v>
      </c>
      <c r="CL353">
        <f t="shared" si="125"/>
        <v>0</v>
      </c>
      <c r="CM353">
        <f t="shared" si="127"/>
        <v>0</v>
      </c>
      <c r="CN353">
        <f t="shared" si="126"/>
        <v>0</v>
      </c>
      <c r="CO353">
        <f t="shared" si="110"/>
        <v>0</v>
      </c>
    </row>
    <row r="354" spans="1:93" s="12" customFormat="1" ht="14.45" customHeight="1" x14ac:dyDescent="0.25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10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+VLOOKUP(G354,Liste!$A$7:$G$69,3,FALSE)</f>
        <v>Pin sylvestre</v>
      </c>
      <c r="BI354" s="96" t="str">
        <f>+VLOOKUP(H354,Liste!$B$7:$G$69,5,FALSE)</f>
        <v>GS Pineraies des plaines du Centre et du Nord Ouest</v>
      </c>
      <c r="BJ354" s="135">
        <f t="shared" si="109"/>
        <v>88</v>
      </c>
      <c r="BK354" s="135" t="str">
        <f t="shared" si="111"/>
        <v>Pin sylvestre_F1_Eclaircie tardive_GS Pineraies des plaines du Centre et du Nord Ouest_88_</v>
      </c>
      <c r="BL354" s="319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97" t="str">
        <f>+VLOOKUP(G354,Liste!$A$7:$H$69,8,FALSE)</f>
        <v>Résineux</v>
      </c>
      <c r="BU354" s="297">
        <f t="shared" si="112"/>
        <v>0</v>
      </c>
      <c r="BV354" s="299">
        <f t="shared" si="113"/>
        <v>1</v>
      </c>
      <c r="BW354" s="318">
        <v>0</v>
      </c>
      <c r="BX354" s="297">
        <f t="shared" si="114"/>
        <v>0.43</v>
      </c>
      <c r="BY354">
        <f t="shared" si="115"/>
        <v>0</v>
      </c>
      <c r="BZ354" s="303">
        <f t="shared" si="116"/>
        <v>0</v>
      </c>
      <c r="CB354" s="298">
        <v>0.6</v>
      </c>
      <c r="CC354" s="298">
        <v>0.4</v>
      </c>
      <c r="CD354">
        <f t="shared" si="117"/>
        <v>0</v>
      </c>
      <c r="CE354">
        <f t="shared" si="118"/>
        <v>0</v>
      </c>
      <c r="CF354">
        <f t="shared" si="119"/>
        <v>0</v>
      </c>
      <c r="CG354">
        <f t="shared" si="120"/>
        <v>0</v>
      </c>
      <c r="CH354">
        <f t="shared" si="121"/>
        <v>0</v>
      </c>
      <c r="CI354">
        <f t="shared" si="122"/>
        <v>0</v>
      </c>
      <c r="CJ354">
        <f t="shared" si="123"/>
        <v>0</v>
      </c>
      <c r="CK354">
        <f t="shared" si="124"/>
        <v>0</v>
      </c>
      <c r="CL354">
        <f t="shared" si="125"/>
        <v>0</v>
      </c>
      <c r="CM354">
        <f t="shared" si="127"/>
        <v>0</v>
      </c>
      <c r="CN354">
        <f t="shared" si="126"/>
        <v>0</v>
      </c>
      <c r="CO354">
        <f t="shared" si="110"/>
        <v>0</v>
      </c>
    </row>
    <row r="355" spans="1:93" s="12" customFormat="1" ht="14.45" customHeight="1" x14ac:dyDescent="0.25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10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+VLOOKUP(G355,Liste!$A$7:$G$69,3,FALSE)</f>
        <v>Pin sylvestre</v>
      </c>
      <c r="BI355" s="96" t="str">
        <f>+VLOOKUP(H355,Liste!$B$7:$G$69,5,FALSE)</f>
        <v>GS Pineraies des plaines du Centre et du Nord Ouest</v>
      </c>
      <c r="BJ355" s="135">
        <f t="shared" si="109"/>
        <v>89</v>
      </c>
      <c r="BK355" s="135" t="str">
        <f t="shared" si="111"/>
        <v>Pin sylvestre_F1_Eclaircie tardive_GS Pineraies des plaines du Centre et du Nord Ouest_89_</v>
      </c>
      <c r="BL355" s="319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97" t="str">
        <f>+VLOOKUP(G355,Liste!$A$7:$H$69,8,FALSE)</f>
        <v>Résineux</v>
      </c>
      <c r="BU355" s="297">
        <f t="shared" si="112"/>
        <v>0</v>
      </c>
      <c r="BV355" s="299">
        <f t="shared" si="113"/>
        <v>1</v>
      </c>
      <c r="BW355" s="318">
        <v>0</v>
      </c>
      <c r="BX355" s="297">
        <f t="shared" si="114"/>
        <v>0.43</v>
      </c>
      <c r="BY355">
        <f t="shared" si="115"/>
        <v>0</v>
      </c>
      <c r="BZ355" s="303">
        <f t="shared" si="116"/>
        <v>0</v>
      </c>
      <c r="CB355" s="298">
        <v>0.6</v>
      </c>
      <c r="CC355" s="298">
        <v>0.4</v>
      </c>
      <c r="CD355">
        <f t="shared" si="117"/>
        <v>0</v>
      </c>
      <c r="CE355">
        <f t="shared" si="118"/>
        <v>0</v>
      </c>
      <c r="CF355">
        <f t="shared" si="119"/>
        <v>0</v>
      </c>
      <c r="CG355">
        <f t="shared" si="120"/>
        <v>0</v>
      </c>
      <c r="CH355">
        <f t="shared" si="121"/>
        <v>0</v>
      </c>
      <c r="CI355">
        <f t="shared" si="122"/>
        <v>0</v>
      </c>
      <c r="CJ355">
        <f t="shared" si="123"/>
        <v>0</v>
      </c>
      <c r="CK355">
        <f t="shared" si="124"/>
        <v>0</v>
      </c>
      <c r="CL355">
        <f t="shared" si="125"/>
        <v>0</v>
      </c>
      <c r="CM355">
        <f t="shared" si="127"/>
        <v>0</v>
      </c>
      <c r="CN355">
        <f t="shared" si="126"/>
        <v>0</v>
      </c>
      <c r="CO355">
        <f t="shared" si="110"/>
        <v>0</v>
      </c>
    </row>
    <row r="356" spans="1:93" s="12" customFormat="1" ht="14.45" customHeight="1" x14ac:dyDescent="0.25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10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+VLOOKUP(G356,Liste!$A$7:$G$69,3,FALSE)</f>
        <v>Pin sylvestre</v>
      </c>
      <c r="BI356" s="96" t="str">
        <f>+VLOOKUP(H356,Liste!$B$7:$G$69,5,FALSE)</f>
        <v>GS Pineraies des plaines du Centre et du Nord Ouest</v>
      </c>
      <c r="BJ356" s="135">
        <f t="shared" si="109"/>
        <v>90</v>
      </c>
      <c r="BK356" s="135" t="str">
        <f t="shared" si="111"/>
        <v>Pin sylvestre_F1_Eclaircie tardive_GS Pineraies des plaines du Centre et du Nord Ouest_90_</v>
      </c>
      <c r="BL356" s="319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97" t="str">
        <f>+VLOOKUP(G356,Liste!$A$7:$H$69,8,FALSE)</f>
        <v>Résineux</v>
      </c>
      <c r="BU356" s="297">
        <f t="shared" si="112"/>
        <v>0</v>
      </c>
      <c r="BV356" s="299">
        <f t="shared" si="113"/>
        <v>1</v>
      </c>
      <c r="BW356" s="318">
        <v>0</v>
      </c>
      <c r="BX356" s="297">
        <f t="shared" si="114"/>
        <v>0.43</v>
      </c>
      <c r="BY356">
        <f t="shared" si="115"/>
        <v>0</v>
      </c>
      <c r="BZ356" s="303">
        <f t="shared" si="116"/>
        <v>0</v>
      </c>
      <c r="CB356" s="298">
        <v>0.6</v>
      </c>
      <c r="CC356" s="298">
        <v>0.4</v>
      </c>
      <c r="CD356">
        <f t="shared" si="117"/>
        <v>0</v>
      </c>
      <c r="CE356">
        <f t="shared" si="118"/>
        <v>0</v>
      </c>
      <c r="CF356">
        <f t="shared" si="119"/>
        <v>0</v>
      </c>
      <c r="CG356">
        <f t="shared" si="120"/>
        <v>0</v>
      </c>
      <c r="CH356">
        <f t="shared" si="121"/>
        <v>0</v>
      </c>
      <c r="CI356">
        <f t="shared" si="122"/>
        <v>0</v>
      </c>
      <c r="CJ356">
        <f t="shared" si="123"/>
        <v>0</v>
      </c>
      <c r="CK356">
        <f t="shared" si="124"/>
        <v>0</v>
      </c>
      <c r="CL356">
        <f t="shared" si="125"/>
        <v>0</v>
      </c>
      <c r="CM356">
        <f t="shared" si="127"/>
        <v>0</v>
      </c>
      <c r="CN356">
        <f t="shared" si="126"/>
        <v>0</v>
      </c>
      <c r="CO356">
        <f t="shared" si="110"/>
        <v>0</v>
      </c>
    </row>
    <row r="357" spans="1:93" s="12" customFormat="1" ht="14.45" customHeight="1" x14ac:dyDescent="0.25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10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+VLOOKUP(G357,Liste!$A$7:$G$69,3,FALSE)</f>
        <v>Pin sylvestre</v>
      </c>
      <c r="BI357" s="96" t="str">
        <f>+VLOOKUP(H357,Liste!$B$7:$G$69,5,FALSE)</f>
        <v>GS Pineraies des plaines du Centre et du Nord Ouest</v>
      </c>
      <c r="BJ357" s="135">
        <f t="shared" si="109"/>
        <v>91</v>
      </c>
      <c r="BK357" s="135" t="str">
        <f t="shared" si="111"/>
        <v>Pin sylvestre_F1_Eclaircie tardive_GS Pineraies des plaines du Centre et du Nord Ouest_91_</v>
      </c>
      <c r="BL357" s="319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97" t="str">
        <f>+VLOOKUP(G357,Liste!$A$7:$H$69,8,FALSE)</f>
        <v>Résineux</v>
      </c>
      <c r="BU357" s="297">
        <f t="shared" si="112"/>
        <v>0</v>
      </c>
      <c r="BV357" s="299">
        <f t="shared" si="113"/>
        <v>1</v>
      </c>
      <c r="BW357" s="318">
        <v>0</v>
      </c>
      <c r="BX357" s="297">
        <f t="shared" si="114"/>
        <v>0.43</v>
      </c>
      <c r="BY357">
        <f t="shared" si="115"/>
        <v>0</v>
      </c>
      <c r="BZ357" s="303">
        <f t="shared" si="116"/>
        <v>0</v>
      </c>
      <c r="CB357" s="298">
        <v>0.6</v>
      </c>
      <c r="CC357" s="298">
        <v>0.4</v>
      </c>
      <c r="CD357">
        <f t="shared" si="117"/>
        <v>0</v>
      </c>
      <c r="CE357">
        <f t="shared" si="118"/>
        <v>0</v>
      </c>
      <c r="CF357">
        <f t="shared" si="119"/>
        <v>0</v>
      </c>
      <c r="CG357">
        <f t="shared" si="120"/>
        <v>0</v>
      </c>
      <c r="CH357">
        <f t="shared" si="121"/>
        <v>0</v>
      </c>
      <c r="CI357">
        <f t="shared" si="122"/>
        <v>0</v>
      </c>
      <c r="CJ357">
        <f t="shared" si="123"/>
        <v>0</v>
      </c>
      <c r="CK357">
        <f t="shared" si="124"/>
        <v>0</v>
      </c>
      <c r="CL357">
        <f t="shared" si="125"/>
        <v>0</v>
      </c>
      <c r="CM357">
        <f t="shared" si="127"/>
        <v>0</v>
      </c>
      <c r="CN357">
        <f t="shared" si="126"/>
        <v>0</v>
      </c>
      <c r="CO357">
        <f t="shared" si="110"/>
        <v>0</v>
      </c>
    </row>
    <row r="358" spans="1:93" s="12" customFormat="1" ht="14.45" customHeight="1" x14ac:dyDescent="0.25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+VLOOKUP(G358,Liste!$A$7:$G$69,3,FALSE)</f>
        <v>Pin sylvestre</v>
      </c>
      <c r="BI358" s="96" t="str">
        <f>+VLOOKUP(H358,Liste!$B$7:$G$69,5,FALSE)</f>
        <v>GS Pineraies des plaines du Centre et du Nord Ouest</v>
      </c>
      <c r="BJ358" s="135">
        <f t="shared" si="109"/>
        <v>91</v>
      </c>
      <c r="BK358" s="135" t="str">
        <f t="shared" si="111"/>
        <v>Pin sylvestre_F1_Eclaircie tardive_GS Pineraies des plaines du Centre et du Nord Ouest_91_</v>
      </c>
      <c r="BL358" s="319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97" t="str">
        <f>+VLOOKUP(G358,Liste!$A$7:$H$69,8,FALSE)</f>
        <v>Résineux</v>
      </c>
      <c r="BU358" s="297">
        <f t="shared" si="112"/>
        <v>0</v>
      </c>
      <c r="BV358" s="299">
        <f t="shared" si="113"/>
        <v>1</v>
      </c>
      <c r="BW358" s="318">
        <v>0</v>
      </c>
      <c r="BX358" s="297">
        <f t="shared" si="114"/>
        <v>0.43</v>
      </c>
      <c r="BY358">
        <f t="shared" si="115"/>
        <v>0</v>
      </c>
      <c r="BZ358" s="303">
        <f t="shared" si="116"/>
        <v>0</v>
      </c>
      <c r="CB358" s="298">
        <v>0.6</v>
      </c>
      <c r="CC358" s="298">
        <v>0.4</v>
      </c>
      <c r="CD358">
        <f t="shared" si="117"/>
        <v>0</v>
      </c>
      <c r="CE358">
        <f t="shared" si="118"/>
        <v>0</v>
      </c>
      <c r="CF358">
        <f t="shared" si="119"/>
        <v>0</v>
      </c>
      <c r="CG358">
        <f t="shared" si="120"/>
        <v>0</v>
      </c>
      <c r="CH358">
        <f t="shared" si="121"/>
        <v>0</v>
      </c>
      <c r="CI358">
        <f t="shared" si="122"/>
        <v>0</v>
      </c>
      <c r="CJ358">
        <f t="shared" si="123"/>
        <v>0</v>
      </c>
      <c r="CK358">
        <f t="shared" si="124"/>
        <v>0</v>
      </c>
      <c r="CL358">
        <f t="shared" si="125"/>
        <v>0</v>
      </c>
      <c r="CM358">
        <f t="shared" si="127"/>
        <v>0</v>
      </c>
      <c r="CN358">
        <f t="shared" si="126"/>
        <v>0</v>
      </c>
      <c r="CO358">
        <f t="shared" si="110"/>
        <v>0</v>
      </c>
    </row>
    <row r="359" spans="1:93" s="12" customFormat="1" ht="14.45" customHeight="1" x14ac:dyDescent="0.25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10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+VLOOKUP(G359,Liste!$A$7:$G$69,3,FALSE)</f>
        <v>Pin sylvestre</v>
      </c>
      <c r="BI359" s="96" t="str">
        <f>+VLOOKUP(H359,Liste!$B$7:$G$69,5,FALSE)</f>
        <v>GS Pineraies des plaines du Centre et du Nord Ouest</v>
      </c>
      <c r="BJ359" s="135">
        <f t="shared" si="109"/>
        <v>92</v>
      </c>
      <c r="BK359" s="135" t="str">
        <f t="shared" si="111"/>
        <v>Pin sylvestre_F1_Eclaircie tardive_GS Pineraies des plaines du Centre et du Nord Ouest_92_</v>
      </c>
      <c r="BL359" s="319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97" t="str">
        <f>+VLOOKUP(G359,Liste!$A$7:$H$69,8,FALSE)</f>
        <v>Résineux</v>
      </c>
      <c r="BU359" s="297">
        <f t="shared" si="112"/>
        <v>0</v>
      </c>
      <c r="BV359" s="299">
        <f t="shared" si="113"/>
        <v>1</v>
      </c>
      <c r="BW359" s="318">
        <v>0</v>
      </c>
      <c r="BX359" s="297">
        <f t="shared" si="114"/>
        <v>0.43</v>
      </c>
      <c r="BY359">
        <f t="shared" si="115"/>
        <v>0</v>
      </c>
      <c r="BZ359" s="303">
        <f t="shared" si="116"/>
        <v>0</v>
      </c>
      <c r="CB359" s="298">
        <v>0.6</v>
      </c>
      <c r="CC359" s="298">
        <v>0.4</v>
      </c>
      <c r="CD359">
        <f t="shared" si="117"/>
        <v>0</v>
      </c>
      <c r="CE359">
        <f t="shared" si="118"/>
        <v>0</v>
      </c>
      <c r="CF359">
        <f t="shared" si="119"/>
        <v>0</v>
      </c>
      <c r="CG359">
        <f t="shared" si="120"/>
        <v>0</v>
      </c>
      <c r="CH359">
        <f t="shared" si="121"/>
        <v>0</v>
      </c>
      <c r="CI359">
        <f t="shared" si="122"/>
        <v>0</v>
      </c>
      <c r="CJ359">
        <f t="shared" si="123"/>
        <v>0</v>
      </c>
      <c r="CK359">
        <f t="shared" si="124"/>
        <v>0</v>
      </c>
      <c r="CL359">
        <f t="shared" si="125"/>
        <v>0</v>
      </c>
      <c r="CM359">
        <f t="shared" si="127"/>
        <v>0</v>
      </c>
      <c r="CN359">
        <f t="shared" si="126"/>
        <v>0</v>
      </c>
      <c r="CO359">
        <f t="shared" si="110"/>
        <v>0</v>
      </c>
    </row>
    <row r="360" spans="1:93" s="12" customFormat="1" ht="14.45" customHeight="1" x14ac:dyDescent="0.25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10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+VLOOKUP(G360,Liste!$A$7:$G$69,3,FALSE)</f>
        <v>Pin sylvestre</v>
      </c>
      <c r="BI360" s="96" t="str">
        <f>+VLOOKUP(H360,Liste!$B$7:$G$69,5,FALSE)</f>
        <v>GS Pineraies des plaines du Centre et du Nord Ouest</v>
      </c>
      <c r="BJ360" s="135">
        <f t="shared" si="109"/>
        <v>93</v>
      </c>
      <c r="BK360" s="135" t="str">
        <f t="shared" si="111"/>
        <v>Pin sylvestre_F1_Eclaircie tardive_GS Pineraies des plaines du Centre et du Nord Ouest_93_</v>
      </c>
      <c r="BL360" s="319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97" t="str">
        <f>+VLOOKUP(G360,Liste!$A$7:$H$69,8,FALSE)</f>
        <v>Résineux</v>
      </c>
      <c r="BU360" s="297">
        <f t="shared" si="112"/>
        <v>0</v>
      </c>
      <c r="BV360" s="299">
        <f t="shared" si="113"/>
        <v>1</v>
      </c>
      <c r="BW360" s="318">
        <v>0</v>
      </c>
      <c r="BX360" s="297">
        <f t="shared" si="114"/>
        <v>0.43</v>
      </c>
      <c r="BY360">
        <f t="shared" si="115"/>
        <v>0</v>
      </c>
      <c r="BZ360" s="303">
        <f t="shared" si="116"/>
        <v>0</v>
      </c>
      <c r="CB360" s="298">
        <v>0.6</v>
      </c>
      <c r="CC360" s="298">
        <v>0.4</v>
      </c>
      <c r="CD360">
        <f t="shared" si="117"/>
        <v>0</v>
      </c>
      <c r="CE360">
        <f t="shared" si="118"/>
        <v>0</v>
      </c>
      <c r="CF360">
        <f t="shared" si="119"/>
        <v>0</v>
      </c>
      <c r="CG360">
        <f t="shared" si="120"/>
        <v>0</v>
      </c>
      <c r="CH360">
        <f t="shared" si="121"/>
        <v>0</v>
      </c>
      <c r="CI360">
        <f t="shared" si="122"/>
        <v>0</v>
      </c>
      <c r="CJ360">
        <f t="shared" si="123"/>
        <v>0</v>
      </c>
      <c r="CK360">
        <f t="shared" si="124"/>
        <v>0</v>
      </c>
      <c r="CL360">
        <f t="shared" si="125"/>
        <v>0</v>
      </c>
      <c r="CM360">
        <f t="shared" si="127"/>
        <v>0</v>
      </c>
      <c r="CN360">
        <f t="shared" si="126"/>
        <v>0</v>
      </c>
      <c r="CO360">
        <f t="shared" si="110"/>
        <v>0</v>
      </c>
    </row>
    <row r="361" spans="1:93" s="12" customFormat="1" ht="14.45" customHeight="1" x14ac:dyDescent="0.25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10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+VLOOKUP(G361,Liste!$A$7:$G$69,3,FALSE)</f>
        <v>Pin sylvestre</v>
      </c>
      <c r="BI361" s="96" t="str">
        <f>+VLOOKUP(H361,Liste!$B$7:$G$69,5,FALSE)</f>
        <v>GS Pineraies des plaines du Centre et du Nord Ouest</v>
      </c>
      <c r="BJ361" s="135">
        <f t="shared" si="109"/>
        <v>94</v>
      </c>
      <c r="BK361" s="135" t="str">
        <f t="shared" si="111"/>
        <v>Pin sylvestre_F1_Eclaircie tardive_GS Pineraies des plaines du Centre et du Nord Ouest_94_</v>
      </c>
      <c r="BL361" s="319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97" t="str">
        <f>+VLOOKUP(G361,Liste!$A$7:$H$69,8,FALSE)</f>
        <v>Résineux</v>
      </c>
      <c r="BU361" s="297">
        <f t="shared" si="112"/>
        <v>0</v>
      </c>
      <c r="BV361" s="299">
        <f t="shared" si="113"/>
        <v>1</v>
      </c>
      <c r="BW361" s="318">
        <v>0</v>
      </c>
      <c r="BX361" s="297">
        <f t="shared" si="114"/>
        <v>0.43</v>
      </c>
      <c r="BY361">
        <f t="shared" si="115"/>
        <v>0</v>
      </c>
      <c r="BZ361" s="303">
        <f t="shared" si="116"/>
        <v>0</v>
      </c>
      <c r="CB361" s="298">
        <v>0.6</v>
      </c>
      <c r="CC361" s="298">
        <v>0.4</v>
      </c>
      <c r="CD361">
        <f t="shared" si="117"/>
        <v>0</v>
      </c>
      <c r="CE361">
        <f t="shared" si="118"/>
        <v>0</v>
      </c>
      <c r="CF361">
        <f t="shared" si="119"/>
        <v>0</v>
      </c>
      <c r="CG361">
        <f t="shared" si="120"/>
        <v>0</v>
      </c>
      <c r="CH361">
        <f t="shared" si="121"/>
        <v>0</v>
      </c>
      <c r="CI361">
        <f t="shared" si="122"/>
        <v>0</v>
      </c>
      <c r="CJ361">
        <f t="shared" si="123"/>
        <v>0</v>
      </c>
      <c r="CK361">
        <f t="shared" si="124"/>
        <v>0</v>
      </c>
      <c r="CL361">
        <f t="shared" si="125"/>
        <v>0</v>
      </c>
      <c r="CM361">
        <f t="shared" si="127"/>
        <v>0</v>
      </c>
      <c r="CN361">
        <f t="shared" si="126"/>
        <v>0</v>
      </c>
      <c r="CO361">
        <f t="shared" si="110"/>
        <v>0</v>
      </c>
    </row>
    <row r="362" spans="1:93" s="12" customFormat="1" ht="14.45" customHeight="1" x14ac:dyDescent="0.25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10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+VLOOKUP(G362,Liste!$A$7:$G$69,3,FALSE)</f>
        <v>Pin sylvestre</v>
      </c>
      <c r="BI362" s="96" t="str">
        <f>+VLOOKUP(H362,Liste!$B$7:$G$69,5,FALSE)</f>
        <v>GS Pineraies des plaines du Centre et du Nord Ouest</v>
      </c>
      <c r="BJ362" s="135">
        <f t="shared" si="109"/>
        <v>95</v>
      </c>
      <c r="BK362" s="135" t="str">
        <f t="shared" si="111"/>
        <v>Pin sylvestre_F1_Eclaircie tardive_GS Pineraies des plaines du Centre et du Nord Ouest_95_</v>
      </c>
      <c r="BL362" s="319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97" t="str">
        <f>+VLOOKUP(G362,Liste!$A$7:$H$69,8,FALSE)</f>
        <v>Résineux</v>
      </c>
      <c r="BU362" s="297">
        <f t="shared" si="112"/>
        <v>0</v>
      </c>
      <c r="BV362" s="299">
        <f t="shared" si="113"/>
        <v>1</v>
      </c>
      <c r="BW362" s="318">
        <v>0</v>
      </c>
      <c r="BX362" s="297">
        <f t="shared" si="114"/>
        <v>0.43</v>
      </c>
      <c r="BY362">
        <f t="shared" si="115"/>
        <v>0</v>
      </c>
      <c r="BZ362" s="303">
        <f t="shared" si="116"/>
        <v>0</v>
      </c>
      <c r="CB362" s="298">
        <v>0.6</v>
      </c>
      <c r="CC362" s="298">
        <v>0.4</v>
      </c>
      <c r="CD362">
        <f t="shared" si="117"/>
        <v>0</v>
      </c>
      <c r="CE362">
        <f t="shared" si="118"/>
        <v>0</v>
      </c>
      <c r="CF362">
        <f t="shared" si="119"/>
        <v>0</v>
      </c>
      <c r="CG362">
        <f t="shared" si="120"/>
        <v>0</v>
      </c>
      <c r="CH362">
        <f t="shared" si="121"/>
        <v>0</v>
      </c>
      <c r="CI362">
        <f t="shared" si="122"/>
        <v>0</v>
      </c>
      <c r="CJ362">
        <f t="shared" si="123"/>
        <v>0</v>
      </c>
      <c r="CK362">
        <f t="shared" si="124"/>
        <v>0</v>
      </c>
      <c r="CL362">
        <f t="shared" si="125"/>
        <v>0</v>
      </c>
      <c r="CM362">
        <f t="shared" si="127"/>
        <v>0</v>
      </c>
      <c r="CN362">
        <f t="shared" si="126"/>
        <v>0</v>
      </c>
      <c r="CO362">
        <f t="shared" si="110"/>
        <v>0</v>
      </c>
    </row>
    <row r="363" spans="1:93" s="12" customFormat="1" ht="14.45" customHeight="1" x14ac:dyDescent="0.25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10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+VLOOKUP(G363,Liste!$A$7:$G$69,3,FALSE)</f>
        <v>Pin sylvestre</v>
      </c>
      <c r="BI363" s="96" t="str">
        <f>+VLOOKUP(H363,Liste!$B$7:$G$69,5,FALSE)</f>
        <v>GS Pineraies des plaines du Centre et du Nord Ouest</v>
      </c>
      <c r="BJ363" s="135">
        <f t="shared" si="109"/>
        <v>96</v>
      </c>
      <c r="BK363" s="135" t="str">
        <f t="shared" si="111"/>
        <v>Pin sylvestre_F1_Eclaircie tardive_GS Pineraies des plaines du Centre et du Nord Ouest_96_</v>
      </c>
      <c r="BL363" s="319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97" t="str">
        <f>+VLOOKUP(G363,Liste!$A$7:$H$69,8,FALSE)</f>
        <v>Résineux</v>
      </c>
      <c r="BU363" s="297">
        <f t="shared" si="112"/>
        <v>0</v>
      </c>
      <c r="BV363" s="299">
        <f t="shared" si="113"/>
        <v>1</v>
      </c>
      <c r="BW363" s="318">
        <v>0</v>
      </c>
      <c r="BX363" s="297">
        <f t="shared" si="114"/>
        <v>0.43</v>
      </c>
      <c r="BY363">
        <f t="shared" si="115"/>
        <v>0</v>
      </c>
      <c r="BZ363" s="303">
        <f t="shared" si="116"/>
        <v>0</v>
      </c>
      <c r="CB363" s="298">
        <v>0.6</v>
      </c>
      <c r="CC363" s="298">
        <v>0.4</v>
      </c>
      <c r="CD363">
        <f t="shared" si="117"/>
        <v>0</v>
      </c>
      <c r="CE363">
        <f t="shared" si="118"/>
        <v>0</v>
      </c>
      <c r="CF363">
        <f t="shared" si="119"/>
        <v>0</v>
      </c>
      <c r="CG363">
        <f t="shared" si="120"/>
        <v>0</v>
      </c>
      <c r="CH363">
        <f t="shared" si="121"/>
        <v>0</v>
      </c>
      <c r="CI363">
        <f t="shared" si="122"/>
        <v>0</v>
      </c>
      <c r="CJ363">
        <f t="shared" si="123"/>
        <v>0</v>
      </c>
      <c r="CK363">
        <f t="shared" si="124"/>
        <v>0</v>
      </c>
      <c r="CL363">
        <f t="shared" si="125"/>
        <v>0</v>
      </c>
      <c r="CM363">
        <f t="shared" si="127"/>
        <v>0</v>
      </c>
      <c r="CN363">
        <f t="shared" si="126"/>
        <v>0</v>
      </c>
      <c r="CO363">
        <f t="shared" si="110"/>
        <v>0</v>
      </c>
    </row>
    <row r="364" spans="1:93" s="12" customFormat="1" ht="14.45" customHeight="1" x14ac:dyDescent="0.25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10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+VLOOKUP(G364,Liste!$A$7:$G$69,3,FALSE)</f>
        <v>Pin sylvestre</v>
      </c>
      <c r="BI364" s="96" t="str">
        <f>+VLOOKUP(H364,Liste!$B$7:$G$69,5,FALSE)</f>
        <v>GS Pineraies des plaines du Centre et du Nord Ouest</v>
      </c>
      <c r="BJ364" s="135">
        <f t="shared" si="109"/>
        <v>97</v>
      </c>
      <c r="BK364" s="135" t="str">
        <f t="shared" si="111"/>
        <v>Pin sylvestre_F1_Eclaircie tardive_GS Pineraies des plaines du Centre et du Nord Ouest_97_</v>
      </c>
      <c r="BL364" s="319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97" t="str">
        <f>+VLOOKUP(G364,Liste!$A$7:$H$69,8,FALSE)</f>
        <v>Résineux</v>
      </c>
      <c r="BU364" s="297">
        <f t="shared" si="112"/>
        <v>0</v>
      </c>
      <c r="BV364" s="299">
        <f t="shared" si="113"/>
        <v>1</v>
      </c>
      <c r="BW364" s="318">
        <v>0</v>
      </c>
      <c r="BX364" s="297">
        <f t="shared" si="114"/>
        <v>0.43</v>
      </c>
      <c r="BY364">
        <f t="shared" si="115"/>
        <v>0</v>
      </c>
      <c r="BZ364" s="303">
        <f t="shared" si="116"/>
        <v>0</v>
      </c>
      <c r="CB364" s="298">
        <v>0.6</v>
      </c>
      <c r="CC364" s="298">
        <v>0.4</v>
      </c>
      <c r="CD364">
        <f t="shared" si="117"/>
        <v>0</v>
      </c>
      <c r="CE364">
        <f t="shared" si="118"/>
        <v>0</v>
      </c>
      <c r="CF364">
        <f t="shared" si="119"/>
        <v>0</v>
      </c>
      <c r="CG364">
        <f t="shared" si="120"/>
        <v>0</v>
      </c>
      <c r="CH364">
        <f t="shared" si="121"/>
        <v>0</v>
      </c>
      <c r="CI364">
        <f t="shared" si="122"/>
        <v>0</v>
      </c>
      <c r="CJ364">
        <f t="shared" si="123"/>
        <v>0</v>
      </c>
      <c r="CK364">
        <f t="shared" si="124"/>
        <v>0</v>
      </c>
      <c r="CL364">
        <f t="shared" si="125"/>
        <v>0</v>
      </c>
      <c r="CM364">
        <f t="shared" si="127"/>
        <v>0</v>
      </c>
      <c r="CN364">
        <f t="shared" si="126"/>
        <v>0</v>
      </c>
      <c r="CO364">
        <f t="shared" si="110"/>
        <v>0</v>
      </c>
    </row>
    <row r="365" spans="1:93" s="12" customFormat="1" ht="14.45" customHeight="1" x14ac:dyDescent="0.25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10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+VLOOKUP(G365,Liste!$A$7:$G$69,3,FALSE)</f>
        <v>Pin sylvestre</v>
      </c>
      <c r="BI365" s="96" t="str">
        <f>+VLOOKUP(H365,Liste!$B$7:$G$69,5,FALSE)</f>
        <v>GS Pineraies des plaines du Centre et du Nord Ouest</v>
      </c>
      <c r="BJ365" s="135">
        <f t="shared" si="109"/>
        <v>98</v>
      </c>
      <c r="BK365" s="135" t="str">
        <f t="shared" si="111"/>
        <v>Pin sylvestre_F1_Eclaircie tardive_GS Pineraies des plaines du Centre et du Nord Ouest_98_</v>
      </c>
      <c r="BL365" s="319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97" t="str">
        <f>+VLOOKUP(G365,Liste!$A$7:$H$69,8,FALSE)</f>
        <v>Résineux</v>
      </c>
      <c r="BU365" s="297">
        <f t="shared" si="112"/>
        <v>0</v>
      </c>
      <c r="BV365" s="299">
        <f t="shared" si="113"/>
        <v>1</v>
      </c>
      <c r="BW365" s="318">
        <v>0</v>
      </c>
      <c r="BX365" s="297">
        <f t="shared" si="114"/>
        <v>0.43</v>
      </c>
      <c r="BY365">
        <f t="shared" si="115"/>
        <v>0</v>
      </c>
      <c r="BZ365" s="303">
        <f t="shared" si="116"/>
        <v>0</v>
      </c>
      <c r="CB365" s="298">
        <v>0.6</v>
      </c>
      <c r="CC365" s="298">
        <v>0.4</v>
      </c>
      <c r="CD365">
        <f t="shared" si="117"/>
        <v>0</v>
      </c>
      <c r="CE365">
        <f t="shared" si="118"/>
        <v>0</v>
      </c>
      <c r="CF365">
        <f t="shared" si="119"/>
        <v>0</v>
      </c>
      <c r="CG365">
        <f t="shared" si="120"/>
        <v>0</v>
      </c>
      <c r="CH365">
        <f t="shared" si="121"/>
        <v>0</v>
      </c>
      <c r="CI365">
        <f t="shared" si="122"/>
        <v>0</v>
      </c>
      <c r="CJ365">
        <f t="shared" si="123"/>
        <v>0</v>
      </c>
      <c r="CK365">
        <f t="shared" si="124"/>
        <v>0</v>
      </c>
      <c r="CL365">
        <f t="shared" si="125"/>
        <v>0</v>
      </c>
      <c r="CM365">
        <f t="shared" si="127"/>
        <v>0</v>
      </c>
      <c r="CN365">
        <f t="shared" si="126"/>
        <v>0</v>
      </c>
      <c r="CO365">
        <f t="shared" si="110"/>
        <v>0</v>
      </c>
    </row>
    <row r="366" spans="1:93" s="12" customFormat="1" ht="14.45" customHeight="1" x14ac:dyDescent="0.25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10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+VLOOKUP(G366,Liste!$A$7:$G$69,3,FALSE)</f>
        <v>Pin sylvestre</v>
      </c>
      <c r="BI366" s="96" t="str">
        <f>+VLOOKUP(H366,Liste!$B$7:$G$69,5,FALSE)</f>
        <v>GS Pineraies des plaines du Centre et du Nord Ouest</v>
      </c>
      <c r="BJ366" s="135">
        <f t="shared" si="109"/>
        <v>99</v>
      </c>
      <c r="BK366" s="135" t="str">
        <f t="shared" si="111"/>
        <v>Pin sylvestre_F1_Eclaircie tardive_GS Pineraies des plaines du Centre et du Nord Ouest_99_</v>
      </c>
      <c r="BL366" s="319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97" t="str">
        <f>+VLOOKUP(G366,Liste!$A$7:$H$69,8,FALSE)</f>
        <v>Résineux</v>
      </c>
      <c r="BU366" s="297">
        <f t="shared" si="112"/>
        <v>0</v>
      </c>
      <c r="BV366" s="299">
        <f t="shared" si="113"/>
        <v>1</v>
      </c>
      <c r="BW366" s="318">
        <v>0</v>
      </c>
      <c r="BX366" s="297">
        <f t="shared" si="114"/>
        <v>0.43</v>
      </c>
      <c r="BY366">
        <f t="shared" si="115"/>
        <v>0</v>
      </c>
      <c r="BZ366" s="303">
        <f t="shared" si="116"/>
        <v>0</v>
      </c>
      <c r="CB366" s="298">
        <v>0.6</v>
      </c>
      <c r="CC366" s="298">
        <v>0.4</v>
      </c>
      <c r="CD366">
        <f t="shared" si="117"/>
        <v>0</v>
      </c>
      <c r="CE366">
        <f t="shared" si="118"/>
        <v>0</v>
      </c>
      <c r="CF366">
        <f t="shared" si="119"/>
        <v>0</v>
      </c>
      <c r="CG366">
        <f t="shared" si="120"/>
        <v>0</v>
      </c>
      <c r="CH366">
        <f t="shared" si="121"/>
        <v>0</v>
      </c>
      <c r="CI366">
        <f t="shared" si="122"/>
        <v>0</v>
      </c>
      <c r="CJ366">
        <f t="shared" si="123"/>
        <v>0</v>
      </c>
      <c r="CK366">
        <f t="shared" si="124"/>
        <v>0</v>
      </c>
      <c r="CL366">
        <f t="shared" si="125"/>
        <v>0</v>
      </c>
      <c r="CM366">
        <f t="shared" si="127"/>
        <v>0</v>
      </c>
      <c r="CN366">
        <f t="shared" si="126"/>
        <v>0</v>
      </c>
      <c r="CO366">
        <f t="shared" si="110"/>
        <v>0</v>
      </c>
    </row>
    <row r="367" spans="1:93" s="12" customFormat="1" ht="14.45" customHeight="1" x14ac:dyDescent="0.25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10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+VLOOKUP(G367,Liste!$A$7:$G$69,3,FALSE)</f>
        <v>Pin sylvestre</v>
      </c>
      <c r="BI367" s="96" t="str">
        <f>+VLOOKUP(H367,Liste!$B$7:$G$69,5,FALSE)</f>
        <v>GS Pineraies des plaines du Centre et du Nord Ouest</v>
      </c>
      <c r="BJ367" s="135">
        <f t="shared" si="109"/>
        <v>100</v>
      </c>
      <c r="BK367" s="135" t="str">
        <f t="shared" si="111"/>
        <v>Pin sylvestre_F1_Eclaircie tardive_GS Pineraies des plaines du Centre et du Nord Ouest_100_</v>
      </c>
      <c r="BL367" s="319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97" t="str">
        <f>+VLOOKUP(G367,Liste!$A$7:$H$69,8,FALSE)</f>
        <v>Résineux</v>
      </c>
      <c r="BU367" s="297">
        <f t="shared" si="112"/>
        <v>0</v>
      </c>
      <c r="BV367" s="299">
        <f t="shared" si="113"/>
        <v>1</v>
      </c>
      <c r="BW367" s="318">
        <v>0</v>
      </c>
      <c r="BX367" s="297">
        <f t="shared" si="114"/>
        <v>0.43</v>
      </c>
      <c r="BY367">
        <f t="shared" si="115"/>
        <v>0</v>
      </c>
      <c r="BZ367" s="303">
        <f t="shared" si="116"/>
        <v>0</v>
      </c>
      <c r="CB367" s="298">
        <v>0.6</v>
      </c>
      <c r="CC367" s="298">
        <v>0.4</v>
      </c>
      <c r="CD367">
        <f t="shared" si="117"/>
        <v>0</v>
      </c>
      <c r="CE367">
        <f t="shared" si="118"/>
        <v>0</v>
      </c>
      <c r="CF367">
        <f t="shared" si="119"/>
        <v>0</v>
      </c>
      <c r="CG367">
        <f t="shared" si="120"/>
        <v>0</v>
      </c>
      <c r="CH367">
        <f t="shared" si="121"/>
        <v>0</v>
      </c>
      <c r="CI367">
        <f t="shared" si="122"/>
        <v>0</v>
      </c>
      <c r="CJ367">
        <f t="shared" si="123"/>
        <v>0</v>
      </c>
      <c r="CK367">
        <f t="shared" si="124"/>
        <v>0</v>
      </c>
      <c r="CL367">
        <f t="shared" si="125"/>
        <v>0</v>
      </c>
      <c r="CM367">
        <f t="shared" si="127"/>
        <v>0</v>
      </c>
      <c r="CN367">
        <f t="shared" si="126"/>
        <v>0</v>
      </c>
      <c r="CO367">
        <f t="shared" si="110"/>
        <v>0</v>
      </c>
    </row>
    <row r="368" spans="1:93" s="12" customFormat="1" ht="14.45" customHeight="1" x14ac:dyDescent="0.25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10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+VLOOKUP(G368,Liste!$A$7:$G$69,3,FALSE)</f>
        <v>Pin sylvestre</v>
      </c>
      <c r="BI368" s="96" t="str">
        <f>+VLOOKUP(H368,Liste!$B$7:$G$69,5,FALSE)</f>
        <v>GS Pineraies des plaines du Centre et du Nord Ouest</v>
      </c>
      <c r="BJ368" s="135">
        <f t="shared" si="109"/>
        <v>101</v>
      </c>
      <c r="BK368" s="135" t="str">
        <f t="shared" si="111"/>
        <v>Pin sylvestre_F1_Eclaircie tardive_GS Pineraies des plaines du Centre et du Nord Ouest_101_</v>
      </c>
      <c r="BL368" s="319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97" t="str">
        <f>+VLOOKUP(G368,Liste!$A$7:$H$69,8,FALSE)</f>
        <v>Résineux</v>
      </c>
      <c r="BU368" s="297">
        <f t="shared" si="112"/>
        <v>0</v>
      </c>
      <c r="BV368" s="299">
        <f t="shared" si="113"/>
        <v>1</v>
      </c>
      <c r="BW368" s="318">
        <v>0</v>
      </c>
      <c r="BX368" s="297">
        <f t="shared" si="114"/>
        <v>0.43</v>
      </c>
      <c r="BY368">
        <f t="shared" si="115"/>
        <v>0</v>
      </c>
      <c r="BZ368" s="303">
        <f t="shared" si="116"/>
        <v>0</v>
      </c>
      <c r="CB368" s="298">
        <v>0.6</v>
      </c>
      <c r="CC368" s="298">
        <v>0.4</v>
      </c>
      <c r="CD368">
        <f t="shared" si="117"/>
        <v>0</v>
      </c>
      <c r="CE368">
        <f t="shared" si="118"/>
        <v>0</v>
      </c>
      <c r="CF368">
        <f t="shared" si="119"/>
        <v>0</v>
      </c>
      <c r="CG368">
        <f t="shared" si="120"/>
        <v>0</v>
      </c>
      <c r="CH368">
        <f t="shared" si="121"/>
        <v>0</v>
      </c>
      <c r="CI368">
        <f t="shared" si="122"/>
        <v>0</v>
      </c>
      <c r="CJ368">
        <f t="shared" si="123"/>
        <v>0</v>
      </c>
      <c r="CK368">
        <f t="shared" si="124"/>
        <v>0</v>
      </c>
      <c r="CL368">
        <f t="shared" si="125"/>
        <v>0</v>
      </c>
      <c r="CM368">
        <f t="shared" si="127"/>
        <v>0</v>
      </c>
      <c r="CN368">
        <f t="shared" si="126"/>
        <v>0</v>
      </c>
      <c r="CO368">
        <f t="shared" si="110"/>
        <v>0</v>
      </c>
    </row>
    <row r="369" spans="1:93" s="12" customFormat="1" ht="14.45" customHeight="1" x14ac:dyDescent="0.25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+VLOOKUP(G369,Liste!$A$7:$G$69,3,FALSE)</f>
        <v>Pin sylvestre</v>
      </c>
      <c r="BI369" s="96" t="str">
        <f>+VLOOKUP(H369,Liste!$B$7:$G$69,5,FALSE)</f>
        <v>GS Pineraies des plaines du Centre et du Nord Ouest</v>
      </c>
      <c r="BJ369" s="135">
        <f t="shared" si="109"/>
        <v>101</v>
      </c>
      <c r="BK369" s="135" t="str">
        <f t="shared" si="111"/>
        <v>Pin sylvestre_F1_Eclaircie tardive_GS Pineraies des plaines du Centre et du Nord Ouest_101_</v>
      </c>
      <c r="BL369" s="319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97" t="str">
        <f>+VLOOKUP(G369,Liste!$A$7:$H$69,8,FALSE)</f>
        <v>Résineux</v>
      </c>
      <c r="BU369" s="297">
        <f t="shared" si="112"/>
        <v>0</v>
      </c>
      <c r="BV369" s="299">
        <f t="shared" si="113"/>
        <v>1</v>
      </c>
      <c r="BW369" s="318">
        <v>0</v>
      </c>
      <c r="BX369" s="297">
        <f t="shared" si="114"/>
        <v>0.43</v>
      </c>
      <c r="BY369">
        <f t="shared" si="115"/>
        <v>0</v>
      </c>
      <c r="BZ369" s="303">
        <f t="shared" si="116"/>
        <v>0</v>
      </c>
      <c r="CB369" s="298">
        <v>0.6</v>
      </c>
      <c r="CC369" s="298">
        <v>0.4</v>
      </c>
      <c r="CD369">
        <f t="shared" si="117"/>
        <v>0</v>
      </c>
      <c r="CE369">
        <f t="shared" si="118"/>
        <v>0</v>
      </c>
      <c r="CF369">
        <f t="shared" si="119"/>
        <v>0</v>
      </c>
      <c r="CG369">
        <f t="shared" si="120"/>
        <v>0</v>
      </c>
      <c r="CH369">
        <f t="shared" si="121"/>
        <v>0</v>
      </c>
      <c r="CI369">
        <f t="shared" si="122"/>
        <v>0</v>
      </c>
      <c r="CJ369">
        <f t="shared" si="123"/>
        <v>0</v>
      </c>
      <c r="CK369">
        <f t="shared" si="124"/>
        <v>0</v>
      </c>
      <c r="CL369">
        <f t="shared" si="125"/>
        <v>0</v>
      </c>
      <c r="CM369">
        <f t="shared" si="127"/>
        <v>0</v>
      </c>
      <c r="CN369">
        <f t="shared" si="126"/>
        <v>0</v>
      </c>
      <c r="CO369">
        <f t="shared" si="110"/>
        <v>0</v>
      </c>
    </row>
    <row r="370" spans="1:93" s="12" customFormat="1" ht="14.45" customHeight="1" x14ac:dyDescent="0.25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10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+VLOOKUP(G370,Liste!$A$7:$G$69,3,FALSE)</f>
        <v>Pin sylvestre</v>
      </c>
      <c r="BI370" s="96" t="str">
        <f>+VLOOKUP(H370,Liste!$B$7:$G$69,5,FALSE)</f>
        <v>GS Pineraies des plaines du Centre et du Nord Ouest</v>
      </c>
      <c r="BJ370" s="135">
        <f t="shared" si="109"/>
        <v>102</v>
      </c>
      <c r="BK370" s="135" t="str">
        <f t="shared" si="111"/>
        <v>Pin sylvestre_F1_Eclaircie tardive_GS Pineraies des plaines du Centre et du Nord Ouest_102_</v>
      </c>
      <c r="BL370" s="319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97" t="str">
        <f>+VLOOKUP(G370,Liste!$A$7:$H$69,8,FALSE)</f>
        <v>Résineux</v>
      </c>
      <c r="BU370" s="297">
        <f t="shared" si="112"/>
        <v>0</v>
      </c>
      <c r="BV370" s="299">
        <f t="shared" si="113"/>
        <v>1</v>
      </c>
      <c r="BW370" s="318">
        <v>0</v>
      </c>
      <c r="BX370" s="297">
        <f t="shared" si="114"/>
        <v>0.43</v>
      </c>
      <c r="BY370">
        <f t="shared" si="115"/>
        <v>0</v>
      </c>
      <c r="BZ370" s="303">
        <f t="shared" si="116"/>
        <v>0</v>
      </c>
      <c r="CB370" s="298">
        <v>0.6</v>
      </c>
      <c r="CC370" s="298">
        <v>0.4</v>
      </c>
      <c r="CD370">
        <f t="shared" si="117"/>
        <v>0</v>
      </c>
      <c r="CE370">
        <f t="shared" si="118"/>
        <v>0</v>
      </c>
      <c r="CF370">
        <f t="shared" si="119"/>
        <v>0</v>
      </c>
      <c r="CG370">
        <f t="shared" si="120"/>
        <v>0</v>
      </c>
      <c r="CH370">
        <f t="shared" si="121"/>
        <v>0</v>
      </c>
      <c r="CI370">
        <f t="shared" si="122"/>
        <v>0</v>
      </c>
      <c r="CJ370">
        <f t="shared" si="123"/>
        <v>0</v>
      </c>
      <c r="CK370">
        <f t="shared" si="124"/>
        <v>0</v>
      </c>
      <c r="CL370">
        <f t="shared" si="125"/>
        <v>0</v>
      </c>
      <c r="CM370">
        <f t="shared" si="127"/>
        <v>0</v>
      </c>
      <c r="CN370">
        <f t="shared" si="126"/>
        <v>0</v>
      </c>
      <c r="CO370">
        <f t="shared" si="110"/>
        <v>0</v>
      </c>
    </row>
    <row r="371" spans="1:93" s="12" customFormat="1" ht="14.45" customHeight="1" x14ac:dyDescent="0.25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10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+VLOOKUP(G371,Liste!$A$7:$G$69,3,FALSE)</f>
        <v>Pin sylvestre</v>
      </c>
      <c r="BI371" s="96" t="str">
        <f>+VLOOKUP(H371,Liste!$B$7:$G$69,5,FALSE)</f>
        <v>GS Pineraies des plaines du Centre et du Nord Ouest</v>
      </c>
      <c r="BJ371" s="135">
        <f t="shared" si="109"/>
        <v>103</v>
      </c>
      <c r="BK371" s="135" t="str">
        <f t="shared" si="111"/>
        <v>Pin sylvestre_F1_Eclaircie tardive_GS Pineraies des plaines du Centre et du Nord Ouest_103_</v>
      </c>
      <c r="BL371" s="319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97" t="str">
        <f>+VLOOKUP(G371,Liste!$A$7:$H$69,8,FALSE)</f>
        <v>Résineux</v>
      </c>
      <c r="BU371" s="297">
        <f t="shared" si="112"/>
        <v>0</v>
      </c>
      <c r="BV371" s="299">
        <f t="shared" si="113"/>
        <v>1</v>
      </c>
      <c r="BW371" s="318">
        <v>0</v>
      </c>
      <c r="BX371" s="297">
        <f t="shared" si="114"/>
        <v>0.43</v>
      </c>
      <c r="BY371">
        <f t="shared" si="115"/>
        <v>0</v>
      </c>
      <c r="BZ371" s="303">
        <f t="shared" si="116"/>
        <v>0</v>
      </c>
      <c r="CB371" s="298">
        <v>0.6</v>
      </c>
      <c r="CC371" s="298">
        <v>0.4</v>
      </c>
      <c r="CD371">
        <f t="shared" si="117"/>
        <v>0</v>
      </c>
      <c r="CE371">
        <f t="shared" si="118"/>
        <v>0</v>
      </c>
      <c r="CF371">
        <f t="shared" si="119"/>
        <v>0</v>
      </c>
      <c r="CG371">
        <f t="shared" si="120"/>
        <v>0</v>
      </c>
      <c r="CH371">
        <f t="shared" si="121"/>
        <v>0</v>
      </c>
      <c r="CI371">
        <f t="shared" si="122"/>
        <v>0</v>
      </c>
      <c r="CJ371">
        <f t="shared" si="123"/>
        <v>0</v>
      </c>
      <c r="CK371">
        <f t="shared" si="124"/>
        <v>0</v>
      </c>
      <c r="CL371">
        <f t="shared" si="125"/>
        <v>0</v>
      </c>
      <c r="CM371">
        <f t="shared" si="127"/>
        <v>0</v>
      </c>
      <c r="CN371">
        <f t="shared" si="126"/>
        <v>0</v>
      </c>
      <c r="CO371">
        <f t="shared" si="110"/>
        <v>0</v>
      </c>
    </row>
    <row r="372" spans="1:93" s="12" customFormat="1" ht="14.45" customHeight="1" x14ac:dyDescent="0.25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10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+VLOOKUP(G372,Liste!$A$7:$G$69,3,FALSE)</f>
        <v>Pin sylvestre</v>
      </c>
      <c r="BI372" s="96" t="str">
        <f>+VLOOKUP(H372,Liste!$B$7:$G$69,5,FALSE)</f>
        <v>GS Pineraies des plaines du Centre et du Nord Ouest</v>
      </c>
      <c r="BJ372" s="135">
        <f t="shared" si="109"/>
        <v>104</v>
      </c>
      <c r="BK372" s="135" t="str">
        <f t="shared" si="111"/>
        <v>Pin sylvestre_F1_Eclaircie tardive_GS Pineraies des plaines du Centre et du Nord Ouest_104_</v>
      </c>
      <c r="BL372" s="319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97" t="str">
        <f>+VLOOKUP(G372,Liste!$A$7:$H$69,8,FALSE)</f>
        <v>Résineux</v>
      </c>
      <c r="BU372" s="297">
        <f t="shared" si="112"/>
        <v>0</v>
      </c>
      <c r="BV372" s="299">
        <f t="shared" si="113"/>
        <v>1</v>
      </c>
      <c r="BW372" s="318">
        <v>0</v>
      </c>
      <c r="BX372" s="297">
        <f t="shared" si="114"/>
        <v>0.43</v>
      </c>
      <c r="BY372">
        <f t="shared" si="115"/>
        <v>0</v>
      </c>
      <c r="BZ372" s="303">
        <f t="shared" si="116"/>
        <v>0</v>
      </c>
      <c r="CB372" s="298">
        <v>0.6</v>
      </c>
      <c r="CC372" s="298">
        <v>0.4</v>
      </c>
      <c r="CD372">
        <f t="shared" si="117"/>
        <v>0</v>
      </c>
      <c r="CE372">
        <f t="shared" si="118"/>
        <v>0</v>
      </c>
      <c r="CF372">
        <f t="shared" si="119"/>
        <v>0</v>
      </c>
      <c r="CG372">
        <f t="shared" si="120"/>
        <v>0</v>
      </c>
      <c r="CH372">
        <f t="shared" si="121"/>
        <v>0</v>
      </c>
      <c r="CI372">
        <f t="shared" si="122"/>
        <v>0</v>
      </c>
      <c r="CJ372">
        <f t="shared" si="123"/>
        <v>0</v>
      </c>
      <c r="CK372">
        <f t="shared" si="124"/>
        <v>0</v>
      </c>
      <c r="CL372">
        <f t="shared" si="125"/>
        <v>0</v>
      </c>
      <c r="CM372">
        <f t="shared" si="127"/>
        <v>0</v>
      </c>
      <c r="CN372">
        <f t="shared" si="126"/>
        <v>0</v>
      </c>
      <c r="CO372">
        <f t="shared" si="110"/>
        <v>0</v>
      </c>
    </row>
    <row r="373" spans="1:93" s="12" customFormat="1" ht="14.45" customHeight="1" x14ac:dyDescent="0.25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10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+VLOOKUP(G373,Liste!$A$7:$G$69,3,FALSE)</f>
        <v>Pin sylvestre</v>
      </c>
      <c r="BI373" s="96" t="str">
        <f>+VLOOKUP(H373,Liste!$B$7:$G$69,5,FALSE)</f>
        <v>GS Pineraies des plaines du Centre et du Nord Ouest</v>
      </c>
      <c r="BJ373" s="135">
        <f t="shared" si="109"/>
        <v>105</v>
      </c>
      <c r="BK373" s="135" t="str">
        <f t="shared" si="111"/>
        <v>Pin sylvestre_F1_Eclaircie tardive_GS Pineraies des plaines du Centre et du Nord Ouest_105_</v>
      </c>
      <c r="BL373" s="319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97" t="str">
        <f>+VLOOKUP(G373,Liste!$A$7:$H$69,8,FALSE)</f>
        <v>Résineux</v>
      </c>
      <c r="BU373" s="297">
        <f t="shared" si="112"/>
        <v>0</v>
      </c>
      <c r="BV373" s="299">
        <f t="shared" si="113"/>
        <v>1</v>
      </c>
      <c r="BW373" s="318">
        <v>0</v>
      </c>
      <c r="BX373" s="297">
        <f t="shared" si="114"/>
        <v>0.43</v>
      </c>
      <c r="BY373">
        <f t="shared" si="115"/>
        <v>0</v>
      </c>
      <c r="BZ373" s="303">
        <f t="shared" si="116"/>
        <v>0</v>
      </c>
      <c r="CB373" s="298">
        <v>0.6</v>
      </c>
      <c r="CC373" s="298">
        <v>0.4</v>
      </c>
      <c r="CD373">
        <f t="shared" si="117"/>
        <v>0</v>
      </c>
      <c r="CE373">
        <f t="shared" si="118"/>
        <v>0</v>
      </c>
      <c r="CF373">
        <f t="shared" si="119"/>
        <v>0</v>
      </c>
      <c r="CG373">
        <f t="shared" si="120"/>
        <v>0</v>
      </c>
      <c r="CH373">
        <f t="shared" si="121"/>
        <v>0</v>
      </c>
      <c r="CI373">
        <f t="shared" si="122"/>
        <v>0</v>
      </c>
      <c r="CJ373">
        <f t="shared" si="123"/>
        <v>0</v>
      </c>
      <c r="CK373">
        <f t="shared" si="124"/>
        <v>0</v>
      </c>
      <c r="CL373">
        <f t="shared" si="125"/>
        <v>0</v>
      </c>
      <c r="CM373">
        <f t="shared" si="127"/>
        <v>0</v>
      </c>
      <c r="CN373">
        <f t="shared" si="126"/>
        <v>0</v>
      </c>
      <c r="CO373">
        <f t="shared" si="110"/>
        <v>0</v>
      </c>
    </row>
    <row r="374" spans="1:93" s="12" customFormat="1" ht="14.45" customHeight="1" x14ac:dyDescent="0.25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10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+VLOOKUP(G374,Liste!$A$7:$G$69,3,FALSE)</f>
        <v>Pin sylvestre</v>
      </c>
      <c r="BI374" s="96" t="str">
        <f>+VLOOKUP(H374,Liste!$B$7:$G$69,5,FALSE)</f>
        <v>GS Pineraies des plaines du Centre et du Nord Ouest</v>
      </c>
      <c r="BJ374" s="135">
        <f t="shared" si="109"/>
        <v>106</v>
      </c>
      <c r="BK374" s="135" t="str">
        <f t="shared" si="111"/>
        <v>Pin sylvestre_F1_Eclaircie tardive_GS Pineraies des plaines du Centre et du Nord Ouest_106_</v>
      </c>
      <c r="BL374" s="319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97" t="str">
        <f>+VLOOKUP(G374,Liste!$A$7:$H$69,8,FALSE)</f>
        <v>Résineux</v>
      </c>
      <c r="BU374" s="297">
        <f t="shared" si="112"/>
        <v>0</v>
      </c>
      <c r="BV374" s="299">
        <f t="shared" si="113"/>
        <v>1</v>
      </c>
      <c r="BW374" s="318">
        <v>0</v>
      </c>
      <c r="BX374" s="297">
        <f t="shared" si="114"/>
        <v>0.43</v>
      </c>
      <c r="BY374">
        <f t="shared" si="115"/>
        <v>0</v>
      </c>
      <c r="BZ374" s="303">
        <f t="shared" si="116"/>
        <v>0</v>
      </c>
      <c r="CB374" s="298">
        <v>0.6</v>
      </c>
      <c r="CC374" s="298">
        <v>0.4</v>
      </c>
      <c r="CD374">
        <f t="shared" si="117"/>
        <v>0</v>
      </c>
      <c r="CE374">
        <f t="shared" si="118"/>
        <v>0</v>
      </c>
      <c r="CF374">
        <f t="shared" si="119"/>
        <v>0</v>
      </c>
      <c r="CG374">
        <f t="shared" si="120"/>
        <v>0</v>
      </c>
      <c r="CH374">
        <f t="shared" si="121"/>
        <v>0</v>
      </c>
      <c r="CI374">
        <f t="shared" si="122"/>
        <v>0</v>
      </c>
      <c r="CJ374">
        <f t="shared" si="123"/>
        <v>0</v>
      </c>
      <c r="CK374">
        <f t="shared" si="124"/>
        <v>0</v>
      </c>
      <c r="CL374">
        <f t="shared" si="125"/>
        <v>0</v>
      </c>
      <c r="CM374">
        <f t="shared" si="127"/>
        <v>0</v>
      </c>
      <c r="CN374">
        <f t="shared" si="126"/>
        <v>0</v>
      </c>
      <c r="CO374">
        <f t="shared" si="110"/>
        <v>0</v>
      </c>
    </row>
    <row r="375" spans="1:93" s="12" customFormat="1" ht="14.45" customHeight="1" x14ac:dyDescent="0.25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10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+VLOOKUP(G375,Liste!$A$7:$G$69,3,FALSE)</f>
        <v>Pin sylvestre</v>
      </c>
      <c r="BI375" s="96" t="str">
        <f>+VLOOKUP(H375,Liste!$B$7:$G$69,5,FALSE)</f>
        <v>GS Pineraies des plaines du Centre et du Nord Ouest</v>
      </c>
      <c r="BJ375" s="135">
        <f t="shared" si="109"/>
        <v>107</v>
      </c>
      <c r="BK375" s="135" t="str">
        <f t="shared" si="111"/>
        <v>Pin sylvestre_F1_Eclaircie tardive_GS Pineraies des plaines du Centre et du Nord Ouest_107_</v>
      </c>
      <c r="BL375" s="319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97" t="str">
        <f>+VLOOKUP(G375,Liste!$A$7:$H$69,8,FALSE)</f>
        <v>Résineux</v>
      </c>
      <c r="BU375" s="297">
        <f t="shared" si="112"/>
        <v>0</v>
      </c>
      <c r="BV375" s="299">
        <f t="shared" si="113"/>
        <v>1</v>
      </c>
      <c r="BW375" s="318">
        <v>0</v>
      </c>
      <c r="BX375" s="297">
        <f t="shared" si="114"/>
        <v>0.43</v>
      </c>
      <c r="BY375">
        <f t="shared" si="115"/>
        <v>0</v>
      </c>
      <c r="BZ375" s="303">
        <f t="shared" si="116"/>
        <v>0</v>
      </c>
      <c r="CB375" s="298">
        <v>0.6</v>
      </c>
      <c r="CC375" s="298">
        <v>0.4</v>
      </c>
      <c r="CD375">
        <f t="shared" si="117"/>
        <v>0</v>
      </c>
      <c r="CE375">
        <f t="shared" si="118"/>
        <v>0</v>
      </c>
      <c r="CF375">
        <f t="shared" si="119"/>
        <v>0</v>
      </c>
      <c r="CG375">
        <f t="shared" si="120"/>
        <v>0</v>
      </c>
      <c r="CH375">
        <f t="shared" si="121"/>
        <v>0</v>
      </c>
      <c r="CI375">
        <f t="shared" si="122"/>
        <v>0</v>
      </c>
      <c r="CJ375">
        <f t="shared" si="123"/>
        <v>0</v>
      </c>
      <c r="CK375">
        <f t="shared" si="124"/>
        <v>0</v>
      </c>
      <c r="CL375">
        <f t="shared" si="125"/>
        <v>0</v>
      </c>
      <c r="CM375">
        <f t="shared" si="127"/>
        <v>0</v>
      </c>
      <c r="CN375">
        <f t="shared" si="126"/>
        <v>0</v>
      </c>
      <c r="CO375">
        <f t="shared" si="110"/>
        <v>0</v>
      </c>
    </row>
    <row r="376" spans="1:93" s="12" customFormat="1" ht="14.45" customHeight="1" x14ac:dyDescent="0.25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10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+VLOOKUP(G376,Liste!$A$7:$G$69,3,FALSE)</f>
        <v>Pin sylvestre</v>
      </c>
      <c r="BI376" s="96" t="str">
        <f>+VLOOKUP(H376,Liste!$B$7:$G$69,5,FALSE)</f>
        <v>GS Pineraies des plaines du Centre et du Nord Ouest</v>
      </c>
      <c r="BJ376" s="135">
        <f t="shared" si="109"/>
        <v>108</v>
      </c>
      <c r="BK376" s="135" t="str">
        <f t="shared" si="111"/>
        <v>Pin sylvestre_F1_Eclaircie tardive_GS Pineraies des plaines du Centre et du Nord Ouest_108_</v>
      </c>
      <c r="BL376" s="319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97" t="str">
        <f>+VLOOKUP(G376,Liste!$A$7:$H$69,8,FALSE)</f>
        <v>Résineux</v>
      </c>
      <c r="BU376" s="297">
        <f t="shared" si="112"/>
        <v>0</v>
      </c>
      <c r="BV376" s="299">
        <f t="shared" si="113"/>
        <v>1</v>
      </c>
      <c r="BW376" s="318">
        <v>0</v>
      </c>
      <c r="BX376" s="297">
        <f t="shared" si="114"/>
        <v>0.43</v>
      </c>
      <c r="BY376">
        <f t="shared" si="115"/>
        <v>0</v>
      </c>
      <c r="BZ376" s="303">
        <f t="shared" si="116"/>
        <v>0</v>
      </c>
      <c r="CB376" s="298">
        <v>0.6</v>
      </c>
      <c r="CC376" s="298">
        <v>0.4</v>
      </c>
      <c r="CD376">
        <f t="shared" si="117"/>
        <v>0</v>
      </c>
      <c r="CE376">
        <f t="shared" si="118"/>
        <v>0</v>
      </c>
      <c r="CF376">
        <f t="shared" si="119"/>
        <v>0</v>
      </c>
      <c r="CG376">
        <f t="shared" si="120"/>
        <v>0</v>
      </c>
      <c r="CH376">
        <f t="shared" si="121"/>
        <v>0</v>
      </c>
      <c r="CI376">
        <f t="shared" si="122"/>
        <v>0</v>
      </c>
      <c r="CJ376">
        <f t="shared" si="123"/>
        <v>0</v>
      </c>
      <c r="CK376">
        <f t="shared" si="124"/>
        <v>0</v>
      </c>
      <c r="CL376">
        <f t="shared" si="125"/>
        <v>0</v>
      </c>
      <c r="CM376">
        <f t="shared" si="127"/>
        <v>0</v>
      </c>
      <c r="CN376">
        <f t="shared" si="126"/>
        <v>0</v>
      </c>
      <c r="CO376">
        <f t="shared" si="110"/>
        <v>0</v>
      </c>
    </row>
    <row r="377" spans="1:93" s="12" customFormat="1" ht="14.45" customHeight="1" x14ac:dyDescent="0.25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10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+VLOOKUP(G377,Liste!$A$7:$G$69,3,FALSE)</f>
        <v>Pin sylvestre</v>
      </c>
      <c r="BI377" s="96" t="str">
        <f>+VLOOKUP(H377,Liste!$B$7:$G$69,5,FALSE)</f>
        <v>GS Pineraies des plaines du Centre et du Nord Ouest</v>
      </c>
      <c r="BJ377" s="135">
        <f t="shared" si="109"/>
        <v>109</v>
      </c>
      <c r="BK377" s="135" t="str">
        <f t="shared" si="111"/>
        <v>Pin sylvestre_F1_Eclaircie tardive_GS Pineraies des plaines du Centre et du Nord Ouest_109_</v>
      </c>
      <c r="BL377" s="319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97" t="str">
        <f>+VLOOKUP(G377,Liste!$A$7:$H$69,8,FALSE)</f>
        <v>Résineux</v>
      </c>
      <c r="BU377" s="297">
        <f t="shared" si="112"/>
        <v>0</v>
      </c>
      <c r="BV377" s="299">
        <f t="shared" si="113"/>
        <v>1</v>
      </c>
      <c r="BW377" s="318">
        <v>0</v>
      </c>
      <c r="BX377" s="297">
        <f t="shared" si="114"/>
        <v>0.43</v>
      </c>
      <c r="BY377">
        <f t="shared" si="115"/>
        <v>0</v>
      </c>
      <c r="BZ377" s="303">
        <f t="shared" si="116"/>
        <v>0</v>
      </c>
      <c r="CB377" s="298">
        <v>0.6</v>
      </c>
      <c r="CC377" s="298">
        <v>0.4</v>
      </c>
      <c r="CD377">
        <f t="shared" si="117"/>
        <v>0</v>
      </c>
      <c r="CE377">
        <f t="shared" si="118"/>
        <v>0</v>
      </c>
      <c r="CF377">
        <f t="shared" si="119"/>
        <v>0</v>
      </c>
      <c r="CG377">
        <f t="shared" si="120"/>
        <v>0</v>
      </c>
      <c r="CH377">
        <f t="shared" si="121"/>
        <v>0</v>
      </c>
      <c r="CI377">
        <f t="shared" si="122"/>
        <v>0</v>
      </c>
      <c r="CJ377">
        <f t="shared" si="123"/>
        <v>0</v>
      </c>
      <c r="CK377">
        <f t="shared" si="124"/>
        <v>0</v>
      </c>
      <c r="CL377">
        <f t="shared" si="125"/>
        <v>0</v>
      </c>
      <c r="CM377">
        <f t="shared" si="127"/>
        <v>0</v>
      </c>
      <c r="CN377">
        <f t="shared" si="126"/>
        <v>0</v>
      </c>
      <c r="CO377">
        <f t="shared" si="110"/>
        <v>0</v>
      </c>
    </row>
    <row r="378" spans="1:93" s="12" customFormat="1" ht="14.45" customHeight="1" x14ac:dyDescent="0.25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10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+VLOOKUP(G378,Liste!$A$7:$G$69,3,FALSE)</f>
        <v>Pin sylvestre</v>
      </c>
      <c r="BI378" s="96" t="str">
        <f>+VLOOKUP(H378,Liste!$B$7:$G$69,5,FALSE)</f>
        <v>GS Pineraies des plaines du Centre et du Nord Ouest</v>
      </c>
      <c r="BJ378" s="135">
        <f t="shared" si="109"/>
        <v>110</v>
      </c>
      <c r="BK378" s="135" t="str">
        <f t="shared" si="111"/>
        <v>Pin sylvestre_F1_Eclaircie tardive_GS Pineraies des plaines du Centre et du Nord Ouest_110_</v>
      </c>
      <c r="BL378" s="319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97" t="str">
        <f>+VLOOKUP(G378,Liste!$A$7:$H$69,8,FALSE)</f>
        <v>Résineux</v>
      </c>
      <c r="BU378" s="297">
        <f t="shared" si="112"/>
        <v>0</v>
      </c>
      <c r="BV378" s="299">
        <f t="shared" si="113"/>
        <v>1</v>
      </c>
      <c r="BW378" s="318">
        <v>0</v>
      </c>
      <c r="BX378" s="297">
        <f t="shared" si="114"/>
        <v>0.43</v>
      </c>
      <c r="BY378">
        <f t="shared" si="115"/>
        <v>0</v>
      </c>
      <c r="BZ378" s="303">
        <f t="shared" si="116"/>
        <v>0</v>
      </c>
      <c r="CB378" s="298">
        <v>0.6</v>
      </c>
      <c r="CC378" s="298">
        <v>0.4</v>
      </c>
      <c r="CD378">
        <f t="shared" si="117"/>
        <v>0</v>
      </c>
      <c r="CE378">
        <f t="shared" si="118"/>
        <v>0</v>
      </c>
      <c r="CF378">
        <f t="shared" si="119"/>
        <v>0</v>
      </c>
      <c r="CG378">
        <f t="shared" si="120"/>
        <v>0</v>
      </c>
      <c r="CH378">
        <f t="shared" si="121"/>
        <v>0</v>
      </c>
      <c r="CI378">
        <f t="shared" si="122"/>
        <v>0</v>
      </c>
      <c r="CJ378">
        <f t="shared" si="123"/>
        <v>0</v>
      </c>
      <c r="CK378">
        <f t="shared" si="124"/>
        <v>0</v>
      </c>
      <c r="CL378">
        <f t="shared" si="125"/>
        <v>0</v>
      </c>
      <c r="CM378">
        <f t="shared" si="127"/>
        <v>0</v>
      </c>
      <c r="CN378">
        <f t="shared" si="126"/>
        <v>0</v>
      </c>
      <c r="CO378">
        <f t="shared" si="110"/>
        <v>0</v>
      </c>
    </row>
    <row r="379" spans="1:93" s="12" customFormat="1" ht="14.45" customHeight="1" x14ac:dyDescent="0.25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10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+VLOOKUP(G379,Liste!$A$7:$G$69,3,FALSE)</f>
        <v>Pin sylvestre</v>
      </c>
      <c r="BI379" s="96" t="str">
        <f>+VLOOKUP(H379,Liste!$B$7:$G$69,5,FALSE)</f>
        <v>GS Pineraies des plaines du Centre et du Nord Ouest</v>
      </c>
      <c r="BJ379" s="135">
        <f t="shared" si="109"/>
        <v>111</v>
      </c>
      <c r="BK379" s="135" t="str">
        <f t="shared" si="111"/>
        <v>Pin sylvestre_F1_Eclaircie tardive_GS Pineraies des plaines du Centre et du Nord Ouest_111_</v>
      </c>
      <c r="BL379" s="319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97" t="str">
        <f>+VLOOKUP(G379,Liste!$A$7:$H$69,8,FALSE)</f>
        <v>Résineux</v>
      </c>
      <c r="BU379" s="297">
        <f t="shared" si="112"/>
        <v>0</v>
      </c>
      <c r="BV379" s="299">
        <f t="shared" si="113"/>
        <v>1</v>
      </c>
      <c r="BW379" s="318">
        <v>0</v>
      </c>
      <c r="BX379" s="297">
        <f t="shared" si="114"/>
        <v>0.43</v>
      </c>
      <c r="BY379">
        <f t="shared" si="115"/>
        <v>0</v>
      </c>
      <c r="BZ379" s="303">
        <f t="shared" si="116"/>
        <v>0</v>
      </c>
      <c r="CB379" s="298">
        <v>0.6</v>
      </c>
      <c r="CC379" s="298">
        <v>0.4</v>
      </c>
      <c r="CD379">
        <f t="shared" si="117"/>
        <v>0</v>
      </c>
      <c r="CE379">
        <f t="shared" si="118"/>
        <v>0</v>
      </c>
      <c r="CF379">
        <f t="shared" si="119"/>
        <v>0</v>
      </c>
      <c r="CG379">
        <f t="shared" si="120"/>
        <v>0</v>
      </c>
      <c r="CH379">
        <f t="shared" si="121"/>
        <v>0</v>
      </c>
      <c r="CI379">
        <f t="shared" si="122"/>
        <v>0</v>
      </c>
      <c r="CJ379">
        <f t="shared" si="123"/>
        <v>0</v>
      </c>
      <c r="CK379">
        <f t="shared" si="124"/>
        <v>0</v>
      </c>
      <c r="CL379">
        <f t="shared" si="125"/>
        <v>0</v>
      </c>
      <c r="CM379">
        <f t="shared" si="127"/>
        <v>0</v>
      </c>
      <c r="CN379">
        <f t="shared" si="126"/>
        <v>0</v>
      </c>
      <c r="CO379">
        <f t="shared" si="110"/>
        <v>0</v>
      </c>
    </row>
    <row r="380" spans="1:93" s="12" customFormat="1" ht="14.45" customHeight="1" x14ac:dyDescent="0.25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+VLOOKUP(G380,Liste!$A$7:$G$69,3,FALSE)</f>
        <v>Pin sylvestre</v>
      </c>
      <c r="BI380" s="96" t="str">
        <f>+VLOOKUP(H380,Liste!$B$7:$G$69,5,FALSE)</f>
        <v>GS Pineraies des plaines du Centre et du Nord Ouest</v>
      </c>
      <c r="BJ380" s="135">
        <f t="shared" si="109"/>
        <v>111</v>
      </c>
      <c r="BK380" s="135" t="str">
        <f t="shared" si="111"/>
        <v>Pin sylvestre_F1_Eclaircie tardive_GS Pineraies des plaines du Centre et du Nord Ouest_111_</v>
      </c>
      <c r="BL380" s="319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97" t="str">
        <f>+VLOOKUP(G380,Liste!$A$7:$H$69,8,FALSE)</f>
        <v>Résineux</v>
      </c>
      <c r="BU380" s="297">
        <f t="shared" si="112"/>
        <v>0</v>
      </c>
      <c r="BV380" s="299">
        <f t="shared" si="113"/>
        <v>1</v>
      </c>
      <c r="BW380" s="318">
        <v>0</v>
      </c>
      <c r="BX380" s="297">
        <f t="shared" si="114"/>
        <v>0.43</v>
      </c>
      <c r="BY380">
        <f t="shared" si="115"/>
        <v>0</v>
      </c>
      <c r="BZ380" s="303">
        <f t="shared" si="116"/>
        <v>0</v>
      </c>
      <c r="CB380" s="298">
        <v>0.6</v>
      </c>
      <c r="CC380" s="298">
        <v>0.4</v>
      </c>
      <c r="CD380">
        <f t="shared" si="117"/>
        <v>0</v>
      </c>
      <c r="CE380">
        <f t="shared" si="118"/>
        <v>0</v>
      </c>
      <c r="CF380">
        <f t="shared" si="119"/>
        <v>0</v>
      </c>
      <c r="CG380">
        <f t="shared" si="120"/>
        <v>0</v>
      </c>
      <c r="CH380">
        <f t="shared" si="121"/>
        <v>0</v>
      </c>
      <c r="CI380">
        <f t="shared" si="122"/>
        <v>0</v>
      </c>
      <c r="CJ380">
        <f t="shared" si="123"/>
        <v>0</v>
      </c>
      <c r="CK380">
        <f t="shared" si="124"/>
        <v>0</v>
      </c>
      <c r="CL380">
        <f t="shared" si="125"/>
        <v>0</v>
      </c>
      <c r="CM380">
        <f t="shared" si="127"/>
        <v>0</v>
      </c>
      <c r="CN380">
        <f t="shared" si="126"/>
        <v>0</v>
      </c>
      <c r="CO380">
        <f t="shared" si="110"/>
        <v>0</v>
      </c>
    </row>
    <row r="381" spans="1:93" s="12" customFormat="1" ht="14.45" customHeight="1" x14ac:dyDescent="0.25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10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+VLOOKUP(G381,Liste!$A$7:$G$69,3,FALSE)</f>
        <v>Pin sylvestre</v>
      </c>
      <c r="BI381" s="96" t="str">
        <f>+VLOOKUP(H381,Liste!$B$7:$G$69,5,FALSE)</f>
        <v>GS Pineraies des plaines du Centre et du Nord Ouest</v>
      </c>
      <c r="BJ381" s="135">
        <f t="shared" si="109"/>
        <v>112</v>
      </c>
      <c r="BK381" s="135" t="str">
        <f t="shared" si="111"/>
        <v>Pin sylvestre_F1_Eclaircie tardive_GS Pineraies des plaines du Centre et du Nord Ouest_112_</v>
      </c>
      <c r="BL381" s="319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97" t="str">
        <f>+VLOOKUP(G381,Liste!$A$7:$H$69,8,FALSE)</f>
        <v>Résineux</v>
      </c>
      <c r="BU381" s="297">
        <f t="shared" si="112"/>
        <v>0</v>
      </c>
      <c r="BV381" s="299">
        <f t="shared" si="113"/>
        <v>1</v>
      </c>
      <c r="BW381" s="318">
        <v>0</v>
      </c>
      <c r="BX381" s="297">
        <f t="shared" si="114"/>
        <v>0.43</v>
      </c>
      <c r="BY381">
        <f t="shared" si="115"/>
        <v>0</v>
      </c>
      <c r="BZ381" s="303">
        <f t="shared" si="116"/>
        <v>0</v>
      </c>
      <c r="CB381" s="298">
        <v>0.6</v>
      </c>
      <c r="CC381" s="298">
        <v>0.4</v>
      </c>
      <c r="CD381">
        <f t="shared" si="117"/>
        <v>0</v>
      </c>
      <c r="CE381">
        <f t="shared" si="118"/>
        <v>0</v>
      </c>
      <c r="CF381">
        <f t="shared" si="119"/>
        <v>0</v>
      </c>
      <c r="CG381">
        <f t="shared" si="120"/>
        <v>0</v>
      </c>
      <c r="CH381">
        <f t="shared" si="121"/>
        <v>0</v>
      </c>
      <c r="CI381">
        <f t="shared" si="122"/>
        <v>0</v>
      </c>
      <c r="CJ381">
        <f t="shared" si="123"/>
        <v>0</v>
      </c>
      <c r="CK381">
        <f t="shared" si="124"/>
        <v>0</v>
      </c>
      <c r="CL381">
        <f t="shared" si="125"/>
        <v>0</v>
      </c>
      <c r="CM381">
        <f t="shared" si="127"/>
        <v>0</v>
      </c>
      <c r="CN381">
        <f t="shared" si="126"/>
        <v>0</v>
      </c>
      <c r="CO381">
        <f t="shared" si="110"/>
        <v>0</v>
      </c>
    </row>
    <row r="382" spans="1:93" s="12" customFormat="1" ht="14.45" customHeight="1" x14ac:dyDescent="0.25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10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+VLOOKUP(G382,Liste!$A$7:$G$69,3,FALSE)</f>
        <v>Pin sylvestre</v>
      </c>
      <c r="BI382" s="96" t="str">
        <f>+VLOOKUP(H382,Liste!$B$7:$G$69,5,FALSE)</f>
        <v>GS Pineraies des plaines du Centre et du Nord Ouest</v>
      </c>
      <c r="BJ382" s="135">
        <f t="shared" si="109"/>
        <v>113</v>
      </c>
      <c r="BK382" s="135" t="str">
        <f t="shared" si="111"/>
        <v>Pin sylvestre_F1_Eclaircie tardive_GS Pineraies des plaines du Centre et du Nord Ouest_113_</v>
      </c>
      <c r="BL382" s="319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97" t="str">
        <f>+VLOOKUP(G382,Liste!$A$7:$H$69,8,FALSE)</f>
        <v>Résineux</v>
      </c>
      <c r="BU382" s="297">
        <f t="shared" si="112"/>
        <v>0</v>
      </c>
      <c r="BV382" s="299">
        <f t="shared" si="113"/>
        <v>1</v>
      </c>
      <c r="BW382" s="318">
        <v>0</v>
      </c>
      <c r="BX382" s="297">
        <f t="shared" si="114"/>
        <v>0.43</v>
      </c>
      <c r="BY382">
        <f t="shared" si="115"/>
        <v>0</v>
      </c>
      <c r="BZ382" s="303">
        <f t="shared" si="116"/>
        <v>0</v>
      </c>
      <c r="CB382" s="298">
        <v>0.6</v>
      </c>
      <c r="CC382" s="298">
        <v>0.4</v>
      </c>
      <c r="CD382">
        <f t="shared" si="117"/>
        <v>0</v>
      </c>
      <c r="CE382">
        <f t="shared" si="118"/>
        <v>0</v>
      </c>
      <c r="CF382">
        <f t="shared" si="119"/>
        <v>0</v>
      </c>
      <c r="CG382">
        <f t="shared" si="120"/>
        <v>0</v>
      </c>
      <c r="CH382">
        <f t="shared" si="121"/>
        <v>0</v>
      </c>
      <c r="CI382">
        <f t="shared" si="122"/>
        <v>0</v>
      </c>
      <c r="CJ382">
        <f t="shared" si="123"/>
        <v>0</v>
      </c>
      <c r="CK382">
        <f t="shared" si="124"/>
        <v>0</v>
      </c>
      <c r="CL382">
        <f t="shared" si="125"/>
        <v>0</v>
      </c>
      <c r="CM382">
        <f t="shared" si="127"/>
        <v>0</v>
      </c>
      <c r="CN382">
        <f t="shared" si="126"/>
        <v>0</v>
      </c>
      <c r="CO382">
        <f t="shared" si="110"/>
        <v>0</v>
      </c>
    </row>
    <row r="383" spans="1:93" s="12" customFormat="1" ht="14.45" customHeight="1" x14ac:dyDescent="0.25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10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+VLOOKUP(G383,Liste!$A$7:$G$69,3,FALSE)</f>
        <v>Pin sylvestre</v>
      </c>
      <c r="BI383" s="96" t="str">
        <f>+VLOOKUP(H383,Liste!$B$7:$G$69,5,FALSE)</f>
        <v>GS Pineraies des plaines du Centre et du Nord Ouest</v>
      </c>
      <c r="BJ383" s="135">
        <f t="shared" si="109"/>
        <v>114</v>
      </c>
      <c r="BK383" s="135" t="str">
        <f t="shared" si="111"/>
        <v>Pin sylvestre_F1_Eclaircie tardive_GS Pineraies des plaines du Centre et du Nord Ouest_114_</v>
      </c>
      <c r="BL383" s="319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97" t="str">
        <f>+VLOOKUP(G383,Liste!$A$7:$H$69,8,FALSE)</f>
        <v>Résineux</v>
      </c>
      <c r="BU383" s="297">
        <f t="shared" si="112"/>
        <v>0</v>
      </c>
      <c r="BV383" s="299">
        <f t="shared" si="113"/>
        <v>1</v>
      </c>
      <c r="BW383" s="318">
        <v>0</v>
      </c>
      <c r="BX383" s="297">
        <f t="shared" si="114"/>
        <v>0.43</v>
      </c>
      <c r="BY383">
        <f t="shared" si="115"/>
        <v>0</v>
      </c>
      <c r="BZ383" s="303">
        <f t="shared" si="116"/>
        <v>0</v>
      </c>
      <c r="CB383" s="298">
        <v>0.6</v>
      </c>
      <c r="CC383" s="298">
        <v>0.4</v>
      </c>
      <c r="CD383">
        <f t="shared" si="117"/>
        <v>0</v>
      </c>
      <c r="CE383">
        <f t="shared" si="118"/>
        <v>0</v>
      </c>
      <c r="CF383">
        <f t="shared" si="119"/>
        <v>0</v>
      </c>
      <c r="CG383">
        <f t="shared" si="120"/>
        <v>0</v>
      </c>
      <c r="CH383">
        <f t="shared" si="121"/>
        <v>0</v>
      </c>
      <c r="CI383">
        <f t="shared" si="122"/>
        <v>0</v>
      </c>
      <c r="CJ383">
        <f t="shared" si="123"/>
        <v>0</v>
      </c>
      <c r="CK383">
        <f t="shared" si="124"/>
        <v>0</v>
      </c>
      <c r="CL383">
        <f t="shared" si="125"/>
        <v>0</v>
      </c>
      <c r="CM383">
        <f t="shared" si="127"/>
        <v>0</v>
      </c>
      <c r="CN383">
        <f t="shared" si="126"/>
        <v>0</v>
      </c>
      <c r="CO383">
        <f t="shared" si="110"/>
        <v>0</v>
      </c>
    </row>
    <row r="384" spans="1:93" s="12" customFormat="1" ht="14.45" customHeight="1" x14ac:dyDescent="0.25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10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+VLOOKUP(G384,Liste!$A$7:$G$69,3,FALSE)</f>
        <v>Pin sylvestre</v>
      </c>
      <c r="BI384" s="96" t="str">
        <f>+VLOOKUP(H384,Liste!$B$7:$G$69,5,FALSE)</f>
        <v>GS Pineraies des plaines du Centre et du Nord Ouest</v>
      </c>
      <c r="BJ384" s="135">
        <f t="shared" si="109"/>
        <v>115</v>
      </c>
      <c r="BK384" s="135" t="str">
        <f t="shared" si="111"/>
        <v>Pin sylvestre_F1_Eclaircie tardive_GS Pineraies des plaines du Centre et du Nord Ouest_115_</v>
      </c>
      <c r="BL384" s="319"/>
      <c r="BM384" s="13">
        <v>42.403426145040953</v>
      </c>
      <c r="BN384" s="13">
        <v>197.57456486165401</v>
      </c>
      <c r="BP384" s="13">
        <v>336.6929998</v>
      </c>
      <c r="BQ384" s="13"/>
      <c r="BT384" s="297" t="str">
        <f>+VLOOKUP(G384,Liste!$A$7:$H$69,8,FALSE)</f>
        <v>Résineux</v>
      </c>
      <c r="BU384" s="297">
        <f t="shared" si="112"/>
        <v>0</v>
      </c>
      <c r="BV384" s="299">
        <f t="shared" si="113"/>
        <v>1</v>
      </c>
      <c r="BW384" s="318">
        <v>0</v>
      </c>
      <c r="BX384" s="297">
        <f t="shared" si="114"/>
        <v>0.43</v>
      </c>
      <c r="BY384">
        <f t="shared" si="115"/>
        <v>0</v>
      </c>
      <c r="BZ384" s="303">
        <f t="shared" si="116"/>
        <v>0</v>
      </c>
      <c r="CB384" s="298">
        <v>0.6</v>
      </c>
      <c r="CC384" s="298">
        <v>0.4</v>
      </c>
      <c r="CD384">
        <f t="shared" si="117"/>
        <v>0</v>
      </c>
      <c r="CE384">
        <f t="shared" si="118"/>
        <v>0</v>
      </c>
      <c r="CF384">
        <f t="shared" si="119"/>
        <v>0</v>
      </c>
      <c r="CG384">
        <f t="shared" si="120"/>
        <v>0</v>
      </c>
      <c r="CH384">
        <f t="shared" si="121"/>
        <v>0</v>
      </c>
      <c r="CI384">
        <f t="shared" si="122"/>
        <v>0</v>
      </c>
      <c r="CJ384">
        <f t="shared" si="123"/>
        <v>0</v>
      </c>
      <c r="CK384">
        <f t="shared" si="124"/>
        <v>0</v>
      </c>
      <c r="CL384">
        <f t="shared" si="125"/>
        <v>0</v>
      </c>
      <c r="CM384">
        <f t="shared" si="127"/>
        <v>0</v>
      </c>
      <c r="CN384">
        <f t="shared" si="126"/>
        <v>0</v>
      </c>
      <c r="CO384">
        <f t="shared" si="110"/>
        <v>0</v>
      </c>
    </row>
    <row r="385" spans="1:93" s="12" customFormat="1" ht="14.45" customHeight="1" x14ac:dyDescent="0.25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+VLOOKUP(G385,Liste!$A$7:$G$69,3,FALSE)</f>
        <v>Pin sylvestre</v>
      </c>
      <c r="BI385" s="96" t="str">
        <f>+VLOOKUP(H385,Liste!$B$7:$G$69,5,FALSE)</f>
        <v>GS Pineraies des plaines du Centre et du Nord Ouest</v>
      </c>
      <c r="BJ385" s="135">
        <f t="shared" si="109"/>
        <v>115</v>
      </c>
      <c r="BK385" s="135" t="str">
        <f t="shared" si="111"/>
        <v>Pin sylvestre_F1_Eclaircie tardive_GS Pineraies des plaines du Centre et du Nord Ouest_115_</v>
      </c>
      <c r="BL385" s="319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97" t="str">
        <f>+VLOOKUP(G385,Liste!$A$7:$H$69,8,FALSE)</f>
        <v>Résineux</v>
      </c>
      <c r="BU385" s="297">
        <f t="shared" si="112"/>
        <v>0</v>
      </c>
      <c r="BV385" s="299">
        <f t="shared" si="113"/>
        <v>1</v>
      </c>
      <c r="BW385" s="318">
        <v>0</v>
      </c>
      <c r="BX385" s="297">
        <f t="shared" si="114"/>
        <v>0.43</v>
      </c>
      <c r="BY385">
        <f t="shared" si="115"/>
        <v>0</v>
      </c>
      <c r="BZ385" s="303">
        <f t="shared" si="116"/>
        <v>0</v>
      </c>
      <c r="CB385" s="298">
        <v>0.6</v>
      </c>
      <c r="CC385" s="298">
        <v>0.4</v>
      </c>
      <c r="CD385">
        <f t="shared" si="117"/>
        <v>0</v>
      </c>
      <c r="CE385">
        <f t="shared" si="118"/>
        <v>0</v>
      </c>
      <c r="CF385">
        <f t="shared" si="119"/>
        <v>0</v>
      </c>
      <c r="CG385">
        <f t="shared" si="120"/>
        <v>0</v>
      </c>
      <c r="CH385">
        <f t="shared" si="121"/>
        <v>0</v>
      </c>
      <c r="CI385">
        <f t="shared" si="122"/>
        <v>0</v>
      </c>
      <c r="CJ385">
        <f t="shared" si="123"/>
        <v>0</v>
      </c>
      <c r="CK385">
        <f t="shared" si="124"/>
        <v>0</v>
      </c>
      <c r="CL385">
        <f t="shared" si="125"/>
        <v>0</v>
      </c>
      <c r="CM385">
        <f t="shared" si="127"/>
        <v>0</v>
      </c>
      <c r="CN385">
        <f t="shared" si="126"/>
        <v>0</v>
      </c>
      <c r="CO385">
        <f t="shared" si="110"/>
        <v>0</v>
      </c>
    </row>
    <row r="386" spans="1:93" s="12" customFormat="1" ht="14.45" hidden="1" customHeight="1" x14ac:dyDescent="0.25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+VLOOKUP(G386,Liste!$A$7:$G$69,3,FALSE)</f>
        <v>Pin Laricio</v>
      </c>
      <c r="BI386" s="96" t="str">
        <f>+VLOOKUP(H386,Liste!$B$7:$G$69,5,FALSE)</f>
        <v>GS Pineraies des plaines du Centre et du Nord Ouest</v>
      </c>
      <c r="BJ386" s="135">
        <f t="shared" si="109"/>
        <v>22</v>
      </c>
      <c r="BK386" s="135" t="str">
        <f t="shared" si="111"/>
        <v>Pin Laricio_F2_Classique_GS Pineraies des plaines du Centre et du Nord Ouest_22_</v>
      </c>
      <c r="BL386" s="319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97" t="str">
        <f>+VLOOKUP(G386,Liste!$A$7:$H$69,8,FALSE)</f>
        <v>Résineux</v>
      </c>
      <c r="BU386" s="297">
        <f t="shared" si="112"/>
        <v>0</v>
      </c>
      <c r="BV386" s="299">
        <f t="shared" si="113"/>
        <v>1</v>
      </c>
      <c r="BW386" s="318">
        <v>0</v>
      </c>
      <c r="BX386" s="297">
        <f t="shared" si="114"/>
        <v>0.43</v>
      </c>
      <c r="BY386">
        <f t="shared" si="115"/>
        <v>0</v>
      </c>
      <c r="BZ386" s="303">
        <f t="shared" si="116"/>
        <v>0</v>
      </c>
      <c r="CB386" s="298">
        <v>0.6</v>
      </c>
      <c r="CC386" s="298">
        <v>0.4</v>
      </c>
      <c r="CD386">
        <f t="shared" si="117"/>
        <v>0</v>
      </c>
      <c r="CE386">
        <f t="shared" si="118"/>
        <v>0</v>
      </c>
      <c r="CF386">
        <f t="shared" si="119"/>
        <v>0</v>
      </c>
      <c r="CG386">
        <f t="shared" si="120"/>
        <v>0</v>
      </c>
      <c r="CH386">
        <f t="shared" si="121"/>
        <v>0</v>
      </c>
      <c r="CI386">
        <f t="shared" si="122"/>
        <v>0</v>
      </c>
      <c r="CJ386">
        <f t="shared" si="123"/>
        <v>0</v>
      </c>
      <c r="CK386">
        <f t="shared" si="124"/>
        <v>0</v>
      </c>
      <c r="CL386">
        <f t="shared" si="125"/>
        <v>0</v>
      </c>
      <c r="CM386">
        <f t="shared" si="127"/>
        <v>0</v>
      </c>
      <c r="CN386">
        <f t="shared" si="126"/>
        <v>0</v>
      </c>
      <c r="CO386">
        <f t="shared" si="110"/>
        <v>0</v>
      </c>
    </row>
    <row r="387" spans="1:93" s="12" customFormat="1" ht="14.45" hidden="1" customHeight="1" x14ac:dyDescent="0.25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+VLOOKUP(G387,Liste!$A$7:$G$69,3,FALSE)</f>
        <v>Pin Laricio</v>
      </c>
      <c r="BI387" s="96" t="str">
        <f>+VLOOKUP(H387,Liste!$B$7:$G$69,5,FALSE)</f>
        <v>GS Pineraies des plaines du Centre et du Nord Ouest</v>
      </c>
      <c r="BJ387" s="135">
        <f t="shared" ref="BJ387:BJ450" si="128">+AC387</f>
        <v>22</v>
      </c>
      <c r="BK387" s="135" t="str">
        <f t="shared" si="111"/>
        <v>Pin Laricio_F2_Classique_GS Pineraies des plaines du Centre et du Nord Ouest_22_</v>
      </c>
      <c r="BL387" s="319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97" t="str">
        <f>+VLOOKUP(G387,Liste!$A$7:$H$69,8,FALSE)</f>
        <v>Résineux</v>
      </c>
      <c r="BU387" s="297">
        <f t="shared" si="112"/>
        <v>0</v>
      </c>
      <c r="BV387" s="299">
        <f t="shared" si="113"/>
        <v>1</v>
      </c>
      <c r="BW387" s="318">
        <v>0</v>
      </c>
      <c r="BX387" s="297">
        <f t="shared" si="114"/>
        <v>0.43</v>
      </c>
      <c r="BY387">
        <f t="shared" si="115"/>
        <v>23.283331321918535</v>
      </c>
      <c r="BZ387" s="303">
        <f t="shared" si="116"/>
        <v>23.283331321918535</v>
      </c>
      <c r="CB387" s="298">
        <v>0.6</v>
      </c>
      <c r="CC387" s="298">
        <v>0.4</v>
      </c>
      <c r="CD387">
        <f t="shared" si="117"/>
        <v>0</v>
      </c>
      <c r="CE387">
        <f t="shared" si="118"/>
        <v>32.488369286397955</v>
      </c>
      <c r="CF387">
        <f t="shared" si="119"/>
        <v>21.658912857598636</v>
      </c>
      <c r="CG387">
        <f t="shared" si="120"/>
        <v>0</v>
      </c>
      <c r="CH387">
        <f t="shared" si="121"/>
        <v>25.462759428214394</v>
      </c>
      <c r="CI387">
        <f t="shared" si="122"/>
        <v>16.97517295214293</v>
      </c>
      <c r="CJ387">
        <f t="shared" si="123"/>
        <v>0</v>
      </c>
      <c r="CK387">
        <f t="shared" si="124"/>
        <v>0</v>
      </c>
      <c r="CL387">
        <f t="shared" si="125"/>
        <v>0</v>
      </c>
      <c r="CM387">
        <f t="shared" si="127"/>
        <v>0</v>
      </c>
      <c r="CN387">
        <f t="shared" si="126"/>
        <v>0</v>
      </c>
      <c r="CO387">
        <f t="shared" ref="CO387:CO450" si="129">+IF(BJ387=30,CN387/30,0)</f>
        <v>0</v>
      </c>
    </row>
    <row r="388" spans="1:93" s="12" customFormat="1" ht="14.45" hidden="1" customHeight="1" x14ac:dyDescent="0.25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+VLOOKUP(G388,Liste!$A$7:$G$69,3,FALSE)</f>
        <v>Pin Laricio</v>
      </c>
      <c r="BI388" s="96" t="str">
        <f>+VLOOKUP(H388,Liste!$B$7:$G$69,5,FALSE)</f>
        <v>GS Pineraies des plaines du Centre et du Nord Ouest</v>
      </c>
      <c r="BJ388" s="135">
        <f t="shared" si="128"/>
        <v>23</v>
      </c>
      <c r="BK388" s="135" t="str">
        <f t="shared" ref="BK388:BK451" si="130">+_xlfn.CONCAT(BH388,"_",J388,"_",I388,"_",BI388,"_",BJ388,"_")</f>
        <v>Pin Laricio_F2_Classique_GS Pineraies des plaines du Centre et du Nord Ouest_23_</v>
      </c>
      <c r="BL388" s="319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97" t="str">
        <f>+VLOOKUP(G388,Liste!$A$7:$H$69,8,FALSE)</f>
        <v>Résineux</v>
      </c>
      <c r="BU388" s="297">
        <f t="shared" ref="BU388:BU451" si="131">IF(BT388="Résineux",0%,100%)</f>
        <v>0</v>
      </c>
      <c r="BV388" s="299">
        <f t="shared" ref="BV388:BV451" si="132">+IF(BT388="Résineux",100%,0%)</f>
        <v>1</v>
      </c>
      <c r="BW388" s="318">
        <v>0</v>
      </c>
      <c r="BX388" s="297">
        <f t="shared" ref="BX388:BX451" si="133">+IF(BV388&lt;&gt;0,0.43,0.25)</f>
        <v>0.43</v>
      </c>
      <c r="BY388">
        <f t="shared" ref="BY388:BY451" si="134">+IF(BJ388&lt;=30,AV388*BX388,0)</f>
        <v>0</v>
      </c>
      <c r="BZ388" s="303">
        <f t="shared" ref="BZ388:BZ451" si="135">+IF(BJ388&gt;=31,0,BY388+BZ387)</f>
        <v>23.283331321918535</v>
      </c>
      <c r="CB388" s="298">
        <v>0.6</v>
      </c>
      <c r="CC388" s="298">
        <v>0.4</v>
      </c>
      <c r="CD388">
        <f t="shared" ref="CD388:CD451" si="136">+IF(BJ388&lt;=31,AV388*CA388*0.5,0)</f>
        <v>0</v>
      </c>
      <c r="CE388">
        <f t="shared" ref="CE388:CE451" si="137">IF(BJ388&lt;=31,AV388*CB388,0)</f>
        <v>0</v>
      </c>
      <c r="CF388">
        <f t="shared" ref="CF388:CF451" si="138">IF(BJ388&lt;=31,AV388*CC388,0)</f>
        <v>0</v>
      </c>
      <c r="CG388">
        <f t="shared" ref="CG388:CG451" si="139">CD388*44/12*0.475*BF388</f>
        <v>0</v>
      </c>
      <c r="CH388">
        <f t="shared" ref="CH388:CH451" si="140">CE388*44/12*0.475*BF388</f>
        <v>0</v>
      </c>
      <c r="CI388">
        <f t="shared" ref="CI388:CI451" si="141">CF388*44/12*0.475*BF388</f>
        <v>0</v>
      </c>
      <c r="CJ388">
        <f t="shared" ref="CJ388:CJ451" si="142">+IF(BJ388&lt;=31,CJ387*EXP(-$CJ$1)+CG387*(1-EXP(-$CJ$1))/$CJ$1,0)</f>
        <v>0</v>
      </c>
      <c r="CK388">
        <f t="shared" ref="CK388:CK451" si="143">+IF(BJ388&lt;=31,CK387*EXP(-$CK$1)+CH387*(1-EXP(-$CK$1))/$CK$1,0)</f>
        <v>25.113010451487678</v>
      </c>
      <c r="CL388">
        <f t="shared" ref="CL388:CL451" si="144">+IF(BJ388&lt;=31,CL387*EXP(-$CL$1)+CI387*(1-EXP(-$CL$1))/$CL$1,0)</f>
        <v>14.345908590010383</v>
      </c>
      <c r="CM388">
        <f t="shared" si="127"/>
        <v>39.458919041498064</v>
      </c>
      <c r="CN388">
        <f t="shared" ref="CN388:CN451" si="145">+IF(BJ388&lt;=31,CM388+CN387,0)</f>
        <v>39.458919041498064</v>
      </c>
      <c r="CO388">
        <f t="shared" si="129"/>
        <v>0</v>
      </c>
    </row>
    <row r="389" spans="1:93" s="12" customFormat="1" ht="14.45" hidden="1" customHeight="1" x14ac:dyDescent="0.25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+VLOOKUP(G389,Liste!$A$7:$G$69,3,FALSE)</f>
        <v>Pin Laricio</v>
      </c>
      <c r="BI389" s="96" t="str">
        <f>+VLOOKUP(H389,Liste!$B$7:$G$69,5,FALSE)</f>
        <v>GS Pineraies des plaines du Centre et du Nord Ouest</v>
      </c>
      <c r="BJ389" s="135">
        <f t="shared" si="128"/>
        <v>24</v>
      </c>
      <c r="BK389" s="135" t="str">
        <f t="shared" si="130"/>
        <v>Pin Laricio_F2_Classique_GS Pineraies des plaines du Centre et du Nord Ouest_24_</v>
      </c>
      <c r="BL389" s="319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97" t="str">
        <f>+VLOOKUP(G389,Liste!$A$7:$H$69,8,FALSE)</f>
        <v>Résineux</v>
      </c>
      <c r="BU389" s="297">
        <f t="shared" si="131"/>
        <v>0</v>
      </c>
      <c r="BV389" s="299">
        <f t="shared" si="132"/>
        <v>1</v>
      </c>
      <c r="BW389" s="318">
        <v>0</v>
      </c>
      <c r="BX389" s="297">
        <f t="shared" si="133"/>
        <v>0.43</v>
      </c>
      <c r="BY389">
        <f t="shared" si="134"/>
        <v>0</v>
      </c>
      <c r="BZ389" s="303">
        <f t="shared" si="135"/>
        <v>23.283331321918535</v>
      </c>
      <c r="CB389" s="298">
        <v>0.6</v>
      </c>
      <c r="CC389" s="298">
        <v>0.4</v>
      </c>
      <c r="CD389">
        <f t="shared" si="136"/>
        <v>0</v>
      </c>
      <c r="CE389">
        <f t="shared" si="137"/>
        <v>0</v>
      </c>
      <c r="CF389">
        <f t="shared" si="138"/>
        <v>0</v>
      </c>
      <c r="CG389">
        <f t="shared" si="139"/>
        <v>0</v>
      </c>
      <c r="CH389">
        <f t="shared" si="140"/>
        <v>0</v>
      </c>
      <c r="CI389">
        <f t="shared" si="141"/>
        <v>0</v>
      </c>
      <c r="CJ389">
        <f t="shared" si="142"/>
        <v>0</v>
      </c>
      <c r="CK389">
        <f t="shared" si="143"/>
        <v>24.426293860055925</v>
      </c>
      <c r="CL389">
        <f t="shared" si="144"/>
        <v>10.144089246278686</v>
      </c>
      <c r="CM389">
        <f t="shared" ref="CM389:CM452" si="146">+CJ389+CK389+CL389</f>
        <v>34.57038310633461</v>
      </c>
      <c r="CN389">
        <f t="shared" si="145"/>
        <v>74.029302147832681</v>
      </c>
      <c r="CO389">
        <f t="shared" si="129"/>
        <v>0</v>
      </c>
    </row>
    <row r="390" spans="1:93" s="12" customFormat="1" ht="14.45" hidden="1" customHeight="1" x14ac:dyDescent="0.25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+VLOOKUP(G390,Liste!$A$7:$G$69,3,FALSE)</f>
        <v>Pin Laricio</v>
      </c>
      <c r="BI390" s="96" t="str">
        <f>+VLOOKUP(H390,Liste!$B$7:$G$69,5,FALSE)</f>
        <v>GS Pineraies des plaines du Centre et du Nord Ouest</v>
      </c>
      <c r="BJ390" s="135">
        <f t="shared" si="128"/>
        <v>25</v>
      </c>
      <c r="BK390" s="135" t="str">
        <f t="shared" si="130"/>
        <v>Pin Laricio_F2_Classique_GS Pineraies des plaines du Centre et du Nord Ouest_25_</v>
      </c>
      <c r="BL390" s="319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97" t="str">
        <f>+VLOOKUP(G390,Liste!$A$7:$H$69,8,FALSE)</f>
        <v>Résineux</v>
      </c>
      <c r="BU390" s="297">
        <f t="shared" si="131"/>
        <v>0</v>
      </c>
      <c r="BV390" s="299">
        <f t="shared" si="132"/>
        <v>1</v>
      </c>
      <c r="BW390" s="318">
        <v>0</v>
      </c>
      <c r="BX390" s="297">
        <f t="shared" si="133"/>
        <v>0.43</v>
      </c>
      <c r="BY390">
        <f t="shared" si="134"/>
        <v>0</v>
      </c>
      <c r="BZ390" s="303">
        <f t="shared" si="135"/>
        <v>23.283331321918535</v>
      </c>
      <c r="CB390" s="298">
        <v>0.6</v>
      </c>
      <c r="CC390" s="298">
        <v>0.4</v>
      </c>
      <c r="CD390">
        <f t="shared" si="136"/>
        <v>0</v>
      </c>
      <c r="CE390">
        <f t="shared" si="137"/>
        <v>0</v>
      </c>
      <c r="CF390">
        <f t="shared" si="138"/>
        <v>0</v>
      </c>
      <c r="CG390">
        <f t="shared" si="139"/>
        <v>0</v>
      </c>
      <c r="CH390">
        <f t="shared" si="140"/>
        <v>0</v>
      </c>
      <c r="CI390">
        <f t="shared" si="141"/>
        <v>0</v>
      </c>
      <c r="CJ390">
        <f t="shared" si="142"/>
        <v>0</v>
      </c>
      <c r="CK390">
        <f t="shared" si="143"/>
        <v>23.75835556992973</v>
      </c>
      <c r="CL390">
        <f t="shared" si="144"/>
        <v>7.1729542950051925</v>
      </c>
      <c r="CM390">
        <f t="shared" si="146"/>
        <v>30.931309864934924</v>
      </c>
      <c r="CN390">
        <f t="shared" si="145"/>
        <v>104.9606120127676</v>
      </c>
      <c r="CO390">
        <f t="shared" si="129"/>
        <v>0</v>
      </c>
    </row>
    <row r="391" spans="1:93" s="12" customFormat="1" ht="14.45" hidden="1" customHeight="1" x14ac:dyDescent="0.25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+VLOOKUP(G391,Liste!$A$7:$G$69,3,FALSE)</f>
        <v>Pin Laricio</v>
      </c>
      <c r="BI391" s="96" t="str">
        <f>+VLOOKUP(H391,Liste!$B$7:$G$69,5,FALSE)</f>
        <v>GS Pineraies des plaines du Centre et du Nord Ouest</v>
      </c>
      <c r="BJ391" s="135">
        <f t="shared" si="128"/>
        <v>26</v>
      </c>
      <c r="BK391" s="135" t="str">
        <f t="shared" si="130"/>
        <v>Pin Laricio_F2_Classique_GS Pineraies des plaines du Centre et du Nord Ouest_26_</v>
      </c>
      <c r="BL391" s="319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97" t="str">
        <f>+VLOOKUP(G391,Liste!$A$7:$H$69,8,FALSE)</f>
        <v>Résineux</v>
      </c>
      <c r="BU391" s="297">
        <f t="shared" si="131"/>
        <v>0</v>
      </c>
      <c r="BV391" s="299">
        <f t="shared" si="132"/>
        <v>1</v>
      </c>
      <c r="BW391" s="318">
        <v>0</v>
      </c>
      <c r="BX391" s="297">
        <f t="shared" si="133"/>
        <v>0.43</v>
      </c>
      <c r="BY391">
        <f t="shared" si="134"/>
        <v>0</v>
      </c>
      <c r="BZ391" s="303">
        <f t="shared" si="135"/>
        <v>23.283331321918535</v>
      </c>
      <c r="CB391" s="298">
        <v>0.6</v>
      </c>
      <c r="CC391" s="298">
        <v>0.4</v>
      </c>
      <c r="CD391">
        <f t="shared" si="136"/>
        <v>0</v>
      </c>
      <c r="CE391">
        <f t="shared" si="137"/>
        <v>0</v>
      </c>
      <c r="CF391">
        <f t="shared" si="138"/>
        <v>0</v>
      </c>
      <c r="CG391">
        <f t="shared" si="139"/>
        <v>0</v>
      </c>
      <c r="CH391">
        <f t="shared" si="140"/>
        <v>0</v>
      </c>
      <c r="CI391">
        <f t="shared" si="141"/>
        <v>0</v>
      </c>
      <c r="CJ391">
        <f t="shared" si="142"/>
        <v>0</v>
      </c>
      <c r="CK391">
        <f t="shared" si="143"/>
        <v>23.108682087472381</v>
      </c>
      <c r="CL391">
        <f t="shared" si="144"/>
        <v>5.0720446231393437</v>
      </c>
      <c r="CM391">
        <f t="shared" si="146"/>
        <v>28.180726710611726</v>
      </c>
      <c r="CN391">
        <f t="shared" si="145"/>
        <v>133.14133872337933</v>
      </c>
      <c r="CO391">
        <f t="shared" si="129"/>
        <v>0</v>
      </c>
    </row>
    <row r="392" spans="1:93" s="12" customFormat="1" ht="14.45" hidden="1" customHeight="1" x14ac:dyDescent="0.25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+VLOOKUP(G392,Liste!$A$7:$G$69,3,FALSE)</f>
        <v>Pin Laricio</v>
      </c>
      <c r="BI392" s="96" t="str">
        <f>+VLOOKUP(H392,Liste!$B$7:$G$69,5,FALSE)</f>
        <v>GS Pineraies des plaines du Centre et du Nord Ouest</v>
      </c>
      <c r="BJ392" s="135">
        <f t="shared" si="128"/>
        <v>27</v>
      </c>
      <c r="BK392" s="135" t="str">
        <f t="shared" si="130"/>
        <v>Pin Laricio_F2_Classique_GS Pineraies des plaines du Centre et du Nord Ouest_27_</v>
      </c>
      <c r="BL392" s="319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97" t="str">
        <f>+VLOOKUP(G392,Liste!$A$7:$H$69,8,FALSE)</f>
        <v>Résineux</v>
      </c>
      <c r="BU392" s="297">
        <f t="shared" si="131"/>
        <v>0</v>
      </c>
      <c r="BV392" s="299">
        <f t="shared" si="132"/>
        <v>1</v>
      </c>
      <c r="BW392" s="318">
        <v>0</v>
      </c>
      <c r="BX392" s="297">
        <f t="shared" si="133"/>
        <v>0.43</v>
      </c>
      <c r="BY392">
        <f t="shared" si="134"/>
        <v>0</v>
      </c>
      <c r="BZ392" s="303">
        <f t="shared" si="135"/>
        <v>23.283331321918535</v>
      </c>
      <c r="CB392" s="298">
        <v>0.6</v>
      </c>
      <c r="CC392" s="298">
        <v>0.4</v>
      </c>
      <c r="CD392">
        <f t="shared" si="136"/>
        <v>0</v>
      </c>
      <c r="CE392">
        <f t="shared" si="137"/>
        <v>0</v>
      </c>
      <c r="CF392">
        <f t="shared" si="138"/>
        <v>0</v>
      </c>
      <c r="CG392">
        <f t="shared" si="139"/>
        <v>0</v>
      </c>
      <c r="CH392">
        <f t="shared" si="140"/>
        <v>0</v>
      </c>
      <c r="CI392">
        <f t="shared" si="141"/>
        <v>0</v>
      </c>
      <c r="CJ392">
        <f t="shared" si="142"/>
        <v>0</v>
      </c>
      <c r="CK392">
        <f t="shared" si="143"/>
        <v>22.476773960557672</v>
      </c>
      <c r="CL392">
        <f t="shared" si="144"/>
        <v>3.5864771475025972</v>
      </c>
      <c r="CM392">
        <f t="shared" si="146"/>
        <v>26.063251108060271</v>
      </c>
      <c r="CN392">
        <f t="shared" si="145"/>
        <v>159.20458983143959</v>
      </c>
      <c r="CO392">
        <f t="shared" si="129"/>
        <v>0</v>
      </c>
    </row>
    <row r="393" spans="1:93" s="12" customFormat="1" ht="14.45" hidden="1" customHeight="1" x14ac:dyDescent="0.25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+VLOOKUP(G393,Liste!$A$7:$G$69,3,FALSE)</f>
        <v>Pin Laricio</v>
      </c>
      <c r="BI393" s="96" t="str">
        <f>+VLOOKUP(H393,Liste!$B$7:$G$69,5,FALSE)</f>
        <v>GS Pineraies des plaines du Centre et du Nord Ouest</v>
      </c>
      <c r="BJ393" s="135">
        <f t="shared" si="128"/>
        <v>27</v>
      </c>
      <c r="BK393" s="135" t="str">
        <f t="shared" si="130"/>
        <v>Pin Laricio_F2_Classique_GS Pineraies des plaines du Centre et du Nord Ouest_27_</v>
      </c>
      <c r="BL393" s="319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97" t="str">
        <f>+VLOOKUP(G393,Liste!$A$7:$H$69,8,FALSE)</f>
        <v>Résineux</v>
      </c>
      <c r="BU393" s="297">
        <f t="shared" si="131"/>
        <v>0</v>
      </c>
      <c r="BV393" s="299">
        <f t="shared" si="132"/>
        <v>1</v>
      </c>
      <c r="BW393" s="318">
        <v>0</v>
      </c>
      <c r="BX393" s="297">
        <f t="shared" si="133"/>
        <v>0.43</v>
      </c>
      <c r="BY393">
        <f t="shared" si="134"/>
        <v>17.628899188797636</v>
      </c>
      <c r="BZ393" s="303">
        <f t="shared" si="135"/>
        <v>40.912230510716171</v>
      </c>
      <c r="CB393" s="298">
        <v>0.6</v>
      </c>
      <c r="CC393" s="298">
        <v>0.4</v>
      </c>
      <c r="CD393">
        <f t="shared" si="136"/>
        <v>0</v>
      </c>
      <c r="CE393">
        <f t="shared" si="137"/>
        <v>24.598463984368795</v>
      </c>
      <c r="CF393">
        <f t="shared" si="138"/>
        <v>16.398975989579196</v>
      </c>
      <c r="CG393">
        <f t="shared" si="139"/>
        <v>0</v>
      </c>
      <c r="CH393">
        <f t="shared" si="140"/>
        <v>19.279046147749042</v>
      </c>
      <c r="CI393">
        <f t="shared" si="141"/>
        <v>12.852697431832693</v>
      </c>
      <c r="CJ393">
        <f t="shared" si="142"/>
        <v>0</v>
      </c>
      <c r="CK393">
        <f t="shared" si="143"/>
        <v>21.862145394604052</v>
      </c>
      <c r="CL393">
        <f t="shared" si="144"/>
        <v>2.5360223115696723</v>
      </c>
      <c r="CM393">
        <f t="shared" si="146"/>
        <v>24.398167706173723</v>
      </c>
      <c r="CN393">
        <f t="shared" si="145"/>
        <v>183.60275753761331</v>
      </c>
      <c r="CO393">
        <f t="shared" si="129"/>
        <v>0</v>
      </c>
    </row>
    <row r="394" spans="1:93" s="12" customFormat="1" ht="14.45" hidden="1" customHeight="1" x14ac:dyDescent="0.25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+VLOOKUP(G394,Liste!$A$7:$G$69,3,FALSE)</f>
        <v>Pin Laricio</v>
      </c>
      <c r="BI394" s="96" t="str">
        <f>+VLOOKUP(H394,Liste!$B$7:$G$69,5,FALSE)</f>
        <v>GS Pineraies des plaines du Centre et du Nord Ouest</v>
      </c>
      <c r="BJ394" s="135">
        <f t="shared" si="128"/>
        <v>28</v>
      </c>
      <c r="BK394" s="135" t="str">
        <f t="shared" si="130"/>
        <v>Pin Laricio_F2_Classique_GS Pineraies des plaines du Centre et du Nord Ouest_28_</v>
      </c>
      <c r="BL394" s="319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97" t="str">
        <f>+VLOOKUP(G394,Liste!$A$7:$H$69,8,FALSE)</f>
        <v>Résineux</v>
      </c>
      <c r="BU394" s="297">
        <f t="shared" si="131"/>
        <v>0</v>
      </c>
      <c r="BV394" s="299">
        <f t="shared" si="132"/>
        <v>1</v>
      </c>
      <c r="BW394" s="318">
        <v>0</v>
      </c>
      <c r="BX394" s="297">
        <f t="shared" si="133"/>
        <v>0.43</v>
      </c>
      <c r="BY394">
        <f t="shared" si="134"/>
        <v>0</v>
      </c>
      <c r="BZ394" s="303">
        <f t="shared" si="135"/>
        <v>40.912230510716171</v>
      </c>
      <c r="CB394" s="298">
        <v>0.6</v>
      </c>
      <c r="CC394" s="298">
        <v>0.4</v>
      </c>
      <c r="CD394">
        <f t="shared" si="136"/>
        <v>0</v>
      </c>
      <c r="CE394">
        <f t="shared" si="137"/>
        <v>0</v>
      </c>
      <c r="CF394">
        <f t="shared" si="138"/>
        <v>0</v>
      </c>
      <c r="CG394">
        <f t="shared" si="139"/>
        <v>0</v>
      </c>
      <c r="CH394">
        <f t="shared" si="140"/>
        <v>0</v>
      </c>
      <c r="CI394">
        <f t="shared" si="141"/>
        <v>0</v>
      </c>
      <c r="CJ394">
        <f t="shared" si="142"/>
        <v>0</v>
      </c>
      <c r="CK394">
        <f t="shared" si="143"/>
        <v>40.278558717562653</v>
      </c>
      <c r="CL394">
        <f t="shared" si="144"/>
        <v>12.65519697688242</v>
      </c>
      <c r="CM394">
        <f t="shared" si="146"/>
        <v>52.933755694445075</v>
      </c>
      <c r="CN394">
        <f t="shared" si="145"/>
        <v>236.53651323205838</v>
      </c>
      <c r="CO394">
        <f t="shared" si="129"/>
        <v>0</v>
      </c>
    </row>
    <row r="395" spans="1:93" s="12" customFormat="1" ht="14.45" hidden="1" customHeight="1" x14ac:dyDescent="0.25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+VLOOKUP(G395,Liste!$A$7:$G$69,3,FALSE)</f>
        <v>Pin Laricio</v>
      </c>
      <c r="BI395" s="96" t="str">
        <f>+VLOOKUP(H395,Liste!$B$7:$G$69,5,FALSE)</f>
        <v>GS Pineraies des plaines du Centre et du Nord Ouest</v>
      </c>
      <c r="BJ395" s="135">
        <f t="shared" si="128"/>
        <v>29</v>
      </c>
      <c r="BK395" s="135" t="str">
        <f t="shared" si="130"/>
        <v>Pin Laricio_F2_Classique_GS Pineraies des plaines du Centre et du Nord Ouest_29_</v>
      </c>
      <c r="BL395" s="319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97" t="str">
        <f>+VLOOKUP(G395,Liste!$A$7:$H$69,8,FALSE)</f>
        <v>Résineux</v>
      </c>
      <c r="BU395" s="297">
        <f t="shared" si="131"/>
        <v>0</v>
      </c>
      <c r="BV395" s="299">
        <f t="shared" si="132"/>
        <v>1</v>
      </c>
      <c r="BW395" s="318">
        <v>0</v>
      </c>
      <c r="BX395" s="297">
        <f t="shared" si="133"/>
        <v>0.43</v>
      </c>
      <c r="BY395">
        <f t="shared" si="134"/>
        <v>0</v>
      </c>
      <c r="BZ395" s="303">
        <f t="shared" si="135"/>
        <v>40.912230510716171</v>
      </c>
      <c r="CB395" s="298">
        <v>0.6</v>
      </c>
      <c r="CC395" s="298">
        <v>0.4</v>
      </c>
      <c r="CD395">
        <f t="shared" si="136"/>
        <v>0</v>
      </c>
      <c r="CE395">
        <f t="shared" si="137"/>
        <v>0</v>
      </c>
      <c r="CF395">
        <f t="shared" si="138"/>
        <v>0</v>
      </c>
      <c r="CG395">
        <f t="shared" si="139"/>
        <v>0</v>
      </c>
      <c r="CH395">
        <f t="shared" si="140"/>
        <v>0</v>
      </c>
      <c r="CI395">
        <f t="shared" si="141"/>
        <v>0</v>
      </c>
      <c r="CJ395">
        <f t="shared" si="142"/>
        <v>0</v>
      </c>
      <c r="CK395">
        <f t="shared" si="143"/>
        <v>39.177139411273558</v>
      </c>
      <c r="CL395">
        <f t="shared" si="144"/>
        <v>8.9485755996050553</v>
      </c>
      <c r="CM395">
        <f t="shared" si="146"/>
        <v>48.125715010878615</v>
      </c>
      <c r="CN395">
        <f t="shared" si="145"/>
        <v>284.66222824293698</v>
      </c>
      <c r="CO395">
        <f t="shared" si="129"/>
        <v>0</v>
      </c>
    </row>
    <row r="396" spans="1:93" s="12" customFormat="1" ht="14.45" hidden="1" customHeight="1" x14ac:dyDescent="0.25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+VLOOKUP(G396,Liste!$A$7:$G$69,3,FALSE)</f>
        <v>Pin Laricio</v>
      </c>
      <c r="BI396" s="96" t="str">
        <f>+VLOOKUP(H396,Liste!$B$7:$G$69,5,FALSE)</f>
        <v>GS Pineraies des plaines du Centre et du Nord Ouest</v>
      </c>
      <c r="BJ396" s="135">
        <f t="shared" si="128"/>
        <v>30</v>
      </c>
      <c r="BK396" s="135" t="str">
        <f t="shared" si="130"/>
        <v>Pin Laricio_F2_Classique_GS Pineraies des plaines du Centre et du Nord Ouest_30_</v>
      </c>
      <c r="BL396" s="319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97" t="str">
        <f>+VLOOKUP(G396,Liste!$A$7:$H$69,8,FALSE)</f>
        <v>Résineux</v>
      </c>
      <c r="BU396" s="297">
        <f t="shared" si="131"/>
        <v>0</v>
      </c>
      <c r="BV396" s="299">
        <f t="shared" si="132"/>
        <v>1</v>
      </c>
      <c r="BW396" s="318">
        <v>0</v>
      </c>
      <c r="BX396" s="297">
        <f t="shared" si="133"/>
        <v>0.43</v>
      </c>
      <c r="BY396">
        <f t="shared" si="134"/>
        <v>0</v>
      </c>
      <c r="BZ396" s="303">
        <f t="shared" si="135"/>
        <v>40.912230510716171</v>
      </c>
      <c r="CB396" s="298">
        <v>0.6</v>
      </c>
      <c r="CC396" s="298">
        <v>0.4</v>
      </c>
      <c r="CD396">
        <f t="shared" si="136"/>
        <v>0</v>
      </c>
      <c r="CE396">
        <f t="shared" si="137"/>
        <v>0</v>
      </c>
      <c r="CF396">
        <f t="shared" si="138"/>
        <v>0</v>
      </c>
      <c r="CG396">
        <f t="shared" si="139"/>
        <v>0</v>
      </c>
      <c r="CH396">
        <f t="shared" si="140"/>
        <v>0</v>
      </c>
      <c r="CI396">
        <f t="shared" si="141"/>
        <v>0</v>
      </c>
      <c r="CJ396">
        <f t="shared" si="142"/>
        <v>0</v>
      </c>
      <c r="CK396">
        <f t="shared" si="143"/>
        <v>38.105838473836059</v>
      </c>
      <c r="CL396">
        <f t="shared" si="144"/>
        <v>6.3275984884412102</v>
      </c>
      <c r="CM396">
        <f t="shared" si="146"/>
        <v>44.43343696227727</v>
      </c>
      <c r="CN396">
        <f t="shared" si="145"/>
        <v>329.09566520521423</v>
      </c>
      <c r="CO396">
        <f t="shared" si="129"/>
        <v>10.969855506840474</v>
      </c>
    </row>
    <row r="397" spans="1:93" s="12" customFormat="1" ht="14.45" hidden="1" customHeight="1" x14ac:dyDescent="0.25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+VLOOKUP(G397,Liste!$A$7:$G$69,3,FALSE)</f>
        <v>Pin Laricio</v>
      </c>
      <c r="BI397" s="96" t="str">
        <f>+VLOOKUP(H397,Liste!$B$7:$G$69,5,FALSE)</f>
        <v>GS Pineraies des plaines du Centre et du Nord Ouest</v>
      </c>
      <c r="BJ397" s="135">
        <f t="shared" si="128"/>
        <v>31</v>
      </c>
      <c r="BK397" s="135" t="str">
        <f t="shared" si="130"/>
        <v>Pin Laricio_F2_Classique_GS Pineraies des plaines du Centre et du Nord Ouest_31_</v>
      </c>
      <c r="BL397" s="319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97" t="str">
        <f>+VLOOKUP(G397,Liste!$A$7:$H$69,8,FALSE)</f>
        <v>Résineux</v>
      </c>
      <c r="BU397" s="297">
        <f t="shared" si="131"/>
        <v>0</v>
      </c>
      <c r="BV397" s="299">
        <f t="shared" si="132"/>
        <v>1</v>
      </c>
      <c r="BW397" s="318">
        <v>0</v>
      </c>
      <c r="BX397" s="297">
        <f t="shared" si="133"/>
        <v>0.43</v>
      </c>
      <c r="BY397">
        <f t="shared" si="134"/>
        <v>0</v>
      </c>
      <c r="BZ397" s="303">
        <f t="shared" si="135"/>
        <v>0</v>
      </c>
      <c r="CB397" s="298">
        <v>0.6</v>
      </c>
      <c r="CC397" s="298">
        <v>0.4</v>
      </c>
      <c r="CD397">
        <f t="shared" si="136"/>
        <v>0</v>
      </c>
      <c r="CE397">
        <f t="shared" si="137"/>
        <v>0</v>
      </c>
      <c r="CF397">
        <f t="shared" si="138"/>
        <v>0</v>
      </c>
      <c r="CG397">
        <f t="shared" si="139"/>
        <v>0</v>
      </c>
      <c r="CH397">
        <f t="shared" si="140"/>
        <v>0</v>
      </c>
      <c r="CI397">
        <f t="shared" si="141"/>
        <v>0</v>
      </c>
      <c r="CJ397">
        <f t="shared" si="142"/>
        <v>0</v>
      </c>
      <c r="CK397">
        <f t="shared" si="143"/>
        <v>37.063832316870055</v>
      </c>
      <c r="CL397">
        <f t="shared" si="144"/>
        <v>4.4742877998025277</v>
      </c>
      <c r="CM397">
        <f t="shared" si="146"/>
        <v>41.53812011667258</v>
      </c>
      <c r="CN397">
        <f t="shared" si="145"/>
        <v>370.63378532188682</v>
      </c>
      <c r="CO397">
        <f t="shared" si="129"/>
        <v>0</v>
      </c>
    </row>
    <row r="398" spans="1:93" s="12" customFormat="1" ht="14.45" hidden="1" customHeight="1" x14ac:dyDescent="0.25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+VLOOKUP(G398,Liste!$A$7:$G$69,3,FALSE)</f>
        <v>Pin Laricio</v>
      </c>
      <c r="BI398" s="96" t="str">
        <f>+VLOOKUP(H398,Liste!$B$7:$G$69,5,FALSE)</f>
        <v>GS Pineraies des plaines du Centre et du Nord Ouest</v>
      </c>
      <c r="BJ398" s="135">
        <f t="shared" si="128"/>
        <v>32</v>
      </c>
      <c r="BK398" s="135" t="str">
        <f t="shared" si="130"/>
        <v>Pin Laricio_F2_Classique_GS Pineraies des plaines du Centre et du Nord Ouest_32_</v>
      </c>
      <c r="BL398" s="319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97" t="str">
        <f>+VLOOKUP(G398,Liste!$A$7:$H$69,8,FALSE)</f>
        <v>Résineux</v>
      </c>
      <c r="BU398" s="297">
        <f t="shared" si="131"/>
        <v>0</v>
      </c>
      <c r="BV398" s="299">
        <f t="shared" si="132"/>
        <v>1</v>
      </c>
      <c r="BW398" s="318">
        <v>0</v>
      </c>
      <c r="BX398" s="297">
        <f t="shared" si="133"/>
        <v>0.43</v>
      </c>
      <c r="BY398">
        <f t="shared" si="134"/>
        <v>0</v>
      </c>
      <c r="BZ398" s="303">
        <f t="shared" si="135"/>
        <v>0</v>
      </c>
      <c r="CB398" s="298">
        <v>0.6</v>
      </c>
      <c r="CC398" s="298">
        <v>0.4</v>
      </c>
      <c r="CD398">
        <f t="shared" si="136"/>
        <v>0</v>
      </c>
      <c r="CE398">
        <f t="shared" si="137"/>
        <v>0</v>
      </c>
      <c r="CF398">
        <f t="shared" si="138"/>
        <v>0</v>
      </c>
      <c r="CG398">
        <f t="shared" si="139"/>
        <v>0</v>
      </c>
      <c r="CH398">
        <f t="shared" si="140"/>
        <v>0</v>
      </c>
      <c r="CI398">
        <f t="shared" si="141"/>
        <v>0</v>
      </c>
      <c r="CJ398">
        <f t="shared" si="142"/>
        <v>0</v>
      </c>
      <c r="CK398">
        <f t="shared" si="143"/>
        <v>0</v>
      </c>
      <c r="CL398">
        <f t="shared" si="144"/>
        <v>0</v>
      </c>
      <c r="CM398">
        <f t="shared" si="146"/>
        <v>0</v>
      </c>
      <c r="CN398">
        <f t="shared" si="145"/>
        <v>0</v>
      </c>
      <c r="CO398">
        <f t="shared" si="129"/>
        <v>0</v>
      </c>
    </row>
    <row r="399" spans="1:93" s="12" customFormat="1" ht="14.45" hidden="1" customHeight="1" x14ac:dyDescent="0.25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+VLOOKUP(G399,Liste!$A$7:$G$69,3,FALSE)</f>
        <v>Pin Laricio</v>
      </c>
      <c r="BI399" s="96" t="str">
        <f>+VLOOKUP(H399,Liste!$B$7:$G$69,5,FALSE)</f>
        <v>GS Pineraies des plaines du Centre et du Nord Ouest</v>
      </c>
      <c r="BJ399" s="135">
        <f t="shared" si="128"/>
        <v>33</v>
      </c>
      <c r="BK399" s="135" t="str">
        <f t="shared" si="130"/>
        <v>Pin Laricio_F2_Classique_GS Pineraies des plaines du Centre et du Nord Ouest_33_</v>
      </c>
      <c r="BL399" s="319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97" t="str">
        <f>+VLOOKUP(G399,Liste!$A$7:$H$69,8,FALSE)</f>
        <v>Résineux</v>
      </c>
      <c r="BU399" s="297">
        <f t="shared" si="131"/>
        <v>0</v>
      </c>
      <c r="BV399" s="299">
        <f t="shared" si="132"/>
        <v>1</v>
      </c>
      <c r="BW399" s="318">
        <v>0</v>
      </c>
      <c r="BX399" s="297">
        <f t="shared" si="133"/>
        <v>0.43</v>
      </c>
      <c r="BY399">
        <f t="shared" si="134"/>
        <v>0</v>
      </c>
      <c r="BZ399" s="303">
        <f t="shared" si="135"/>
        <v>0</v>
      </c>
      <c r="CB399" s="298">
        <v>0.6</v>
      </c>
      <c r="CC399" s="298">
        <v>0.4</v>
      </c>
      <c r="CD399">
        <f t="shared" si="136"/>
        <v>0</v>
      </c>
      <c r="CE399">
        <f t="shared" si="137"/>
        <v>0</v>
      </c>
      <c r="CF399">
        <f t="shared" si="138"/>
        <v>0</v>
      </c>
      <c r="CG399">
        <f t="shared" si="139"/>
        <v>0</v>
      </c>
      <c r="CH399">
        <f t="shared" si="140"/>
        <v>0</v>
      </c>
      <c r="CI399">
        <f t="shared" si="141"/>
        <v>0</v>
      </c>
      <c r="CJ399">
        <f t="shared" si="142"/>
        <v>0</v>
      </c>
      <c r="CK399">
        <f t="shared" si="143"/>
        <v>0</v>
      </c>
      <c r="CL399">
        <f t="shared" si="144"/>
        <v>0</v>
      </c>
      <c r="CM399">
        <f t="shared" si="146"/>
        <v>0</v>
      </c>
      <c r="CN399">
        <f t="shared" si="145"/>
        <v>0</v>
      </c>
      <c r="CO399">
        <f t="shared" si="129"/>
        <v>0</v>
      </c>
    </row>
    <row r="400" spans="1:93" s="12" customFormat="1" ht="14.45" hidden="1" customHeight="1" x14ac:dyDescent="0.25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+VLOOKUP(G400,Liste!$A$7:$G$69,3,FALSE)</f>
        <v>Pin Laricio</v>
      </c>
      <c r="BI400" s="96" t="str">
        <f>+VLOOKUP(H400,Liste!$B$7:$G$69,5,FALSE)</f>
        <v>GS Pineraies des plaines du Centre et du Nord Ouest</v>
      </c>
      <c r="BJ400" s="135">
        <f t="shared" si="128"/>
        <v>33</v>
      </c>
      <c r="BK400" s="135" t="str">
        <f t="shared" si="130"/>
        <v>Pin Laricio_F2_Classique_GS Pineraies des plaines du Centre et du Nord Ouest_33_</v>
      </c>
      <c r="BL400" s="319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97" t="str">
        <f>+VLOOKUP(G400,Liste!$A$7:$H$69,8,FALSE)</f>
        <v>Résineux</v>
      </c>
      <c r="BU400" s="297">
        <f t="shared" si="131"/>
        <v>0</v>
      </c>
      <c r="BV400" s="299">
        <f t="shared" si="132"/>
        <v>1</v>
      </c>
      <c r="BW400" s="318">
        <v>0</v>
      </c>
      <c r="BX400" s="297">
        <f t="shared" si="133"/>
        <v>0.43</v>
      </c>
      <c r="BY400">
        <f t="shared" si="134"/>
        <v>0</v>
      </c>
      <c r="BZ400" s="303">
        <f t="shared" si="135"/>
        <v>0</v>
      </c>
      <c r="CB400" s="298">
        <v>0.6</v>
      </c>
      <c r="CC400" s="298">
        <v>0.4</v>
      </c>
      <c r="CD400">
        <f t="shared" si="136"/>
        <v>0</v>
      </c>
      <c r="CE400">
        <f t="shared" si="137"/>
        <v>0</v>
      </c>
      <c r="CF400">
        <f t="shared" si="138"/>
        <v>0</v>
      </c>
      <c r="CG400">
        <f t="shared" si="139"/>
        <v>0</v>
      </c>
      <c r="CH400">
        <f t="shared" si="140"/>
        <v>0</v>
      </c>
      <c r="CI400">
        <f t="shared" si="141"/>
        <v>0</v>
      </c>
      <c r="CJ400">
        <f t="shared" si="142"/>
        <v>0</v>
      </c>
      <c r="CK400">
        <f t="shared" si="143"/>
        <v>0</v>
      </c>
      <c r="CL400">
        <f t="shared" si="144"/>
        <v>0</v>
      </c>
      <c r="CM400">
        <f t="shared" si="146"/>
        <v>0</v>
      </c>
      <c r="CN400">
        <f t="shared" si="145"/>
        <v>0</v>
      </c>
      <c r="CO400">
        <f t="shared" si="129"/>
        <v>0</v>
      </c>
    </row>
    <row r="401" spans="1:93" s="12" customFormat="1" ht="14.45" hidden="1" customHeight="1" x14ac:dyDescent="0.25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+VLOOKUP(G401,Liste!$A$7:$G$69,3,FALSE)</f>
        <v>Pin Laricio</v>
      </c>
      <c r="BI401" s="96" t="str">
        <f>+VLOOKUP(H401,Liste!$B$7:$G$69,5,FALSE)</f>
        <v>GS Pineraies des plaines du Centre et du Nord Ouest</v>
      </c>
      <c r="BJ401" s="135">
        <f t="shared" si="128"/>
        <v>34</v>
      </c>
      <c r="BK401" s="135" t="str">
        <f t="shared" si="130"/>
        <v>Pin Laricio_F2_Classique_GS Pineraies des plaines du Centre et du Nord Ouest_34_</v>
      </c>
      <c r="BL401" s="319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97" t="str">
        <f>+VLOOKUP(G401,Liste!$A$7:$H$69,8,FALSE)</f>
        <v>Résineux</v>
      </c>
      <c r="BU401" s="297">
        <f t="shared" si="131"/>
        <v>0</v>
      </c>
      <c r="BV401" s="299">
        <f t="shared" si="132"/>
        <v>1</v>
      </c>
      <c r="BW401" s="318">
        <v>0</v>
      </c>
      <c r="BX401" s="297">
        <f t="shared" si="133"/>
        <v>0.43</v>
      </c>
      <c r="BY401">
        <f t="shared" si="134"/>
        <v>0</v>
      </c>
      <c r="BZ401" s="303">
        <f t="shared" si="135"/>
        <v>0</v>
      </c>
      <c r="CB401" s="298">
        <v>0.6</v>
      </c>
      <c r="CC401" s="298">
        <v>0.4</v>
      </c>
      <c r="CD401">
        <f t="shared" si="136"/>
        <v>0</v>
      </c>
      <c r="CE401">
        <f t="shared" si="137"/>
        <v>0</v>
      </c>
      <c r="CF401">
        <f t="shared" si="138"/>
        <v>0</v>
      </c>
      <c r="CG401">
        <f t="shared" si="139"/>
        <v>0</v>
      </c>
      <c r="CH401">
        <f t="shared" si="140"/>
        <v>0</v>
      </c>
      <c r="CI401">
        <f t="shared" si="141"/>
        <v>0</v>
      </c>
      <c r="CJ401">
        <f t="shared" si="142"/>
        <v>0</v>
      </c>
      <c r="CK401">
        <f t="shared" si="143"/>
        <v>0</v>
      </c>
      <c r="CL401">
        <f t="shared" si="144"/>
        <v>0</v>
      </c>
      <c r="CM401">
        <f t="shared" si="146"/>
        <v>0</v>
      </c>
      <c r="CN401">
        <f t="shared" si="145"/>
        <v>0</v>
      </c>
      <c r="CO401">
        <f t="shared" si="129"/>
        <v>0</v>
      </c>
    </row>
    <row r="402" spans="1:93" s="12" customFormat="1" ht="14.45" hidden="1" customHeight="1" x14ac:dyDescent="0.25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+VLOOKUP(G402,Liste!$A$7:$G$69,3,FALSE)</f>
        <v>Pin Laricio</v>
      </c>
      <c r="BI402" s="96" t="str">
        <f>+VLOOKUP(H402,Liste!$B$7:$G$69,5,FALSE)</f>
        <v>GS Pineraies des plaines du Centre et du Nord Ouest</v>
      </c>
      <c r="BJ402" s="135">
        <f t="shared" si="128"/>
        <v>35</v>
      </c>
      <c r="BK402" s="135" t="str">
        <f t="shared" si="130"/>
        <v>Pin Laricio_F2_Classique_GS Pineraies des plaines du Centre et du Nord Ouest_35_</v>
      </c>
      <c r="BL402" s="319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97" t="str">
        <f>+VLOOKUP(G402,Liste!$A$7:$H$69,8,FALSE)</f>
        <v>Résineux</v>
      </c>
      <c r="BU402" s="297">
        <f t="shared" si="131"/>
        <v>0</v>
      </c>
      <c r="BV402" s="299">
        <f t="shared" si="132"/>
        <v>1</v>
      </c>
      <c r="BW402" s="318">
        <v>0</v>
      </c>
      <c r="BX402" s="297">
        <f t="shared" si="133"/>
        <v>0.43</v>
      </c>
      <c r="BY402">
        <f t="shared" si="134"/>
        <v>0</v>
      </c>
      <c r="BZ402" s="303">
        <f t="shared" si="135"/>
        <v>0</v>
      </c>
      <c r="CB402" s="298">
        <v>0.6</v>
      </c>
      <c r="CC402" s="298">
        <v>0.4</v>
      </c>
      <c r="CD402">
        <f t="shared" si="136"/>
        <v>0</v>
      </c>
      <c r="CE402">
        <f t="shared" si="137"/>
        <v>0</v>
      </c>
      <c r="CF402">
        <f t="shared" si="138"/>
        <v>0</v>
      </c>
      <c r="CG402">
        <f t="shared" si="139"/>
        <v>0</v>
      </c>
      <c r="CH402">
        <f t="shared" si="140"/>
        <v>0</v>
      </c>
      <c r="CI402">
        <f t="shared" si="141"/>
        <v>0</v>
      </c>
      <c r="CJ402">
        <f t="shared" si="142"/>
        <v>0</v>
      </c>
      <c r="CK402">
        <f t="shared" si="143"/>
        <v>0</v>
      </c>
      <c r="CL402">
        <f t="shared" si="144"/>
        <v>0</v>
      </c>
      <c r="CM402">
        <f t="shared" si="146"/>
        <v>0</v>
      </c>
      <c r="CN402">
        <f t="shared" si="145"/>
        <v>0</v>
      </c>
      <c r="CO402">
        <f t="shared" si="129"/>
        <v>0</v>
      </c>
    </row>
    <row r="403" spans="1:93" s="12" customFormat="1" ht="14.45" hidden="1" customHeight="1" x14ac:dyDescent="0.25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+VLOOKUP(G403,Liste!$A$7:$G$69,3,FALSE)</f>
        <v>Pin Laricio</v>
      </c>
      <c r="BI403" s="96" t="str">
        <f>+VLOOKUP(H403,Liste!$B$7:$G$69,5,FALSE)</f>
        <v>GS Pineraies des plaines du Centre et du Nord Ouest</v>
      </c>
      <c r="BJ403" s="135">
        <f t="shared" si="128"/>
        <v>36</v>
      </c>
      <c r="BK403" s="135" t="str">
        <f t="shared" si="130"/>
        <v>Pin Laricio_F2_Classique_GS Pineraies des plaines du Centre et du Nord Ouest_36_</v>
      </c>
      <c r="BL403" s="319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97" t="str">
        <f>+VLOOKUP(G403,Liste!$A$7:$H$69,8,FALSE)</f>
        <v>Résineux</v>
      </c>
      <c r="BU403" s="297">
        <f t="shared" si="131"/>
        <v>0</v>
      </c>
      <c r="BV403" s="299">
        <f t="shared" si="132"/>
        <v>1</v>
      </c>
      <c r="BW403" s="318">
        <v>0</v>
      </c>
      <c r="BX403" s="297">
        <f t="shared" si="133"/>
        <v>0.43</v>
      </c>
      <c r="BY403">
        <f t="shared" si="134"/>
        <v>0</v>
      </c>
      <c r="BZ403" s="303">
        <f t="shared" si="135"/>
        <v>0</v>
      </c>
      <c r="CB403" s="298">
        <v>0.6</v>
      </c>
      <c r="CC403" s="298">
        <v>0.4</v>
      </c>
      <c r="CD403">
        <f t="shared" si="136"/>
        <v>0</v>
      </c>
      <c r="CE403">
        <f t="shared" si="137"/>
        <v>0</v>
      </c>
      <c r="CF403">
        <f t="shared" si="138"/>
        <v>0</v>
      </c>
      <c r="CG403">
        <f t="shared" si="139"/>
        <v>0</v>
      </c>
      <c r="CH403">
        <f t="shared" si="140"/>
        <v>0</v>
      </c>
      <c r="CI403">
        <f t="shared" si="141"/>
        <v>0</v>
      </c>
      <c r="CJ403">
        <f t="shared" si="142"/>
        <v>0</v>
      </c>
      <c r="CK403">
        <f t="shared" si="143"/>
        <v>0</v>
      </c>
      <c r="CL403">
        <f t="shared" si="144"/>
        <v>0</v>
      </c>
      <c r="CM403">
        <f t="shared" si="146"/>
        <v>0</v>
      </c>
      <c r="CN403">
        <f t="shared" si="145"/>
        <v>0</v>
      </c>
      <c r="CO403">
        <f t="shared" si="129"/>
        <v>0</v>
      </c>
    </row>
    <row r="404" spans="1:93" s="12" customFormat="1" ht="14.45" hidden="1" customHeight="1" x14ac:dyDescent="0.25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+VLOOKUP(G404,Liste!$A$7:$G$69,3,FALSE)</f>
        <v>Pin Laricio</v>
      </c>
      <c r="BI404" s="96" t="str">
        <f>+VLOOKUP(H404,Liste!$B$7:$G$69,5,FALSE)</f>
        <v>GS Pineraies des plaines du Centre et du Nord Ouest</v>
      </c>
      <c r="BJ404" s="135">
        <f t="shared" si="128"/>
        <v>37</v>
      </c>
      <c r="BK404" s="135" t="str">
        <f t="shared" si="130"/>
        <v>Pin Laricio_F2_Classique_GS Pineraies des plaines du Centre et du Nord Ouest_37_</v>
      </c>
      <c r="BL404" s="319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97" t="str">
        <f>+VLOOKUP(G404,Liste!$A$7:$H$69,8,FALSE)</f>
        <v>Résineux</v>
      </c>
      <c r="BU404" s="297">
        <f t="shared" si="131"/>
        <v>0</v>
      </c>
      <c r="BV404" s="299">
        <f t="shared" si="132"/>
        <v>1</v>
      </c>
      <c r="BW404" s="318">
        <v>0</v>
      </c>
      <c r="BX404" s="297">
        <f t="shared" si="133"/>
        <v>0.43</v>
      </c>
      <c r="BY404">
        <f t="shared" si="134"/>
        <v>0</v>
      </c>
      <c r="BZ404" s="303">
        <f t="shared" si="135"/>
        <v>0</v>
      </c>
      <c r="CB404" s="298">
        <v>0.6</v>
      </c>
      <c r="CC404" s="298">
        <v>0.4</v>
      </c>
      <c r="CD404">
        <f t="shared" si="136"/>
        <v>0</v>
      </c>
      <c r="CE404">
        <f t="shared" si="137"/>
        <v>0</v>
      </c>
      <c r="CF404">
        <f t="shared" si="138"/>
        <v>0</v>
      </c>
      <c r="CG404">
        <f t="shared" si="139"/>
        <v>0</v>
      </c>
      <c r="CH404">
        <f t="shared" si="140"/>
        <v>0</v>
      </c>
      <c r="CI404">
        <f t="shared" si="141"/>
        <v>0</v>
      </c>
      <c r="CJ404">
        <f t="shared" si="142"/>
        <v>0</v>
      </c>
      <c r="CK404">
        <f t="shared" si="143"/>
        <v>0</v>
      </c>
      <c r="CL404">
        <f t="shared" si="144"/>
        <v>0</v>
      </c>
      <c r="CM404">
        <f t="shared" si="146"/>
        <v>0</v>
      </c>
      <c r="CN404">
        <f t="shared" si="145"/>
        <v>0</v>
      </c>
      <c r="CO404">
        <f t="shared" si="129"/>
        <v>0</v>
      </c>
    </row>
    <row r="405" spans="1:93" s="12" customFormat="1" ht="14.45" hidden="1" customHeight="1" x14ac:dyDescent="0.25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+VLOOKUP(G405,Liste!$A$7:$G$69,3,FALSE)</f>
        <v>Pin Laricio</v>
      </c>
      <c r="BI405" s="96" t="str">
        <f>+VLOOKUP(H405,Liste!$B$7:$G$69,5,FALSE)</f>
        <v>GS Pineraies des plaines du Centre et du Nord Ouest</v>
      </c>
      <c r="BJ405" s="135">
        <f t="shared" si="128"/>
        <v>38</v>
      </c>
      <c r="BK405" s="135" t="str">
        <f t="shared" si="130"/>
        <v>Pin Laricio_F2_Classique_GS Pineraies des plaines du Centre et du Nord Ouest_38_</v>
      </c>
      <c r="BL405" s="319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97" t="str">
        <f>+VLOOKUP(G405,Liste!$A$7:$H$69,8,FALSE)</f>
        <v>Résineux</v>
      </c>
      <c r="BU405" s="297">
        <f t="shared" si="131"/>
        <v>0</v>
      </c>
      <c r="BV405" s="299">
        <f t="shared" si="132"/>
        <v>1</v>
      </c>
      <c r="BW405" s="318">
        <v>0</v>
      </c>
      <c r="BX405" s="297">
        <f t="shared" si="133"/>
        <v>0.43</v>
      </c>
      <c r="BY405">
        <f t="shared" si="134"/>
        <v>0</v>
      </c>
      <c r="BZ405" s="303">
        <f t="shared" si="135"/>
        <v>0</v>
      </c>
      <c r="CB405" s="298">
        <v>0.6</v>
      </c>
      <c r="CC405" s="298">
        <v>0.4</v>
      </c>
      <c r="CD405">
        <f t="shared" si="136"/>
        <v>0</v>
      </c>
      <c r="CE405">
        <f t="shared" si="137"/>
        <v>0</v>
      </c>
      <c r="CF405">
        <f t="shared" si="138"/>
        <v>0</v>
      </c>
      <c r="CG405">
        <f t="shared" si="139"/>
        <v>0</v>
      </c>
      <c r="CH405">
        <f t="shared" si="140"/>
        <v>0</v>
      </c>
      <c r="CI405">
        <f t="shared" si="141"/>
        <v>0</v>
      </c>
      <c r="CJ405">
        <f t="shared" si="142"/>
        <v>0</v>
      </c>
      <c r="CK405">
        <f t="shared" si="143"/>
        <v>0</v>
      </c>
      <c r="CL405">
        <f t="shared" si="144"/>
        <v>0</v>
      </c>
      <c r="CM405">
        <f t="shared" si="146"/>
        <v>0</v>
      </c>
      <c r="CN405">
        <f t="shared" si="145"/>
        <v>0</v>
      </c>
      <c r="CO405">
        <f t="shared" si="129"/>
        <v>0</v>
      </c>
    </row>
    <row r="406" spans="1:93" s="12" customFormat="1" ht="14.45" hidden="1" customHeight="1" x14ac:dyDescent="0.25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+VLOOKUP(G406,Liste!$A$7:$G$69,3,FALSE)</f>
        <v>Pin Laricio</v>
      </c>
      <c r="BI406" s="96" t="str">
        <f>+VLOOKUP(H406,Liste!$B$7:$G$69,5,FALSE)</f>
        <v>GS Pineraies des plaines du Centre et du Nord Ouest</v>
      </c>
      <c r="BJ406" s="135">
        <f t="shared" si="128"/>
        <v>39</v>
      </c>
      <c r="BK406" s="135" t="str">
        <f t="shared" si="130"/>
        <v>Pin Laricio_F2_Classique_GS Pineraies des plaines du Centre et du Nord Ouest_39_</v>
      </c>
      <c r="BL406" s="319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97" t="str">
        <f>+VLOOKUP(G406,Liste!$A$7:$H$69,8,FALSE)</f>
        <v>Résineux</v>
      </c>
      <c r="BU406" s="297">
        <f t="shared" si="131"/>
        <v>0</v>
      </c>
      <c r="BV406" s="299">
        <f t="shared" si="132"/>
        <v>1</v>
      </c>
      <c r="BW406" s="318">
        <v>0</v>
      </c>
      <c r="BX406" s="297">
        <f t="shared" si="133"/>
        <v>0.43</v>
      </c>
      <c r="BY406">
        <f t="shared" si="134"/>
        <v>0</v>
      </c>
      <c r="BZ406" s="303">
        <f t="shared" si="135"/>
        <v>0</v>
      </c>
      <c r="CB406" s="298">
        <v>0.6</v>
      </c>
      <c r="CC406" s="298">
        <v>0.4</v>
      </c>
      <c r="CD406">
        <f t="shared" si="136"/>
        <v>0</v>
      </c>
      <c r="CE406">
        <f t="shared" si="137"/>
        <v>0</v>
      </c>
      <c r="CF406">
        <f t="shared" si="138"/>
        <v>0</v>
      </c>
      <c r="CG406">
        <f t="shared" si="139"/>
        <v>0</v>
      </c>
      <c r="CH406">
        <f t="shared" si="140"/>
        <v>0</v>
      </c>
      <c r="CI406">
        <f t="shared" si="141"/>
        <v>0</v>
      </c>
      <c r="CJ406">
        <f t="shared" si="142"/>
        <v>0</v>
      </c>
      <c r="CK406">
        <f t="shared" si="143"/>
        <v>0</v>
      </c>
      <c r="CL406">
        <f t="shared" si="144"/>
        <v>0</v>
      </c>
      <c r="CM406">
        <f t="shared" si="146"/>
        <v>0</v>
      </c>
      <c r="CN406">
        <f t="shared" si="145"/>
        <v>0</v>
      </c>
      <c r="CO406">
        <f t="shared" si="129"/>
        <v>0</v>
      </c>
    </row>
    <row r="407" spans="1:93" s="12" customFormat="1" ht="14.45" hidden="1" customHeight="1" x14ac:dyDescent="0.25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+VLOOKUP(G407,Liste!$A$7:$G$69,3,FALSE)</f>
        <v>Pin Laricio</v>
      </c>
      <c r="BI407" s="96" t="str">
        <f>+VLOOKUP(H407,Liste!$B$7:$G$69,5,FALSE)</f>
        <v>GS Pineraies des plaines du Centre et du Nord Ouest</v>
      </c>
      <c r="BJ407" s="135">
        <f t="shared" si="128"/>
        <v>40</v>
      </c>
      <c r="BK407" s="135" t="str">
        <f t="shared" si="130"/>
        <v>Pin Laricio_F2_Classique_GS Pineraies des plaines du Centre et du Nord Ouest_40_</v>
      </c>
      <c r="BL407" s="319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97" t="str">
        <f>+VLOOKUP(G407,Liste!$A$7:$H$69,8,FALSE)</f>
        <v>Résineux</v>
      </c>
      <c r="BU407" s="297">
        <f t="shared" si="131"/>
        <v>0</v>
      </c>
      <c r="BV407" s="299">
        <f t="shared" si="132"/>
        <v>1</v>
      </c>
      <c r="BW407" s="318">
        <v>0</v>
      </c>
      <c r="BX407" s="297">
        <f t="shared" si="133"/>
        <v>0.43</v>
      </c>
      <c r="BY407">
        <f t="shared" si="134"/>
        <v>0</v>
      </c>
      <c r="BZ407" s="303">
        <f t="shared" si="135"/>
        <v>0</v>
      </c>
      <c r="CB407" s="298">
        <v>0.6</v>
      </c>
      <c r="CC407" s="298">
        <v>0.4</v>
      </c>
      <c r="CD407">
        <f t="shared" si="136"/>
        <v>0</v>
      </c>
      <c r="CE407">
        <f t="shared" si="137"/>
        <v>0</v>
      </c>
      <c r="CF407">
        <f t="shared" si="138"/>
        <v>0</v>
      </c>
      <c r="CG407">
        <f t="shared" si="139"/>
        <v>0</v>
      </c>
      <c r="CH407">
        <f t="shared" si="140"/>
        <v>0</v>
      </c>
      <c r="CI407">
        <f t="shared" si="141"/>
        <v>0</v>
      </c>
      <c r="CJ407">
        <f t="shared" si="142"/>
        <v>0</v>
      </c>
      <c r="CK407">
        <f t="shared" si="143"/>
        <v>0</v>
      </c>
      <c r="CL407">
        <f t="shared" si="144"/>
        <v>0</v>
      </c>
      <c r="CM407">
        <f t="shared" si="146"/>
        <v>0</v>
      </c>
      <c r="CN407">
        <f t="shared" si="145"/>
        <v>0</v>
      </c>
      <c r="CO407">
        <f t="shared" si="129"/>
        <v>0</v>
      </c>
    </row>
    <row r="408" spans="1:93" s="12" customFormat="1" ht="14.45" hidden="1" customHeight="1" x14ac:dyDescent="0.25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+VLOOKUP(G408,Liste!$A$7:$G$69,3,FALSE)</f>
        <v>Pin Laricio</v>
      </c>
      <c r="BI408" s="96" t="str">
        <f>+VLOOKUP(H408,Liste!$B$7:$G$69,5,FALSE)</f>
        <v>GS Pineraies des plaines du Centre et du Nord Ouest</v>
      </c>
      <c r="BJ408" s="135">
        <f t="shared" si="128"/>
        <v>40</v>
      </c>
      <c r="BK408" s="135" t="str">
        <f t="shared" si="130"/>
        <v>Pin Laricio_F2_Classique_GS Pineraies des plaines du Centre et du Nord Ouest_40_</v>
      </c>
      <c r="BL408" s="319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97" t="str">
        <f>+VLOOKUP(G408,Liste!$A$7:$H$69,8,FALSE)</f>
        <v>Résineux</v>
      </c>
      <c r="BU408" s="297">
        <f t="shared" si="131"/>
        <v>0</v>
      </c>
      <c r="BV408" s="299">
        <f t="shared" si="132"/>
        <v>1</v>
      </c>
      <c r="BW408" s="318">
        <v>0</v>
      </c>
      <c r="BX408" s="297">
        <f t="shared" si="133"/>
        <v>0.43</v>
      </c>
      <c r="BY408">
        <f t="shared" si="134"/>
        <v>0</v>
      </c>
      <c r="BZ408" s="303">
        <f t="shared" si="135"/>
        <v>0</v>
      </c>
      <c r="CB408" s="298">
        <v>0.6</v>
      </c>
      <c r="CC408" s="298">
        <v>0.4</v>
      </c>
      <c r="CD408">
        <f t="shared" si="136"/>
        <v>0</v>
      </c>
      <c r="CE408">
        <f t="shared" si="137"/>
        <v>0</v>
      </c>
      <c r="CF408">
        <f t="shared" si="138"/>
        <v>0</v>
      </c>
      <c r="CG408">
        <f t="shared" si="139"/>
        <v>0</v>
      </c>
      <c r="CH408">
        <f t="shared" si="140"/>
        <v>0</v>
      </c>
      <c r="CI408">
        <f t="shared" si="141"/>
        <v>0</v>
      </c>
      <c r="CJ408">
        <f t="shared" si="142"/>
        <v>0</v>
      </c>
      <c r="CK408">
        <f t="shared" si="143"/>
        <v>0</v>
      </c>
      <c r="CL408">
        <f t="shared" si="144"/>
        <v>0</v>
      </c>
      <c r="CM408">
        <f t="shared" si="146"/>
        <v>0</v>
      </c>
      <c r="CN408">
        <f t="shared" si="145"/>
        <v>0</v>
      </c>
      <c r="CO408">
        <f t="shared" si="129"/>
        <v>0</v>
      </c>
    </row>
    <row r="409" spans="1:93" s="12" customFormat="1" ht="14.45" hidden="1" customHeight="1" x14ac:dyDescent="0.25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+VLOOKUP(G409,Liste!$A$7:$G$69,3,FALSE)</f>
        <v>Pin Laricio</v>
      </c>
      <c r="BI409" s="96" t="str">
        <f>+VLOOKUP(H409,Liste!$B$7:$G$69,5,FALSE)</f>
        <v>GS Pineraies des plaines du Centre et du Nord Ouest</v>
      </c>
      <c r="BJ409" s="135">
        <f t="shared" si="128"/>
        <v>41</v>
      </c>
      <c r="BK409" s="135" t="str">
        <f t="shared" si="130"/>
        <v>Pin Laricio_F2_Classique_GS Pineraies des plaines du Centre et du Nord Ouest_41_</v>
      </c>
      <c r="BL409" s="319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97" t="str">
        <f>+VLOOKUP(G409,Liste!$A$7:$H$69,8,FALSE)</f>
        <v>Résineux</v>
      </c>
      <c r="BU409" s="297">
        <f t="shared" si="131"/>
        <v>0</v>
      </c>
      <c r="BV409" s="299">
        <f t="shared" si="132"/>
        <v>1</v>
      </c>
      <c r="BW409" s="318">
        <v>0</v>
      </c>
      <c r="BX409" s="297">
        <f t="shared" si="133"/>
        <v>0.43</v>
      </c>
      <c r="BY409">
        <f t="shared" si="134"/>
        <v>0</v>
      </c>
      <c r="BZ409" s="303">
        <f t="shared" si="135"/>
        <v>0</v>
      </c>
      <c r="CB409" s="298">
        <v>0.6</v>
      </c>
      <c r="CC409" s="298">
        <v>0.4</v>
      </c>
      <c r="CD409">
        <f t="shared" si="136"/>
        <v>0</v>
      </c>
      <c r="CE409">
        <f t="shared" si="137"/>
        <v>0</v>
      </c>
      <c r="CF409">
        <f t="shared" si="138"/>
        <v>0</v>
      </c>
      <c r="CG409">
        <f t="shared" si="139"/>
        <v>0</v>
      </c>
      <c r="CH409">
        <f t="shared" si="140"/>
        <v>0</v>
      </c>
      <c r="CI409">
        <f t="shared" si="141"/>
        <v>0</v>
      </c>
      <c r="CJ409">
        <f t="shared" si="142"/>
        <v>0</v>
      </c>
      <c r="CK409">
        <f t="shared" si="143"/>
        <v>0</v>
      </c>
      <c r="CL409">
        <f t="shared" si="144"/>
        <v>0</v>
      </c>
      <c r="CM409">
        <f t="shared" si="146"/>
        <v>0</v>
      </c>
      <c r="CN409">
        <f t="shared" si="145"/>
        <v>0</v>
      </c>
      <c r="CO409">
        <f t="shared" si="129"/>
        <v>0</v>
      </c>
    </row>
    <row r="410" spans="1:93" s="12" customFormat="1" ht="14.45" hidden="1" customHeight="1" x14ac:dyDescent="0.25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+VLOOKUP(G410,Liste!$A$7:$G$69,3,FALSE)</f>
        <v>Pin Laricio</v>
      </c>
      <c r="BI410" s="96" t="str">
        <f>+VLOOKUP(H410,Liste!$B$7:$G$69,5,FALSE)</f>
        <v>GS Pineraies des plaines du Centre et du Nord Ouest</v>
      </c>
      <c r="BJ410" s="135">
        <f t="shared" si="128"/>
        <v>42</v>
      </c>
      <c r="BK410" s="135" t="str">
        <f t="shared" si="130"/>
        <v>Pin Laricio_F2_Classique_GS Pineraies des plaines du Centre et du Nord Ouest_42_</v>
      </c>
      <c r="BL410" s="319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97" t="str">
        <f>+VLOOKUP(G410,Liste!$A$7:$H$69,8,FALSE)</f>
        <v>Résineux</v>
      </c>
      <c r="BU410" s="297">
        <f t="shared" si="131"/>
        <v>0</v>
      </c>
      <c r="BV410" s="299">
        <f t="shared" si="132"/>
        <v>1</v>
      </c>
      <c r="BW410" s="318">
        <v>0</v>
      </c>
      <c r="BX410" s="297">
        <f t="shared" si="133"/>
        <v>0.43</v>
      </c>
      <c r="BY410">
        <f t="shared" si="134"/>
        <v>0</v>
      </c>
      <c r="BZ410" s="303">
        <f t="shared" si="135"/>
        <v>0</v>
      </c>
      <c r="CB410" s="298">
        <v>0.6</v>
      </c>
      <c r="CC410" s="298">
        <v>0.4</v>
      </c>
      <c r="CD410">
        <f t="shared" si="136"/>
        <v>0</v>
      </c>
      <c r="CE410">
        <f t="shared" si="137"/>
        <v>0</v>
      </c>
      <c r="CF410">
        <f t="shared" si="138"/>
        <v>0</v>
      </c>
      <c r="CG410">
        <f t="shared" si="139"/>
        <v>0</v>
      </c>
      <c r="CH410">
        <f t="shared" si="140"/>
        <v>0</v>
      </c>
      <c r="CI410">
        <f t="shared" si="141"/>
        <v>0</v>
      </c>
      <c r="CJ410">
        <f t="shared" si="142"/>
        <v>0</v>
      </c>
      <c r="CK410">
        <f t="shared" si="143"/>
        <v>0</v>
      </c>
      <c r="CL410">
        <f t="shared" si="144"/>
        <v>0</v>
      </c>
      <c r="CM410">
        <f t="shared" si="146"/>
        <v>0</v>
      </c>
      <c r="CN410">
        <f t="shared" si="145"/>
        <v>0</v>
      </c>
      <c r="CO410">
        <f t="shared" si="129"/>
        <v>0</v>
      </c>
    </row>
    <row r="411" spans="1:93" s="12" customFormat="1" ht="14.45" hidden="1" customHeight="1" x14ac:dyDescent="0.25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+VLOOKUP(G411,Liste!$A$7:$G$69,3,FALSE)</f>
        <v>Pin Laricio</v>
      </c>
      <c r="BI411" s="96" t="str">
        <f>+VLOOKUP(H411,Liste!$B$7:$G$69,5,FALSE)</f>
        <v>GS Pineraies des plaines du Centre et du Nord Ouest</v>
      </c>
      <c r="BJ411" s="135">
        <f t="shared" si="128"/>
        <v>43</v>
      </c>
      <c r="BK411" s="135" t="str">
        <f t="shared" si="130"/>
        <v>Pin Laricio_F2_Classique_GS Pineraies des plaines du Centre et du Nord Ouest_43_</v>
      </c>
      <c r="BL411" s="319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97" t="str">
        <f>+VLOOKUP(G411,Liste!$A$7:$H$69,8,FALSE)</f>
        <v>Résineux</v>
      </c>
      <c r="BU411" s="297">
        <f t="shared" si="131"/>
        <v>0</v>
      </c>
      <c r="BV411" s="299">
        <f t="shared" si="132"/>
        <v>1</v>
      </c>
      <c r="BW411" s="318">
        <v>0</v>
      </c>
      <c r="BX411" s="297">
        <f t="shared" si="133"/>
        <v>0.43</v>
      </c>
      <c r="BY411">
        <f t="shared" si="134"/>
        <v>0</v>
      </c>
      <c r="BZ411" s="303">
        <f t="shared" si="135"/>
        <v>0</v>
      </c>
      <c r="CB411" s="298">
        <v>0.6</v>
      </c>
      <c r="CC411" s="298">
        <v>0.4</v>
      </c>
      <c r="CD411">
        <f t="shared" si="136"/>
        <v>0</v>
      </c>
      <c r="CE411">
        <f t="shared" si="137"/>
        <v>0</v>
      </c>
      <c r="CF411">
        <f t="shared" si="138"/>
        <v>0</v>
      </c>
      <c r="CG411">
        <f t="shared" si="139"/>
        <v>0</v>
      </c>
      <c r="CH411">
        <f t="shared" si="140"/>
        <v>0</v>
      </c>
      <c r="CI411">
        <f t="shared" si="141"/>
        <v>0</v>
      </c>
      <c r="CJ411">
        <f t="shared" si="142"/>
        <v>0</v>
      </c>
      <c r="CK411">
        <f t="shared" si="143"/>
        <v>0</v>
      </c>
      <c r="CL411">
        <f t="shared" si="144"/>
        <v>0</v>
      </c>
      <c r="CM411">
        <f t="shared" si="146"/>
        <v>0</v>
      </c>
      <c r="CN411">
        <f t="shared" si="145"/>
        <v>0</v>
      </c>
      <c r="CO411">
        <f t="shared" si="129"/>
        <v>0</v>
      </c>
    </row>
    <row r="412" spans="1:93" s="12" customFormat="1" ht="14.45" hidden="1" customHeight="1" x14ac:dyDescent="0.25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+VLOOKUP(G412,Liste!$A$7:$G$69,3,FALSE)</f>
        <v>Pin Laricio</v>
      </c>
      <c r="BI412" s="96" t="str">
        <f>+VLOOKUP(H412,Liste!$B$7:$G$69,5,FALSE)</f>
        <v>GS Pineraies des plaines du Centre et du Nord Ouest</v>
      </c>
      <c r="BJ412" s="135">
        <f t="shared" si="128"/>
        <v>44</v>
      </c>
      <c r="BK412" s="135" t="str">
        <f t="shared" si="130"/>
        <v>Pin Laricio_F2_Classique_GS Pineraies des plaines du Centre et du Nord Ouest_44_</v>
      </c>
      <c r="BL412" s="319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97" t="str">
        <f>+VLOOKUP(G412,Liste!$A$7:$H$69,8,FALSE)</f>
        <v>Résineux</v>
      </c>
      <c r="BU412" s="297">
        <f t="shared" si="131"/>
        <v>0</v>
      </c>
      <c r="BV412" s="299">
        <f t="shared" si="132"/>
        <v>1</v>
      </c>
      <c r="BW412" s="318">
        <v>0</v>
      </c>
      <c r="BX412" s="297">
        <f t="shared" si="133"/>
        <v>0.43</v>
      </c>
      <c r="BY412">
        <f t="shared" si="134"/>
        <v>0</v>
      </c>
      <c r="BZ412" s="303">
        <f t="shared" si="135"/>
        <v>0</v>
      </c>
      <c r="CB412" s="298">
        <v>0.6</v>
      </c>
      <c r="CC412" s="298">
        <v>0.4</v>
      </c>
      <c r="CD412">
        <f t="shared" si="136"/>
        <v>0</v>
      </c>
      <c r="CE412">
        <f t="shared" si="137"/>
        <v>0</v>
      </c>
      <c r="CF412">
        <f t="shared" si="138"/>
        <v>0</v>
      </c>
      <c r="CG412">
        <f t="shared" si="139"/>
        <v>0</v>
      </c>
      <c r="CH412">
        <f t="shared" si="140"/>
        <v>0</v>
      </c>
      <c r="CI412">
        <f t="shared" si="141"/>
        <v>0</v>
      </c>
      <c r="CJ412">
        <f t="shared" si="142"/>
        <v>0</v>
      </c>
      <c r="CK412">
        <f t="shared" si="143"/>
        <v>0</v>
      </c>
      <c r="CL412">
        <f t="shared" si="144"/>
        <v>0</v>
      </c>
      <c r="CM412">
        <f t="shared" si="146"/>
        <v>0</v>
      </c>
      <c r="CN412">
        <f t="shared" si="145"/>
        <v>0</v>
      </c>
      <c r="CO412">
        <f t="shared" si="129"/>
        <v>0</v>
      </c>
    </row>
    <row r="413" spans="1:93" s="12" customFormat="1" ht="14.45" hidden="1" customHeight="1" x14ac:dyDescent="0.25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+VLOOKUP(G413,Liste!$A$7:$G$69,3,FALSE)</f>
        <v>Pin Laricio</v>
      </c>
      <c r="BI413" s="96" t="str">
        <f>+VLOOKUP(H413,Liste!$B$7:$G$69,5,FALSE)</f>
        <v>GS Pineraies des plaines du Centre et du Nord Ouest</v>
      </c>
      <c r="BJ413" s="135">
        <f t="shared" si="128"/>
        <v>45</v>
      </c>
      <c r="BK413" s="135" t="str">
        <f t="shared" si="130"/>
        <v>Pin Laricio_F2_Classique_GS Pineraies des plaines du Centre et du Nord Ouest_45_</v>
      </c>
      <c r="BL413" s="319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97" t="str">
        <f>+VLOOKUP(G413,Liste!$A$7:$H$69,8,FALSE)</f>
        <v>Résineux</v>
      </c>
      <c r="BU413" s="297">
        <f t="shared" si="131"/>
        <v>0</v>
      </c>
      <c r="BV413" s="299">
        <f t="shared" si="132"/>
        <v>1</v>
      </c>
      <c r="BW413" s="318">
        <v>0</v>
      </c>
      <c r="BX413" s="297">
        <f t="shared" si="133"/>
        <v>0.43</v>
      </c>
      <c r="BY413">
        <f t="shared" si="134"/>
        <v>0</v>
      </c>
      <c r="BZ413" s="303">
        <f t="shared" si="135"/>
        <v>0</v>
      </c>
      <c r="CB413" s="298">
        <v>0.6</v>
      </c>
      <c r="CC413" s="298">
        <v>0.4</v>
      </c>
      <c r="CD413">
        <f t="shared" si="136"/>
        <v>0</v>
      </c>
      <c r="CE413">
        <f t="shared" si="137"/>
        <v>0</v>
      </c>
      <c r="CF413">
        <f t="shared" si="138"/>
        <v>0</v>
      </c>
      <c r="CG413">
        <f t="shared" si="139"/>
        <v>0</v>
      </c>
      <c r="CH413">
        <f t="shared" si="140"/>
        <v>0</v>
      </c>
      <c r="CI413">
        <f t="shared" si="141"/>
        <v>0</v>
      </c>
      <c r="CJ413">
        <f t="shared" si="142"/>
        <v>0</v>
      </c>
      <c r="CK413">
        <f t="shared" si="143"/>
        <v>0</v>
      </c>
      <c r="CL413">
        <f t="shared" si="144"/>
        <v>0</v>
      </c>
      <c r="CM413">
        <f t="shared" si="146"/>
        <v>0</v>
      </c>
      <c r="CN413">
        <f t="shared" si="145"/>
        <v>0</v>
      </c>
      <c r="CO413">
        <f t="shared" si="129"/>
        <v>0</v>
      </c>
    </row>
    <row r="414" spans="1:93" s="12" customFormat="1" ht="14.45" hidden="1" customHeight="1" x14ac:dyDescent="0.25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+VLOOKUP(G414,Liste!$A$7:$G$69,3,FALSE)</f>
        <v>Pin Laricio</v>
      </c>
      <c r="BI414" s="96" t="str">
        <f>+VLOOKUP(H414,Liste!$B$7:$G$69,5,FALSE)</f>
        <v>GS Pineraies des plaines du Centre et du Nord Ouest</v>
      </c>
      <c r="BJ414" s="135">
        <f t="shared" si="128"/>
        <v>46</v>
      </c>
      <c r="BK414" s="135" t="str">
        <f t="shared" si="130"/>
        <v>Pin Laricio_F2_Classique_GS Pineraies des plaines du Centre et du Nord Ouest_46_</v>
      </c>
      <c r="BL414" s="319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97" t="str">
        <f>+VLOOKUP(G414,Liste!$A$7:$H$69,8,FALSE)</f>
        <v>Résineux</v>
      </c>
      <c r="BU414" s="297">
        <f t="shared" si="131"/>
        <v>0</v>
      </c>
      <c r="BV414" s="299">
        <f t="shared" si="132"/>
        <v>1</v>
      </c>
      <c r="BW414" s="318">
        <v>0</v>
      </c>
      <c r="BX414" s="297">
        <f t="shared" si="133"/>
        <v>0.43</v>
      </c>
      <c r="BY414">
        <f t="shared" si="134"/>
        <v>0</v>
      </c>
      <c r="BZ414" s="303">
        <f t="shared" si="135"/>
        <v>0</v>
      </c>
      <c r="CB414" s="298">
        <v>0.6</v>
      </c>
      <c r="CC414" s="298">
        <v>0.4</v>
      </c>
      <c r="CD414">
        <f t="shared" si="136"/>
        <v>0</v>
      </c>
      <c r="CE414">
        <f t="shared" si="137"/>
        <v>0</v>
      </c>
      <c r="CF414">
        <f t="shared" si="138"/>
        <v>0</v>
      </c>
      <c r="CG414">
        <f t="shared" si="139"/>
        <v>0</v>
      </c>
      <c r="CH414">
        <f t="shared" si="140"/>
        <v>0</v>
      </c>
      <c r="CI414">
        <f t="shared" si="141"/>
        <v>0</v>
      </c>
      <c r="CJ414">
        <f t="shared" si="142"/>
        <v>0</v>
      </c>
      <c r="CK414">
        <f t="shared" si="143"/>
        <v>0</v>
      </c>
      <c r="CL414">
        <f t="shared" si="144"/>
        <v>0</v>
      </c>
      <c r="CM414">
        <f t="shared" si="146"/>
        <v>0</v>
      </c>
      <c r="CN414">
        <f t="shared" si="145"/>
        <v>0</v>
      </c>
      <c r="CO414">
        <f t="shared" si="129"/>
        <v>0</v>
      </c>
    </row>
    <row r="415" spans="1:93" s="12" customFormat="1" ht="14.45" hidden="1" customHeight="1" x14ac:dyDescent="0.25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+VLOOKUP(G415,Liste!$A$7:$G$69,3,FALSE)</f>
        <v>Pin Laricio</v>
      </c>
      <c r="BI415" s="96" t="str">
        <f>+VLOOKUP(H415,Liste!$B$7:$G$69,5,FALSE)</f>
        <v>GS Pineraies des plaines du Centre et du Nord Ouest</v>
      </c>
      <c r="BJ415" s="135">
        <f t="shared" si="128"/>
        <v>47</v>
      </c>
      <c r="BK415" s="135" t="str">
        <f t="shared" si="130"/>
        <v>Pin Laricio_F2_Classique_GS Pineraies des plaines du Centre et du Nord Ouest_47_</v>
      </c>
      <c r="BL415" s="319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97" t="str">
        <f>+VLOOKUP(G415,Liste!$A$7:$H$69,8,FALSE)</f>
        <v>Résineux</v>
      </c>
      <c r="BU415" s="297">
        <f t="shared" si="131"/>
        <v>0</v>
      </c>
      <c r="BV415" s="299">
        <f t="shared" si="132"/>
        <v>1</v>
      </c>
      <c r="BW415" s="318">
        <v>0</v>
      </c>
      <c r="BX415" s="297">
        <f t="shared" si="133"/>
        <v>0.43</v>
      </c>
      <c r="BY415">
        <f t="shared" si="134"/>
        <v>0</v>
      </c>
      <c r="BZ415" s="303">
        <f t="shared" si="135"/>
        <v>0</v>
      </c>
      <c r="CB415" s="298">
        <v>0.6</v>
      </c>
      <c r="CC415" s="298">
        <v>0.4</v>
      </c>
      <c r="CD415">
        <f t="shared" si="136"/>
        <v>0</v>
      </c>
      <c r="CE415">
        <f t="shared" si="137"/>
        <v>0</v>
      </c>
      <c r="CF415">
        <f t="shared" si="138"/>
        <v>0</v>
      </c>
      <c r="CG415">
        <f t="shared" si="139"/>
        <v>0</v>
      </c>
      <c r="CH415">
        <f t="shared" si="140"/>
        <v>0</v>
      </c>
      <c r="CI415">
        <f t="shared" si="141"/>
        <v>0</v>
      </c>
      <c r="CJ415">
        <f t="shared" si="142"/>
        <v>0</v>
      </c>
      <c r="CK415">
        <f t="shared" si="143"/>
        <v>0</v>
      </c>
      <c r="CL415">
        <f t="shared" si="144"/>
        <v>0</v>
      </c>
      <c r="CM415">
        <f t="shared" si="146"/>
        <v>0</v>
      </c>
      <c r="CN415">
        <f t="shared" si="145"/>
        <v>0</v>
      </c>
      <c r="CO415">
        <f t="shared" si="129"/>
        <v>0</v>
      </c>
    </row>
    <row r="416" spans="1:93" s="12" customFormat="1" ht="14.45" hidden="1" customHeight="1" x14ac:dyDescent="0.25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+VLOOKUP(G416,Liste!$A$7:$G$69,3,FALSE)</f>
        <v>Pin Laricio</v>
      </c>
      <c r="BI416" s="96" t="str">
        <f>+VLOOKUP(H416,Liste!$B$7:$G$69,5,FALSE)</f>
        <v>GS Pineraies des plaines du Centre et du Nord Ouest</v>
      </c>
      <c r="BJ416" s="135">
        <f t="shared" si="128"/>
        <v>48</v>
      </c>
      <c r="BK416" s="135" t="str">
        <f t="shared" si="130"/>
        <v>Pin Laricio_F2_Classique_GS Pineraies des plaines du Centre et du Nord Ouest_48_</v>
      </c>
      <c r="BL416" s="319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97" t="str">
        <f>+VLOOKUP(G416,Liste!$A$7:$H$69,8,FALSE)</f>
        <v>Résineux</v>
      </c>
      <c r="BU416" s="297">
        <f t="shared" si="131"/>
        <v>0</v>
      </c>
      <c r="BV416" s="299">
        <f t="shared" si="132"/>
        <v>1</v>
      </c>
      <c r="BW416" s="318">
        <v>0</v>
      </c>
      <c r="BX416" s="297">
        <f t="shared" si="133"/>
        <v>0.43</v>
      </c>
      <c r="BY416">
        <f t="shared" si="134"/>
        <v>0</v>
      </c>
      <c r="BZ416" s="303">
        <f t="shared" si="135"/>
        <v>0</v>
      </c>
      <c r="CB416" s="298">
        <v>0.6</v>
      </c>
      <c r="CC416" s="298">
        <v>0.4</v>
      </c>
      <c r="CD416">
        <f t="shared" si="136"/>
        <v>0</v>
      </c>
      <c r="CE416">
        <f t="shared" si="137"/>
        <v>0</v>
      </c>
      <c r="CF416">
        <f t="shared" si="138"/>
        <v>0</v>
      </c>
      <c r="CG416">
        <f t="shared" si="139"/>
        <v>0</v>
      </c>
      <c r="CH416">
        <f t="shared" si="140"/>
        <v>0</v>
      </c>
      <c r="CI416">
        <f t="shared" si="141"/>
        <v>0</v>
      </c>
      <c r="CJ416">
        <f t="shared" si="142"/>
        <v>0</v>
      </c>
      <c r="CK416">
        <f t="shared" si="143"/>
        <v>0</v>
      </c>
      <c r="CL416">
        <f t="shared" si="144"/>
        <v>0</v>
      </c>
      <c r="CM416">
        <f t="shared" si="146"/>
        <v>0</v>
      </c>
      <c r="CN416">
        <f t="shared" si="145"/>
        <v>0</v>
      </c>
      <c r="CO416">
        <f t="shared" si="129"/>
        <v>0</v>
      </c>
    </row>
    <row r="417" spans="1:93" s="12" customFormat="1" ht="14.45" hidden="1" customHeight="1" x14ac:dyDescent="0.25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+VLOOKUP(G417,Liste!$A$7:$G$69,3,FALSE)</f>
        <v>Pin Laricio</v>
      </c>
      <c r="BI417" s="96" t="str">
        <f>+VLOOKUP(H417,Liste!$B$7:$G$69,5,FALSE)</f>
        <v>GS Pineraies des plaines du Centre et du Nord Ouest</v>
      </c>
      <c r="BJ417" s="135">
        <f t="shared" si="128"/>
        <v>49</v>
      </c>
      <c r="BK417" s="135" t="str">
        <f t="shared" si="130"/>
        <v>Pin Laricio_F2_Classique_GS Pineraies des plaines du Centre et du Nord Ouest_49_</v>
      </c>
      <c r="BL417" s="319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97" t="str">
        <f>+VLOOKUP(G417,Liste!$A$7:$H$69,8,FALSE)</f>
        <v>Résineux</v>
      </c>
      <c r="BU417" s="297">
        <f t="shared" si="131"/>
        <v>0</v>
      </c>
      <c r="BV417" s="299">
        <f t="shared" si="132"/>
        <v>1</v>
      </c>
      <c r="BW417" s="318">
        <v>0</v>
      </c>
      <c r="BX417" s="297">
        <f t="shared" si="133"/>
        <v>0.43</v>
      </c>
      <c r="BY417">
        <f t="shared" si="134"/>
        <v>0</v>
      </c>
      <c r="BZ417" s="303">
        <f t="shared" si="135"/>
        <v>0</v>
      </c>
      <c r="CB417" s="298">
        <v>0.6</v>
      </c>
      <c r="CC417" s="298">
        <v>0.4</v>
      </c>
      <c r="CD417">
        <f t="shared" si="136"/>
        <v>0</v>
      </c>
      <c r="CE417">
        <f t="shared" si="137"/>
        <v>0</v>
      </c>
      <c r="CF417">
        <f t="shared" si="138"/>
        <v>0</v>
      </c>
      <c r="CG417">
        <f t="shared" si="139"/>
        <v>0</v>
      </c>
      <c r="CH417">
        <f t="shared" si="140"/>
        <v>0</v>
      </c>
      <c r="CI417">
        <f t="shared" si="141"/>
        <v>0</v>
      </c>
      <c r="CJ417">
        <f t="shared" si="142"/>
        <v>0</v>
      </c>
      <c r="CK417">
        <f t="shared" si="143"/>
        <v>0</v>
      </c>
      <c r="CL417">
        <f t="shared" si="144"/>
        <v>0</v>
      </c>
      <c r="CM417">
        <f t="shared" si="146"/>
        <v>0</v>
      </c>
      <c r="CN417">
        <f t="shared" si="145"/>
        <v>0</v>
      </c>
      <c r="CO417">
        <f t="shared" si="129"/>
        <v>0</v>
      </c>
    </row>
    <row r="418" spans="1:93" s="12" customFormat="1" ht="14.45" hidden="1" customHeight="1" x14ac:dyDescent="0.25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+VLOOKUP(G418,Liste!$A$7:$G$69,3,FALSE)</f>
        <v>Pin Laricio</v>
      </c>
      <c r="BI418" s="96" t="str">
        <f>+VLOOKUP(H418,Liste!$B$7:$G$69,5,FALSE)</f>
        <v>GS Pineraies des plaines du Centre et du Nord Ouest</v>
      </c>
      <c r="BJ418" s="135">
        <f t="shared" si="128"/>
        <v>49</v>
      </c>
      <c r="BK418" s="135" t="str">
        <f t="shared" si="130"/>
        <v>Pin Laricio_F2_Classique_GS Pineraies des plaines du Centre et du Nord Ouest_49_</v>
      </c>
      <c r="BL418" s="319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97" t="str">
        <f>+VLOOKUP(G418,Liste!$A$7:$H$69,8,FALSE)</f>
        <v>Résineux</v>
      </c>
      <c r="BU418" s="297">
        <f t="shared" si="131"/>
        <v>0</v>
      </c>
      <c r="BV418" s="299">
        <f t="shared" si="132"/>
        <v>1</v>
      </c>
      <c r="BW418" s="318">
        <v>0</v>
      </c>
      <c r="BX418" s="297">
        <f t="shared" si="133"/>
        <v>0.43</v>
      </c>
      <c r="BY418">
        <f t="shared" si="134"/>
        <v>0</v>
      </c>
      <c r="BZ418" s="303">
        <f t="shared" si="135"/>
        <v>0</v>
      </c>
      <c r="CB418" s="298">
        <v>0.6</v>
      </c>
      <c r="CC418" s="298">
        <v>0.4</v>
      </c>
      <c r="CD418">
        <f t="shared" si="136"/>
        <v>0</v>
      </c>
      <c r="CE418">
        <f t="shared" si="137"/>
        <v>0</v>
      </c>
      <c r="CF418">
        <f t="shared" si="138"/>
        <v>0</v>
      </c>
      <c r="CG418">
        <f t="shared" si="139"/>
        <v>0</v>
      </c>
      <c r="CH418">
        <f t="shared" si="140"/>
        <v>0</v>
      </c>
      <c r="CI418">
        <f t="shared" si="141"/>
        <v>0</v>
      </c>
      <c r="CJ418">
        <f t="shared" si="142"/>
        <v>0</v>
      </c>
      <c r="CK418">
        <f t="shared" si="143"/>
        <v>0</v>
      </c>
      <c r="CL418">
        <f t="shared" si="144"/>
        <v>0</v>
      </c>
      <c r="CM418">
        <f t="shared" si="146"/>
        <v>0</v>
      </c>
      <c r="CN418">
        <f t="shared" si="145"/>
        <v>0</v>
      </c>
      <c r="CO418">
        <f t="shared" si="129"/>
        <v>0</v>
      </c>
    </row>
    <row r="419" spans="1:93" s="12" customFormat="1" ht="14.45" hidden="1" customHeight="1" x14ac:dyDescent="0.25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+VLOOKUP(G419,Liste!$A$7:$G$69,3,FALSE)</f>
        <v>Pin Laricio</v>
      </c>
      <c r="BI419" s="96" t="str">
        <f>+VLOOKUP(H419,Liste!$B$7:$G$69,5,FALSE)</f>
        <v>GS Pineraies des plaines du Centre et du Nord Ouest</v>
      </c>
      <c r="BJ419" s="135">
        <f t="shared" si="128"/>
        <v>50</v>
      </c>
      <c r="BK419" s="135" t="str">
        <f t="shared" si="130"/>
        <v>Pin Laricio_F2_Classique_GS Pineraies des plaines du Centre et du Nord Ouest_50_</v>
      </c>
      <c r="BL419" s="319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97" t="str">
        <f>+VLOOKUP(G419,Liste!$A$7:$H$69,8,FALSE)</f>
        <v>Résineux</v>
      </c>
      <c r="BU419" s="297">
        <f t="shared" si="131"/>
        <v>0</v>
      </c>
      <c r="BV419" s="299">
        <f t="shared" si="132"/>
        <v>1</v>
      </c>
      <c r="BW419" s="318">
        <v>0</v>
      </c>
      <c r="BX419" s="297">
        <f t="shared" si="133"/>
        <v>0.43</v>
      </c>
      <c r="BY419">
        <f t="shared" si="134"/>
        <v>0</v>
      </c>
      <c r="BZ419" s="303">
        <f t="shared" si="135"/>
        <v>0</v>
      </c>
      <c r="CB419" s="298">
        <v>0.6</v>
      </c>
      <c r="CC419" s="298">
        <v>0.4</v>
      </c>
      <c r="CD419">
        <f t="shared" si="136"/>
        <v>0</v>
      </c>
      <c r="CE419">
        <f t="shared" si="137"/>
        <v>0</v>
      </c>
      <c r="CF419">
        <f t="shared" si="138"/>
        <v>0</v>
      </c>
      <c r="CG419">
        <f t="shared" si="139"/>
        <v>0</v>
      </c>
      <c r="CH419">
        <f t="shared" si="140"/>
        <v>0</v>
      </c>
      <c r="CI419">
        <f t="shared" si="141"/>
        <v>0</v>
      </c>
      <c r="CJ419">
        <f t="shared" si="142"/>
        <v>0</v>
      </c>
      <c r="CK419">
        <f t="shared" si="143"/>
        <v>0</v>
      </c>
      <c r="CL419">
        <f t="shared" si="144"/>
        <v>0</v>
      </c>
      <c r="CM419">
        <f t="shared" si="146"/>
        <v>0</v>
      </c>
      <c r="CN419">
        <f t="shared" si="145"/>
        <v>0</v>
      </c>
      <c r="CO419">
        <f t="shared" si="129"/>
        <v>0</v>
      </c>
    </row>
    <row r="420" spans="1:93" s="12" customFormat="1" ht="14.45" hidden="1" customHeight="1" x14ac:dyDescent="0.25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+VLOOKUP(G420,Liste!$A$7:$G$69,3,FALSE)</f>
        <v>Pin Laricio</v>
      </c>
      <c r="BI420" s="96" t="str">
        <f>+VLOOKUP(H420,Liste!$B$7:$G$69,5,FALSE)</f>
        <v>GS Pineraies des plaines du Centre et du Nord Ouest</v>
      </c>
      <c r="BJ420" s="135">
        <f t="shared" si="128"/>
        <v>51</v>
      </c>
      <c r="BK420" s="135" t="str">
        <f t="shared" si="130"/>
        <v>Pin Laricio_F2_Classique_GS Pineraies des plaines du Centre et du Nord Ouest_51_</v>
      </c>
      <c r="BL420" s="319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97" t="str">
        <f>+VLOOKUP(G420,Liste!$A$7:$H$69,8,FALSE)</f>
        <v>Résineux</v>
      </c>
      <c r="BU420" s="297">
        <f t="shared" si="131"/>
        <v>0</v>
      </c>
      <c r="BV420" s="299">
        <f t="shared" si="132"/>
        <v>1</v>
      </c>
      <c r="BW420" s="318">
        <v>0</v>
      </c>
      <c r="BX420" s="297">
        <f t="shared" si="133"/>
        <v>0.43</v>
      </c>
      <c r="BY420">
        <f t="shared" si="134"/>
        <v>0</v>
      </c>
      <c r="BZ420" s="303">
        <f t="shared" si="135"/>
        <v>0</v>
      </c>
      <c r="CB420" s="298">
        <v>0.6</v>
      </c>
      <c r="CC420" s="298">
        <v>0.4</v>
      </c>
      <c r="CD420">
        <f t="shared" si="136"/>
        <v>0</v>
      </c>
      <c r="CE420">
        <f t="shared" si="137"/>
        <v>0</v>
      </c>
      <c r="CF420">
        <f t="shared" si="138"/>
        <v>0</v>
      </c>
      <c r="CG420">
        <f t="shared" si="139"/>
        <v>0</v>
      </c>
      <c r="CH420">
        <f t="shared" si="140"/>
        <v>0</v>
      </c>
      <c r="CI420">
        <f t="shared" si="141"/>
        <v>0</v>
      </c>
      <c r="CJ420">
        <f t="shared" si="142"/>
        <v>0</v>
      </c>
      <c r="CK420">
        <f t="shared" si="143"/>
        <v>0</v>
      </c>
      <c r="CL420">
        <f t="shared" si="144"/>
        <v>0</v>
      </c>
      <c r="CM420">
        <f t="shared" si="146"/>
        <v>0</v>
      </c>
      <c r="CN420">
        <f t="shared" si="145"/>
        <v>0</v>
      </c>
      <c r="CO420">
        <f t="shared" si="129"/>
        <v>0</v>
      </c>
    </row>
    <row r="421" spans="1:93" s="12" customFormat="1" ht="14.45" hidden="1" customHeight="1" x14ac:dyDescent="0.25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+VLOOKUP(G421,Liste!$A$7:$G$69,3,FALSE)</f>
        <v>Pin Laricio</v>
      </c>
      <c r="BI421" s="96" t="str">
        <f>+VLOOKUP(H421,Liste!$B$7:$G$69,5,FALSE)</f>
        <v>GS Pineraies des plaines du Centre et du Nord Ouest</v>
      </c>
      <c r="BJ421" s="135">
        <f t="shared" si="128"/>
        <v>52</v>
      </c>
      <c r="BK421" s="135" t="str">
        <f t="shared" si="130"/>
        <v>Pin Laricio_F2_Classique_GS Pineraies des plaines du Centre et du Nord Ouest_52_</v>
      </c>
      <c r="BL421" s="319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97" t="str">
        <f>+VLOOKUP(G421,Liste!$A$7:$H$69,8,FALSE)</f>
        <v>Résineux</v>
      </c>
      <c r="BU421" s="297">
        <f t="shared" si="131"/>
        <v>0</v>
      </c>
      <c r="BV421" s="299">
        <f t="shared" si="132"/>
        <v>1</v>
      </c>
      <c r="BW421" s="318">
        <v>0</v>
      </c>
      <c r="BX421" s="297">
        <f t="shared" si="133"/>
        <v>0.43</v>
      </c>
      <c r="BY421">
        <f t="shared" si="134"/>
        <v>0</v>
      </c>
      <c r="BZ421" s="303">
        <f t="shared" si="135"/>
        <v>0</v>
      </c>
      <c r="CB421" s="298">
        <v>0.6</v>
      </c>
      <c r="CC421" s="298">
        <v>0.4</v>
      </c>
      <c r="CD421">
        <f t="shared" si="136"/>
        <v>0</v>
      </c>
      <c r="CE421">
        <f t="shared" si="137"/>
        <v>0</v>
      </c>
      <c r="CF421">
        <f t="shared" si="138"/>
        <v>0</v>
      </c>
      <c r="CG421">
        <f t="shared" si="139"/>
        <v>0</v>
      </c>
      <c r="CH421">
        <f t="shared" si="140"/>
        <v>0</v>
      </c>
      <c r="CI421">
        <f t="shared" si="141"/>
        <v>0</v>
      </c>
      <c r="CJ421">
        <f t="shared" si="142"/>
        <v>0</v>
      </c>
      <c r="CK421">
        <f t="shared" si="143"/>
        <v>0</v>
      </c>
      <c r="CL421">
        <f t="shared" si="144"/>
        <v>0</v>
      </c>
      <c r="CM421">
        <f t="shared" si="146"/>
        <v>0</v>
      </c>
      <c r="CN421">
        <f t="shared" si="145"/>
        <v>0</v>
      </c>
      <c r="CO421">
        <f t="shared" si="129"/>
        <v>0</v>
      </c>
    </row>
    <row r="422" spans="1:93" s="12" customFormat="1" ht="14.45" hidden="1" customHeight="1" x14ac:dyDescent="0.25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+VLOOKUP(G422,Liste!$A$7:$G$69,3,FALSE)</f>
        <v>Pin Laricio</v>
      </c>
      <c r="BI422" s="96" t="str">
        <f>+VLOOKUP(H422,Liste!$B$7:$G$69,5,FALSE)</f>
        <v>GS Pineraies des plaines du Centre et du Nord Ouest</v>
      </c>
      <c r="BJ422" s="135">
        <f t="shared" si="128"/>
        <v>53</v>
      </c>
      <c r="BK422" s="135" t="str">
        <f t="shared" si="130"/>
        <v>Pin Laricio_F2_Classique_GS Pineraies des plaines du Centre et du Nord Ouest_53_</v>
      </c>
      <c r="BL422" s="319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97" t="str">
        <f>+VLOOKUP(G422,Liste!$A$7:$H$69,8,FALSE)</f>
        <v>Résineux</v>
      </c>
      <c r="BU422" s="297">
        <f t="shared" si="131"/>
        <v>0</v>
      </c>
      <c r="BV422" s="299">
        <f t="shared" si="132"/>
        <v>1</v>
      </c>
      <c r="BW422" s="318">
        <v>0</v>
      </c>
      <c r="BX422" s="297">
        <f t="shared" si="133"/>
        <v>0.43</v>
      </c>
      <c r="BY422">
        <f t="shared" si="134"/>
        <v>0</v>
      </c>
      <c r="BZ422" s="303">
        <f t="shared" si="135"/>
        <v>0</v>
      </c>
      <c r="CB422" s="298">
        <v>0.6</v>
      </c>
      <c r="CC422" s="298">
        <v>0.4</v>
      </c>
      <c r="CD422">
        <f t="shared" si="136"/>
        <v>0</v>
      </c>
      <c r="CE422">
        <f t="shared" si="137"/>
        <v>0</v>
      </c>
      <c r="CF422">
        <f t="shared" si="138"/>
        <v>0</v>
      </c>
      <c r="CG422">
        <f t="shared" si="139"/>
        <v>0</v>
      </c>
      <c r="CH422">
        <f t="shared" si="140"/>
        <v>0</v>
      </c>
      <c r="CI422">
        <f t="shared" si="141"/>
        <v>0</v>
      </c>
      <c r="CJ422">
        <f t="shared" si="142"/>
        <v>0</v>
      </c>
      <c r="CK422">
        <f t="shared" si="143"/>
        <v>0</v>
      </c>
      <c r="CL422">
        <f t="shared" si="144"/>
        <v>0</v>
      </c>
      <c r="CM422">
        <f t="shared" si="146"/>
        <v>0</v>
      </c>
      <c r="CN422">
        <f t="shared" si="145"/>
        <v>0</v>
      </c>
      <c r="CO422">
        <f t="shared" si="129"/>
        <v>0</v>
      </c>
    </row>
    <row r="423" spans="1:93" s="12" customFormat="1" ht="14.45" hidden="1" customHeight="1" x14ac:dyDescent="0.25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+VLOOKUP(G423,Liste!$A$7:$G$69,3,FALSE)</f>
        <v>Pin Laricio</v>
      </c>
      <c r="BI423" s="96" t="str">
        <f>+VLOOKUP(H423,Liste!$B$7:$G$69,5,FALSE)</f>
        <v>GS Pineraies des plaines du Centre et du Nord Ouest</v>
      </c>
      <c r="BJ423" s="135">
        <f t="shared" si="128"/>
        <v>54</v>
      </c>
      <c r="BK423" s="135" t="str">
        <f t="shared" si="130"/>
        <v>Pin Laricio_F2_Classique_GS Pineraies des plaines du Centre et du Nord Ouest_54_</v>
      </c>
      <c r="BL423" s="319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97" t="str">
        <f>+VLOOKUP(G423,Liste!$A$7:$H$69,8,FALSE)</f>
        <v>Résineux</v>
      </c>
      <c r="BU423" s="297">
        <f t="shared" si="131"/>
        <v>0</v>
      </c>
      <c r="BV423" s="299">
        <f t="shared" si="132"/>
        <v>1</v>
      </c>
      <c r="BW423" s="318">
        <v>0</v>
      </c>
      <c r="BX423" s="297">
        <f t="shared" si="133"/>
        <v>0.43</v>
      </c>
      <c r="BY423">
        <f t="shared" si="134"/>
        <v>0</v>
      </c>
      <c r="BZ423" s="303">
        <f t="shared" si="135"/>
        <v>0</v>
      </c>
      <c r="CB423" s="298">
        <v>0.6</v>
      </c>
      <c r="CC423" s="298">
        <v>0.4</v>
      </c>
      <c r="CD423">
        <f t="shared" si="136"/>
        <v>0</v>
      </c>
      <c r="CE423">
        <f t="shared" si="137"/>
        <v>0</v>
      </c>
      <c r="CF423">
        <f t="shared" si="138"/>
        <v>0</v>
      </c>
      <c r="CG423">
        <f t="shared" si="139"/>
        <v>0</v>
      </c>
      <c r="CH423">
        <f t="shared" si="140"/>
        <v>0</v>
      </c>
      <c r="CI423">
        <f t="shared" si="141"/>
        <v>0</v>
      </c>
      <c r="CJ423">
        <f t="shared" si="142"/>
        <v>0</v>
      </c>
      <c r="CK423">
        <f t="shared" si="143"/>
        <v>0</v>
      </c>
      <c r="CL423">
        <f t="shared" si="144"/>
        <v>0</v>
      </c>
      <c r="CM423">
        <f t="shared" si="146"/>
        <v>0</v>
      </c>
      <c r="CN423">
        <f t="shared" si="145"/>
        <v>0</v>
      </c>
      <c r="CO423">
        <f t="shared" si="129"/>
        <v>0</v>
      </c>
    </row>
    <row r="424" spans="1:93" s="12" customFormat="1" ht="14.45" hidden="1" customHeight="1" x14ac:dyDescent="0.25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+VLOOKUP(G424,Liste!$A$7:$G$69,3,FALSE)</f>
        <v>Pin Laricio</v>
      </c>
      <c r="BI424" s="96" t="str">
        <f>+VLOOKUP(H424,Liste!$B$7:$G$69,5,FALSE)</f>
        <v>GS Pineraies des plaines du Centre et du Nord Ouest</v>
      </c>
      <c r="BJ424" s="135">
        <f t="shared" si="128"/>
        <v>55</v>
      </c>
      <c r="BK424" s="135" t="str">
        <f t="shared" si="130"/>
        <v>Pin Laricio_F2_Classique_GS Pineraies des plaines du Centre et du Nord Ouest_55_</v>
      </c>
      <c r="BL424" s="319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97" t="str">
        <f>+VLOOKUP(G424,Liste!$A$7:$H$69,8,FALSE)</f>
        <v>Résineux</v>
      </c>
      <c r="BU424" s="297">
        <f t="shared" si="131"/>
        <v>0</v>
      </c>
      <c r="BV424" s="299">
        <f t="shared" si="132"/>
        <v>1</v>
      </c>
      <c r="BW424" s="318">
        <v>0</v>
      </c>
      <c r="BX424" s="297">
        <f t="shared" si="133"/>
        <v>0.43</v>
      </c>
      <c r="BY424">
        <f t="shared" si="134"/>
        <v>0</v>
      </c>
      <c r="BZ424" s="303">
        <f t="shared" si="135"/>
        <v>0</v>
      </c>
      <c r="CB424" s="298">
        <v>0.6</v>
      </c>
      <c r="CC424" s="298">
        <v>0.4</v>
      </c>
      <c r="CD424">
        <f t="shared" si="136"/>
        <v>0</v>
      </c>
      <c r="CE424">
        <f t="shared" si="137"/>
        <v>0</v>
      </c>
      <c r="CF424">
        <f t="shared" si="138"/>
        <v>0</v>
      </c>
      <c r="CG424">
        <f t="shared" si="139"/>
        <v>0</v>
      </c>
      <c r="CH424">
        <f t="shared" si="140"/>
        <v>0</v>
      </c>
      <c r="CI424">
        <f t="shared" si="141"/>
        <v>0</v>
      </c>
      <c r="CJ424">
        <f t="shared" si="142"/>
        <v>0</v>
      </c>
      <c r="CK424">
        <f t="shared" si="143"/>
        <v>0</v>
      </c>
      <c r="CL424">
        <f t="shared" si="144"/>
        <v>0</v>
      </c>
      <c r="CM424">
        <f t="shared" si="146"/>
        <v>0</v>
      </c>
      <c r="CN424">
        <f t="shared" si="145"/>
        <v>0</v>
      </c>
      <c r="CO424">
        <f t="shared" si="129"/>
        <v>0</v>
      </c>
    </row>
    <row r="425" spans="1:93" s="12" customFormat="1" ht="14.45" hidden="1" customHeight="1" x14ac:dyDescent="0.25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+VLOOKUP(G425,Liste!$A$7:$G$69,3,FALSE)</f>
        <v>Pin Laricio</v>
      </c>
      <c r="BI425" s="96" t="str">
        <f>+VLOOKUP(H425,Liste!$B$7:$G$69,5,FALSE)</f>
        <v>GS Pineraies des plaines du Centre et du Nord Ouest</v>
      </c>
      <c r="BJ425" s="135">
        <f t="shared" si="128"/>
        <v>56</v>
      </c>
      <c r="BK425" s="135" t="str">
        <f t="shared" si="130"/>
        <v>Pin Laricio_F2_Classique_GS Pineraies des plaines du Centre et du Nord Ouest_56_</v>
      </c>
      <c r="BL425" s="319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97" t="str">
        <f>+VLOOKUP(G425,Liste!$A$7:$H$69,8,FALSE)</f>
        <v>Résineux</v>
      </c>
      <c r="BU425" s="297">
        <f t="shared" si="131"/>
        <v>0</v>
      </c>
      <c r="BV425" s="299">
        <f t="shared" si="132"/>
        <v>1</v>
      </c>
      <c r="BW425" s="318">
        <v>0</v>
      </c>
      <c r="BX425" s="297">
        <f t="shared" si="133"/>
        <v>0.43</v>
      </c>
      <c r="BY425">
        <f t="shared" si="134"/>
        <v>0</v>
      </c>
      <c r="BZ425" s="303">
        <f t="shared" si="135"/>
        <v>0</v>
      </c>
      <c r="CB425" s="298">
        <v>0.6</v>
      </c>
      <c r="CC425" s="298">
        <v>0.4</v>
      </c>
      <c r="CD425">
        <f t="shared" si="136"/>
        <v>0</v>
      </c>
      <c r="CE425">
        <f t="shared" si="137"/>
        <v>0</v>
      </c>
      <c r="CF425">
        <f t="shared" si="138"/>
        <v>0</v>
      </c>
      <c r="CG425">
        <f t="shared" si="139"/>
        <v>0</v>
      </c>
      <c r="CH425">
        <f t="shared" si="140"/>
        <v>0</v>
      </c>
      <c r="CI425">
        <f t="shared" si="141"/>
        <v>0</v>
      </c>
      <c r="CJ425">
        <f t="shared" si="142"/>
        <v>0</v>
      </c>
      <c r="CK425">
        <f t="shared" si="143"/>
        <v>0</v>
      </c>
      <c r="CL425">
        <f t="shared" si="144"/>
        <v>0</v>
      </c>
      <c r="CM425">
        <f t="shared" si="146"/>
        <v>0</v>
      </c>
      <c r="CN425">
        <f t="shared" si="145"/>
        <v>0</v>
      </c>
      <c r="CO425">
        <f t="shared" si="129"/>
        <v>0</v>
      </c>
    </row>
    <row r="426" spans="1:93" s="12" customFormat="1" ht="14.45" hidden="1" customHeight="1" x14ac:dyDescent="0.25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+VLOOKUP(G426,Liste!$A$7:$G$69,3,FALSE)</f>
        <v>Pin Laricio</v>
      </c>
      <c r="BI426" s="96" t="str">
        <f>+VLOOKUP(H426,Liste!$B$7:$G$69,5,FALSE)</f>
        <v>GS Pineraies des plaines du Centre et du Nord Ouest</v>
      </c>
      <c r="BJ426" s="135">
        <f t="shared" si="128"/>
        <v>57</v>
      </c>
      <c r="BK426" s="135" t="str">
        <f t="shared" si="130"/>
        <v>Pin Laricio_F2_Classique_GS Pineraies des plaines du Centre et du Nord Ouest_57_</v>
      </c>
      <c r="BL426" s="319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97" t="str">
        <f>+VLOOKUP(G426,Liste!$A$7:$H$69,8,FALSE)</f>
        <v>Résineux</v>
      </c>
      <c r="BU426" s="297">
        <f t="shared" si="131"/>
        <v>0</v>
      </c>
      <c r="BV426" s="299">
        <f t="shared" si="132"/>
        <v>1</v>
      </c>
      <c r="BW426" s="318">
        <v>0</v>
      </c>
      <c r="BX426" s="297">
        <f t="shared" si="133"/>
        <v>0.43</v>
      </c>
      <c r="BY426">
        <f t="shared" si="134"/>
        <v>0</v>
      </c>
      <c r="BZ426" s="303">
        <f t="shared" si="135"/>
        <v>0</v>
      </c>
      <c r="CB426" s="298">
        <v>0.6</v>
      </c>
      <c r="CC426" s="298">
        <v>0.4</v>
      </c>
      <c r="CD426">
        <f t="shared" si="136"/>
        <v>0</v>
      </c>
      <c r="CE426">
        <f t="shared" si="137"/>
        <v>0</v>
      </c>
      <c r="CF426">
        <f t="shared" si="138"/>
        <v>0</v>
      </c>
      <c r="CG426">
        <f t="shared" si="139"/>
        <v>0</v>
      </c>
      <c r="CH426">
        <f t="shared" si="140"/>
        <v>0</v>
      </c>
      <c r="CI426">
        <f t="shared" si="141"/>
        <v>0</v>
      </c>
      <c r="CJ426">
        <f t="shared" si="142"/>
        <v>0</v>
      </c>
      <c r="CK426">
        <f t="shared" si="143"/>
        <v>0</v>
      </c>
      <c r="CL426">
        <f t="shared" si="144"/>
        <v>0</v>
      </c>
      <c r="CM426">
        <f t="shared" si="146"/>
        <v>0</v>
      </c>
      <c r="CN426">
        <f t="shared" si="145"/>
        <v>0</v>
      </c>
      <c r="CO426">
        <f t="shared" si="129"/>
        <v>0</v>
      </c>
    </row>
    <row r="427" spans="1:93" s="12" customFormat="1" ht="14.45" hidden="1" customHeight="1" x14ac:dyDescent="0.25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+VLOOKUP(G427,Liste!$A$7:$G$69,3,FALSE)</f>
        <v>Pin Laricio</v>
      </c>
      <c r="BI427" s="96" t="str">
        <f>+VLOOKUP(H427,Liste!$B$7:$G$69,5,FALSE)</f>
        <v>GS Pineraies des plaines du Centre et du Nord Ouest</v>
      </c>
      <c r="BJ427" s="135">
        <f t="shared" si="128"/>
        <v>58</v>
      </c>
      <c r="BK427" s="135" t="str">
        <f t="shared" si="130"/>
        <v>Pin Laricio_F2_Classique_GS Pineraies des plaines du Centre et du Nord Ouest_58_</v>
      </c>
      <c r="BL427" s="319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97" t="str">
        <f>+VLOOKUP(G427,Liste!$A$7:$H$69,8,FALSE)</f>
        <v>Résineux</v>
      </c>
      <c r="BU427" s="297">
        <f t="shared" si="131"/>
        <v>0</v>
      </c>
      <c r="BV427" s="299">
        <f t="shared" si="132"/>
        <v>1</v>
      </c>
      <c r="BW427" s="318">
        <v>0</v>
      </c>
      <c r="BX427" s="297">
        <f t="shared" si="133"/>
        <v>0.43</v>
      </c>
      <c r="BY427">
        <f t="shared" si="134"/>
        <v>0</v>
      </c>
      <c r="BZ427" s="303">
        <f t="shared" si="135"/>
        <v>0</v>
      </c>
      <c r="CB427" s="298">
        <v>0.6</v>
      </c>
      <c r="CC427" s="298">
        <v>0.4</v>
      </c>
      <c r="CD427">
        <f t="shared" si="136"/>
        <v>0</v>
      </c>
      <c r="CE427">
        <f t="shared" si="137"/>
        <v>0</v>
      </c>
      <c r="CF427">
        <f t="shared" si="138"/>
        <v>0</v>
      </c>
      <c r="CG427">
        <f t="shared" si="139"/>
        <v>0</v>
      </c>
      <c r="CH427">
        <f t="shared" si="140"/>
        <v>0</v>
      </c>
      <c r="CI427">
        <f t="shared" si="141"/>
        <v>0</v>
      </c>
      <c r="CJ427">
        <f t="shared" si="142"/>
        <v>0</v>
      </c>
      <c r="CK427">
        <f t="shared" si="143"/>
        <v>0</v>
      </c>
      <c r="CL427">
        <f t="shared" si="144"/>
        <v>0</v>
      </c>
      <c r="CM427">
        <f t="shared" si="146"/>
        <v>0</v>
      </c>
      <c r="CN427">
        <f t="shared" si="145"/>
        <v>0</v>
      </c>
      <c r="CO427">
        <f t="shared" si="129"/>
        <v>0</v>
      </c>
    </row>
    <row r="428" spans="1:93" s="12" customFormat="1" ht="14.45" hidden="1" customHeight="1" x14ac:dyDescent="0.25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+VLOOKUP(G428,Liste!$A$7:$G$69,3,FALSE)</f>
        <v>Pin Laricio</v>
      </c>
      <c r="BI428" s="96" t="str">
        <f>+VLOOKUP(H428,Liste!$B$7:$G$69,5,FALSE)</f>
        <v>GS Pineraies des plaines du Centre et du Nord Ouest</v>
      </c>
      <c r="BJ428" s="135">
        <f t="shared" si="128"/>
        <v>59</v>
      </c>
      <c r="BK428" s="135" t="str">
        <f t="shared" si="130"/>
        <v>Pin Laricio_F2_Classique_GS Pineraies des plaines du Centre et du Nord Ouest_59_</v>
      </c>
      <c r="BL428" s="319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97" t="str">
        <f>+VLOOKUP(G428,Liste!$A$7:$H$69,8,FALSE)</f>
        <v>Résineux</v>
      </c>
      <c r="BU428" s="297">
        <f t="shared" si="131"/>
        <v>0</v>
      </c>
      <c r="BV428" s="299">
        <f t="shared" si="132"/>
        <v>1</v>
      </c>
      <c r="BW428" s="318">
        <v>0</v>
      </c>
      <c r="BX428" s="297">
        <f t="shared" si="133"/>
        <v>0.43</v>
      </c>
      <c r="BY428">
        <f t="shared" si="134"/>
        <v>0</v>
      </c>
      <c r="BZ428" s="303">
        <f t="shared" si="135"/>
        <v>0</v>
      </c>
      <c r="CB428" s="298">
        <v>0.6</v>
      </c>
      <c r="CC428" s="298">
        <v>0.4</v>
      </c>
      <c r="CD428">
        <f t="shared" si="136"/>
        <v>0</v>
      </c>
      <c r="CE428">
        <f t="shared" si="137"/>
        <v>0</v>
      </c>
      <c r="CF428">
        <f t="shared" si="138"/>
        <v>0</v>
      </c>
      <c r="CG428">
        <f t="shared" si="139"/>
        <v>0</v>
      </c>
      <c r="CH428">
        <f t="shared" si="140"/>
        <v>0</v>
      </c>
      <c r="CI428">
        <f t="shared" si="141"/>
        <v>0</v>
      </c>
      <c r="CJ428">
        <f t="shared" si="142"/>
        <v>0</v>
      </c>
      <c r="CK428">
        <f t="shared" si="143"/>
        <v>0</v>
      </c>
      <c r="CL428">
        <f t="shared" si="144"/>
        <v>0</v>
      </c>
      <c r="CM428">
        <f t="shared" si="146"/>
        <v>0</v>
      </c>
      <c r="CN428">
        <f t="shared" si="145"/>
        <v>0</v>
      </c>
      <c r="CO428">
        <f t="shared" si="129"/>
        <v>0</v>
      </c>
    </row>
    <row r="429" spans="1:93" s="12" customFormat="1" ht="14.45" hidden="1" customHeight="1" x14ac:dyDescent="0.25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+VLOOKUP(G429,Liste!$A$7:$G$69,3,FALSE)</f>
        <v>Pin Laricio</v>
      </c>
      <c r="BI429" s="96" t="str">
        <f>+VLOOKUP(H429,Liste!$B$7:$G$69,5,FALSE)</f>
        <v>GS Pineraies des plaines du Centre et du Nord Ouest</v>
      </c>
      <c r="BJ429" s="135">
        <f t="shared" si="128"/>
        <v>59</v>
      </c>
      <c r="BK429" s="135" t="str">
        <f t="shared" si="130"/>
        <v>Pin Laricio_F2_Classique_GS Pineraies des plaines du Centre et du Nord Ouest_59_</v>
      </c>
      <c r="BL429" s="319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97" t="str">
        <f>+VLOOKUP(G429,Liste!$A$7:$H$69,8,FALSE)</f>
        <v>Résineux</v>
      </c>
      <c r="BU429" s="297">
        <f t="shared" si="131"/>
        <v>0</v>
      </c>
      <c r="BV429" s="299">
        <f t="shared" si="132"/>
        <v>1</v>
      </c>
      <c r="BW429" s="318">
        <v>0</v>
      </c>
      <c r="BX429" s="297">
        <f t="shared" si="133"/>
        <v>0.43</v>
      </c>
      <c r="BY429">
        <f t="shared" si="134"/>
        <v>0</v>
      </c>
      <c r="BZ429" s="303">
        <f t="shared" si="135"/>
        <v>0</v>
      </c>
      <c r="CB429" s="298">
        <v>0.6</v>
      </c>
      <c r="CC429" s="298">
        <v>0.4</v>
      </c>
      <c r="CD429">
        <f t="shared" si="136"/>
        <v>0</v>
      </c>
      <c r="CE429">
        <f t="shared" si="137"/>
        <v>0</v>
      </c>
      <c r="CF429">
        <f t="shared" si="138"/>
        <v>0</v>
      </c>
      <c r="CG429">
        <f t="shared" si="139"/>
        <v>0</v>
      </c>
      <c r="CH429">
        <f t="shared" si="140"/>
        <v>0</v>
      </c>
      <c r="CI429">
        <f t="shared" si="141"/>
        <v>0</v>
      </c>
      <c r="CJ429">
        <f t="shared" si="142"/>
        <v>0</v>
      </c>
      <c r="CK429">
        <f t="shared" si="143"/>
        <v>0</v>
      </c>
      <c r="CL429">
        <f t="shared" si="144"/>
        <v>0</v>
      </c>
      <c r="CM429">
        <f t="shared" si="146"/>
        <v>0</v>
      </c>
      <c r="CN429">
        <f t="shared" si="145"/>
        <v>0</v>
      </c>
      <c r="CO429">
        <f t="shared" si="129"/>
        <v>0</v>
      </c>
    </row>
    <row r="430" spans="1:93" s="12" customFormat="1" ht="14.45" hidden="1" customHeight="1" x14ac:dyDescent="0.25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+VLOOKUP(G430,Liste!$A$7:$G$69,3,FALSE)</f>
        <v>Pin Laricio</v>
      </c>
      <c r="BI430" s="96" t="str">
        <f>+VLOOKUP(H430,Liste!$B$7:$G$69,5,FALSE)</f>
        <v>GS Pineraies des plaines du Centre et du Nord Ouest</v>
      </c>
      <c r="BJ430" s="135">
        <f t="shared" si="128"/>
        <v>60</v>
      </c>
      <c r="BK430" s="135" t="str">
        <f t="shared" si="130"/>
        <v>Pin Laricio_F2_Classique_GS Pineraies des plaines du Centre et du Nord Ouest_60_</v>
      </c>
      <c r="BL430" s="319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97" t="str">
        <f>+VLOOKUP(G430,Liste!$A$7:$H$69,8,FALSE)</f>
        <v>Résineux</v>
      </c>
      <c r="BU430" s="297">
        <f t="shared" si="131"/>
        <v>0</v>
      </c>
      <c r="BV430" s="299">
        <f t="shared" si="132"/>
        <v>1</v>
      </c>
      <c r="BW430" s="318">
        <v>0</v>
      </c>
      <c r="BX430" s="297">
        <f t="shared" si="133"/>
        <v>0.43</v>
      </c>
      <c r="BY430">
        <f t="shared" si="134"/>
        <v>0</v>
      </c>
      <c r="BZ430" s="303">
        <f t="shared" si="135"/>
        <v>0</v>
      </c>
      <c r="CB430" s="298">
        <v>0.6</v>
      </c>
      <c r="CC430" s="298">
        <v>0.4</v>
      </c>
      <c r="CD430">
        <f t="shared" si="136"/>
        <v>0</v>
      </c>
      <c r="CE430">
        <f t="shared" si="137"/>
        <v>0</v>
      </c>
      <c r="CF430">
        <f t="shared" si="138"/>
        <v>0</v>
      </c>
      <c r="CG430">
        <f t="shared" si="139"/>
        <v>0</v>
      </c>
      <c r="CH430">
        <f t="shared" si="140"/>
        <v>0</v>
      </c>
      <c r="CI430">
        <f t="shared" si="141"/>
        <v>0</v>
      </c>
      <c r="CJ430">
        <f t="shared" si="142"/>
        <v>0</v>
      </c>
      <c r="CK430">
        <f t="shared" si="143"/>
        <v>0</v>
      </c>
      <c r="CL430">
        <f t="shared" si="144"/>
        <v>0</v>
      </c>
      <c r="CM430">
        <f t="shared" si="146"/>
        <v>0</v>
      </c>
      <c r="CN430">
        <f t="shared" si="145"/>
        <v>0</v>
      </c>
      <c r="CO430">
        <f t="shared" si="129"/>
        <v>0</v>
      </c>
    </row>
    <row r="431" spans="1:93" s="12" customFormat="1" ht="14.45" hidden="1" customHeight="1" x14ac:dyDescent="0.25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+VLOOKUP(G431,Liste!$A$7:$G$69,3,FALSE)</f>
        <v>Pin Laricio</v>
      </c>
      <c r="BI431" s="96" t="str">
        <f>+VLOOKUP(H431,Liste!$B$7:$G$69,5,FALSE)</f>
        <v>GS Pineraies des plaines du Centre et du Nord Ouest</v>
      </c>
      <c r="BJ431" s="135">
        <f t="shared" si="128"/>
        <v>61</v>
      </c>
      <c r="BK431" s="135" t="str">
        <f t="shared" si="130"/>
        <v>Pin Laricio_F2_Classique_GS Pineraies des plaines du Centre et du Nord Ouest_61_</v>
      </c>
      <c r="BL431" s="319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97" t="str">
        <f>+VLOOKUP(G431,Liste!$A$7:$H$69,8,FALSE)</f>
        <v>Résineux</v>
      </c>
      <c r="BU431" s="297">
        <f t="shared" si="131"/>
        <v>0</v>
      </c>
      <c r="BV431" s="299">
        <f t="shared" si="132"/>
        <v>1</v>
      </c>
      <c r="BW431" s="318">
        <v>0</v>
      </c>
      <c r="BX431" s="297">
        <f t="shared" si="133"/>
        <v>0.43</v>
      </c>
      <c r="BY431">
        <f t="shared" si="134"/>
        <v>0</v>
      </c>
      <c r="BZ431" s="303">
        <f t="shared" si="135"/>
        <v>0</v>
      </c>
      <c r="CB431" s="298">
        <v>0.6</v>
      </c>
      <c r="CC431" s="298">
        <v>0.4</v>
      </c>
      <c r="CD431">
        <f t="shared" si="136"/>
        <v>0</v>
      </c>
      <c r="CE431">
        <f t="shared" si="137"/>
        <v>0</v>
      </c>
      <c r="CF431">
        <f t="shared" si="138"/>
        <v>0</v>
      </c>
      <c r="CG431">
        <f t="shared" si="139"/>
        <v>0</v>
      </c>
      <c r="CH431">
        <f t="shared" si="140"/>
        <v>0</v>
      </c>
      <c r="CI431">
        <f t="shared" si="141"/>
        <v>0</v>
      </c>
      <c r="CJ431">
        <f t="shared" si="142"/>
        <v>0</v>
      </c>
      <c r="CK431">
        <f t="shared" si="143"/>
        <v>0</v>
      </c>
      <c r="CL431">
        <f t="shared" si="144"/>
        <v>0</v>
      </c>
      <c r="CM431">
        <f t="shared" si="146"/>
        <v>0</v>
      </c>
      <c r="CN431">
        <f t="shared" si="145"/>
        <v>0</v>
      </c>
      <c r="CO431">
        <f t="shared" si="129"/>
        <v>0</v>
      </c>
    </row>
    <row r="432" spans="1:93" s="12" customFormat="1" ht="14.45" hidden="1" customHeight="1" x14ac:dyDescent="0.25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+VLOOKUP(G432,Liste!$A$7:$G$69,3,FALSE)</f>
        <v>Pin Laricio</v>
      </c>
      <c r="BI432" s="96" t="str">
        <f>+VLOOKUP(H432,Liste!$B$7:$G$69,5,FALSE)</f>
        <v>GS Pineraies des plaines du Centre et du Nord Ouest</v>
      </c>
      <c r="BJ432" s="135">
        <f t="shared" si="128"/>
        <v>62</v>
      </c>
      <c r="BK432" s="135" t="str">
        <f t="shared" si="130"/>
        <v>Pin Laricio_F2_Classique_GS Pineraies des plaines du Centre et du Nord Ouest_62_</v>
      </c>
      <c r="BL432" s="319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97" t="str">
        <f>+VLOOKUP(G432,Liste!$A$7:$H$69,8,FALSE)</f>
        <v>Résineux</v>
      </c>
      <c r="BU432" s="297">
        <f t="shared" si="131"/>
        <v>0</v>
      </c>
      <c r="BV432" s="299">
        <f t="shared" si="132"/>
        <v>1</v>
      </c>
      <c r="BW432" s="318">
        <v>0</v>
      </c>
      <c r="BX432" s="297">
        <f t="shared" si="133"/>
        <v>0.43</v>
      </c>
      <c r="BY432">
        <f t="shared" si="134"/>
        <v>0</v>
      </c>
      <c r="BZ432" s="303">
        <f t="shared" si="135"/>
        <v>0</v>
      </c>
      <c r="CB432" s="298">
        <v>0.6</v>
      </c>
      <c r="CC432" s="298">
        <v>0.4</v>
      </c>
      <c r="CD432">
        <f t="shared" si="136"/>
        <v>0</v>
      </c>
      <c r="CE432">
        <f t="shared" si="137"/>
        <v>0</v>
      </c>
      <c r="CF432">
        <f t="shared" si="138"/>
        <v>0</v>
      </c>
      <c r="CG432">
        <f t="shared" si="139"/>
        <v>0</v>
      </c>
      <c r="CH432">
        <f t="shared" si="140"/>
        <v>0</v>
      </c>
      <c r="CI432">
        <f t="shared" si="141"/>
        <v>0</v>
      </c>
      <c r="CJ432">
        <f t="shared" si="142"/>
        <v>0</v>
      </c>
      <c r="CK432">
        <f t="shared" si="143"/>
        <v>0</v>
      </c>
      <c r="CL432">
        <f t="shared" si="144"/>
        <v>0</v>
      </c>
      <c r="CM432">
        <f t="shared" si="146"/>
        <v>0</v>
      </c>
      <c r="CN432">
        <f t="shared" si="145"/>
        <v>0</v>
      </c>
      <c r="CO432">
        <f t="shared" si="129"/>
        <v>0</v>
      </c>
    </row>
    <row r="433" spans="1:93" s="12" customFormat="1" ht="14.45" hidden="1" customHeight="1" x14ac:dyDescent="0.25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+VLOOKUP(G433,Liste!$A$7:$G$69,3,FALSE)</f>
        <v>Pin Laricio</v>
      </c>
      <c r="BI433" s="96" t="str">
        <f>+VLOOKUP(H433,Liste!$B$7:$G$69,5,FALSE)</f>
        <v>GS Pineraies des plaines du Centre et du Nord Ouest</v>
      </c>
      <c r="BJ433" s="135">
        <f t="shared" si="128"/>
        <v>63</v>
      </c>
      <c r="BK433" s="135" t="str">
        <f t="shared" si="130"/>
        <v>Pin Laricio_F2_Classique_GS Pineraies des plaines du Centre et du Nord Ouest_63_</v>
      </c>
      <c r="BL433" s="319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97" t="str">
        <f>+VLOOKUP(G433,Liste!$A$7:$H$69,8,FALSE)</f>
        <v>Résineux</v>
      </c>
      <c r="BU433" s="297">
        <f t="shared" si="131"/>
        <v>0</v>
      </c>
      <c r="BV433" s="299">
        <f t="shared" si="132"/>
        <v>1</v>
      </c>
      <c r="BW433" s="318">
        <v>0</v>
      </c>
      <c r="BX433" s="297">
        <f t="shared" si="133"/>
        <v>0.43</v>
      </c>
      <c r="BY433">
        <f t="shared" si="134"/>
        <v>0</v>
      </c>
      <c r="BZ433" s="303">
        <f t="shared" si="135"/>
        <v>0</v>
      </c>
      <c r="CB433" s="298">
        <v>0.6</v>
      </c>
      <c r="CC433" s="298">
        <v>0.4</v>
      </c>
      <c r="CD433">
        <f t="shared" si="136"/>
        <v>0</v>
      </c>
      <c r="CE433">
        <f t="shared" si="137"/>
        <v>0</v>
      </c>
      <c r="CF433">
        <f t="shared" si="138"/>
        <v>0</v>
      </c>
      <c r="CG433">
        <f t="shared" si="139"/>
        <v>0</v>
      </c>
      <c r="CH433">
        <f t="shared" si="140"/>
        <v>0</v>
      </c>
      <c r="CI433">
        <f t="shared" si="141"/>
        <v>0</v>
      </c>
      <c r="CJ433">
        <f t="shared" si="142"/>
        <v>0</v>
      </c>
      <c r="CK433">
        <f t="shared" si="143"/>
        <v>0</v>
      </c>
      <c r="CL433">
        <f t="shared" si="144"/>
        <v>0</v>
      </c>
      <c r="CM433">
        <f t="shared" si="146"/>
        <v>0</v>
      </c>
      <c r="CN433">
        <f t="shared" si="145"/>
        <v>0</v>
      </c>
      <c r="CO433">
        <f t="shared" si="129"/>
        <v>0</v>
      </c>
    </row>
    <row r="434" spans="1:93" s="12" customFormat="1" ht="14.45" hidden="1" customHeight="1" x14ac:dyDescent="0.25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+VLOOKUP(G434,Liste!$A$7:$G$69,3,FALSE)</f>
        <v>Pin Laricio</v>
      </c>
      <c r="BI434" s="96" t="str">
        <f>+VLOOKUP(H434,Liste!$B$7:$G$69,5,FALSE)</f>
        <v>GS Pineraies des plaines du Centre et du Nord Ouest</v>
      </c>
      <c r="BJ434" s="135">
        <f t="shared" si="128"/>
        <v>64</v>
      </c>
      <c r="BK434" s="135" t="str">
        <f t="shared" si="130"/>
        <v>Pin Laricio_F2_Classique_GS Pineraies des plaines du Centre et du Nord Ouest_64_</v>
      </c>
      <c r="BL434" s="319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97" t="str">
        <f>+VLOOKUP(G434,Liste!$A$7:$H$69,8,FALSE)</f>
        <v>Résineux</v>
      </c>
      <c r="BU434" s="297">
        <f t="shared" si="131"/>
        <v>0</v>
      </c>
      <c r="BV434" s="299">
        <f t="shared" si="132"/>
        <v>1</v>
      </c>
      <c r="BW434" s="318">
        <v>0</v>
      </c>
      <c r="BX434" s="297">
        <f t="shared" si="133"/>
        <v>0.43</v>
      </c>
      <c r="BY434">
        <f t="shared" si="134"/>
        <v>0</v>
      </c>
      <c r="BZ434" s="303">
        <f t="shared" si="135"/>
        <v>0</v>
      </c>
      <c r="CB434" s="298">
        <v>0.6</v>
      </c>
      <c r="CC434" s="298">
        <v>0.4</v>
      </c>
      <c r="CD434">
        <f t="shared" si="136"/>
        <v>0</v>
      </c>
      <c r="CE434">
        <f t="shared" si="137"/>
        <v>0</v>
      </c>
      <c r="CF434">
        <f t="shared" si="138"/>
        <v>0</v>
      </c>
      <c r="CG434">
        <f t="shared" si="139"/>
        <v>0</v>
      </c>
      <c r="CH434">
        <f t="shared" si="140"/>
        <v>0</v>
      </c>
      <c r="CI434">
        <f t="shared" si="141"/>
        <v>0</v>
      </c>
      <c r="CJ434">
        <f t="shared" si="142"/>
        <v>0</v>
      </c>
      <c r="CK434">
        <f t="shared" si="143"/>
        <v>0</v>
      </c>
      <c r="CL434">
        <f t="shared" si="144"/>
        <v>0</v>
      </c>
      <c r="CM434">
        <f t="shared" si="146"/>
        <v>0</v>
      </c>
      <c r="CN434">
        <f t="shared" si="145"/>
        <v>0</v>
      </c>
      <c r="CO434">
        <f t="shared" si="129"/>
        <v>0</v>
      </c>
    </row>
    <row r="435" spans="1:93" s="12" customFormat="1" ht="14.45" hidden="1" customHeight="1" x14ac:dyDescent="0.25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+VLOOKUP(G435,Liste!$A$7:$G$69,3,FALSE)</f>
        <v>Pin Laricio</v>
      </c>
      <c r="BI435" s="96" t="str">
        <f>+VLOOKUP(H435,Liste!$B$7:$G$69,5,FALSE)</f>
        <v>GS Pineraies des plaines du Centre et du Nord Ouest</v>
      </c>
      <c r="BJ435" s="135">
        <f t="shared" si="128"/>
        <v>65</v>
      </c>
      <c r="BK435" s="135" t="str">
        <f t="shared" si="130"/>
        <v>Pin Laricio_F2_Classique_GS Pineraies des plaines du Centre et du Nord Ouest_65_</v>
      </c>
      <c r="BL435" s="319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97" t="str">
        <f>+VLOOKUP(G435,Liste!$A$7:$H$69,8,FALSE)</f>
        <v>Résineux</v>
      </c>
      <c r="BU435" s="297">
        <f t="shared" si="131"/>
        <v>0</v>
      </c>
      <c r="BV435" s="299">
        <f t="shared" si="132"/>
        <v>1</v>
      </c>
      <c r="BW435" s="318">
        <v>0</v>
      </c>
      <c r="BX435" s="297">
        <f t="shared" si="133"/>
        <v>0.43</v>
      </c>
      <c r="BY435">
        <f t="shared" si="134"/>
        <v>0</v>
      </c>
      <c r="BZ435" s="303">
        <f t="shared" si="135"/>
        <v>0</v>
      </c>
      <c r="CB435" s="298">
        <v>0.6</v>
      </c>
      <c r="CC435" s="298">
        <v>0.4</v>
      </c>
      <c r="CD435">
        <f t="shared" si="136"/>
        <v>0</v>
      </c>
      <c r="CE435">
        <f t="shared" si="137"/>
        <v>0</v>
      </c>
      <c r="CF435">
        <f t="shared" si="138"/>
        <v>0</v>
      </c>
      <c r="CG435">
        <f t="shared" si="139"/>
        <v>0</v>
      </c>
      <c r="CH435">
        <f t="shared" si="140"/>
        <v>0</v>
      </c>
      <c r="CI435">
        <f t="shared" si="141"/>
        <v>0</v>
      </c>
      <c r="CJ435">
        <f t="shared" si="142"/>
        <v>0</v>
      </c>
      <c r="CK435">
        <f t="shared" si="143"/>
        <v>0</v>
      </c>
      <c r="CL435">
        <f t="shared" si="144"/>
        <v>0</v>
      </c>
      <c r="CM435">
        <f t="shared" si="146"/>
        <v>0</v>
      </c>
      <c r="CN435">
        <f t="shared" si="145"/>
        <v>0</v>
      </c>
      <c r="CO435">
        <f t="shared" si="129"/>
        <v>0</v>
      </c>
    </row>
    <row r="436" spans="1:93" s="12" customFormat="1" ht="14.45" hidden="1" customHeight="1" x14ac:dyDescent="0.25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+VLOOKUP(G436,Liste!$A$7:$G$69,3,FALSE)</f>
        <v>Pin Laricio</v>
      </c>
      <c r="BI436" s="96" t="str">
        <f>+VLOOKUP(H436,Liste!$B$7:$G$69,5,FALSE)</f>
        <v>GS Pineraies des plaines du Centre et du Nord Ouest</v>
      </c>
      <c r="BJ436" s="135">
        <f t="shared" si="128"/>
        <v>66</v>
      </c>
      <c r="BK436" s="135" t="str">
        <f t="shared" si="130"/>
        <v>Pin Laricio_F2_Classique_GS Pineraies des plaines du Centre et du Nord Ouest_66_</v>
      </c>
      <c r="BL436" s="319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97" t="str">
        <f>+VLOOKUP(G436,Liste!$A$7:$H$69,8,FALSE)</f>
        <v>Résineux</v>
      </c>
      <c r="BU436" s="297">
        <f t="shared" si="131"/>
        <v>0</v>
      </c>
      <c r="BV436" s="299">
        <f t="shared" si="132"/>
        <v>1</v>
      </c>
      <c r="BW436" s="318">
        <v>0</v>
      </c>
      <c r="BX436" s="297">
        <f t="shared" si="133"/>
        <v>0.43</v>
      </c>
      <c r="BY436">
        <f t="shared" si="134"/>
        <v>0</v>
      </c>
      <c r="BZ436" s="303">
        <f t="shared" si="135"/>
        <v>0</v>
      </c>
      <c r="CB436" s="298">
        <v>0.6</v>
      </c>
      <c r="CC436" s="298">
        <v>0.4</v>
      </c>
      <c r="CD436">
        <f t="shared" si="136"/>
        <v>0</v>
      </c>
      <c r="CE436">
        <f t="shared" si="137"/>
        <v>0</v>
      </c>
      <c r="CF436">
        <f t="shared" si="138"/>
        <v>0</v>
      </c>
      <c r="CG436">
        <f t="shared" si="139"/>
        <v>0</v>
      </c>
      <c r="CH436">
        <f t="shared" si="140"/>
        <v>0</v>
      </c>
      <c r="CI436">
        <f t="shared" si="141"/>
        <v>0</v>
      </c>
      <c r="CJ436">
        <f t="shared" si="142"/>
        <v>0</v>
      </c>
      <c r="CK436">
        <f t="shared" si="143"/>
        <v>0</v>
      </c>
      <c r="CL436">
        <f t="shared" si="144"/>
        <v>0</v>
      </c>
      <c r="CM436">
        <f t="shared" si="146"/>
        <v>0</v>
      </c>
      <c r="CN436">
        <f t="shared" si="145"/>
        <v>0</v>
      </c>
      <c r="CO436">
        <f t="shared" si="129"/>
        <v>0</v>
      </c>
    </row>
    <row r="437" spans="1:93" s="12" customFormat="1" ht="14.45" hidden="1" customHeight="1" x14ac:dyDescent="0.25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+VLOOKUP(G437,Liste!$A$7:$G$69,3,FALSE)</f>
        <v>Pin Laricio</v>
      </c>
      <c r="BI437" s="96" t="str">
        <f>+VLOOKUP(H437,Liste!$B$7:$G$69,5,FALSE)</f>
        <v>GS Pineraies des plaines du Centre et du Nord Ouest</v>
      </c>
      <c r="BJ437" s="135">
        <f t="shared" si="128"/>
        <v>67</v>
      </c>
      <c r="BK437" s="135" t="str">
        <f t="shared" si="130"/>
        <v>Pin Laricio_F2_Classique_GS Pineraies des plaines du Centre et du Nord Ouest_67_</v>
      </c>
      <c r="BL437" s="319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97" t="str">
        <f>+VLOOKUP(G437,Liste!$A$7:$H$69,8,FALSE)</f>
        <v>Résineux</v>
      </c>
      <c r="BU437" s="297">
        <f t="shared" si="131"/>
        <v>0</v>
      </c>
      <c r="BV437" s="299">
        <f t="shared" si="132"/>
        <v>1</v>
      </c>
      <c r="BW437" s="318">
        <v>0</v>
      </c>
      <c r="BX437" s="297">
        <f t="shared" si="133"/>
        <v>0.43</v>
      </c>
      <c r="BY437">
        <f t="shared" si="134"/>
        <v>0</v>
      </c>
      <c r="BZ437" s="303">
        <f t="shared" si="135"/>
        <v>0</v>
      </c>
      <c r="CB437" s="298">
        <v>0.6</v>
      </c>
      <c r="CC437" s="298">
        <v>0.4</v>
      </c>
      <c r="CD437">
        <f t="shared" si="136"/>
        <v>0</v>
      </c>
      <c r="CE437">
        <f t="shared" si="137"/>
        <v>0</v>
      </c>
      <c r="CF437">
        <f t="shared" si="138"/>
        <v>0</v>
      </c>
      <c r="CG437">
        <f t="shared" si="139"/>
        <v>0</v>
      </c>
      <c r="CH437">
        <f t="shared" si="140"/>
        <v>0</v>
      </c>
      <c r="CI437">
        <f t="shared" si="141"/>
        <v>0</v>
      </c>
      <c r="CJ437">
        <f t="shared" si="142"/>
        <v>0</v>
      </c>
      <c r="CK437">
        <f t="shared" si="143"/>
        <v>0</v>
      </c>
      <c r="CL437">
        <f t="shared" si="144"/>
        <v>0</v>
      </c>
      <c r="CM437">
        <f t="shared" si="146"/>
        <v>0</v>
      </c>
      <c r="CN437">
        <f t="shared" si="145"/>
        <v>0</v>
      </c>
      <c r="CO437">
        <f t="shared" si="129"/>
        <v>0</v>
      </c>
    </row>
    <row r="438" spans="1:93" s="12" customFormat="1" ht="14.45" hidden="1" customHeight="1" x14ac:dyDescent="0.25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+VLOOKUP(G438,Liste!$A$7:$G$69,3,FALSE)</f>
        <v>Pin Laricio</v>
      </c>
      <c r="BI438" s="96" t="str">
        <f>+VLOOKUP(H438,Liste!$B$7:$G$69,5,FALSE)</f>
        <v>GS Pineraies des plaines du Centre et du Nord Ouest</v>
      </c>
      <c r="BJ438" s="135">
        <f t="shared" si="128"/>
        <v>68</v>
      </c>
      <c r="BK438" s="135" t="str">
        <f t="shared" si="130"/>
        <v>Pin Laricio_F2_Classique_GS Pineraies des plaines du Centre et du Nord Ouest_68_</v>
      </c>
      <c r="BL438" s="319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97" t="str">
        <f>+VLOOKUP(G438,Liste!$A$7:$H$69,8,FALSE)</f>
        <v>Résineux</v>
      </c>
      <c r="BU438" s="297">
        <f t="shared" si="131"/>
        <v>0</v>
      </c>
      <c r="BV438" s="299">
        <f t="shared" si="132"/>
        <v>1</v>
      </c>
      <c r="BW438" s="318">
        <v>0</v>
      </c>
      <c r="BX438" s="297">
        <f t="shared" si="133"/>
        <v>0.43</v>
      </c>
      <c r="BY438">
        <f t="shared" si="134"/>
        <v>0</v>
      </c>
      <c r="BZ438" s="303">
        <f t="shared" si="135"/>
        <v>0</v>
      </c>
      <c r="CB438" s="298">
        <v>0.6</v>
      </c>
      <c r="CC438" s="298">
        <v>0.4</v>
      </c>
      <c r="CD438">
        <f t="shared" si="136"/>
        <v>0</v>
      </c>
      <c r="CE438">
        <f t="shared" si="137"/>
        <v>0</v>
      </c>
      <c r="CF438">
        <f t="shared" si="138"/>
        <v>0</v>
      </c>
      <c r="CG438">
        <f t="shared" si="139"/>
        <v>0</v>
      </c>
      <c r="CH438">
        <f t="shared" si="140"/>
        <v>0</v>
      </c>
      <c r="CI438">
        <f t="shared" si="141"/>
        <v>0</v>
      </c>
      <c r="CJ438">
        <f t="shared" si="142"/>
        <v>0</v>
      </c>
      <c r="CK438">
        <f t="shared" si="143"/>
        <v>0</v>
      </c>
      <c r="CL438">
        <f t="shared" si="144"/>
        <v>0</v>
      </c>
      <c r="CM438">
        <f t="shared" si="146"/>
        <v>0</v>
      </c>
      <c r="CN438">
        <f t="shared" si="145"/>
        <v>0</v>
      </c>
      <c r="CO438">
        <f t="shared" si="129"/>
        <v>0</v>
      </c>
    </row>
    <row r="439" spans="1:93" s="12" customFormat="1" ht="14.45" hidden="1" customHeight="1" x14ac:dyDescent="0.25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+VLOOKUP(G439,Liste!$A$7:$G$69,3,FALSE)</f>
        <v>Pin Laricio</v>
      </c>
      <c r="BI439" s="96" t="str">
        <f>+VLOOKUP(H439,Liste!$B$7:$G$69,5,FALSE)</f>
        <v>GS Pineraies des plaines du Centre et du Nord Ouest</v>
      </c>
      <c r="BJ439" s="135">
        <f t="shared" si="128"/>
        <v>69</v>
      </c>
      <c r="BK439" s="135" t="str">
        <f t="shared" si="130"/>
        <v>Pin Laricio_F2_Classique_GS Pineraies des plaines du Centre et du Nord Ouest_69_</v>
      </c>
      <c r="BL439" s="319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97" t="str">
        <f>+VLOOKUP(G439,Liste!$A$7:$H$69,8,FALSE)</f>
        <v>Résineux</v>
      </c>
      <c r="BU439" s="297">
        <f t="shared" si="131"/>
        <v>0</v>
      </c>
      <c r="BV439" s="299">
        <f t="shared" si="132"/>
        <v>1</v>
      </c>
      <c r="BW439" s="318">
        <v>0</v>
      </c>
      <c r="BX439" s="297">
        <f t="shared" si="133"/>
        <v>0.43</v>
      </c>
      <c r="BY439">
        <f t="shared" si="134"/>
        <v>0</v>
      </c>
      <c r="BZ439" s="303">
        <f t="shared" si="135"/>
        <v>0</v>
      </c>
      <c r="CB439" s="298">
        <v>0.6</v>
      </c>
      <c r="CC439" s="298">
        <v>0.4</v>
      </c>
      <c r="CD439">
        <f t="shared" si="136"/>
        <v>0</v>
      </c>
      <c r="CE439">
        <f t="shared" si="137"/>
        <v>0</v>
      </c>
      <c r="CF439">
        <f t="shared" si="138"/>
        <v>0</v>
      </c>
      <c r="CG439">
        <f t="shared" si="139"/>
        <v>0</v>
      </c>
      <c r="CH439">
        <f t="shared" si="140"/>
        <v>0</v>
      </c>
      <c r="CI439">
        <f t="shared" si="141"/>
        <v>0</v>
      </c>
      <c r="CJ439">
        <f t="shared" si="142"/>
        <v>0</v>
      </c>
      <c r="CK439">
        <f t="shared" si="143"/>
        <v>0</v>
      </c>
      <c r="CL439">
        <f t="shared" si="144"/>
        <v>0</v>
      </c>
      <c r="CM439">
        <f t="shared" si="146"/>
        <v>0</v>
      </c>
      <c r="CN439">
        <f t="shared" si="145"/>
        <v>0</v>
      </c>
      <c r="CO439">
        <f t="shared" si="129"/>
        <v>0</v>
      </c>
    </row>
    <row r="440" spans="1:93" s="12" customFormat="1" ht="14.45" hidden="1" customHeight="1" x14ac:dyDescent="0.25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+VLOOKUP(G440,Liste!$A$7:$G$69,3,FALSE)</f>
        <v>Pin Laricio</v>
      </c>
      <c r="BI440" s="96" t="str">
        <f>+VLOOKUP(H440,Liste!$B$7:$G$69,5,FALSE)</f>
        <v>GS Pineraies des plaines du Centre et du Nord Ouest</v>
      </c>
      <c r="BJ440" s="135">
        <f t="shared" si="128"/>
        <v>69</v>
      </c>
      <c r="BK440" s="135" t="str">
        <f t="shared" si="130"/>
        <v>Pin Laricio_F2_Classique_GS Pineraies des plaines du Centre et du Nord Ouest_69_</v>
      </c>
      <c r="BL440" s="319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97" t="str">
        <f>+VLOOKUP(G440,Liste!$A$7:$H$69,8,FALSE)</f>
        <v>Résineux</v>
      </c>
      <c r="BU440" s="297">
        <f t="shared" si="131"/>
        <v>0</v>
      </c>
      <c r="BV440" s="299">
        <f t="shared" si="132"/>
        <v>1</v>
      </c>
      <c r="BW440" s="318">
        <v>0</v>
      </c>
      <c r="BX440" s="297">
        <f t="shared" si="133"/>
        <v>0.43</v>
      </c>
      <c r="BY440">
        <f t="shared" si="134"/>
        <v>0</v>
      </c>
      <c r="BZ440" s="303">
        <f t="shared" si="135"/>
        <v>0</v>
      </c>
      <c r="CB440" s="298">
        <v>0.6</v>
      </c>
      <c r="CC440" s="298">
        <v>0.4</v>
      </c>
      <c r="CD440">
        <f t="shared" si="136"/>
        <v>0</v>
      </c>
      <c r="CE440">
        <f t="shared" si="137"/>
        <v>0</v>
      </c>
      <c r="CF440">
        <f t="shared" si="138"/>
        <v>0</v>
      </c>
      <c r="CG440">
        <f t="shared" si="139"/>
        <v>0</v>
      </c>
      <c r="CH440">
        <f t="shared" si="140"/>
        <v>0</v>
      </c>
      <c r="CI440">
        <f t="shared" si="141"/>
        <v>0</v>
      </c>
      <c r="CJ440">
        <f t="shared" si="142"/>
        <v>0</v>
      </c>
      <c r="CK440">
        <f t="shared" si="143"/>
        <v>0</v>
      </c>
      <c r="CL440">
        <f t="shared" si="144"/>
        <v>0</v>
      </c>
      <c r="CM440">
        <f t="shared" si="146"/>
        <v>0</v>
      </c>
      <c r="CN440">
        <f t="shared" si="145"/>
        <v>0</v>
      </c>
      <c r="CO440">
        <f t="shared" si="129"/>
        <v>0</v>
      </c>
    </row>
    <row r="441" spans="1:93" s="12" customFormat="1" ht="14.45" hidden="1" customHeight="1" x14ac:dyDescent="0.25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+VLOOKUP(G441,Liste!$A$7:$G$69,3,FALSE)</f>
        <v>Pin Laricio</v>
      </c>
      <c r="BI441" s="96" t="str">
        <f>+VLOOKUP(H441,Liste!$B$7:$G$69,5,FALSE)</f>
        <v>GS Pineraies des plaines du Centre et du Nord Ouest</v>
      </c>
      <c r="BJ441" s="135">
        <f t="shared" si="128"/>
        <v>70</v>
      </c>
      <c r="BK441" s="135" t="str">
        <f t="shared" si="130"/>
        <v>Pin Laricio_F2_Classique_GS Pineraies des plaines du Centre et du Nord Ouest_70_</v>
      </c>
      <c r="BL441" s="319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97" t="str">
        <f>+VLOOKUP(G441,Liste!$A$7:$H$69,8,FALSE)</f>
        <v>Résineux</v>
      </c>
      <c r="BU441" s="297">
        <f t="shared" si="131"/>
        <v>0</v>
      </c>
      <c r="BV441" s="299">
        <f t="shared" si="132"/>
        <v>1</v>
      </c>
      <c r="BW441" s="318">
        <v>0</v>
      </c>
      <c r="BX441" s="297">
        <f t="shared" si="133"/>
        <v>0.43</v>
      </c>
      <c r="BY441">
        <f t="shared" si="134"/>
        <v>0</v>
      </c>
      <c r="BZ441" s="303">
        <f t="shared" si="135"/>
        <v>0</v>
      </c>
      <c r="CB441" s="298">
        <v>0.6</v>
      </c>
      <c r="CC441" s="298">
        <v>0.4</v>
      </c>
      <c r="CD441">
        <f t="shared" si="136"/>
        <v>0</v>
      </c>
      <c r="CE441">
        <f t="shared" si="137"/>
        <v>0</v>
      </c>
      <c r="CF441">
        <f t="shared" si="138"/>
        <v>0</v>
      </c>
      <c r="CG441">
        <f t="shared" si="139"/>
        <v>0</v>
      </c>
      <c r="CH441">
        <f t="shared" si="140"/>
        <v>0</v>
      </c>
      <c r="CI441">
        <f t="shared" si="141"/>
        <v>0</v>
      </c>
      <c r="CJ441">
        <f t="shared" si="142"/>
        <v>0</v>
      </c>
      <c r="CK441">
        <f t="shared" si="143"/>
        <v>0</v>
      </c>
      <c r="CL441">
        <f t="shared" si="144"/>
        <v>0</v>
      </c>
      <c r="CM441">
        <f t="shared" si="146"/>
        <v>0</v>
      </c>
      <c r="CN441">
        <f t="shared" si="145"/>
        <v>0</v>
      </c>
      <c r="CO441">
        <f t="shared" si="129"/>
        <v>0</v>
      </c>
    </row>
    <row r="442" spans="1:93" s="12" customFormat="1" ht="14.45" hidden="1" customHeight="1" x14ac:dyDescent="0.25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+VLOOKUP(G442,Liste!$A$7:$G$69,3,FALSE)</f>
        <v>Pin Laricio</v>
      </c>
      <c r="BI442" s="96" t="str">
        <f>+VLOOKUP(H442,Liste!$B$7:$G$69,5,FALSE)</f>
        <v>GS Pineraies des plaines du Centre et du Nord Ouest</v>
      </c>
      <c r="BJ442" s="135">
        <f t="shared" si="128"/>
        <v>71</v>
      </c>
      <c r="BK442" s="135" t="str">
        <f t="shared" si="130"/>
        <v>Pin Laricio_F2_Classique_GS Pineraies des plaines du Centre et du Nord Ouest_71_</v>
      </c>
      <c r="BL442" s="319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97" t="str">
        <f>+VLOOKUP(G442,Liste!$A$7:$H$69,8,FALSE)</f>
        <v>Résineux</v>
      </c>
      <c r="BU442" s="297">
        <f t="shared" si="131"/>
        <v>0</v>
      </c>
      <c r="BV442" s="299">
        <f t="shared" si="132"/>
        <v>1</v>
      </c>
      <c r="BW442" s="318">
        <v>0</v>
      </c>
      <c r="BX442" s="297">
        <f t="shared" si="133"/>
        <v>0.43</v>
      </c>
      <c r="BY442">
        <f t="shared" si="134"/>
        <v>0</v>
      </c>
      <c r="BZ442" s="303">
        <f t="shared" si="135"/>
        <v>0</v>
      </c>
      <c r="CB442" s="298">
        <v>0.6</v>
      </c>
      <c r="CC442" s="298">
        <v>0.4</v>
      </c>
      <c r="CD442">
        <f t="shared" si="136"/>
        <v>0</v>
      </c>
      <c r="CE442">
        <f t="shared" si="137"/>
        <v>0</v>
      </c>
      <c r="CF442">
        <f t="shared" si="138"/>
        <v>0</v>
      </c>
      <c r="CG442">
        <f t="shared" si="139"/>
        <v>0</v>
      </c>
      <c r="CH442">
        <f t="shared" si="140"/>
        <v>0</v>
      </c>
      <c r="CI442">
        <f t="shared" si="141"/>
        <v>0</v>
      </c>
      <c r="CJ442">
        <f t="shared" si="142"/>
        <v>0</v>
      </c>
      <c r="CK442">
        <f t="shared" si="143"/>
        <v>0</v>
      </c>
      <c r="CL442">
        <f t="shared" si="144"/>
        <v>0</v>
      </c>
      <c r="CM442">
        <f t="shared" si="146"/>
        <v>0</v>
      </c>
      <c r="CN442">
        <f t="shared" si="145"/>
        <v>0</v>
      </c>
      <c r="CO442">
        <f t="shared" si="129"/>
        <v>0</v>
      </c>
    </row>
    <row r="443" spans="1:93" s="12" customFormat="1" ht="14.45" hidden="1" customHeight="1" x14ac:dyDescent="0.25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+VLOOKUP(G443,Liste!$A$7:$G$69,3,FALSE)</f>
        <v>Pin Laricio</v>
      </c>
      <c r="BI443" s="96" t="str">
        <f>+VLOOKUP(H443,Liste!$B$7:$G$69,5,FALSE)</f>
        <v>GS Pineraies des plaines du Centre et du Nord Ouest</v>
      </c>
      <c r="BJ443" s="135">
        <f t="shared" si="128"/>
        <v>72</v>
      </c>
      <c r="BK443" s="135" t="str">
        <f t="shared" si="130"/>
        <v>Pin Laricio_F2_Classique_GS Pineraies des plaines du Centre et du Nord Ouest_72_</v>
      </c>
      <c r="BL443" s="319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97" t="str">
        <f>+VLOOKUP(G443,Liste!$A$7:$H$69,8,FALSE)</f>
        <v>Résineux</v>
      </c>
      <c r="BU443" s="297">
        <f t="shared" si="131"/>
        <v>0</v>
      </c>
      <c r="BV443" s="299">
        <f t="shared" si="132"/>
        <v>1</v>
      </c>
      <c r="BW443" s="318">
        <v>0</v>
      </c>
      <c r="BX443" s="297">
        <f t="shared" si="133"/>
        <v>0.43</v>
      </c>
      <c r="BY443">
        <f t="shared" si="134"/>
        <v>0</v>
      </c>
      <c r="BZ443" s="303">
        <f t="shared" si="135"/>
        <v>0</v>
      </c>
      <c r="CB443" s="298">
        <v>0.6</v>
      </c>
      <c r="CC443" s="298">
        <v>0.4</v>
      </c>
      <c r="CD443">
        <f t="shared" si="136"/>
        <v>0</v>
      </c>
      <c r="CE443">
        <f t="shared" si="137"/>
        <v>0</v>
      </c>
      <c r="CF443">
        <f t="shared" si="138"/>
        <v>0</v>
      </c>
      <c r="CG443">
        <f t="shared" si="139"/>
        <v>0</v>
      </c>
      <c r="CH443">
        <f t="shared" si="140"/>
        <v>0</v>
      </c>
      <c r="CI443">
        <f t="shared" si="141"/>
        <v>0</v>
      </c>
      <c r="CJ443">
        <f t="shared" si="142"/>
        <v>0</v>
      </c>
      <c r="CK443">
        <f t="shared" si="143"/>
        <v>0</v>
      </c>
      <c r="CL443">
        <f t="shared" si="144"/>
        <v>0</v>
      </c>
      <c r="CM443">
        <f t="shared" si="146"/>
        <v>0</v>
      </c>
      <c r="CN443">
        <f t="shared" si="145"/>
        <v>0</v>
      </c>
      <c r="CO443">
        <f t="shared" si="129"/>
        <v>0</v>
      </c>
    </row>
    <row r="444" spans="1:93" s="12" customFormat="1" ht="14.45" hidden="1" customHeight="1" x14ac:dyDescent="0.25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+VLOOKUP(G444,Liste!$A$7:$G$69,3,FALSE)</f>
        <v>Pin Laricio</v>
      </c>
      <c r="BI444" s="96" t="str">
        <f>+VLOOKUP(H444,Liste!$B$7:$G$69,5,FALSE)</f>
        <v>GS Pineraies des plaines du Centre et du Nord Ouest</v>
      </c>
      <c r="BJ444" s="135">
        <f t="shared" si="128"/>
        <v>73</v>
      </c>
      <c r="BK444" s="135" t="str">
        <f t="shared" si="130"/>
        <v>Pin Laricio_F2_Classique_GS Pineraies des plaines du Centre et du Nord Ouest_73_</v>
      </c>
      <c r="BL444" s="319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97" t="str">
        <f>+VLOOKUP(G444,Liste!$A$7:$H$69,8,FALSE)</f>
        <v>Résineux</v>
      </c>
      <c r="BU444" s="297">
        <f t="shared" si="131"/>
        <v>0</v>
      </c>
      <c r="BV444" s="299">
        <f t="shared" si="132"/>
        <v>1</v>
      </c>
      <c r="BW444" s="318">
        <v>0</v>
      </c>
      <c r="BX444" s="297">
        <f t="shared" si="133"/>
        <v>0.43</v>
      </c>
      <c r="BY444">
        <f t="shared" si="134"/>
        <v>0</v>
      </c>
      <c r="BZ444" s="303">
        <f t="shared" si="135"/>
        <v>0</v>
      </c>
      <c r="CB444" s="298">
        <v>0.6</v>
      </c>
      <c r="CC444" s="298">
        <v>0.4</v>
      </c>
      <c r="CD444">
        <f t="shared" si="136"/>
        <v>0</v>
      </c>
      <c r="CE444">
        <f t="shared" si="137"/>
        <v>0</v>
      </c>
      <c r="CF444">
        <f t="shared" si="138"/>
        <v>0</v>
      </c>
      <c r="CG444">
        <f t="shared" si="139"/>
        <v>0</v>
      </c>
      <c r="CH444">
        <f t="shared" si="140"/>
        <v>0</v>
      </c>
      <c r="CI444">
        <f t="shared" si="141"/>
        <v>0</v>
      </c>
      <c r="CJ444">
        <f t="shared" si="142"/>
        <v>0</v>
      </c>
      <c r="CK444">
        <f t="shared" si="143"/>
        <v>0</v>
      </c>
      <c r="CL444">
        <f t="shared" si="144"/>
        <v>0</v>
      </c>
      <c r="CM444">
        <f t="shared" si="146"/>
        <v>0</v>
      </c>
      <c r="CN444">
        <f t="shared" si="145"/>
        <v>0</v>
      </c>
      <c r="CO444">
        <f t="shared" si="129"/>
        <v>0</v>
      </c>
    </row>
    <row r="445" spans="1:93" s="12" customFormat="1" ht="14.45" hidden="1" customHeight="1" x14ac:dyDescent="0.25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+VLOOKUP(G445,Liste!$A$7:$G$69,3,FALSE)</f>
        <v>Pin Laricio</v>
      </c>
      <c r="BI445" s="96" t="str">
        <f>+VLOOKUP(H445,Liste!$B$7:$G$69,5,FALSE)</f>
        <v>GS Pineraies des plaines du Centre et du Nord Ouest</v>
      </c>
      <c r="BJ445" s="135">
        <f t="shared" si="128"/>
        <v>74</v>
      </c>
      <c r="BK445" s="135" t="str">
        <f t="shared" si="130"/>
        <v>Pin Laricio_F2_Classique_GS Pineraies des plaines du Centre et du Nord Ouest_74_</v>
      </c>
      <c r="BL445" s="319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97" t="str">
        <f>+VLOOKUP(G445,Liste!$A$7:$H$69,8,FALSE)</f>
        <v>Résineux</v>
      </c>
      <c r="BU445" s="297">
        <f t="shared" si="131"/>
        <v>0</v>
      </c>
      <c r="BV445" s="299">
        <f t="shared" si="132"/>
        <v>1</v>
      </c>
      <c r="BW445" s="318">
        <v>0</v>
      </c>
      <c r="BX445" s="297">
        <f t="shared" si="133"/>
        <v>0.43</v>
      </c>
      <c r="BY445">
        <f t="shared" si="134"/>
        <v>0</v>
      </c>
      <c r="BZ445" s="303">
        <f t="shared" si="135"/>
        <v>0</v>
      </c>
      <c r="CB445" s="298">
        <v>0.6</v>
      </c>
      <c r="CC445" s="298">
        <v>0.4</v>
      </c>
      <c r="CD445">
        <f t="shared" si="136"/>
        <v>0</v>
      </c>
      <c r="CE445">
        <f t="shared" si="137"/>
        <v>0</v>
      </c>
      <c r="CF445">
        <f t="shared" si="138"/>
        <v>0</v>
      </c>
      <c r="CG445">
        <f t="shared" si="139"/>
        <v>0</v>
      </c>
      <c r="CH445">
        <f t="shared" si="140"/>
        <v>0</v>
      </c>
      <c r="CI445">
        <f t="shared" si="141"/>
        <v>0</v>
      </c>
      <c r="CJ445">
        <f t="shared" si="142"/>
        <v>0</v>
      </c>
      <c r="CK445">
        <f t="shared" si="143"/>
        <v>0</v>
      </c>
      <c r="CL445">
        <f t="shared" si="144"/>
        <v>0</v>
      </c>
      <c r="CM445">
        <f t="shared" si="146"/>
        <v>0</v>
      </c>
      <c r="CN445">
        <f t="shared" si="145"/>
        <v>0</v>
      </c>
      <c r="CO445">
        <f t="shared" si="129"/>
        <v>0</v>
      </c>
    </row>
    <row r="446" spans="1:93" s="12" customFormat="1" ht="14.45" hidden="1" customHeight="1" x14ac:dyDescent="0.25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+VLOOKUP(G446,Liste!$A$7:$G$69,3,FALSE)</f>
        <v>Pin Laricio</v>
      </c>
      <c r="BI446" s="96" t="str">
        <f>+VLOOKUP(H446,Liste!$B$7:$G$69,5,FALSE)</f>
        <v>GS Pineraies des plaines du Centre et du Nord Ouest</v>
      </c>
      <c r="BJ446" s="135">
        <f t="shared" si="128"/>
        <v>75</v>
      </c>
      <c r="BK446" s="135" t="str">
        <f t="shared" si="130"/>
        <v>Pin Laricio_F2_Classique_GS Pineraies des plaines du Centre et du Nord Ouest_75_</v>
      </c>
      <c r="BL446" s="319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97" t="str">
        <f>+VLOOKUP(G446,Liste!$A$7:$H$69,8,FALSE)</f>
        <v>Résineux</v>
      </c>
      <c r="BU446" s="297">
        <f t="shared" si="131"/>
        <v>0</v>
      </c>
      <c r="BV446" s="299">
        <f t="shared" si="132"/>
        <v>1</v>
      </c>
      <c r="BW446" s="318">
        <v>0</v>
      </c>
      <c r="BX446" s="297">
        <f t="shared" si="133"/>
        <v>0.43</v>
      </c>
      <c r="BY446">
        <f t="shared" si="134"/>
        <v>0</v>
      </c>
      <c r="BZ446" s="303">
        <f t="shared" si="135"/>
        <v>0</v>
      </c>
      <c r="CB446" s="298">
        <v>0.6</v>
      </c>
      <c r="CC446" s="298">
        <v>0.4</v>
      </c>
      <c r="CD446">
        <f t="shared" si="136"/>
        <v>0</v>
      </c>
      <c r="CE446">
        <f t="shared" si="137"/>
        <v>0</v>
      </c>
      <c r="CF446">
        <f t="shared" si="138"/>
        <v>0</v>
      </c>
      <c r="CG446">
        <f t="shared" si="139"/>
        <v>0</v>
      </c>
      <c r="CH446">
        <f t="shared" si="140"/>
        <v>0</v>
      </c>
      <c r="CI446">
        <f t="shared" si="141"/>
        <v>0</v>
      </c>
      <c r="CJ446">
        <f t="shared" si="142"/>
        <v>0</v>
      </c>
      <c r="CK446">
        <f t="shared" si="143"/>
        <v>0</v>
      </c>
      <c r="CL446">
        <f t="shared" si="144"/>
        <v>0</v>
      </c>
      <c r="CM446">
        <f t="shared" si="146"/>
        <v>0</v>
      </c>
      <c r="CN446">
        <f t="shared" si="145"/>
        <v>0</v>
      </c>
      <c r="CO446">
        <f t="shared" si="129"/>
        <v>0</v>
      </c>
    </row>
    <row r="447" spans="1:93" s="12" customFormat="1" ht="14.45" hidden="1" customHeight="1" x14ac:dyDescent="0.25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+VLOOKUP(G447,Liste!$A$7:$G$69,3,FALSE)</f>
        <v>Pin Laricio</v>
      </c>
      <c r="BI447" s="96" t="str">
        <f>+VLOOKUP(H447,Liste!$B$7:$G$69,5,FALSE)</f>
        <v>GS Pineraies des plaines du Centre et du Nord Ouest</v>
      </c>
      <c r="BJ447" s="135">
        <f t="shared" si="128"/>
        <v>76</v>
      </c>
      <c r="BK447" s="135" t="str">
        <f t="shared" si="130"/>
        <v>Pin Laricio_F2_Classique_GS Pineraies des plaines du Centre et du Nord Ouest_76_</v>
      </c>
      <c r="BL447" s="319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97" t="str">
        <f>+VLOOKUP(G447,Liste!$A$7:$H$69,8,FALSE)</f>
        <v>Résineux</v>
      </c>
      <c r="BU447" s="297">
        <f t="shared" si="131"/>
        <v>0</v>
      </c>
      <c r="BV447" s="299">
        <f t="shared" si="132"/>
        <v>1</v>
      </c>
      <c r="BW447" s="318">
        <v>0</v>
      </c>
      <c r="BX447" s="297">
        <f t="shared" si="133"/>
        <v>0.43</v>
      </c>
      <c r="BY447">
        <f t="shared" si="134"/>
        <v>0</v>
      </c>
      <c r="BZ447" s="303">
        <f t="shared" si="135"/>
        <v>0</v>
      </c>
      <c r="CB447" s="298">
        <v>0.6</v>
      </c>
      <c r="CC447" s="298">
        <v>0.4</v>
      </c>
      <c r="CD447">
        <f t="shared" si="136"/>
        <v>0</v>
      </c>
      <c r="CE447">
        <f t="shared" si="137"/>
        <v>0</v>
      </c>
      <c r="CF447">
        <f t="shared" si="138"/>
        <v>0</v>
      </c>
      <c r="CG447">
        <f t="shared" si="139"/>
        <v>0</v>
      </c>
      <c r="CH447">
        <f t="shared" si="140"/>
        <v>0</v>
      </c>
      <c r="CI447">
        <f t="shared" si="141"/>
        <v>0</v>
      </c>
      <c r="CJ447">
        <f t="shared" si="142"/>
        <v>0</v>
      </c>
      <c r="CK447">
        <f t="shared" si="143"/>
        <v>0</v>
      </c>
      <c r="CL447">
        <f t="shared" si="144"/>
        <v>0</v>
      </c>
      <c r="CM447">
        <f t="shared" si="146"/>
        <v>0</v>
      </c>
      <c r="CN447">
        <f t="shared" si="145"/>
        <v>0</v>
      </c>
      <c r="CO447">
        <f t="shared" si="129"/>
        <v>0</v>
      </c>
    </row>
    <row r="448" spans="1:93" s="12" customFormat="1" ht="14.45" hidden="1" customHeight="1" x14ac:dyDescent="0.25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+VLOOKUP(G448,Liste!$A$7:$G$69,3,FALSE)</f>
        <v>Pin Laricio</v>
      </c>
      <c r="BI448" s="96" t="str">
        <f>+VLOOKUP(H448,Liste!$B$7:$G$69,5,FALSE)</f>
        <v>GS Pineraies des plaines du Centre et du Nord Ouest</v>
      </c>
      <c r="BJ448" s="135">
        <f t="shared" si="128"/>
        <v>77</v>
      </c>
      <c r="BK448" s="135" t="str">
        <f t="shared" si="130"/>
        <v>Pin Laricio_F2_Classique_GS Pineraies des plaines du Centre et du Nord Ouest_77_</v>
      </c>
      <c r="BL448" s="319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97" t="str">
        <f>+VLOOKUP(G448,Liste!$A$7:$H$69,8,FALSE)</f>
        <v>Résineux</v>
      </c>
      <c r="BU448" s="297">
        <f t="shared" si="131"/>
        <v>0</v>
      </c>
      <c r="BV448" s="299">
        <f t="shared" si="132"/>
        <v>1</v>
      </c>
      <c r="BW448" s="318">
        <v>0</v>
      </c>
      <c r="BX448" s="297">
        <f t="shared" si="133"/>
        <v>0.43</v>
      </c>
      <c r="BY448">
        <f t="shared" si="134"/>
        <v>0</v>
      </c>
      <c r="BZ448" s="303">
        <f t="shared" si="135"/>
        <v>0</v>
      </c>
      <c r="CB448" s="298">
        <v>0.6</v>
      </c>
      <c r="CC448" s="298">
        <v>0.4</v>
      </c>
      <c r="CD448">
        <f t="shared" si="136"/>
        <v>0</v>
      </c>
      <c r="CE448">
        <f t="shared" si="137"/>
        <v>0</v>
      </c>
      <c r="CF448">
        <f t="shared" si="138"/>
        <v>0</v>
      </c>
      <c r="CG448">
        <f t="shared" si="139"/>
        <v>0</v>
      </c>
      <c r="CH448">
        <f t="shared" si="140"/>
        <v>0</v>
      </c>
      <c r="CI448">
        <f t="shared" si="141"/>
        <v>0</v>
      </c>
      <c r="CJ448">
        <f t="shared" si="142"/>
        <v>0</v>
      </c>
      <c r="CK448">
        <f t="shared" si="143"/>
        <v>0</v>
      </c>
      <c r="CL448">
        <f t="shared" si="144"/>
        <v>0</v>
      </c>
      <c r="CM448">
        <f t="shared" si="146"/>
        <v>0</v>
      </c>
      <c r="CN448">
        <f t="shared" si="145"/>
        <v>0</v>
      </c>
      <c r="CO448">
        <f t="shared" si="129"/>
        <v>0</v>
      </c>
    </row>
    <row r="449" spans="1:93" s="12" customFormat="1" ht="14.45" hidden="1" customHeight="1" x14ac:dyDescent="0.25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+VLOOKUP(G449,Liste!$A$7:$G$69,3,FALSE)</f>
        <v>Pin Laricio</v>
      </c>
      <c r="BI449" s="96" t="str">
        <f>+VLOOKUP(H449,Liste!$B$7:$G$69,5,FALSE)</f>
        <v>GS Pineraies des plaines du Centre et du Nord Ouest</v>
      </c>
      <c r="BJ449" s="135">
        <f t="shared" si="128"/>
        <v>78</v>
      </c>
      <c r="BK449" s="135" t="str">
        <f t="shared" si="130"/>
        <v>Pin Laricio_F2_Classique_GS Pineraies des plaines du Centre et du Nord Ouest_78_</v>
      </c>
      <c r="BL449" s="319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97" t="str">
        <f>+VLOOKUP(G449,Liste!$A$7:$H$69,8,FALSE)</f>
        <v>Résineux</v>
      </c>
      <c r="BU449" s="297">
        <f t="shared" si="131"/>
        <v>0</v>
      </c>
      <c r="BV449" s="299">
        <f t="shared" si="132"/>
        <v>1</v>
      </c>
      <c r="BW449" s="318">
        <v>0</v>
      </c>
      <c r="BX449" s="297">
        <f t="shared" si="133"/>
        <v>0.43</v>
      </c>
      <c r="BY449">
        <f t="shared" si="134"/>
        <v>0</v>
      </c>
      <c r="BZ449" s="303">
        <f t="shared" si="135"/>
        <v>0</v>
      </c>
      <c r="CB449" s="298">
        <v>0.6</v>
      </c>
      <c r="CC449" s="298">
        <v>0.4</v>
      </c>
      <c r="CD449">
        <f t="shared" si="136"/>
        <v>0</v>
      </c>
      <c r="CE449">
        <f t="shared" si="137"/>
        <v>0</v>
      </c>
      <c r="CF449">
        <f t="shared" si="138"/>
        <v>0</v>
      </c>
      <c r="CG449">
        <f t="shared" si="139"/>
        <v>0</v>
      </c>
      <c r="CH449">
        <f t="shared" si="140"/>
        <v>0</v>
      </c>
      <c r="CI449">
        <f t="shared" si="141"/>
        <v>0</v>
      </c>
      <c r="CJ449">
        <f t="shared" si="142"/>
        <v>0</v>
      </c>
      <c r="CK449">
        <f t="shared" si="143"/>
        <v>0</v>
      </c>
      <c r="CL449">
        <f t="shared" si="144"/>
        <v>0</v>
      </c>
      <c r="CM449">
        <f t="shared" si="146"/>
        <v>0</v>
      </c>
      <c r="CN449">
        <f t="shared" si="145"/>
        <v>0</v>
      </c>
      <c r="CO449">
        <f t="shared" si="129"/>
        <v>0</v>
      </c>
    </row>
    <row r="450" spans="1:93" s="12" customFormat="1" ht="14.45" hidden="1" customHeight="1" x14ac:dyDescent="0.25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+VLOOKUP(G450,Liste!$A$7:$G$69,3,FALSE)</f>
        <v>Pin Laricio</v>
      </c>
      <c r="BI450" s="96" t="str">
        <f>+VLOOKUP(H450,Liste!$B$7:$G$69,5,FALSE)</f>
        <v>GS Pineraies des plaines du Centre et du Nord Ouest</v>
      </c>
      <c r="BJ450" s="135">
        <f t="shared" si="128"/>
        <v>79</v>
      </c>
      <c r="BK450" s="135" t="str">
        <f t="shared" si="130"/>
        <v>Pin Laricio_F2_Classique_GS Pineraies des plaines du Centre et du Nord Ouest_79_</v>
      </c>
      <c r="BL450" s="319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97" t="str">
        <f>+VLOOKUP(G450,Liste!$A$7:$H$69,8,FALSE)</f>
        <v>Résineux</v>
      </c>
      <c r="BU450" s="297">
        <f t="shared" si="131"/>
        <v>0</v>
      </c>
      <c r="BV450" s="299">
        <f t="shared" si="132"/>
        <v>1</v>
      </c>
      <c r="BW450" s="318">
        <v>0</v>
      </c>
      <c r="BX450" s="297">
        <f t="shared" si="133"/>
        <v>0.43</v>
      </c>
      <c r="BY450">
        <f t="shared" si="134"/>
        <v>0</v>
      </c>
      <c r="BZ450" s="303">
        <f t="shared" si="135"/>
        <v>0</v>
      </c>
      <c r="CB450" s="298">
        <v>0.6</v>
      </c>
      <c r="CC450" s="298">
        <v>0.4</v>
      </c>
      <c r="CD450">
        <f t="shared" si="136"/>
        <v>0</v>
      </c>
      <c r="CE450">
        <f t="shared" si="137"/>
        <v>0</v>
      </c>
      <c r="CF450">
        <f t="shared" si="138"/>
        <v>0</v>
      </c>
      <c r="CG450">
        <f t="shared" si="139"/>
        <v>0</v>
      </c>
      <c r="CH450">
        <f t="shared" si="140"/>
        <v>0</v>
      </c>
      <c r="CI450">
        <f t="shared" si="141"/>
        <v>0</v>
      </c>
      <c r="CJ450">
        <f t="shared" si="142"/>
        <v>0</v>
      </c>
      <c r="CK450">
        <f t="shared" si="143"/>
        <v>0</v>
      </c>
      <c r="CL450">
        <f t="shared" si="144"/>
        <v>0</v>
      </c>
      <c r="CM450">
        <f t="shared" si="146"/>
        <v>0</v>
      </c>
      <c r="CN450">
        <f t="shared" si="145"/>
        <v>0</v>
      </c>
      <c r="CO450">
        <f t="shared" si="129"/>
        <v>0</v>
      </c>
    </row>
    <row r="451" spans="1:93" s="12" customFormat="1" ht="14.45" hidden="1" customHeight="1" x14ac:dyDescent="0.25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+VLOOKUP(G451,Liste!$A$7:$G$69,3,FALSE)</f>
        <v>Pin Laricio</v>
      </c>
      <c r="BI451" s="96" t="str">
        <f>+VLOOKUP(H451,Liste!$B$7:$G$69,5,FALSE)</f>
        <v>GS Pineraies des plaines du Centre et du Nord Ouest</v>
      </c>
      <c r="BJ451" s="135">
        <f t="shared" ref="BJ451:BJ514" si="147">+AC451</f>
        <v>79</v>
      </c>
      <c r="BK451" s="135" t="str">
        <f t="shared" si="130"/>
        <v>Pin Laricio_F2_Classique_GS Pineraies des plaines du Centre et du Nord Ouest_79_</v>
      </c>
      <c r="BL451" s="319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97" t="str">
        <f>+VLOOKUP(G451,Liste!$A$7:$H$69,8,FALSE)</f>
        <v>Résineux</v>
      </c>
      <c r="BU451" s="297">
        <f t="shared" si="131"/>
        <v>0</v>
      </c>
      <c r="BV451" s="299">
        <f t="shared" si="132"/>
        <v>1</v>
      </c>
      <c r="BW451" s="318">
        <v>0</v>
      </c>
      <c r="BX451" s="297">
        <f t="shared" si="133"/>
        <v>0.43</v>
      </c>
      <c r="BY451">
        <f t="shared" si="134"/>
        <v>0</v>
      </c>
      <c r="BZ451" s="303">
        <f t="shared" si="135"/>
        <v>0</v>
      </c>
      <c r="CB451" s="298">
        <v>0.6</v>
      </c>
      <c r="CC451" s="298">
        <v>0.4</v>
      </c>
      <c r="CD451">
        <f t="shared" si="136"/>
        <v>0</v>
      </c>
      <c r="CE451">
        <f t="shared" si="137"/>
        <v>0</v>
      </c>
      <c r="CF451">
        <f t="shared" si="138"/>
        <v>0</v>
      </c>
      <c r="CG451">
        <f t="shared" si="139"/>
        <v>0</v>
      </c>
      <c r="CH451">
        <f t="shared" si="140"/>
        <v>0</v>
      </c>
      <c r="CI451">
        <f t="shared" si="141"/>
        <v>0</v>
      </c>
      <c r="CJ451">
        <f t="shared" si="142"/>
        <v>0</v>
      </c>
      <c r="CK451">
        <f t="shared" si="143"/>
        <v>0</v>
      </c>
      <c r="CL451">
        <f t="shared" si="144"/>
        <v>0</v>
      </c>
      <c r="CM451">
        <f t="shared" si="146"/>
        <v>0</v>
      </c>
      <c r="CN451">
        <f t="shared" si="145"/>
        <v>0</v>
      </c>
      <c r="CO451">
        <f t="shared" ref="CO451:CO514" si="148">+IF(BJ451=30,CN451/30,0)</f>
        <v>0</v>
      </c>
    </row>
    <row r="452" spans="1:93" s="12" customFormat="1" ht="14.45" hidden="1" customHeight="1" x14ac:dyDescent="0.25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+VLOOKUP(G452,Liste!$A$7:$G$69,3,FALSE)</f>
        <v>Epicéa</v>
      </c>
      <c r="BI452" s="96" t="str">
        <f>+VLOOKUP(H452,Liste!$B$7:$G$69,5,FALSE)</f>
        <v>GS Arc Jurassien</v>
      </c>
      <c r="BJ452" s="135">
        <f t="shared" si="147"/>
        <v>25</v>
      </c>
      <c r="BK452" s="135" t="str">
        <f t="shared" ref="BK452:BK515" si="149">+_xlfn.CONCAT(BH452,"_",J452,"_",I452,"_",BI452,"_",BJ452,"_")</f>
        <v>Epicéa_Fbonne_Entree 16-17 m_GS Arc Jurassien_25_</v>
      </c>
      <c r="BL452" s="319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97" t="str">
        <f>+VLOOKUP(G452,Liste!$A$7:$H$69,8,FALSE)</f>
        <v>Résineux</v>
      </c>
      <c r="BU452" s="297">
        <f t="shared" ref="BU452:BU515" si="150">IF(BT452="Résineux",0%,100%)</f>
        <v>0</v>
      </c>
      <c r="BV452" s="299">
        <f t="shared" ref="BV452:BV515" si="151">+IF(BT452="Résineux",100%,0%)</f>
        <v>1</v>
      </c>
      <c r="BW452" s="318">
        <v>0</v>
      </c>
      <c r="BX452" s="297">
        <f t="shared" ref="BX452:BX515" si="152">+IF(BV452&lt;&gt;0,0.43,0.25)</f>
        <v>0.43</v>
      </c>
      <c r="BY452">
        <f>+IF(BJ452&lt;=30,AV452*BX452,0)</f>
        <v>0</v>
      </c>
      <c r="BZ452" s="303">
        <f t="shared" ref="BZ452:BZ515" si="153">+IF(BJ452&gt;=31,0,BY452+BZ451)</f>
        <v>0</v>
      </c>
      <c r="CB452" s="298">
        <v>0.6</v>
      </c>
      <c r="CC452" s="298">
        <v>0.4</v>
      </c>
      <c r="CD452">
        <f t="shared" ref="CD452:CD515" si="154">+IF(BJ452&lt;=31,AV452*CA452*0.5,0)</f>
        <v>0</v>
      </c>
      <c r="CE452">
        <f t="shared" ref="CE452:CE515" si="155">IF(BJ452&lt;=31,AV452*CB452,0)</f>
        <v>0</v>
      </c>
      <c r="CF452">
        <f t="shared" ref="CF452:CF515" si="156">IF(BJ452&lt;=31,AV452*CC452,0)</f>
        <v>0</v>
      </c>
      <c r="CG452">
        <f t="shared" ref="CG452:CG515" si="157">CD452*44/12*0.475*BF452</f>
        <v>0</v>
      </c>
      <c r="CH452">
        <f t="shared" ref="CH452:CH515" si="158">CE452*44/12*0.475*BF452</f>
        <v>0</v>
      </c>
      <c r="CI452">
        <f t="shared" ref="CI452:CI515" si="159">CF452*44/12*0.475*BF452</f>
        <v>0</v>
      </c>
      <c r="CJ452">
        <f t="shared" ref="CJ452:CJ515" si="160">+IF(BJ452&lt;=31,CJ451*EXP(-$CJ$1)+CG451*(1-EXP(-$CJ$1))/$CJ$1,0)</f>
        <v>0</v>
      </c>
      <c r="CK452">
        <f t="shared" ref="CK452:CK515" si="161">+IF(BJ452&lt;=31,CK451*EXP(-$CK$1)+CH451*(1-EXP(-$CK$1))/$CK$1,0)</f>
        <v>0</v>
      </c>
      <c r="CL452">
        <f t="shared" ref="CL452:CL515" si="162">+IF(BJ452&lt;=31,CL451*EXP(-$CL$1)+CI451*(1-EXP(-$CL$1))/$CL$1,0)</f>
        <v>0</v>
      </c>
      <c r="CM452">
        <f t="shared" si="146"/>
        <v>0</v>
      </c>
      <c r="CN452">
        <f t="shared" ref="CN452:CN515" si="163">+IF(BJ452&lt;=31,CM452+CN451,0)</f>
        <v>0</v>
      </c>
      <c r="CO452">
        <f t="shared" si="148"/>
        <v>0</v>
      </c>
    </row>
    <row r="453" spans="1:93" s="12" customFormat="1" ht="14.45" hidden="1" customHeight="1" x14ac:dyDescent="0.25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+VLOOKUP(G453,Liste!$A$7:$G$69,3,FALSE)</f>
        <v>Epicéa</v>
      </c>
      <c r="BI453" s="96" t="str">
        <f>+VLOOKUP(H453,Liste!$B$7:$G$69,5,FALSE)</f>
        <v>GS Arc Jurassien</v>
      </c>
      <c r="BJ453" s="135">
        <f t="shared" si="147"/>
        <v>25</v>
      </c>
      <c r="BK453" s="135" t="str">
        <f t="shared" si="149"/>
        <v>Epicéa_Fbonne_Entree 16-17 m_GS Arc Jurassien_25_</v>
      </c>
      <c r="BL453" s="319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97" t="str">
        <f>+VLOOKUP(G453,Liste!$A$7:$H$69,8,FALSE)</f>
        <v>Résineux</v>
      </c>
      <c r="BU453" s="297">
        <f t="shared" si="150"/>
        <v>0</v>
      </c>
      <c r="BV453" s="299">
        <f t="shared" si="151"/>
        <v>1</v>
      </c>
      <c r="BW453" s="318">
        <v>0</v>
      </c>
      <c r="BX453" s="297">
        <f t="shared" si="152"/>
        <v>0.43</v>
      </c>
      <c r="BY453">
        <f t="shared" ref="BY453:BY515" si="164">+IF(BJ453&lt;=30,AV453*BX453,0)</f>
        <v>28.17215750536975</v>
      </c>
      <c r="BZ453" s="303">
        <f t="shared" si="153"/>
        <v>28.17215750536975</v>
      </c>
      <c r="CB453" s="298">
        <v>0.6</v>
      </c>
      <c r="CC453" s="298">
        <v>0.4</v>
      </c>
      <c r="CD453">
        <f t="shared" si="154"/>
        <v>0</v>
      </c>
      <c r="CE453">
        <f t="shared" si="155"/>
        <v>39.309987216795001</v>
      </c>
      <c r="CF453">
        <f t="shared" si="156"/>
        <v>26.206658144530003</v>
      </c>
      <c r="CG453">
        <f t="shared" si="157"/>
        <v>0</v>
      </c>
      <c r="CH453">
        <f t="shared" si="158"/>
        <v>25.332010928956308</v>
      </c>
      <c r="CI453">
        <f t="shared" si="159"/>
        <v>16.888007285970875</v>
      </c>
      <c r="CJ453">
        <f t="shared" si="160"/>
        <v>0</v>
      </c>
      <c r="CK453">
        <f t="shared" si="161"/>
        <v>0</v>
      </c>
      <c r="CL453">
        <f t="shared" si="162"/>
        <v>0</v>
      </c>
      <c r="CM453">
        <f t="shared" ref="CM453:CM516" si="165">+CJ453+CK453+CL453</f>
        <v>0</v>
      </c>
      <c r="CN453">
        <f t="shared" si="163"/>
        <v>0</v>
      </c>
      <c r="CO453">
        <f t="shared" si="148"/>
        <v>0</v>
      </c>
    </row>
    <row r="454" spans="1:93" s="12" customFormat="1" ht="14.45" hidden="1" customHeight="1" x14ac:dyDescent="0.25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+VLOOKUP(G454,Liste!$A$7:$G$69,3,FALSE)</f>
        <v>Epicéa</v>
      </c>
      <c r="BI454" s="96" t="str">
        <f>+VLOOKUP(H454,Liste!$B$7:$G$69,5,FALSE)</f>
        <v>GS Arc Jurassien</v>
      </c>
      <c r="BJ454" s="135">
        <f t="shared" si="147"/>
        <v>30</v>
      </c>
      <c r="BK454" s="135" t="str">
        <f t="shared" si="149"/>
        <v>Epicéa_Fbonne_Entree 16-17 m_GS Arc Jurassien_30_</v>
      </c>
      <c r="BL454" s="319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97" t="str">
        <f>+VLOOKUP(G454,Liste!$A$7:$H$69,8,FALSE)</f>
        <v>Résineux</v>
      </c>
      <c r="BU454" s="297">
        <f t="shared" si="150"/>
        <v>0</v>
      </c>
      <c r="BV454" s="299">
        <f t="shared" si="151"/>
        <v>1</v>
      </c>
      <c r="BW454" s="318">
        <v>0</v>
      </c>
      <c r="BX454" s="297">
        <f t="shared" si="152"/>
        <v>0.43</v>
      </c>
      <c r="BY454">
        <f>+IF(BJ454&lt;=30,AV454*BX454,0)</f>
        <v>0</v>
      </c>
      <c r="BZ454" s="303">
        <f>+IF(BJ454&gt;=31,0,BY454+BZ453)</f>
        <v>28.17215750536975</v>
      </c>
      <c r="CB454" s="298">
        <v>0.6</v>
      </c>
      <c r="CC454" s="298">
        <v>0.4</v>
      </c>
      <c r="CD454">
        <f t="shared" si="154"/>
        <v>0</v>
      </c>
      <c r="CE454">
        <f t="shared" si="155"/>
        <v>0</v>
      </c>
      <c r="CF454">
        <f t="shared" si="156"/>
        <v>0</v>
      </c>
      <c r="CG454">
        <f t="shared" si="157"/>
        <v>0</v>
      </c>
      <c r="CH454">
        <f t="shared" si="158"/>
        <v>0</v>
      </c>
      <c r="CI454">
        <f t="shared" si="159"/>
        <v>0</v>
      </c>
      <c r="CJ454">
        <f t="shared" si="160"/>
        <v>0</v>
      </c>
      <c r="CK454">
        <f t="shared" si="161"/>
        <v>24.984057875171608</v>
      </c>
      <c r="CL454">
        <f t="shared" si="162"/>
        <v>14.272243910267971</v>
      </c>
      <c r="CM454">
        <f t="shared" si="165"/>
        <v>39.256301785439575</v>
      </c>
      <c r="CN454">
        <f t="shared" si="163"/>
        <v>39.256301785439575</v>
      </c>
      <c r="CO454">
        <f t="shared" si="148"/>
        <v>1.3085433928479859</v>
      </c>
    </row>
    <row r="455" spans="1:93" s="12" customFormat="1" ht="14.45" hidden="1" customHeight="1" x14ac:dyDescent="0.25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+VLOOKUP(G455,Liste!$A$7:$G$69,3,FALSE)</f>
        <v>Epicéa</v>
      </c>
      <c r="BI455" s="96" t="str">
        <f>+VLOOKUP(H455,Liste!$B$7:$G$69,5,FALSE)</f>
        <v>GS Arc Jurassien</v>
      </c>
      <c r="BJ455" s="135">
        <f t="shared" si="147"/>
        <v>30</v>
      </c>
      <c r="BK455" s="135" t="str">
        <f t="shared" si="149"/>
        <v>Epicéa_Fbonne_Entree 16-17 m_GS Arc Jurassien_30_</v>
      </c>
      <c r="BL455" s="319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97" t="str">
        <f>+VLOOKUP(G455,Liste!$A$7:$H$69,8,FALSE)</f>
        <v>Résineux</v>
      </c>
      <c r="BU455" s="297">
        <f t="shared" si="150"/>
        <v>0</v>
      </c>
      <c r="BV455" s="299">
        <f t="shared" si="151"/>
        <v>1</v>
      </c>
      <c r="BW455" s="318">
        <v>0</v>
      </c>
      <c r="BX455" s="297">
        <f t="shared" si="152"/>
        <v>0.43</v>
      </c>
      <c r="BY455">
        <f t="shared" si="164"/>
        <v>29.151043043584814</v>
      </c>
      <c r="BZ455" s="303">
        <f t="shared" si="153"/>
        <v>57.32320054895456</v>
      </c>
      <c r="CB455" s="298">
        <v>0.6</v>
      </c>
      <c r="CC455" s="298">
        <v>0.4</v>
      </c>
      <c r="CD455">
        <f t="shared" si="154"/>
        <v>0</v>
      </c>
      <c r="CE455">
        <f t="shared" si="155"/>
        <v>40.675874014304391</v>
      </c>
      <c r="CF455">
        <f t="shared" si="156"/>
        <v>27.117249342869595</v>
      </c>
      <c r="CG455">
        <f t="shared" si="157"/>
        <v>0</v>
      </c>
      <c r="CH455">
        <f t="shared" si="158"/>
        <v>26.212211146051317</v>
      </c>
      <c r="CI455">
        <f t="shared" si="159"/>
        <v>17.474807430700878</v>
      </c>
      <c r="CJ455">
        <f t="shared" si="160"/>
        <v>0</v>
      </c>
      <c r="CK455">
        <f t="shared" si="161"/>
        <v>24.300867498720539</v>
      </c>
      <c r="CL455">
        <f t="shared" si="162"/>
        <v>10.09200045169889</v>
      </c>
      <c r="CM455">
        <f t="shared" si="165"/>
        <v>34.392867950419429</v>
      </c>
      <c r="CN455">
        <f t="shared" si="163"/>
        <v>73.649169735859005</v>
      </c>
      <c r="CO455">
        <f t="shared" si="148"/>
        <v>2.4549723245286335</v>
      </c>
    </row>
    <row r="456" spans="1:93" s="12" customFormat="1" ht="14.45" hidden="1" customHeight="1" x14ac:dyDescent="0.25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+VLOOKUP(G456,Liste!$A$7:$G$69,3,FALSE)</f>
        <v>Epicéa</v>
      </c>
      <c r="BI456" s="96" t="str">
        <f>+VLOOKUP(H456,Liste!$B$7:$G$69,5,FALSE)</f>
        <v>GS Arc Jurassien</v>
      </c>
      <c r="BJ456" s="135">
        <f t="shared" si="147"/>
        <v>36</v>
      </c>
      <c r="BK456" s="135" t="str">
        <f t="shared" si="149"/>
        <v>Epicéa_Fbonne_Entree 16-17 m_GS Arc Jurassien_36_</v>
      </c>
      <c r="BL456" s="319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97" t="str">
        <f>+VLOOKUP(G456,Liste!$A$7:$H$69,8,FALSE)</f>
        <v>Résineux</v>
      </c>
      <c r="BU456" s="297">
        <f t="shared" si="150"/>
        <v>0</v>
      </c>
      <c r="BV456" s="299">
        <f t="shared" si="151"/>
        <v>1</v>
      </c>
      <c r="BW456" s="318">
        <v>0</v>
      </c>
      <c r="BX456" s="297">
        <f t="shared" si="152"/>
        <v>0.43</v>
      </c>
      <c r="BY456">
        <f t="shared" si="164"/>
        <v>0</v>
      </c>
      <c r="BZ456" s="303">
        <f t="shared" si="153"/>
        <v>0</v>
      </c>
      <c r="CB456" s="298">
        <v>0.6</v>
      </c>
      <c r="CC456" s="298">
        <v>0.4</v>
      </c>
      <c r="CD456">
        <f t="shared" si="154"/>
        <v>0</v>
      </c>
      <c r="CE456">
        <f t="shared" si="155"/>
        <v>0</v>
      </c>
      <c r="CF456">
        <f t="shared" si="156"/>
        <v>0</v>
      </c>
      <c r="CG456">
        <f t="shared" si="157"/>
        <v>0</v>
      </c>
      <c r="CH456">
        <f t="shared" si="158"/>
        <v>0</v>
      </c>
      <c r="CI456">
        <f t="shared" si="159"/>
        <v>0</v>
      </c>
      <c r="CJ456">
        <f t="shared" si="160"/>
        <v>0</v>
      </c>
      <c r="CK456">
        <f t="shared" si="161"/>
        <v>0</v>
      </c>
      <c r="CL456">
        <f t="shared" si="162"/>
        <v>0</v>
      </c>
      <c r="CM456">
        <f t="shared" si="165"/>
        <v>0</v>
      </c>
      <c r="CN456">
        <f t="shared" si="163"/>
        <v>0</v>
      </c>
      <c r="CO456">
        <f t="shared" si="148"/>
        <v>0</v>
      </c>
    </row>
    <row r="457" spans="1:93" s="12" customFormat="1" ht="14.45" hidden="1" customHeight="1" x14ac:dyDescent="0.25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+VLOOKUP(G457,Liste!$A$7:$G$69,3,FALSE)</f>
        <v>Epicéa</v>
      </c>
      <c r="BI457" s="96" t="str">
        <f>+VLOOKUP(H457,Liste!$B$7:$G$69,5,FALSE)</f>
        <v>GS Arc Jurassien</v>
      </c>
      <c r="BJ457" s="135">
        <f t="shared" si="147"/>
        <v>36</v>
      </c>
      <c r="BK457" s="135" t="str">
        <f t="shared" si="149"/>
        <v>Epicéa_Fbonne_Entree 16-17 m_GS Arc Jurassien_36_</v>
      </c>
      <c r="BL457" s="319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97" t="str">
        <f>+VLOOKUP(G457,Liste!$A$7:$H$69,8,FALSE)</f>
        <v>Résineux</v>
      </c>
      <c r="BU457" s="297">
        <f t="shared" si="150"/>
        <v>0</v>
      </c>
      <c r="BV457" s="299">
        <f t="shared" si="151"/>
        <v>1</v>
      </c>
      <c r="BW457" s="318">
        <v>0</v>
      </c>
      <c r="BX457" s="297">
        <f t="shared" si="152"/>
        <v>0.43</v>
      </c>
      <c r="BY457">
        <f t="shared" si="164"/>
        <v>0</v>
      </c>
      <c r="BZ457" s="303">
        <f t="shared" si="153"/>
        <v>0</v>
      </c>
      <c r="CB457" s="298">
        <v>0.6</v>
      </c>
      <c r="CC457" s="298">
        <v>0.4</v>
      </c>
      <c r="CD457">
        <f t="shared" si="154"/>
        <v>0</v>
      </c>
      <c r="CE457">
        <f t="shared" si="155"/>
        <v>0</v>
      </c>
      <c r="CF457">
        <f t="shared" si="156"/>
        <v>0</v>
      </c>
      <c r="CG457">
        <f t="shared" si="157"/>
        <v>0</v>
      </c>
      <c r="CH457">
        <f t="shared" si="158"/>
        <v>0</v>
      </c>
      <c r="CI457">
        <f t="shared" si="159"/>
        <v>0</v>
      </c>
      <c r="CJ457">
        <f t="shared" si="160"/>
        <v>0</v>
      </c>
      <c r="CK457">
        <f t="shared" si="161"/>
        <v>0</v>
      </c>
      <c r="CL457">
        <f t="shared" si="162"/>
        <v>0</v>
      </c>
      <c r="CM457">
        <f t="shared" si="165"/>
        <v>0</v>
      </c>
      <c r="CN457">
        <f t="shared" si="163"/>
        <v>0</v>
      </c>
      <c r="CO457">
        <f t="shared" si="148"/>
        <v>0</v>
      </c>
    </row>
    <row r="458" spans="1:93" s="12" customFormat="1" ht="14.45" hidden="1" customHeight="1" x14ac:dyDescent="0.25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+VLOOKUP(G458,Liste!$A$7:$G$69,3,FALSE)</f>
        <v>Epicéa</v>
      </c>
      <c r="BI458" s="96" t="str">
        <f>+VLOOKUP(H458,Liste!$B$7:$G$69,5,FALSE)</f>
        <v>GS Arc Jurassien</v>
      </c>
      <c r="BJ458" s="135">
        <f t="shared" si="147"/>
        <v>42</v>
      </c>
      <c r="BK458" s="135" t="str">
        <f t="shared" si="149"/>
        <v>Epicéa_Fbonne_Entree 16-17 m_GS Arc Jurassien_42_</v>
      </c>
      <c r="BL458" s="319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97" t="str">
        <f>+VLOOKUP(G458,Liste!$A$7:$H$69,8,FALSE)</f>
        <v>Résineux</v>
      </c>
      <c r="BU458" s="297">
        <f t="shared" si="150"/>
        <v>0</v>
      </c>
      <c r="BV458" s="299">
        <f t="shared" si="151"/>
        <v>1</v>
      </c>
      <c r="BW458" s="318">
        <v>0</v>
      </c>
      <c r="BX458" s="297">
        <f t="shared" si="152"/>
        <v>0.43</v>
      </c>
      <c r="BY458">
        <f t="shared" si="164"/>
        <v>0</v>
      </c>
      <c r="BZ458" s="303">
        <f t="shared" si="153"/>
        <v>0</v>
      </c>
      <c r="CB458" s="298">
        <v>0.6</v>
      </c>
      <c r="CC458" s="298">
        <v>0.4</v>
      </c>
      <c r="CD458">
        <f t="shared" si="154"/>
        <v>0</v>
      </c>
      <c r="CE458">
        <f t="shared" si="155"/>
        <v>0</v>
      </c>
      <c r="CF458">
        <f t="shared" si="156"/>
        <v>0</v>
      </c>
      <c r="CG458">
        <f t="shared" si="157"/>
        <v>0</v>
      </c>
      <c r="CH458">
        <f t="shared" si="158"/>
        <v>0</v>
      </c>
      <c r="CI458">
        <f t="shared" si="159"/>
        <v>0</v>
      </c>
      <c r="CJ458">
        <f t="shared" si="160"/>
        <v>0</v>
      </c>
      <c r="CK458">
        <f t="shared" si="161"/>
        <v>0</v>
      </c>
      <c r="CL458">
        <f t="shared" si="162"/>
        <v>0</v>
      </c>
      <c r="CM458">
        <f t="shared" si="165"/>
        <v>0</v>
      </c>
      <c r="CN458">
        <f t="shared" si="163"/>
        <v>0</v>
      </c>
      <c r="CO458">
        <f t="shared" si="148"/>
        <v>0</v>
      </c>
    </row>
    <row r="459" spans="1:93" s="12" customFormat="1" ht="14.45" hidden="1" customHeight="1" x14ac:dyDescent="0.25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+VLOOKUP(G459,Liste!$A$7:$G$69,3,FALSE)</f>
        <v>Epicéa</v>
      </c>
      <c r="BI459" s="96" t="str">
        <f>+VLOOKUP(H459,Liste!$B$7:$G$69,5,FALSE)</f>
        <v>GS Arc Jurassien</v>
      </c>
      <c r="BJ459" s="135">
        <f t="shared" si="147"/>
        <v>42</v>
      </c>
      <c r="BK459" s="135" t="str">
        <f t="shared" si="149"/>
        <v>Epicéa_Fbonne_Entree 16-17 m_GS Arc Jurassien_42_</v>
      </c>
      <c r="BL459" s="319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97" t="str">
        <f>+VLOOKUP(G459,Liste!$A$7:$H$69,8,FALSE)</f>
        <v>Résineux</v>
      </c>
      <c r="BU459" s="297">
        <f t="shared" si="150"/>
        <v>0</v>
      </c>
      <c r="BV459" s="299">
        <f t="shared" si="151"/>
        <v>1</v>
      </c>
      <c r="BW459" s="318">
        <v>0</v>
      </c>
      <c r="BX459" s="297">
        <f t="shared" si="152"/>
        <v>0.43</v>
      </c>
      <c r="BY459">
        <f t="shared" si="164"/>
        <v>0</v>
      </c>
      <c r="BZ459" s="303">
        <f t="shared" si="153"/>
        <v>0</v>
      </c>
      <c r="CB459" s="298">
        <v>0.6</v>
      </c>
      <c r="CC459" s="298">
        <v>0.4</v>
      </c>
      <c r="CD459">
        <f t="shared" si="154"/>
        <v>0</v>
      </c>
      <c r="CE459">
        <f t="shared" si="155"/>
        <v>0</v>
      </c>
      <c r="CF459">
        <f t="shared" si="156"/>
        <v>0</v>
      </c>
      <c r="CG459">
        <f t="shared" si="157"/>
        <v>0</v>
      </c>
      <c r="CH459">
        <f t="shared" si="158"/>
        <v>0</v>
      </c>
      <c r="CI459">
        <f t="shared" si="159"/>
        <v>0</v>
      </c>
      <c r="CJ459">
        <f t="shared" si="160"/>
        <v>0</v>
      </c>
      <c r="CK459">
        <f t="shared" si="161"/>
        <v>0</v>
      </c>
      <c r="CL459">
        <f t="shared" si="162"/>
        <v>0</v>
      </c>
      <c r="CM459">
        <f t="shared" si="165"/>
        <v>0</v>
      </c>
      <c r="CN459">
        <f t="shared" si="163"/>
        <v>0</v>
      </c>
      <c r="CO459">
        <f t="shared" si="148"/>
        <v>0</v>
      </c>
    </row>
    <row r="460" spans="1:93" s="12" customFormat="1" ht="14.45" hidden="1" customHeight="1" x14ac:dyDescent="0.25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+VLOOKUP(G460,Liste!$A$7:$G$69,3,FALSE)</f>
        <v>Epicéa</v>
      </c>
      <c r="BI460" s="96" t="str">
        <f>+VLOOKUP(H460,Liste!$B$7:$G$69,5,FALSE)</f>
        <v>GS Arc Jurassien</v>
      </c>
      <c r="BJ460" s="135">
        <f t="shared" si="147"/>
        <v>48</v>
      </c>
      <c r="BK460" s="135" t="str">
        <f t="shared" si="149"/>
        <v>Epicéa_Fbonne_Entree 16-17 m_GS Arc Jurassien_48_</v>
      </c>
      <c r="BL460" s="319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97" t="str">
        <f>+VLOOKUP(G460,Liste!$A$7:$H$69,8,FALSE)</f>
        <v>Résineux</v>
      </c>
      <c r="BU460" s="297">
        <f t="shared" si="150"/>
        <v>0</v>
      </c>
      <c r="BV460" s="299">
        <f t="shared" si="151"/>
        <v>1</v>
      </c>
      <c r="BW460" s="318">
        <v>0</v>
      </c>
      <c r="BX460" s="297">
        <f t="shared" si="152"/>
        <v>0.43</v>
      </c>
      <c r="BY460">
        <f t="shared" si="164"/>
        <v>0</v>
      </c>
      <c r="BZ460" s="303">
        <f t="shared" si="153"/>
        <v>0</v>
      </c>
      <c r="CB460" s="298">
        <v>0.6</v>
      </c>
      <c r="CC460" s="298">
        <v>0.4</v>
      </c>
      <c r="CD460">
        <f t="shared" si="154"/>
        <v>0</v>
      </c>
      <c r="CE460">
        <f t="shared" si="155"/>
        <v>0</v>
      </c>
      <c r="CF460">
        <f t="shared" si="156"/>
        <v>0</v>
      </c>
      <c r="CG460">
        <f t="shared" si="157"/>
        <v>0</v>
      </c>
      <c r="CH460">
        <f t="shared" si="158"/>
        <v>0</v>
      </c>
      <c r="CI460">
        <f t="shared" si="159"/>
        <v>0</v>
      </c>
      <c r="CJ460">
        <f t="shared" si="160"/>
        <v>0</v>
      </c>
      <c r="CK460">
        <f t="shared" si="161"/>
        <v>0</v>
      </c>
      <c r="CL460">
        <f t="shared" si="162"/>
        <v>0</v>
      </c>
      <c r="CM460">
        <f t="shared" si="165"/>
        <v>0</v>
      </c>
      <c r="CN460">
        <f t="shared" si="163"/>
        <v>0</v>
      </c>
      <c r="CO460">
        <f t="shared" si="148"/>
        <v>0</v>
      </c>
    </row>
    <row r="461" spans="1:93" s="12" customFormat="1" ht="14.45" hidden="1" customHeight="1" x14ac:dyDescent="0.25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+VLOOKUP(G461,Liste!$A$7:$G$69,3,FALSE)</f>
        <v>Epicéa</v>
      </c>
      <c r="BI461" s="96" t="str">
        <f>+VLOOKUP(H461,Liste!$B$7:$G$69,5,FALSE)</f>
        <v>GS Arc Jurassien</v>
      </c>
      <c r="BJ461" s="135">
        <f t="shared" si="147"/>
        <v>48</v>
      </c>
      <c r="BK461" s="135" t="str">
        <f t="shared" si="149"/>
        <v>Epicéa_Fbonne_Entree 16-17 m_GS Arc Jurassien_48_</v>
      </c>
      <c r="BL461" s="319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97" t="str">
        <f>+VLOOKUP(G461,Liste!$A$7:$H$69,8,FALSE)</f>
        <v>Résineux</v>
      </c>
      <c r="BU461" s="297">
        <f t="shared" si="150"/>
        <v>0</v>
      </c>
      <c r="BV461" s="299">
        <f t="shared" si="151"/>
        <v>1</v>
      </c>
      <c r="BW461" s="318">
        <v>0</v>
      </c>
      <c r="BX461" s="297">
        <f t="shared" si="152"/>
        <v>0.43</v>
      </c>
      <c r="BY461">
        <f t="shared" si="164"/>
        <v>0</v>
      </c>
      <c r="BZ461" s="303">
        <f t="shared" si="153"/>
        <v>0</v>
      </c>
      <c r="CB461" s="298">
        <v>0.6</v>
      </c>
      <c r="CC461" s="298">
        <v>0.4</v>
      </c>
      <c r="CD461">
        <f t="shared" si="154"/>
        <v>0</v>
      </c>
      <c r="CE461">
        <f t="shared" si="155"/>
        <v>0</v>
      </c>
      <c r="CF461">
        <f t="shared" si="156"/>
        <v>0</v>
      </c>
      <c r="CG461">
        <f t="shared" si="157"/>
        <v>0</v>
      </c>
      <c r="CH461">
        <f t="shared" si="158"/>
        <v>0</v>
      </c>
      <c r="CI461">
        <f t="shared" si="159"/>
        <v>0</v>
      </c>
      <c r="CJ461">
        <f t="shared" si="160"/>
        <v>0</v>
      </c>
      <c r="CK461">
        <f t="shared" si="161"/>
        <v>0</v>
      </c>
      <c r="CL461">
        <f t="shared" si="162"/>
        <v>0</v>
      </c>
      <c r="CM461">
        <f t="shared" si="165"/>
        <v>0</v>
      </c>
      <c r="CN461">
        <f t="shared" si="163"/>
        <v>0</v>
      </c>
      <c r="CO461">
        <f t="shared" si="148"/>
        <v>0</v>
      </c>
    </row>
    <row r="462" spans="1:93" s="12" customFormat="1" ht="14.45" hidden="1" customHeight="1" x14ac:dyDescent="0.25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+VLOOKUP(G462,Liste!$A$7:$G$69,3,FALSE)</f>
        <v>Epicéa</v>
      </c>
      <c r="BI462" s="96" t="str">
        <f>+VLOOKUP(H462,Liste!$B$7:$G$69,5,FALSE)</f>
        <v>GS Arc Jurassien</v>
      </c>
      <c r="BJ462" s="135">
        <f t="shared" si="147"/>
        <v>55</v>
      </c>
      <c r="BK462" s="135" t="str">
        <f t="shared" si="149"/>
        <v>Epicéa_Fbonne_Entree 16-17 m_GS Arc Jurassien_55_</v>
      </c>
      <c r="BL462" s="319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97" t="str">
        <f>+VLOOKUP(G462,Liste!$A$7:$H$69,8,FALSE)</f>
        <v>Résineux</v>
      </c>
      <c r="BU462" s="297">
        <f t="shared" si="150"/>
        <v>0</v>
      </c>
      <c r="BV462" s="299">
        <f t="shared" si="151"/>
        <v>1</v>
      </c>
      <c r="BW462" s="318">
        <v>0</v>
      </c>
      <c r="BX462" s="297">
        <f t="shared" si="152"/>
        <v>0.43</v>
      </c>
      <c r="BY462">
        <f t="shared" si="164"/>
        <v>0</v>
      </c>
      <c r="BZ462" s="303">
        <f t="shared" si="153"/>
        <v>0</v>
      </c>
      <c r="CB462" s="298">
        <v>0.6</v>
      </c>
      <c r="CC462" s="298">
        <v>0.4</v>
      </c>
      <c r="CD462">
        <f t="shared" si="154"/>
        <v>0</v>
      </c>
      <c r="CE462">
        <f t="shared" si="155"/>
        <v>0</v>
      </c>
      <c r="CF462">
        <f t="shared" si="156"/>
        <v>0</v>
      </c>
      <c r="CG462">
        <f t="shared" si="157"/>
        <v>0</v>
      </c>
      <c r="CH462">
        <f t="shared" si="158"/>
        <v>0</v>
      </c>
      <c r="CI462">
        <f t="shared" si="159"/>
        <v>0</v>
      </c>
      <c r="CJ462">
        <f t="shared" si="160"/>
        <v>0</v>
      </c>
      <c r="CK462">
        <f t="shared" si="161"/>
        <v>0</v>
      </c>
      <c r="CL462">
        <f t="shared" si="162"/>
        <v>0</v>
      </c>
      <c r="CM462">
        <f t="shared" si="165"/>
        <v>0</v>
      </c>
      <c r="CN462">
        <f t="shared" si="163"/>
        <v>0</v>
      </c>
      <c r="CO462">
        <f t="shared" si="148"/>
        <v>0</v>
      </c>
    </row>
    <row r="463" spans="1:93" s="12" customFormat="1" ht="14.45" hidden="1" customHeight="1" x14ac:dyDescent="0.25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+VLOOKUP(G463,Liste!$A$7:$G$69,3,FALSE)</f>
        <v>Epicéa</v>
      </c>
      <c r="BI463" s="96" t="str">
        <f>+VLOOKUP(H463,Liste!$B$7:$G$69,5,FALSE)</f>
        <v>GS Arc Jurassien</v>
      </c>
      <c r="BJ463" s="135">
        <f t="shared" si="147"/>
        <v>55</v>
      </c>
      <c r="BK463" s="135" t="str">
        <f t="shared" si="149"/>
        <v>Epicéa_Fbonne_Entree 16-17 m_GS Arc Jurassien_55_</v>
      </c>
      <c r="BL463" s="319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97" t="str">
        <f>+VLOOKUP(G463,Liste!$A$7:$H$69,8,FALSE)</f>
        <v>Résineux</v>
      </c>
      <c r="BU463" s="297">
        <f t="shared" si="150"/>
        <v>0</v>
      </c>
      <c r="BV463" s="299">
        <f t="shared" si="151"/>
        <v>1</v>
      </c>
      <c r="BW463" s="318">
        <v>0</v>
      </c>
      <c r="BX463" s="297">
        <f t="shared" si="152"/>
        <v>0.43</v>
      </c>
      <c r="BY463">
        <f t="shared" si="164"/>
        <v>0</v>
      </c>
      <c r="BZ463" s="303">
        <f t="shared" si="153"/>
        <v>0</v>
      </c>
      <c r="CB463" s="298">
        <v>0.6</v>
      </c>
      <c r="CC463" s="298">
        <v>0.4</v>
      </c>
      <c r="CD463">
        <f t="shared" si="154"/>
        <v>0</v>
      </c>
      <c r="CE463">
        <f t="shared" si="155"/>
        <v>0</v>
      </c>
      <c r="CF463">
        <f t="shared" si="156"/>
        <v>0</v>
      </c>
      <c r="CG463">
        <f t="shared" si="157"/>
        <v>0</v>
      </c>
      <c r="CH463">
        <f t="shared" si="158"/>
        <v>0</v>
      </c>
      <c r="CI463">
        <f t="shared" si="159"/>
        <v>0</v>
      </c>
      <c r="CJ463">
        <f t="shared" si="160"/>
        <v>0</v>
      </c>
      <c r="CK463">
        <f t="shared" si="161"/>
        <v>0</v>
      </c>
      <c r="CL463">
        <f t="shared" si="162"/>
        <v>0</v>
      </c>
      <c r="CM463">
        <f t="shared" si="165"/>
        <v>0</v>
      </c>
      <c r="CN463">
        <f t="shared" si="163"/>
        <v>0</v>
      </c>
      <c r="CO463">
        <f t="shared" si="148"/>
        <v>0</v>
      </c>
    </row>
    <row r="464" spans="1:93" s="12" customFormat="1" ht="14.45" hidden="1" customHeight="1" x14ac:dyDescent="0.25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+VLOOKUP(G464,Liste!$A$7:$G$69,3,FALSE)</f>
        <v>Epicéa</v>
      </c>
      <c r="BI464" s="96" t="str">
        <f>+VLOOKUP(H464,Liste!$B$7:$G$69,5,FALSE)</f>
        <v>GS Arc Jurassien</v>
      </c>
      <c r="BJ464" s="135">
        <f t="shared" si="147"/>
        <v>62</v>
      </c>
      <c r="BK464" s="135" t="str">
        <f t="shared" si="149"/>
        <v>Epicéa_Fbonne_Entree 16-17 m_GS Arc Jurassien_62_</v>
      </c>
      <c r="BL464" s="319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97" t="str">
        <f>+VLOOKUP(G464,Liste!$A$7:$H$69,8,FALSE)</f>
        <v>Résineux</v>
      </c>
      <c r="BU464" s="297">
        <f t="shared" si="150"/>
        <v>0</v>
      </c>
      <c r="BV464" s="299">
        <f t="shared" si="151"/>
        <v>1</v>
      </c>
      <c r="BW464" s="318">
        <v>0</v>
      </c>
      <c r="BX464" s="297">
        <f t="shared" si="152"/>
        <v>0.43</v>
      </c>
      <c r="BY464">
        <f t="shared" si="164"/>
        <v>0</v>
      </c>
      <c r="BZ464" s="303">
        <f t="shared" si="153"/>
        <v>0</v>
      </c>
      <c r="CB464" s="298">
        <v>0.6</v>
      </c>
      <c r="CC464" s="298">
        <v>0.4</v>
      </c>
      <c r="CD464">
        <f t="shared" si="154"/>
        <v>0</v>
      </c>
      <c r="CE464">
        <f t="shared" si="155"/>
        <v>0</v>
      </c>
      <c r="CF464">
        <f t="shared" si="156"/>
        <v>0</v>
      </c>
      <c r="CG464">
        <f t="shared" si="157"/>
        <v>0</v>
      </c>
      <c r="CH464">
        <f t="shared" si="158"/>
        <v>0</v>
      </c>
      <c r="CI464">
        <f t="shared" si="159"/>
        <v>0</v>
      </c>
      <c r="CJ464">
        <f t="shared" si="160"/>
        <v>0</v>
      </c>
      <c r="CK464">
        <f t="shared" si="161"/>
        <v>0</v>
      </c>
      <c r="CL464">
        <f t="shared" si="162"/>
        <v>0</v>
      </c>
      <c r="CM464">
        <f t="shared" si="165"/>
        <v>0</v>
      </c>
      <c r="CN464">
        <f t="shared" si="163"/>
        <v>0</v>
      </c>
      <c r="CO464">
        <f t="shared" si="148"/>
        <v>0</v>
      </c>
    </row>
    <row r="465" spans="1:93" s="12" customFormat="1" ht="14.45" hidden="1" customHeight="1" x14ac:dyDescent="0.25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+VLOOKUP(G465,Liste!$A$7:$G$69,3,FALSE)</f>
        <v>Epicéa</v>
      </c>
      <c r="BI465" s="96" t="str">
        <f>+VLOOKUP(H465,Liste!$B$7:$G$69,5,FALSE)</f>
        <v>GS Arc Jurassien</v>
      </c>
      <c r="BJ465" s="135">
        <f t="shared" si="147"/>
        <v>62</v>
      </c>
      <c r="BK465" s="135" t="str">
        <f t="shared" si="149"/>
        <v>Epicéa_Fbonne_Entree 16-17 m_GS Arc Jurassien_62_</v>
      </c>
      <c r="BL465" s="319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97" t="str">
        <f>+VLOOKUP(G465,Liste!$A$7:$H$69,8,FALSE)</f>
        <v>Résineux</v>
      </c>
      <c r="BU465" s="297">
        <f t="shared" si="150"/>
        <v>0</v>
      </c>
      <c r="BV465" s="299">
        <f t="shared" si="151"/>
        <v>1</v>
      </c>
      <c r="BW465" s="318">
        <v>0</v>
      </c>
      <c r="BX465" s="297">
        <f t="shared" si="152"/>
        <v>0.43</v>
      </c>
      <c r="BY465">
        <f t="shared" si="164"/>
        <v>0</v>
      </c>
      <c r="BZ465" s="303">
        <f t="shared" si="153"/>
        <v>0</v>
      </c>
      <c r="CB465" s="298">
        <v>0.6</v>
      </c>
      <c r="CC465" s="298">
        <v>0.4</v>
      </c>
      <c r="CD465">
        <f t="shared" si="154"/>
        <v>0</v>
      </c>
      <c r="CE465">
        <f t="shared" si="155"/>
        <v>0</v>
      </c>
      <c r="CF465">
        <f t="shared" si="156"/>
        <v>0</v>
      </c>
      <c r="CG465">
        <f t="shared" si="157"/>
        <v>0</v>
      </c>
      <c r="CH465">
        <f t="shared" si="158"/>
        <v>0</v>
      </c>
      <c r="CI465">
        <f t="shared" si="159"/>
        <v>0</v>
      </c>
      <c r="CJ465">
        <f t="shared" si="160"/>
        <v>0</v>
      </c>
      <c r="CK465">
        <f t="shared" si="161"/>
        <v>0</v>
      </c>
      <c r="CL465">
        <f t="shared" si="162"/>
        <v>0</v>
      </c>
      <c r="CM465">
        <f t="shared" si="165"/>
        <v>0</v>
      </c>
      <c r="CN465">
        <f t="shared" si="163"/>
        <v>0</v>
      </c>
      <c r="CO465">
        <f t="shared" si="148"/>
        <v>0</v>
      </c>
    </row>
    <row r="466" spans="1:93" s="12" customFormat="1" ht="14.45" hidden="1" customHeight="1" x14ac:dyDescent="0.25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+VLOOKUP(G466,Liste!$A$7:$G$69,3,FALSE)</f>
        <v>Epicéa</v>
      </c>
      <c r="BI466" s="96" t="str">
        <f>+VLOOKUP(H466,Liste!$B$7:$G$69,5,FALSE)</f>
        <v>GS Arc Jurassien</v>
      </c>
      <c r="BJ466" s="135">
        <f t="shared" si="147"/>
        <v>69</v>
      </c>
      <c r="BK466" s="135" t="str">
        <f t="shared" si="149"/>
        <v>Epicéa_Fbonne_Entree 16-17 m_GS Arc Jurassien_69_</v>
      </c>
      <c r="BL466" s="319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97" t="str">
        <f>+VLOOKUP(G466,Liste!$A$7:$H$69,8,FALSE)</f>
        <v>Résineux</v>
      </c>
      <c r="BU466" s="297">
        <f t="shared" si="150"/>
        <v>0</v>
      </c>
      <c r="BV466" s="299">
        <f t="shared" si="151"/>
        <v>1</v>
      </c>
      <c r="BW466" s="318">
        <v>0</v>
      </c>
      <c r="BX466" s="297">
        <f t="shared" si="152"/>
        <v>0.43</v>
      </c>
      <c r="BY466">
        <f t="shared" si="164"/>
        <v>0</v>
      </c>
      <c r="BZ466" s="303">
        <f t="shared" si="153"/>
        <v>0</v>
      </c>
      <c r="CB466" s="298">
        <v>0.6</v>
      </c>
      <c r="CC466" s="298">
        <v>0.4</v>
      </c>
      <c r="CD466">
        <f t="shared" si="154"/>
        <v>0</v>
      </c>
      <c r="CE466">
        <f t="shared" si="155"/>
        <v>0</v>
      </c>
      <c r="CF466">
        <f t="shared" si="156"/>
        <v>0</v>
      </c>
      <c r="CG466">
        <f t="shared" si="157"/>
        <v>0</v>
      </c>
      <c r="CH466">
        <f t="shared" si="158"/>
        <v>0</v>
      </c>
      <c r="CI466">
        <f t="shared" si="159"/>
        <v>0</v>
      </c>
      <c r="CJ466">
        <f t="shared" si="160"/>
        <v>0</v>
      </c>
      <c r="CK466">
        <f t="shared" si="161"/>
        <v>0</v>
      </c>
      <c r="CL466">
        <f t="shared" si="162"/>
        <v>0</v>
      </c>
      <c r="CM466">
        <f t="shared" si="165"/>
        <v>0</v>
      </c>
      <c r="CN466">
        <f t="shared" si="163"/>
        <v>0</v>
      </c>
      <c r="CO466">
        <f t="shared" si="148"/>
        <v>0</v>
      </c>
    </row>
    <row r="467" spans="1:93" s="12" customFormat="1" ht="14.45" hidden="1" customHeight="1" x14ac:dyDescent="0.25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+VLOOKUP(G467,Liste!$A$7:$G$69,3,FALSE)</f>
        <v>Epicéa</v>
      </c>
      <c r="BI467" s="96" t="str">
        <f>+VLOOKUP(H467,Liste!$B$7:$G$69,5,FALSE)</f>
        <v>GS Arc Jurassien</v>
      </c>
      <c r="BJ467" s="135">
        <f t="shared" si="147"/>
        <v>69</v>
      </c>
      <c r="BK467" s="135" t="str">
        <f t="shared" si="149"/>
        <v>Epicéa_Fbonne_Entree 16-17 m_GS Arc Jurassien_69_</v>
      </c>
      <c r="BL467" s="319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97" t="str">
        <f>+VLOOKUP(G467,Liste!$A$7:$H$69,8,FALSE)</f>
        <v>Résineux</v>
      </c>
      <c r="BU467" s="297">
        <f t="shared" si="150"/>
        <v>0</v>
      </c>
      <c r="BV467" s="299">
        <f t="shared" si="151"/>
        <v>1</v>
      </c>
      <c r="BW467" s="318">
        <v>0</v>
      </c>
      <c r="BX467" s="297">
        <f t="shared" si="152"/>
        <v>0.43</v>
      </c>
      <c r="BY467">
        <f t="shared" si="164"/>
        <v>0</v>
      </c>
      <c r="BZ467" s="303">
        <f t="shared" si="153"/>
        <v>0</v>
      </c>
      <c r="CB467" s="298">
        <v>0.6</v>
      </c>
      <c r="CC467" s="298">
        <v>0.4</v>
      </c>
      <c r="CD467">
        <f t="shared" si="154"/>
        <v>0</v>
      </c>
      <c r="CE467">
        <f t="shared" si="155"/>
        <v>0</v>
      </c>
      <c r="CF467">
        <f t="shared" si="156"/>
        <v>0</v>
      </c>
      <c r="CG467">
        <f t="shared" si="157"/>
        <v>0</v>
      </c>
      <c r="CH467">
        <f t="shared" si="158"/>
        <v>0</v>
      </c>
      <c r="CI467">
        <f t="shared" si="159"/>
        <v>0</v>
      </c>
      <c r="CJ467">
        <f t="shared" si="160"/>
        <v>0</v>
      </c>
      <c r="CK467">
        <f t="shared" si="161"/>
        <v>0</v>
      </c>
      <c r="CL467">
        <f t="shared" si="162"/>
        <v>0</v>
      </c>
      <c r="CM467">
        <f t="shared" si="165"/>
        <v>0</v>
      </c>
      <c r="CN467">
        <f t="shared" si="163"/>
        <v>0</v>
      </c>
      <c r="CO467">
        <f t="shared" si="148"/>
        <v>0</v>
      </c>
    </row>
    <row r="468" spans="1:93" s="12" customFormat="1" ht="14.45" hidden="1" customHeight="1" x14ac:dyDescent="0.25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+VLOOKUP(G468,Liste!$A$7:$G$69,3,FALSE)</f>
        <v>Epicéa</v>
      </c>
      <c r="BI468" s="96" t="str">
        <f>+VLOOKUP(H468,Liste!$B$7:$G$69,5,FALSE)</f>
        <v>GS Arc Jurassien</v>
      </c>
      <c r="BJ468" s="135">
        <f t="shared" si="147"/>
        <v>77</v>
      </c>
      <c r="BK468" s="135" t="str">
        <f t="shared" si="149"/>
        <v>Epicéa_Fbonne_Entree 16-17 m_GS Arc Jurassien_77_</v>
      </c>
      <c r="BL468" s="319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97" t="str">
        <f>+VLOOKUP(G468,Liste!$A$7:$H$69,8,FALSE)</f>
        <v>Résineux</v>
      </c>
      <c r="BU468" s="297">
        <f t="shared" si="150"/>
        <v>0</v>
      </c>
      <c r="BV468" s="299">
        <f t="shared" si="151"/>
        <v>1</v>
      </c>
      <c r="BW468" s="318">
        <v>0</v>
      </c>
      <c r="BX468" s="297">
        <f t="shared" si="152"/>
        <v>0.43</v>
      </c>
      <c r="BY468">
        <f t="shared" si="164"/>
        <v>0</v>
      </c>
      <c r="BZ468" s="303">
        <f t="shared" si="153"/>
        <v>0</v>
      </c>
      <c r="CB468" s="298">
        <v>0.6</v>
      </c>
      <c r="CC468" s="298">
        <v>0.4</v>
      </c>
      <c r="CD468">
        <f t="shared" si="154"/>
        <v>0</v>
      </c>
      <c r="CE468">
        <f t="shared" si="155"/>
        <v>0</v>
      </c>
      <c r="CF468">
        <f t="shared" si="156"/>
        <v>0</v>
      </c>
      <c r="CG468">
        <f t="shared" si="157"/>
        <v>0</v>
      </c>
      <c r="CH468">
        <f t="shared" si="158"/>
        <v>0</v>
      </c>
      <c r="CI468">
        <f t="shared" si="159"/>
        <v>0</v>
      </c>
      <c r="CJ468">
        <f t="shared" si="160"/>
        <v>0</v>
      </c>
      <c r="CK468">
        <f t="shared" si="161"/>
        <v>0</v>
      </c>
      <c r="CL468">
        <f t="shared" si="162"/>
        <v>0</v>
      </c>
      <c r="CM468">
        <f t="shared" si="165"/>
        <v>0</v>
      </c>
      <c r="CN468">
        <f t="shared" si="163"/>
        <v>0</v>
      </c>
      <c r="CO468">
        <f t="shared" si="148"/>
        <v>0</v>
      </c>
    </row>
    <row r="469" spans="1:93" s="12" customFormat="1" ht="14.45" hidden="1" customHeight="1" x14ac:dyDescent="0.25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+VLOOKUP(G469,Liste!$A$7:$G$69,3,FALSE)</f>
        <v>Epicéa</v>
      </c>
      <c r="BI469" s="96" t="str">
        <f>+VLOOKUP(H469,Liste!$B$7:$G$69,5,FALSE)</f>
        <v>GS Arc Jurassien</v>
      </c>
      <c r="BJ469" s="135">
        <f t="shared" si="147"/>
        <v>77</v>
      </c>
      <c r="BK469" s="135" t="str">
        <f t="shared" si="149"/>
        <v>Epicéa_Fbonne_Entree 16-17 m_GS Arc Jurassien_77_</v>
      </c>
      <c r="BL469" s="319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97" t="str">
        <f>+VLOOKUP(G469,Liste!$A$7:$H$69,8,FALSE)</f>
        <v>Résineux</v>
      </c>
      <c r="BU469" s="297">
        <f t="shared" si="150"/>
        <v>0</v>
      </c>
      <c r="BV469" s="299">
        <f t="shared" si="151"/>
        <v>1</v>
      </c>
      <c r="BW469" s="318">
        <v>0</v>
      </c>
      <c r="BX469" s="297">
        <f t="shared" si="152"/>
        <v>0.43</v>
      </c>
      <c r="BY469">
        <f t="shared" si="164"/>
        <v>0</v>
      </c>
      <c r="BZ469" s="303">
        <f t="shared" si="153"/>
        <v>0</v>
      </c>
      <c r="CB469" s="298">
        <v>0.6</v>
      </c>
      <c r="CC469" s="298">
        <v>0.4</v>
      </c>
      <c r="CD469">
        <f t="shared" si="154"/>
        <v>0</v>
      </c>
      <c r="CE469">
        <f t="shared" si="155"/>
        <v>0</v>
      </c>
      <c r="CF469">
        <f t="shared" si="156"/>
        <v>0</v>
      </c>
      <c r="CG469">
        <f t="shared" si="157"/>
        <v>0</v>
      </c>
      <c r="CH469">
        <f t="shared" si="158"/>
        <v>0</v>
      </c>
      <c r="CI469">
        <f t="shared" si="159"/>
        <v>0</v>
      </c>
      <c r="CJ469">
        <f t="shared" si="160"/>
        <v>0</v>
      </c>
      <c r="CK469">
        <f t="shared" si="161"/>
        <v>0</v>
      </c>
      <c r="CL469">
        <f t="shared" si="162"/>
        <v>0</v>
      </c>
      <c r="CM469">
        <f t="shared" si="165"/>
        <v>0</v>
      </c>
      <c r="CN469">
        <f t="shared" si="163"/>
        <v>0</v>
      </c>
      <c r="CO469">
        <f t="shared" si="148"/>
        <v>0</v>
      </c>
    </row>
    <row r="470" spans="1:93" s="12" customFormat="1" ht="14.45" hidden="1" customHeight="1" x14ac:dyDescent="0.25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+VLOOKUP(G470,Liste!$A$7:$G$69,3,FALSE)</f>
        <v>Epicéa</v>
      </c>
      <c r="BI470" s="96" t="str">
        <f>+VLOOKUP(H470,Liste!$B$7:$G$69,5,FALSE)</f>
        <v>GS Arc Jurassien</v>
      </c>
      <c r="BJ470" s="135">
        <f t="shared" si="147"/>
        <v>25</v>
      </c>
      <c r="BK470" s="135" t="str">
        <f t="shared" si="149"/>
        <v>Epicéa_Fbonne_Entree 16-17 m_GS Arc Jurassien_25_</v>
      </c>
      <c r="BL470" s="319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97" t="str">
        <f>+VLOOKUP(G470,Liste!$A$7:$H$69,8,FALSE)</f>
        <v>Résineux</v>
      </c>
      <c r="BU470" s="297">
        <f t="shared" si="150"/>
        <v>0</v>
      </c>
      <c r="BV470" s="299">
        <f t="shared" si="151"/>
        <v>1</v>
      </c>
      <c r="BW470" s="318">
        <v>0</v>
      </c>
      <c r="BX470" s="297">
        <f t="shared" si="152"/>
        <v>0.43</v>
      </c>
      <c r="BY470">
        <f t="shared" si="164"/>
        <v>0</v>
      </c>
      <c r="BZ470" s="303">
        <f t="shared" si="153"/>
        <v>0</v>
      </c>
      <c r="CB470" s="298">
        <v>0.6</v>
      </c>
      <c r="CC470" s="298">
        <v>0.4</v>
      </c>
      <c r="CD470">
        <f t="shared" si="154"/>
        <v>0</v>
      </c>
      <c r="CE470">
        <f t="shared" si="155"/>
        <v>0</v>
      </c>
      <c r="CF470">
        <f t="shared" si="156"/>
        <v>0</v>
      </c>
      <c r="CG470">
        <f t="shared" si="157"/>
        <v>0</v>
      </c>
      <c r="CH470">
        <f t="shared" si="158"/>
        <v>0</v>
      </c>
      <c r="CI470">
        <f t="shared" si="159"/>
        <v>0</v>
      </c>
      <c r="CJ470">
        <f t="shared" si="160"/>
        <v>0</v>
      </c>
      <c r="CK470">
        <f t="shared" si="161"/>
        <v>0</v>
      </c>
      <c r="CL470">
        <f t="shared" si="162"/>
        <v>0</v>
      </c>
      <c r="CM470">
        <f t="shared" si="165"/>
        <v>0</v>
      </c>
      <c r="CN470">
        <f t="shared" si="163"/>
        <v>0</v>
      </c>
      <c r="CO470">
        <f t="shared" si="148"/>
        <v>0</v>
      </c>
    </row>
    <row r="471" spans="1:93" s="12" customFormat="1" ht="14.45" hidden="1" customHeight="1" x14ac:dyDescent="0.25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+VLOOKUP(G471,Liste!$A$7:$G$69,3,FALSE)</f>
        <v>Epicéa</v>
      </c>
      <c r="BI471" s="96" t="str">
        <f>+VLOOKUP(H471,Liste!$B$7:$G$69,5,FALSE)</f>
        <v>GS Arc Jurassien</v>
      </c>
      <c r="BJ471" s="135">
        <f t="shared" si="147"/>
        <v>25</v>
      </c>
      <c r="BK471" s="135" t="str">
        <f t="shared" si="149"/>
        <v>Epicéa_Fbonne_Entree 16-17 m_GS Arc Jurassien_25_</v>
      </c>
      <c r="BL471" s="319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97" t="str">
        <f>+VLOOKUP(G471,Liste!$A$7:$H$69,8,FALSE)</f>
        <v>Résineux</v>
      </c>
      <c r="BU471" s="297">
        <f t="shared" si="150"/>
        <v>0</v>
      </c>
      <c r="BV471" s="299">
        <f t="shared" si="151"/>
        <v>1</v>
      </c>
      <c r="BW471" s="318">
        <v>0</v>
      </c>
      <c r="BX471" s="297">
        <f t="shared" si="152"/>
        <v>0.43</v>
      </c>
      <c r="BY471">
        <f t="shared" si="164"/>
        <v>28.17215750536975</v>
      </c>
      <c r="BZ471" s="303">
        <f t="shared" si="153"/>
        <v>28.17215750536975</v>
      </c>
      <c r="CB471" s="298">
        <v>0.6</v>
      </c>
      <c r="CC471" s="298">
        <v>0.4</v>
      </c>
      <c r="CD471">
        <f t="shared" si="154"/>
        <v>0</v>
      </c>
      <c r="CE471">
        <f t="shared" si="155"/>
        <v>39.309987216795001</v>
      </c>
      <c r="CF471">
        <f t="shared" si="156"/>
        <v>26.206658144530003</v>
      </c>
      <c r="CG471">
        <f t="shared" si="157"/>
        <v>0</v>
      </c>
      <c r="CH471">
        <f t="shared" si="158"/>
        <v>25.332010928956308</v>
      </c>
      <c r="CI471">
        <f t="shared" si="159"/>
        <v>16.888007285970875</v>
      </c>
      <c r="CJ471">
        <f t="shared" si="160"/>
        <v>0</v>
      </c>
      <c r="CK471">
        <f t="shared" si="161"/>
        <v>0</v>
      </c>
      <c r="CL471">
        <f t="shared" si="162"/>
        <v>0</v>
      </c>
      <c r="CM471">
        <f t="shared" si="165"/>
        <v>0</v>
      </c>
      <c r="CN471">
        <f t="shared" si="163"/>
        <v>0</v>
      </c>
      <c r="CO471">
        <f t="shared" si="148"/>
        <v>0</v>
      </c>
    </row>
    <row r="472" spans="1:93" s="12" customFormat="1" ht="14.45" hidden="1" customHeight="1" x14ac:dyDescent="0.25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+VLOOKUP(G472,Liste!$A$7:$G$69,3,FALSE)</f>
        <v>Epicéa</v>
      </c>
      <c r="BI472" s="96" t="str">
        <f>+VLOOKUP(H472,Liste!$B$7:$G$69,5,FALSE)</f>
        <v>GS Arc Jurassien</v>
      </c>
      <c r="BJ472" s="135">
        <f t="shared" si="147"/>
        <v>30</v>
      </c>
      <c r="BK472" s="135" t="str">
        <f t="shared" si="149"/>
        <v>Epicéa_Fbonne_Entree 16-17 m_GS Arc Jurassien_30_</v>
      </c>
      <c r="BL472" s="319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97" t="str">
        <f>+VLOOKUP(G472,Liste!$A$7:$H$69,8,FALSE)</f>
        <v>Résineux</v>
      </c>
      <c r="BU472" s="297">
        <f t="shared" si="150"/>
        <v>0</v>
      </c>
      <c r="BV472" s="299">
        <f t="shared" si="151"/>
        <v>1</v>
      </c>
      <c r="BW472" s="318">
        <v>0</v>
      </c>
      <c r="BX472" s="297">
        <f t="shared" si="152"/>
        <v>0.43</v>
      </c>
      <c r="BY472">
        <f t="shared" si="164"/>
        <v>0</v>
      </c>
      <c r="BZ472" s="303">
        <f t="shared" si="153"/>
        <v>28.17215750536975</v>
      </c>
      <c r="CB472" s="298">
        <v>0.6</v>
      </c>
      <c r="CC472" s="298">
        <v>0.4</v>
      </c>
      <c r="CD472">
        <f t="shared" si="154"/>
        <v>0</v>
      </c>
      <c r="CE472">
        <f t="shared" si="155"/>
        <v>0</v>
      </c>
      <c r="CF472">
        <f t="shared" si="156"/>
        <v>0</v>
      </c>
      <c r="CG472">
        <f t="shared" si="157"/>
        <v>0</v>
      </c>
      <c r="CH472">
        <f t="shared" si="158"/>
        <v>0</v>
      </c>
      <c r="CI472">
        <f t="shared" si="159"/>
        <v>0</v>
      </c>
      <c r="CJ472">
        <f t="shared" si="160"/>
        <v>0</v>
      </c>
      <c r="CK472">
        <f t="shared" si="161"/>
        <v>24.984057875171608</v>
      </c>
      <c r="CL472">
        <f t="shared" si="162"/>
        <v>14.272243910267971</v>
      </c>
      <c r="CM472">
        <f t="shared" si="165"/>
        <v>39.256301785439575</v>
      </c>
      <c r="CN472">
        <f t="shared" si="163"/>
        <v>39.256301785439575</v>
      </c>
      <c r="CO472">
        <f t="shared" si="148"/>
        <v>1.3085433928479859</v>
      </c>
    </row>
    <row r="473" spans="1:93" s="12" customFormat="1" ht="14.45" hidden="1" customHeight="1" x14ac:dyDescent="0.25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+VLOOKUP(G473,Liste!$A$7:$G$69,3,FALSE)</f>
        <v>Epicéa</v>
      </c>
      <c r="BI473" s="96" t="str">
        <f>+VLOOKUP(H473,Liste!$B$7:$G$69,5,FALSE)</f>
        <v>GS Arc Jurassien</v>
      </c>
      <c r="BJ473" s="135">
        <f t="shared" si="147"/>
        <v>30</v>
      </c>
      <c r="BK473" s="135" t="str">
        <f t="shared" si="149"/>
        <v>Epicéa_Fbonne_Entree 16-17 m_GS Arc Jurassien_30_</v>
      </c>
      <c r="BL473" s="319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97" t="str">
        <f>+VLOOKUP(G473,Liste!$A$7:$H$69,8,FALSE)</f>
        <v>Résineux</v>
      </c>
      <c r="BU473" s="297">
        <f t="shared" si="150"/>
        <v>0</v>
      </c>
      <c r="BV473" s="299">
        <f t="shared" si="151"/>
        <v>1</v>
      </c>
      <c r="BW473" s="318">
        <v>0</v>
      </c>
      <c r="BX473" s="297">
        <f t="shared" si="152"/>
        <v>0.43</v>
      </c>
      <c r="BY473">
        <f t="shared" si="164"/>
        <v>29.151043043584814</v>
      </c>
      <c r="BZ473" s="303">
        <f t="shared" si="153"/>
        <v>57.32320054895456</v>
      </c>
      <c r="CB473" s="298">
        <v>0.6</v>
      </c>
      <c r="CC473" s="298">
        <v>0.4</v>
      </c>
      <c r="CD473">
        <f t="shared" si="154"/>
        <v>0</v>
      </c>
      <c r="CE473">
        <f t="shared" si="155"/>
        <v>40.675874014304391</v>
      </c>
      <c r="CF473">
        <f t="shared" si="156"/>
        <v>27.117249342869595</v>
      </c>
      <c r="CG473">
        <f t="shared" si="157"/>
        <v>0</v>
      </c>
      <c r="CH473">
        <f t="shared" si="158"/>
        <v>26.212211146051317</v>
      </c>
      <c r="CI473">
        <f t="shared" si="159"/>
        <v>17.474807430700878</v>
      </c>
      <c r="CJ473">
        <f t="shared" si="160"/>
        <v>0</v>
      </c>
      <c r="CK473">
        <f t="shared" si="161"/>
        <v>24.300867498720539</v>
      </c>
      <c r="CL473">
        <f t="shared" si="162"/>
        <v>10.09200045169889</v>
      </c>
      <c r="CM473">
        <f t="shared" si="165"/>
        <v>34.392867950419429</v>
      </c>
      <c r="CN473">
        <f t="shared" si="163"/>
        <v>73.649169735859005</v>
      </c>
      <c r="CO473">
        <f t="shared" si="148"/>
        <v>2.4549723245286335</v>
      </c>
    </row>
    <row r="474" spans="1:93" s="12" customFormat="1" ht="14.45" hidden="1" customHeight="1" x14ac:dyDescent="0.25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+VLOOKUP(G474,Liste!$A$7:$G$69,3,FALSE)</f>
        <v>Epicéa</v>
      </c>
      <c r="BI474" s="96" t="str">
        <f>+VLOOKUP(H474,Liste!$B$7:$G$69,5,FALSE)</f>
        <v>GS Arc Jurassien</v>
      </c>
      <c r="BJ474" s="135">
        <f t="shared" si="147"/>
        <v>36</v>
      </c>
      <c r="BK474" s="135" t="str">
        <f t="shared" si="149"/>
        <v>Epicéa_Fbonne_Entree 16-17 m_GS Arc Jurassien_36_</v>
      </c>
      <c r="BL474" s="319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97" t="str">
        <f>+VLOOKUP(G474,Liste!$A$7:$H$69,8,FALSE)</f>
        <v>Résineux</v>
      </c>
      <c r="BU474" s="297">
        <f t="shared" si="150"/>
        <v>0</v>
      </c>
      <c r="BV474" s="299">
        <f t="shared" si="151"/>
        <v>1</v>
      </c>
      <c r="BW474" s="318">
        <v>0</v>
      </c>
      <c r="BX474" s="297">
        <f t="shared" si="152"/>
        <v>0.43</v>
      </c>
      <c r="BY474">
        <f t="shared" si="164"/>
        <v>0</v>
      </c>
      <c r="BZ474" s="303">
        <f t="shared" si="153"/>
        <v>0</v>
      </c>
      <c r="CB474" s="298">
        <v>0.6</v>
      </c>
      <c r="CC474" s="298">
        <v>0.4</v>
      </c>
      <c r="CD474">
        <f t="shared" si="154"/>
        <v>0</v>
      </c>
      <c r="CE474">
        <f t="shared" si="155"/>
        <v>0</v>
      </c>
      <c r="CF474">
        <f t="shared" si="156"/>
        <v>0</v>
      </c>
      <c r="CG474">
        <f t="shared" si="157"/>
        <v>0</v>
      </c>
      <c r="CH474">
        <f t="shared" si="158"/>
        <v>0</v>
      </c>
      <c r="CI474">
        <f t="shared" si="159"/>
        <v>0</v>
      </c>
      <c r="CJ474">
        <f t="shared" si="160"/>
        <v>0</v>
      </c>
      <c r="CK474">
        <f t="shared" si="161"/>
        <v>0</v>
      </c>
      <c r="CL474">
        <f t="shared" si="162"/>
        <v>0</v>
      </c>
      <c r="CM474">
        <f t="shared" si="165"/>
        <v>0</v>
      </c>
      <c r="CN474">
        <f t="shared" si="163"/>
        <v>0</v>
      </c>
      <c r="CO474">
        <f t="shared" si="148"/>
        <v>0</v>
      </c>
    </row>
    <row r="475" spans="1:93" s="12" customFormat="1" ht="14.45" hidden="1" customHeight="1" x14ac:dyDescent="0.25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+VLOOKUP(G475,Liste!$A$7:$G$69,3,FALSE)</f>
        <v>Epicéa</v>
      </c>
      <c r="BI475" s="96" t="str">
        <f>+VLOOKUP(H475,Liste!$B$7:$G$69,5,FALSE)</f>
        <v>GS Arc Jurassien</v>
      </c>
      <c r="BJ475" s="135">
        <f t="shared" si="147"/>
        <v>36</v>
      </c>
      <c r="BK475" s="135" t="str">
        <f t="shared" si="149"/>
        <v>Epicéa_Fbonne_Entree 16-17 m_GS Arc Jurassien_36_</v>
      </c>
      <c r="BL475" s="319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97" t="str">
        <f>+VLOOKUP(G475,Liste!$A$7:$H$69,8,FALSE)</f>
        <v>Résineux</v>
      </c>
      <c r="BU475" s="297">
        <f t="shared" si="150"/>
        <v>0</v>
      </c>
      <c r="BV475" s="299">
        <f t="shared" si="151"/>
        <v>1</v>
      </c>
      <c r="BW475" s="318">
        <v>0</v>
      </c>
      <c r="BX475" s="297">
        <f t="shared" si="152"/>
        <v>0.43</v>
      </c>
      <c r="BY475">
        <f t="shared" si="164"/>
        <v>0</v>
      </c>
      <c r="BZ475" s="303">
        <f t="shared" si="153"/>
        <v>0</v>
      </c>
      <c r="CB475" s="298">
        <v>0.6</v>
      </c>
      <c r="CC475" s="298">
        <v>0.4</v>
      </c>
      <c r="CD475">
        <f t="shared" si="154"/>
        <v>0</v>
      </c>
      <c r="CE475">
        <f t="shared" si="155"/>
        <v>0</v>
      </c>
      <c r="CF475">
        <f t="shared" si="156"/>
        <v>0</v>
      </c>
      <c r="CG475">
        <f t="shared" si="157"/>
        <v>0</v>
      </c>
      <c r="CH475">
        <f t="shared" si="158"/>
        <v>0</v>
      </c>
      <c r="CI475">
        <f t="shared" si="159"/>
        <v>0</v>
      </c>
      <c r="CJ475">
        <f t="shared" si="160"/>
        <v>0</v>
      </c>
      <c r="CK475">
        <f t="shared" si="161"/>
        <v>0</v>
      </c>
      <c r="CL475">
        <f t="shared" si="162"/>
        <v>0</v>
      </c>
      <c r="CM475">
        <f t="shared" si="165"/>
        <v>0</v>
      </c>
      <c r="CN475">
        <f t="shared" si="163"/>
        <v>0</v>
      </c>
      <c r="CO475">
        <f t="shared" si="148"/>
        <v>0</v>
      </c>
    </row>
    <row r="476" spans="1:93" s="12" customFormat="1" ht="14.45" hidden="1" customHeight="1" x14ac:dyDescent="0.25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+VLOOKUP(G476,Liste!$A$7:$G$69,3,FALSE)</f>
        <v>Epicéa</v>
      </c>
      <c r="BI476" s="96" t="str">
        <f>+VLOOKUP(H476,Liste!$B$7:$G$69,5,FALSE)</f>
        <v>GS Arc Jurassien</v>
      </c>
      <c r="BJ476" s="135">
        <f t="shared" si="147"/>
        <v>42</v>
      </c>
      <c r="BK476" s="135" t="str">
        <f t="shared" si="149"/>
        <v>Epicéa_Fbonne_Entree 16-17 m_GS Arc Jurassien_42_</v>
      </c>
      <c r="BL476" s="319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97" t="str">
        <f>+VLOOKUP(G476,Liste!$A$7:$H$69,8,FALSE)</f>
        <v>Résineux</v>
      </c>
      <c r="BU476" s="297">
        <f t="shared" si="150"/>
        <v>0</v>
      </c>
      <c r="BV476" s="299">
        <f t="shared" si="151"/>
        <v>1</v>
      </c>
      <c r="BW476" s="318">
        <v>0</v>
      </c>
      <c r="BX476" s="297">
        <f t="shared" si="152"/>
        <v>0.43</v>
      </c>
      <c r="BY476">
        <f t="shared" si="164"/>
        <v>0</v>
      </c>
      <c r="BZ476" s="303">
        <f t="shared" si="153"/>
        <v>0</v>
      </c>
      <c r="CB476" s="298">
        <v>0.6</v>
      </c>
      <c r="CC476" s="298">
        <v>0.4</v>
      </c>
      <c r="CD476">
        <f t="shared" si="154"/>
        <v>0</v>
      </c>
      <c r="CE476">
        <f t="shared" si="155"/>
        <v>0</v>
      </c>
      <c r="CF476">
        <f t="shared" si="156"/>
        <v>0</v>
      </c>
      <c r="CG476">
        <f t="shared" si="157"/>
        <v>0</v>
      </c>
      <c r="CH476">
        <f t="shared" si="158"/>
        <v>0</v>
      </c>
      <c r="CI476">
        <f t="shared" si="159"/>
        <v>0</v>
      </c>
      <c r="CJ476">
        <f t="shared" si="160"/>
        <v>0</v>
      </c>
      <c r="CK476">
        <f t="shared" si="161"/>
        <v>0</v>
      </c>
      <c r="CL476">
        <f t="shared" si="162"/>
        <v>0</v>
      </c>
      <c r="CM476">
        <f t="shared" si="165"/>
        <v>0</v>
      </c>
      <c r="CN476">
        <f t="shared" si="163"/>
        <v>0</v>
      </c>
      <c r="CO476">
        <f t="shared" si="148"/>
        <v>0</v>
      </c>
    </row>
    <row r="477" spans="1:93" s="12" customFormat="1" ht="14.45" hidden="1" customHeight="1" x14ac:dyDescent="0.25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+VLOOKUP(G477,Liste!$A$7:$G$69,3,FALSE)</f>
        <v>Epicéa</v>
      </c>
      <c r="BI477" s="96" t="str">
        <f>+VLOOKUP(H477,Liste!$B$7:$G$69,5,FALSE)</f>
        <v>GS Arc Jurassien</v>
      </c>
      <c r="BJ477" s="135">
        <f t="shared" si="147"/>
        <v>42</v>
      </c>
      <c r="BK477" s="135" t="str">
        <f t="shared" si="149"/>
        <v>Epicéa_Fbonne_Entree 16-17 m_GS Arc Jurassien_42_</v>
      </c>
      <c r="BL477" s="319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97" t="str">
        <f>+VLOOKUP(G477,Liste!$A$7:$H$69,8,FALSE)</f>
        <v>Résineux</v>
      </c>
      <c r="BU477" s="297">
        <f t="shared" si="150"/>
        <v>0</v>
      </c>
      <c r="BV477" s="299">
        <f t="shared" si="151"/>
        <v>1</v>
      </c>
      <c r="BW477" s="318">
        <v>0</v>
      </c>
      <c r="BX477" s="297">
        <f t="shared" si="152"/>
        <v>0.43</v>
      </c>
      <c r="BY477">
        <f t="shared" si="164"/>
        <v>0</v>
      </c>
      <c r="BZ477" s="303">
        <f t="shared" si="153"/>
        <v>0</v>
      </c>
      <c r="CB477" s="298">
        <v>0.6</v>
      </c>
      <c r="CC477" s="298">
        <v>0.4</v>
      </c>
      <c r="CD477">
        <f t="shared" si="154"/>
        <v>0</v>
      </c>
      <c r="CE477">
        <f t="shared" si="155"/>
        <v>0</v>
      </c>
      <c r="CF477">
        <f t="shared" si="156"/>
        <v>0</v>
      </c>
      <c r="CG477">
        <f t="shared" si="157"/>
        <v>0</v>
      </c>
      <c r="CH477">
        <f t="shared" si="158"/>
        <v>0</v>
      </c>
      <c r="CI477">
        <f t="shared" si="159"/>
        <v>0</v>
      </c>
      <c r="CJ477">
        <f t="shared" si="160"/>
        <v>0</v>
      </c>
      <c r="CK477">
        <f t="shared" si="161"/>
        <v>0</v>
      </c>
      <c r="CL477">
        <f t="shared" si="162"/>
        <v>0</v>
      </c>
      <c r="CM477">
        <f t="shared" si="165"/>
        <v>0</v>
      </c>
      <c r="CN477">
        <f t="shared" si="163"/>
        <v>0</v>
      </c>
      <c r="CO477">
        <f t="shared" si="148"/>
        <v>0</v>
      </c>
    </row>
    <row r="478" spans="1:93" s="12" customFormat="1" ht="14.45" hidden="1" customHeight="1" x14ac:dyDescent="0.25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+VLOOKUP(G478,Liste!$A$7:$G$69,3,FALSE)</f>
        <v>Epicéa</v>
      </c>
      <c r="BI478" s="96" t="str">
        <f>+VLOOKUP(H478,Liste!$B$7:$G$69,5,FALSE)</f>
        <v>GS Arc Jurassien</v>
      </c>
      <c r="BJ478" s="135">
        <f t="shared" si="147"/>
        <v>48</v>
      </c>
      <c r="BK478" s="135" t="str">
        <f t="shared" si="149"/>
        <v>Epicéa_Fbonne_Entree 16-17 m_GS Arc Jurassien_48_</v>
      </c>
      <c r="BL478" s="319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97" t="str">
        <f>+VLOOKUP(G478,Liste!$A$7:$H$69,8,FALSE)</f>
        <v>Résineux</v>
      </c>
      <c r="BU478" s="297">
        <f t="shared" si="150"/>
        <v>0</v>
      </c>
      <c r="BV478" s="299">
        <f t="shared" si="151"/>
        <v>1</v>
      </c>
      <c r="BW478" s="318">
        <v>0</v>
      </c>
      <c r="BX478" s="297">
        <f t="shared" si="152"/>
        <v>0.43</v>
      </c>
      <c r="BY478">
        <f t="shared" si="164"/>
        <v>0</v>
      </c>
      <c r="BZ478" s="303">
        <f t="shared" si="153"/>
        <v>0</v>
      </c>
      <c r="CB478" s="298">
        <v>0.6</v>
      </c>
      <c r="CC478" s="298">
        <v>0.4</v>
      </c>
      <c r="CD478">
        <f t="shared" si="154"/>
        <v>0</v>
      </c>
      <c r="CE478">
        <f t="shared" si="155"/>
        <v>0</v>
      </c>
      <c r="CF478">
        <f t="shared" si="156"/>
        <v>0</v>
      </c>
      <c r="CG478">
        <f t="shared" si="157"/>
        <v>0</v>
      </c>
      <c r="CH478">
        <f t="shared" si="158"/>
        <v>0</v>
      </c>
      <c r="CI478">
        <f t="shared" si="159"/>
        <v>0</v>
      </c>
      <c r="CJ478">
        <f t="shared" si="160"/>
        <v>0</v>
      </c>
      <c r="CK478">
        <f t="shared" si="161"/>
        <v>0</v>
      </c>
      <c r="CL478">
        <f t="shared" si="162"/>
        <v>0</v>
      </c>
      <c r="CM478">
        <f t="shared" si="165"/>
        <v>0</v>
      </c>
      <c r="CN478">
        <f t="shared" si="163"/>
        <v>0</v>
      </c>
      <c r="CO478">
        <f t="shared" si="148"/>
        <v>0</v>
      </c>
    </row>
    <row r="479" spans="1:93" s="12" customFormat="1" ht="14.45" hidden="1" customHeight="1" x14ac:dyDescent="0.25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+VLOOKUP(G479,Liste!$A$7:$G$69,3,FALSE)</f>
        <v>Epicéa</v>
      </c>
      <c r="BI479" s="96" t="str">
        <f>+VLOOKUP(H479,Liste!$B$7:$G$69,5,FALSE)</f>
        <v>GS Arc Jurassien</v>
      </c>
      <c r="BJ479" s="135">
        <f t="shared" si="147"/>
        <v>48</v>
      </c>
      <c r="BK479" s="135" t="str">
        <f t="shared" si="149"/>
        <v>Epicéa_Fbonne_Entree 16-17 m_GS Arc Jurassien_48_</v>
      </c>
      <c r="BL479" s="319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97" t="str">
        <f>+VLOOKUP(G479,Liste!$A$7:$H$69,8,FALSE)</f>
        <v>Résineux</v>
      </c>
      <c r="BU479" s="297">
        <f t="shared" si="150"/>
        <v>0</v>
      </c>
      <c r="BV479" s="299">
        <f t="shared" si="151"/>
        <v>1</v>
      </c>
      <c r="BW479" s="318">
        <v>0</v>
      </c>
      <c r="BX479" s="297">
        <f t="shared" si="152"/>
        <v>0.43</v>
      </c>
      <c r="BY479">
        <f t="shared" si="164"/>
        <v>0</v>
      </c>
      <c r="BZ479" s="303">
        <f t="shared" si="153"/>
        <v>0</v>
      </c>
      <c r="CB479" s="298">
        <v>0.6</v>
      </c>
      <c r="CC479" s="298">
        <v>0.4</v>
      </c>
      <c r="CD479">
        <f t="shared" si="154"/>
        <v>0</v>
      </c>
      <c r="CE479">
        <f t="shared" si="155"/>
        <v>0</v>
      </c>
      <c r="CF479">
        <f t="shared" si="156"/>
        <v>0</v>
      </c>
      <c r="CG479">
        <f t="shared" si="157"/>
        <v>0</v>
      </c>
      <c r="CH479">
        <f t="shared" si="158"/>
        <v>0</v>
      </c>
      <c r="CI479">
        <f t="shared" si="159"/>
        <v>0</v>
      </c>
      <c r="CJ479">
        <f t="shared" si="160"/>
        <v>0</v>
      </c>
      <c r="CK479">
        <f t="shared" si="161"/>
        <v>0</v>
      </c>
      <c r="CL479">
        <f t="shared" si="162"/>
        <v>0</v>
      </c>
      <c r="CM479">
        <f t="shared" si="165"/>
        <v>0</v>
      </c>
      <c r="CN479">
        <f t="shared" si="163"/>
        <v>0</v>
      </c>
      <c r="CO479">
        <f t="shared" si="148"/>
        <v>0</v>
      </c>
    </row>
    <row r="480" spans="1:93" s="12" customFormat="1" ht="14.45" hidden="1" customHeight="1" x14ac:dyDescent="0.25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+VLOOKUP(G480,Liste!$A$7:$G$69,3,FALSE)</f>
        <v>Epicéa</v>
      </c>
      <c r="BI480" s="96" t="str">
        <f>+VLOOKUP(H480,Liste!$B$7:$G$69,5,FALSE)</f>
        <v>GS Arc Jurassien</v>
      </c>
      <c r="BJ480" s="135">
        <f t="shared" si="147"/>
        <v>55</v>
      </c>
      <c r="BK480" s="135" t="str">
        <f t="shared" si="149"/>
        <v>Epicéa_Fbonne_Entree 16-17 m_GS Arc Jurassien_55_</v>
      </c>
      <c r="BL480" s="319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97" t="str">
        <f>+VLOOKUP(G480,Liste!$A$7:$H$69,8,FALSE)</f>
        <v>Résineux</v>
      </c>
      <c r="BU480" s="297">
        <f t="shared" si="150"/>
        <v>0</v>
      </c>
      <c r="BV480" s="299">
        <f t="shared" si="151"/>
        <v>1</v>
      </c>
      <c r="BW480" s="318">
        <v>0</v>
      </c>
      <c r="BX480" s="297">
        <f t="shared" si="152"/>
        <v>0.43</v>
      </c>
      <c r="BY480">
        <f t="shared" si="164"/>
        <v>0</v>
      </c>
      <c r="BZ480" s="303">
        <f t="shared" si="153"/>
        <v>0</v>
      </c>
      <c r="CB480" s="298">
        <v>0.6</v>
      </c>
      <c r="CC480" s="298">
        <v>0.4</v>
      </c>
      <c r="CD480">
        <f t="shared" si="154"/>
        <v>0</v>
      </c>
      <c r="CE480">
        <f t="shared" si="155"/>
        <v>0</v>
      </c>
      <c r="CF480">
        <f t="shared" si="156"/>
        <v>0</v>
      </c>
      <c r="CG480">
        <f t="shared" si="157"/>
        <v>0</v>
      </c>
      <c r="CH480">
        <f t="shared" si="158"/>
        <v>0</v>
      </c>
      <c r="CI480">
        <f t="shared" si="159"/>
        <v>0</v>
      </c>
      <c r="CJ480">
        <f t="shared" si="160"/>
        <v>0</v>
      </c>
      <c r="CK480">
        <f t="shared" si="161"/>
        <v>0</v>
      </c>
      <c r="CL480">
        <f t="shared" si="162"/>
        <v>0</v>
      </c>
      <c r="CM480">
        <f t="shared" si="165"/>
        <v>0</v>
      </c>
      <c r="CN480">
        <f t="shared" si="163"/>
        <v>0</v>
      </c>
      <c r="CO480">
        <f t="shared" si="148"/>
        <v>0</v>
      </c>
    </row>
    <row r="481" spans="1:93" s="12" customFormat="1" ht="14.45" hidden="1" customHeight="1" x14ac:dyDescent="0.25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+VLOOKUP(G481,Liste!$A$7:$G$69,3,FALSE)</f>
        <v>Epicéa</v>
      </c>
      <c r="BI481" s="96" t="str">
        <f>+VLOOKUP(H481,Liste!$B$7:$G$69,5,FALSE)</f>
        <v>GS Arc Jurassien</v>
      </c>
      <c r="BJ481" s="135">
        <f t="shared" si="147"/>
        <v>55</v>
      </c>
      <c r="BK481" s="135" t="str">
        <f t="shared" si="149"/>
        <v>Epicéa_Fbonne_Entree 16-17 m_GS Arc Jurassien_55_</v>
      </c>
      <c r="BL481" s="319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97" t="str">
        <f>+VLOOKUP(G481,Liste!$A$7:$H$69,8,FALSE)</f>
        <v>Résineux</v>
      </c>
      <c r="BU481" s="297">
        <f t="shared" si="150"/>
        <v>0</v>
      </c>
      <c r="BV481" s="299">
        <f t="shared" si="151"/>
        <v>1</v>
      </c>
      <c r="BW481" s="318">
        <v>0</v>
      </c>
      <c r="BX481" s="297">
        <f t="shared" si="152"/>
        <v>0.43</v>
      </c>
      <c r="BY481">
        <f t="shared" si="164"/>
        <v>0</v>
      </c>
      <c r="BZ481" s="303">
        <f t="shared" si="153"/>
        <v>0</v>
      </c>
      <c r="CB481" s="298">
        <v>0.6</v>
      </c>
      <c r="CC481" s="298">
        <v>0.4</v>
      </c>
      <c r="CD481">
        <f t="shared" si="154"/>
        <v>0</v>
      </c>
      <c r="CE481">
        <f t="shared" si="155"/>
        <v>0</v>
      </c>
      <c r="CF481">
        <f t="shared" si="156"/>
        <v>0</v>
      </c>
      <c r="CG481">
        <f t="shared" si="157"/>
        <v>0</v>
      </c>
      <c r="CH481">
        <f t="shared" si="158"/>
        <v>0</v>
      </c>
      <c r="CI481">
        <f t="shared" si="159"/>
        <v>0</v>
      </c>
      <c r="CJ481">
        <f t="shared" si="160"/>
        <v>0</v>
      </c>
      <c r="CK481">
        <f t="shared" si="161"/>
        <v>0</v>
      </c>
      <c r="CL481">
        <f t="shared" si="162"/>
        <v>0</v>
      </c>
      <c r="CM481">
        <f t="shared" si="165"/>
        <v>0</v>
      </c>
      <c r="CN481">
        <f t="shared" si="163"/>
        <v>0</v>
      </c>
      <c r="CO481">
        <f t="shared" si="148"/>
        <v>0</v>
      </c>
    </row>
    <row r="482" spans="1:93" s="12" customFormat="1" ht="14.45" hidden="1" customHeight="1" x14ac:dyDescent="0.25">
      <c r="A482" s="4">
        <v>2021</v>
      </c>
      <c r="B482" s="4"/>
      <c r="C482" s="4" t="s">
        <v>417</v>
      </c>
      <c r="D482" s="4" t="s">
        <v>65</v>
      </c>
      <c r="E482" s="4"/>
      <c r="F482" s="4" t="s">
        <v>90</v>
      </c>
      <c r="G482" s="5" t="s">
        <v>418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419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+VLOOKUP(G482,Liste!$A$7:$G$69,3,FALSE)</f>
        <v>Pin Maritime</v>
      </c>
      <c r="BI482" s="96" t="str">
        <f>+VLOOKUP(H482,Liste!$B$7:$G$69,5,FALSE)</f>
        <v>GS Pineraies des plaines du Centre et du Nord Ouest</v>
      </c>
      <c r="BJ482" s="135">
        <f t="shared" si="147"/>
        <v>17</v>
      </c>
      <c r="BK482" s="135" t="str">
        <f t="shared" si="149"/>
        <v>Pin Maritime_F2_Classique_GS Pineraies des plaines du Centre et du Nord Ouest_17_</v>
      </c>
      <c r="BL482" s="319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97" t="str">
        <f>+VLOOKUP(G482,Liste!$A$7:$H$69,8,FALSE)</f>
        <v>Résineux</v>
      </c>
      <c r="BU482" s="297">
        <f t="shared" si="150"/>
        <v>0</v>
      </c>
      <c r="BV482" s="299">
        <f t="shared" si="151"/>
        <v>1</v>
      </c>
      <c r="BW482" s="318">
        <v>0</v>
      </c>
      <c r="BX482" s="297">
        <f t="shared" si="152"/>
        <v>0.43</v>
      </c>
      <c r="BY482">
        <f t="shared" si="164"/>
        <v>0</v>
      </c>
      <c r="BZ482" s="303">
        <f t="shared" si="153"/>
        <v>0</v>
      </c>
      <c r="CB482" s="298">
        <v>0.6</v>
      </c>
      <c r="CC482" s="298">
        <v>0.4</v>
      </c>
      <c r="CD482">
        <f t="shared" si="154"/>
        <v>0</v>
      </c>
      <c r="CE482">
        <f t="shared" si="155"/>
        <v>0</v>
      </c>
      <c r="CF482">
        <f t="shared" si="156"/>
        <v>0</v>
      </c>
      <c r="CG482">
        <f t="shared" si="157"/>
        <v>0</v>
      </c>
      <c r="CH482">
        <f t="shared" si="158"/>
        <v>0</v>
      </c>
      <c r="CI482">
        <f t="shared" si="159"/>
        <v>0</v>
      </c>
      <c r="CJ482">
        <f t="shared" si="160"/>
        <v>0</v>
      </c>
      <c r="CK482">
        <f t="shared" si="161"/>
        <v>0</v>
      </c>
      <c r="CL482">
        <f t="shared" si="162"/>
        <v>0</v>
      </c>
      <c r="CM482">
        <f t="shared" si="165"/>
        <v>0</v>
      </c>
      <c r="CN482">
        <f t="shared" si="163"/>
        <v>0</v>
      </c>
      <c r="CO482">
        <f t="shared" si="148"/>
        <v>0</v>
      </c>
    </row>
    <row r="483" spans="1:93" s="12" customFormat="1" ht="14.45" hidden="1" customHeight="1" x14ac:dyDescent="0.25">
      <c r="A483" s="4">
        <v>2021</v>
      </c>
      <c r="B483" s="4"/>
      <c r="C483" s="4" t="s">
        <v>417</v>
      </c>
      <c r="D483" s="4" t="s">
        <v>65</v>
      </c>
      <c r="E483" s="4"/>
      <c r="F483" s="4" t="s">
        <v>90</v>
      </c>
      <c r="G483" s="5" t="s">
        <v>418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419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+VLOOKUP(G483,Liste!$A$7:$G$69,3,FALSE)</f>
        <v>Pin Maritime</v>
      </c>
      <c r="BI483" s="96" t="str">
        <f>+VLOOKUP(H483,Liste!$B$7:$G$69,5,FALSE)</f>
        <v>GS Pineraies des plaines du Centre et du Nord Ouest</v>
      </c>
      <c r="BJ483" s="135">
        <f t="shared" si="147"/>
        <v>17</v>
      </c>
      <c r="BK483" s="135" t="str">
        <f t="shared" si="149"/>
        <v>Pin Maritime_F2_Classique_GS Pineraies des plaines du Centre et du Nord Ouest_17_</v>
      </c>
      <c r="BL483" s="319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97" t="str">
        <f>+VLOOKUP(G483,Liste!$A$7:$H$69,8,FALSE)</f>
        <v>Résineux</v>
      </c>
      <c r="BU483" s="297">
        <f t="shared" si="150"/>
        <v>0</v>
      </c>
      <c r="BV483" s="299">
        <f t="shared" si="151"/>
        <v>1</v>
      </c>
      <c r="BW483" s="318">
        <v>0</v>
      </c>
      <c r="BX483" s="297">
        <f t="shared" si="152"/>
        <v>0.43</v>
      </c>
      <c r="BY483">
        <f t="shared" si="164"/>
        <v>17.513688227847851</v>
      </c>
      <c r="BZ483" s="303">
        <f t="shared" si="153"/>
        <v>17.513688227847851</v>
      </c>
      <c r="CB483" s="298">
        <v>0.6</v>
      </c>
      <c r="CC483" s="298">
        <v>0.4</v>
      </c>
      <c r="CD483">
        <f t="shared" si="154"/>
        <v>0</v>
      </c>
      <c r="CE483">
        <f t="shared" si="155"/>
        <v>24.437704503973745</v>
      </c>
      <c r="CF483">
        <f t="shared" si="156"/>
        <v>16.291803002649164</v>
      </c>
      <c r="CG483">
        <f t="shared" si="157"/>
        <v>0</v>
      </c>
      <c r="CH483">
        <f t="shared" si="158"/>
        <v>19.578674258433633</v>
      </c>
      <c r="CI483">
        <f t="shared" si="159"/>
        <v>13.052449505622423</v>
      </c>
      <c r="CJ483">
        <f t="shared" si="160"/>
        <v>0</v>
      </c>
      <c r="CK483">
        <f t="shared" si="161"/>
        <v>0</v>
      </c>
      <c r="CL483">
        <f t="shared" si="162"/>
        <v>0</v>
      </c>
      <c r="CM483">
        <f t="shared" si="165"/>
        <v>0</v>
      </c>
      <c r="CN483">
        <f t="shared" si="163"/>
        <v>0</v>
      </c>
      <c r="CO483">
        <f t="shared" si="148"/>
        <v>0</v>
      </c>
    </row>
    <row r="484" spans="1:93" s="12" customFormat="1" ht="14.45" hidden="1" customHeight="1" x14ac:dyDescent="0.25">
      <c r="A484" s="4">
        <v>2021</v>
      </c>
      <c r="B484" s="4"/>
      <c r="C484" s="4" t="s">
        <v>417</v>
      </c>
      <c r="D484" s="4" t="s">
        <v>65</v>
      </c>
      <c r="E484" s="4"/>
      <c r="F484" s="4" t="s">
        <v>90</v>
      </c>
      <c r="G484" s="5" t="s">
        <v>418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419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+VLOOKUP(G484,Liste!$A$7:$G$69,3,FALSE)</f>
        <v>Pin Maritime</v>
      </c>
      <c r="BI484" s="96" t="str">
        <f>+VLOOKUP(H484,Liste!$B$7:$G$69,5,FALSE)</f>
        <v>GS Pineraies des plaines du Centre et du Nord Ouest</v>
      </c>
      <c r="BJ484" s="135">
        <f t="shared" si="147"/>
        <v>18</v>
      </c>
      <c r="BK484" s="135" t="str">
        <f t="shared" si="149"/>
        <v>Pin Maritime_F2_Classique_GS Pineraies des plaines du Centre et du Nord Ouest_18_</v>
      </c>
      <c r="BL484" s="319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97" t="str">
        <f>+VLOOKUP(G484,Liste!$A$7:$H$69,8,FALSE)</f>
        <v>Résineux</v>
      </c>
      <c r="BU484" s="297">
        <f t="shared" si="150"/>
        <v>0</v>
      </c>
      <c r="BV484" s="299">
        <f t="shared" si="151"/>
        <v>1</v>
      </c>
      <c r="BW484" s="318">
        <v>0</v>
      </c>
      <c r="BX484" s="297">
        <f t="shared" si="152"/>
        <v>0.43</v>
      </c>
      <c r="BY484">
        <f t="shared" si="164"/>
        <v>0</v>
      </c>
      <c r="BZ484" s="303">
        <f t="shared" si="153"/>
        <v>17.513688227847851</v>
      </c>
      <c r="CB484" s="298">
        <v>0.6</v>
      </c>
      <c r="CC484" s="298">
        <v>0.4</v>
      </c>
      <c r="CD484">
        <f t="shared" si="154"/>
        <v>0</v>
      </c>
      <c r="CE484">
        <f t="shared" si="155"/>
        <v>0</v>
      </c>
      <c r="CF484">
        <f t="shared" si="156"/>
        <v>0</v>
      </c>
      <c r="CG484">
        <f t="shared" si="157"/>
        <v>0</v>
      </c>
      <c r="CH484">
        <f t="shared" si="158"/>
        <v>0</v>
      </c>
      <c r="CI484">
        <f t="shared" si="159"/>
        <v>0</v>
      </c>
      <c r="CJ484">
        <f t="shared" si="160"/>
        <v>0</v>
      </c>
      <c r="CK484">
        <f t="shared" si="161"/>
        <v>19.309747345509763</v>
      </c>
      <c r="CL484">
        <f t="shared" si="162"/>
        <v>11.030771115633749</v>
      </c>
      <c r="CM484">
        <f t="shared" si="165"/>
        <v>30.34051846114351</v>
      </c>
      <c r="CN484">
        <f t="shared" si="163"/>
        <v>30.34051846114351</v>
      </c>
      <c r="CO484">
        <f t="shared" si="148"/>
        <v>0</v>
      </c>
    </row>
    <row r="485" spans="1:93" s="12" customFormat="1" ht="14.45" hidden="1" customHeight="1" x14ac:dyDescent="0.25">
      <c r="A485" s="4">
        <v>2021</v>
      </c>
      <c r="B485" s="4"/>
      <c r="C485" s="4" t="s">
        <v>417</v>
      </c>
      <c r="D485" s="4" t="s">
        <v>65</v>
      </c>
      <c r="E485" s="4"/>
      <c r="F485" s="4" t="s">
        <v>90</v>
      </c>
      <c r="G485" s="5" t="s">
        <v>418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419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+VLOOKUP(G485,Liste!$A$7:$G$69,3,FALSE)</f>
        <v>Pin Maritime</v>
      </c>
      <c r="BI485" s="96" t="str">
        <f>+VLOOKUP(H485,Liste!$B$7:$G$69,5,FALSE)</f>
        <v>GS Pineraies des plaines du Centre et du Nord Ouest</v>
      </c>
      <c r="BJ485" s="135">
        <f t="shared" si="147"/>
        <v>19</v>
      </c>
      <c r="BK485" s="135" t="str">
        <f t="shared" si="149"/>
        <v>Pin Maritime_F2_Classique_GS Pineraies des plaines du Centre et du Nord Ouest_19_</v>
      </c>
      <c r="BL485" s="319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97" t="str">
        <f>+VLOOKUP(G485,Liste!$A$7:$H$69,8,FALSE)</f>
        <v>Résineux</v>
      </c>
      <c r="BU485" s="297">
        <f t="shared" si="150"/>
        <v>0</v>
      </c>
      <c r="BV485" s="299">
        <f t="shared" si="151"/>
        <v>1</v>
      </c>
      <c r="BW485" s="318">
        <v>0</v>
      </c>
      <c r="BX485" s="297">
        <f t="shared" si="152"/>
        <v>0.43</v>
      </c>
      <c r="BY485">
        <f t="shared" si="164"/>
        <v>0</v>
      </c>
      <c r="BZ485" s="303">
        <f t="shared" si="153"/>
        <v>17.513688227847851</v>
      </c>
      <c r="CB485" s="298">
        <v>0.6</v>
      </c>
      <c r="CC485" s="298">
        <v>0.4</v>
      </c>
      <c r="CD485">
        <f t="shared" si="154"/>
        <v>0</v>
      </c>
      <c r="CE485">
        <f t="shared" si="155"/>
        <v>0</v>
      </c>
      <c r="CF485">
        <f t="shared" si="156"/>
        <v>0</v>
      </c>
      <c r="CG485">
        <f t="shared" si="157"/>
        <v>0</v>
      </c>
      <c r="CH485">
        <f t="shared" si="158"/>
        <v>0</v>
      </c>
      <c r="CI485">
        <f t="shared" si="159"/>
        <v>0</v>
      </c>
      <c r="CJ485">
        <f t="shared" si="160"/>
        <v>0</v>
      </c>
      <c r="CK485">
        <f t="shared" si="161"/>
        <v>18.781721288891319</v>
      </c>
      <c r="CL485">
        <f t="shared" si="162"/>
        <v>7.799933057581323</v>
      </c>
      <c r="CM485">
        <f t="shared" si="165"/>
        <v>26.581654346472643</v>
      </c>
      <c r="CN485">
        <f t="shared" si="163"/>
        <v>56.92217280761615</v>
      </c>
      <c r="CO485">
        <f t="shared" si="148"/>
        <v>0</v>
      </c>
    </row>
    <row r="486" spans="1:93" s="12" customFormat="1" ht="14.45" hidden="1" customHeight="1" x14ac:dyDescent="0.25">
      <c r="A486" s="4">
        <v>2021</v>
      </c>
      <c r="B486" s="4"/>
      <c r="C486" s="4" t="s">
        <v>417</v>
      </c>
      <c r="D486" s="4" t="s">
        <v>65</v>
      </c>
      <c r="E486" s="4"/>
      <c r="F486" s="4" t="s">
        <v>90</v>
      </c>
      <c r="G486" s="5" t="s">
        <v>418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419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+VLOOKUP(G486,Liste!$A$7:$G$69,3,FALSE)</f>
        <v>Pin Maritime</v>
      </c>
      <c r="BI486" s="96" t="str">
        <f>+VLOOKUP(H486,Liste!$B$7:$G$69,5,FALSE)</f>
        <v>GS Pineraies des plaines du Centre et du Nord Ouest</v>
      </c>
      <c r="BJ486" s="135">
        <f t="shared" si="147"/>
        <v>20</v>
      </c>
      <c r="BK486" s="135" t="str">
        <f t="shared" si="149"/>
        <v>Pin Maritime_F2_Classique_GS Pineraies des plaines du Centre et du Nord Ouest_20_</v>
      </c>
      <c r="BL486" s="319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97" t="str">
        <f>+VLOOKUP(G486,Liste!$A$7:$H$69,8,FALSE)</f>
        <v>Résineux</v>
      </c>
      <c r="BU486" s="297">
        <f t="shared" si="150"/>
        <v>0</v>
      </c>
      <c r="BV486" s="299">
        <f t="shared" si="151"/>
        <v>1</v>
      </c>
      <c r="BW486" s="318">
        <v>0</v>
      </c>
      <c r="BX486" s="297">
        <f t="shared" si="152"/>
        <v>0.43</v>
      </c>
      <c r="BY486">
        <f t="shared" si="164"/>
        <v>0</v>
      </c>
      <c r="BZ486" s="303">
        <f t="shared" si="153"/>
        <v>17.513688227847851</v>
      </c>
      <c r="CB486" s="298">
        <v>0.6</v>
      </c>
      <c r="CC486" s="298">
        <v>0.4</v>
      </c>
      <c r="CD486">
        <f t="shared" si="154"/>
        <v>0</v>
      </c>
      <c r="CE486">
        <f t="shared" si="155"/>
        <v>0</v>
      </c>
      <c r="CF486">
        <f t="shared" si="156"/>
        <v>0</v>
      </c>
      <c r="CG486">
        <f t="shared" si="157"/>
        <v>0</v>
      </c>
      <c r="CH486">
        <f t="shared" si="158"/>
        <v>0</v>
      </c>
      <c r="CI486">
        <f t="shared" si="159"/>
        <v>0</v>
      </c>
      <c r="CJ486">
        <f t="shared" si="160"/>
        <v>0</v>
      </c>
      <c r="CK486">
        <f t="shared" si="161"/>
        <v>18.268134132558789</v>
      </c>
      <c r="CL486">
        <f t="shared" si="162"/>
        <v>5.5153855578168756</v>
      </c>
      <c r="CM486">
        <f t="shared" si="165"/>
        <v>23.783519690375662</v>
      </c>
      <c r="CN486">
        <f t="shared" si="163"/>
        <v>80.705692497991805</v>
      </c>
      <c r="CO486">
        <f t="shared" si="148"/>
        <v>0</v>
      </c>
    </row>
    <row r="487" spans="1:93" s="12" customFormat="1" ht="14.45" hidden="1" customHeight="1" x14ac:dyDescent="0.25">
      <c r="A487" s="4">
        <v>2021</v>
      </c>
      <c r="B487" s="4"/>
      <c r="C487" s="4" t="s">
        <v>417</v>
      </c>
      <c r="D487" s="4" t="s">
        <v>65</v>
      </c>
      <c r="E487" s="4"/>
      <c r="F487" s="4" t="s">
        <v>90</v>
      </c>
      <c r="G487" s="5" t="s">
        <v>418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419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+VLOOKUP(G487,Liste!$A$7:$G$69,3,FALSE)</f>
        <v>Pin Maritime</v>
      </c>
      <c r="BI487" s="96" t="str">
        <f>+VLOOKUP(H487,Liste!$B$7:$G$69,5,FALSE)</f>
        <v>GS Pineraies des plaines du Centre et du Nord Ouest</v>
      </c>
      <c r="BJ487" s="135">
        <f t="shared" si="147"/>
        <v>21</v>
      </c>
      <c r="BK487" s="135" t="str">
        <f t="shared" si="149"/>
        <v>Pin Maritime_F2_Classique_GS Pineraies des plaines du Centre et du Nord Ouest_21_</v>
      </c>
      <c r="BL487" s="319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97" t="str">
        <f>+VLOOKUP(G487,Liste!$A$7:$H$69,8,FALSE)</f>
        <v>Résineux</v>
      </c>
      <c r="BU487" s="297">
        <f t="shared" si="150"/>
        <v>0</v>
      </c>
      <c r="BV487" s="299">
        <f t="shared" si="151"/>
        <v>1</v>
      </c>
      <c r="BW487" s="318">
        <v>0</v>
      </c>
      <c r="BX487" s="297">
        <f t="shared" si="152"/>
        <v>0.43</v>
      </c>
      <c r="BY487">
        <f t="shared" si="164"/>
        <v>0</v>
      </c>
      <c r="BZ487" s="303">
        <f t="shared" si="153"/>
        <v>17.513688227847851</v>
      </c>
      <c r="CB487" s="298">
        <v>0.6</v>
      </c>
      <c r="CC487" s="298">
        <v>0.4</v>
      </c>
      <c r="CD487">
        <f t="shared" si="154"/>
        <v>0</v>
      </c>
      <c r="CE487">
        <f t="shared" si="155"/>
        <v>0</v>
      </c>
      <c r="CF487">
        <f t="shared" si="156"/>
        <v>0</v>
      </c>
      <c r="CG487">
        <f t="shared" si="157"/>
        <v>0</v>
      </c>
      <c r="CH487">
        <f t="shared" si="158"/>
        <v>0</v>
      </c>
      <c r="CI487">
        <f t="shared" si="159"/>
        <v>0</v>
      </c>
      <c r="CJ487">
        <f t="shared" si="160"/>
        <v>0</v>
      </c>
      <c r="CK487">
        <f t="shared" si="161"/>
        <v>17.768591044024546</v>
      </c>
      <c r="CL487">
        <f t="shared" si="162"/>
        <v>3.899966528790662</v>
      </c>
      <c r="CM487">
        <f t="shared" si="165"/>
        <v>21.66855757281521</v>
      </c>
      <c r="CN487">
        <f t="shared" si="163"/>
        <v>102.37425007080702</v>
      </c>
      <c r="CO487">
        <f t="shared" si="148"/>
        <v>0</v>
      </c>
    </row>
    <row r="488" spans="1:93" s="12" customFormat="1" ht="14.45" hidden="1" customHeight="1" x14ac:dyDescent="0.25">
      <c r="A488" s="4">
        <v>2021</v>
      </c>
      <c r="B488" s="4"/>
      <c r="C488" s="4" t="s">
        <v>417</v>
      </c>
      <c r="D488" s="4" t="s">
        <v>65</v>
      </c>
      <c r="E488" s="4"/>
      <c r="F488" s="4" t="s">
        <v>90</v>
      </c>
      <c r="G488" s="5" t="s">
        <v>418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419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+VLOOKUP(G488,Liste!$A$7:$G$69,3,FALSE)</f>
        <v>Pin Maritime</v>
      </c>
      <c r="BI488" s="96" t="str">
        <f>+VLOOKUP(H488,Liste!$B$7:$G$69,5,FALSE)</f>
        <v>GS Pineraies des plaines du Centre et du Nord Ouest</v>
      </c>
      <c r="BJ488" s="135">
        <f t="shared" si="147"/>
        <v>22</v>
      </c>
      <c r="BK488" s="135" t="str">
        <f t="shared" si="149"/>
        <v>Pin Maritime_F2_Classique_GS Pineraies des plaines du Centre et du Nord Ouest_22_</v>
      </c>
      <c r="BL488" s="319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97" t="str">
        <f>+VLOOKUP(G488,Liste!$A$7:$H$69,8,FALSE)</f>
        <v>Résineux</v>
      </c>
      <c r="BU488" s="297">
        <f t="shared" si="150"/>
        <v>0</v>
      </c>
      <c r="BV488" s="299">
        <f t="shared" si="151"/>
        <v>1</v>
      </c>
      <c r="BW488" s="318">
        <v>0</v>
      </c>
      <c r="BX488" s="297">
        <f t="shared" si="152"/>
        <v>0.43</v>
      </c>
      <c r="BY488">
        <f t="shared" si="164"/>
        <v>0</v>
      </c>
      <c r="BZ488" s="303">
        <f t="shared" si="153"/>
        <v>17.513688227847851</v>
      </c>
      <c r="CB488" s="298">
        <v>0.6</v>
      </c>
      <c r="CC488" s="298">
        <v>0.4</v>
      </c>
      <c r="CD488">
        <f t="shared" si="154"/>
        <v>0</v>
      </c>
      <c r="CE488">
        <f t="shared" si="155"/>
        <v>0</v>
      </c>
      <c r="CF488">
        <f t="shared" si="156"/>
        <v>0</v>
      </c>
      <c r="CG488">
        <f t="shared" si="157"/>
        <v>0</v>
      </c>
      <c r="CH488">
        <f t="shared" si="158"/>
        <v>0</v>
      </c>
      <c r="CI488">
        <f t="shared" si="159"/>
        <v>0</v>
      </c>
      <c r="CJ488">
        <f t="shared" si="160"/>
        <v>0</v>
      </c>
      <c r="CK488">
        <f t="shared" si="161"/>
        <v>17.282707987516101</v>
      </c>
      <c r="CL488">
        <f t="shared" si="162"/>
        <v>2.7576927789084382</v>
      </c>
      <c r="CM488">
        <f t="shared" si="165"/>
        <v>20.04040076642454</v>
      </c>
      <c r="CN488">
        <f t="shared" si="163"/>
        <v>122.41465083723156</v>
      </c>
      <c r="CO488">
        <f t="shared" si="148"/>
        <v>0</v>
      </c>
    </row>
    <row r="489" spans="1:93" s="12" customFormat="1" ht="14.45" hidden="1" customHeight="1" x14ac:dyDescent="0.25">
      <c r="A489" s="4">
        <v>2021</v>
      </c>
      <c r="B489" s="4"/>
      <c r="C489" s="4" t="s">
        <v>417</v>
      </c>
      <c r="D489" s="4" t="s">
        <v>65</v>
      </c>
      <c r="E489" s="4"/>
      <c r="F489" s="4" t="s">
        <v>90</v>
      </c>
      <c r="G489" s="5" t="s">
        <v>418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419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+VLOOKUP(G489,Liste!$A$7:$G$69,3,FALSE)</f>
        <v>Pin Maritime</v>
      </c>
      <c r="BI489" s="96" t="str">
        <f>+VLOOKUP(H489,Liste!$B$7:$G$69,5,FALSE)</f>
        <v>GS Pineraies des plaines du Centre et du Nord Ouest</v>
      </c>
      <c r="BJ489" s="135">
        <f t="shared" si="147"/>
        <v>23</v>
      </c>
      <c r="BK489" s="135" t="str">
        <f t="shared" si="149"/>
        <v>Pin Maritime_F2_Classique_GS Pineraies des plaines du Centre et du Nord Ouest_23_</v>
      </c>
      <c r="BL489" s="319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97" t="str">
        <f>+VLOOKUP(G489,Liste!$A$7:$H$69,8,FALSE)</f>
        <v>Résineux</v>
      </c>
      <c r="BU489" s="297">
        <f t="shared" si="150"/>
        <v>0</v>
      </c>
      <c r="BV489" s="299">
        <f t="shared" si="151"/>
        <v>1</v>
      </c>
      <c r="BW489" s="318">
        <v>0</v>
      </c>
      <c r="BX489" s="297">
        <f t="shared" si="152"/>
        <v>0.43</v>
      </c>
      <c r="BY489">
        <f t="shared" si="164"/>
        <v>0</v>
      </c>
      <c r="BZ489" s="303">
        <f t="shared" si="153"/>
        <v>17.513688227847851</v>
      </c>
      <c r="CB489" s="298">
        <v>0.6</v>
      </c>
      <c r="CC489" s="298">
        <v>0.4</v>
      </c>
      <c r="CD489">
        <f t="shared" si="154"/>
        <v>0</v>
      </c>
      <c r="CE489">
        <f t="shared" si="155"/>
        <v>0</v>
      </c>
      <c r="CF489">
        <f t="shared" si="156"/>
        <v>0</v>
      </c>
      <c r="CG489">
        <f t="shared" si="157"/>
        <v>0</v>
      </c>
      <c r="CH489">
        <f t="shared" si="158"/>
        <v>0</v>
      </c>
      <c r="CI489">
        <f t="shared" si="159"/>
        <v>0</v>
      </c>
      <c r="CJ489">
        <f t="shared" si="160"/>
        <v>0</v>
      </c>
      <c r="CK489">
        <f t="shared" si="161"/>
        <v>16.810111428739361</v>
      </c>
      <c r="CL489">
        <f t="shared" si="162"/>
        <v>1.9499832643953314</v>
      </c>
      <c r="CM489">
        <f t="shared" si="165"/>
        <v>18.760094693134693</v>
      </c>
      <c r="CN489">
        <f t="shared" si="163"/>
        <v>141.17474553036627</v>
      </c>
      <c r="CO489">
        <f t="shared" si="148"/>
        <v>0</v>
      </c>
    </row>
    <row r="490" spans="1:93" s="12" customFormat="1" ht="14.45" hidden="1" customHeight="1" x14ac:dyDescent="0.25">
      <c r="A490" s="4">
        <v>2021</v>
      </c>
      <c r="B490" s="4"/>
      <c r="C490" s="4" t="s">
        <v>417</v>
      </c>
      <c r="D490" s="4" t="s">
        <v>65</v>
      </c>
      <c r="E490" s="4"/>
      <c r="F490" s="4" t="s">
        <v>90</v>
      </c>
      <c r="G490" s="5" t="s">
        <v>418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419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+VLOOKUP(G490,Liste!$A$7:$G$69,3,FALSE)</f>
        <v>Pin Maritime</v>
      </c>
      <c r="BI490" s="96" t="str">
        <f>+VLOOKUP(H490,Liste!$B$7:$G$69,5,FALSE)</f>
        <v>GS Pineraies des plaines du Centre et du Nord Ouest</v>
      </c>
      <c r="BJ490" s="135">
        <f t="shared" si="147"/>
        <v>23</v>
      </c>
      <c r="BK490" s="135" t="str">
        <f t="shared" si="149"/>
        <v>Pin Maritime_F2_Classique_GS Pineraies des plaines du Centre et du Nord Ouest_23_</v>
      </c>
      <c r="BL490" s="319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97" t="str">
        <f>+VLOOKUP(G490,Liste!$A$7:$H$69,8,FALSE)</f>
        <v>Résineux</v>
      </c>
      <c r="BU490" s="297">
        <f t="shared" si="150"/>
        <v>0</v>
      </c>
      <c r="BV490" s="299">
        <f t="shared" si="151"/>
        <v>1</v>
      </c>
      <c r="BW490" s="318">
        <v>0</v>
      </c>
      <c r="BX490" s="297">
        <f t="shared" si="152"/>
        <v>0.43</v>
      </c>
      <c r="BY490">
        <f t="shared" si="164"/>
        <v>24.625092087555103</v>
      </c>
      <c r="BZ490" s="303">
        <f t="shared" si="153"/>
        <v>42.138780315402954</v>
      </c>
      <c r="CB490" s="298">
        <v>0.6</v>
      </c>
      <c r="CC490" s="298">
        <v>0.4</v>
      </c>
      <c r="CD490">
        <f t="shared" si="154"/>
        <v>0</v>
      </c>
      <c r="CE490">
        <f t="shared" si="155"/>
        <v>34.360593610542004</v>
      </c>
      <c r="CF490">
        <f t="shared" si="156"/>
        <v>22.907062407028004</v>
      </c>
      <c r="CG490">
        <f t="shared" si="157"/>
        <v>0</v>
      </c>
      <c r="CH490">
        <f t="shared" si="158"/>
        <v>27.528562247645901</v>
      </c>
      <c r="CI490">
        <f t="shared" si="159"/>
        <v>18.352374831763939</v>
      </c>
      <c r="CJ490">
        <f t="shared" si="160"/>
        <v>0</v>
      </c>
      <c r="CK490">
        <f t="shared" si="161"/>
        <v>16.350438047715144</v>
      </c>
      <c r="CL490">
        <f t="shared" si="162"/>
        <v>1.3788463894542193</v>
      </c>
      <c r="CM490">
        <f t="shared" si="165"/>
        <v>17.729284437169362</v>
      </c>
      <c r="CN490">
        <f t="shared" si="163"/>
        <v>158.90402996753562</v>
      </c>
      <c r="CO490">
        <f t="shared" si="148"/>
        <v>0</v>
      </c>
    </row>
    <row r="491" spans="1:93" s="12" customFormat="1" ht="14.45" hidden="1" customHeight="1" x14ac:dyDescent="0.25">
      <c r="A491" s="4">
        <v>2021</v>
      </c>
      <c r="B491" s="4"/>
      <c r="C491" s="4" t="s">
        <v>417</v>
      </c>
      <c r="D491" s="4" t="s">
        <v>65</v>
      </c>
      <c r="E491" s="4"/>
      <c r="F491" s="4" t="s">
        <v>90</v>
      </c>
      <c r="G491" s="5" t="s">
        <v>418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419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+VLOOKUP(G491,Liste!$A$7:$G$69,3,FALSE)</f>
        <v>Pin Maritime</v>
      </c>
      <c r="BI491" s="96" t="str">
        <f>+VLOOKUP(H491,Liste!$B$7:$G$69,5,FALSE)</f>
        <v>GS Pineraies des plaines du Centre et du Nord Ouest</v>
      </c>
      <c r="BJ491" s="135">
        <f t="shared" si="147"/>
        <v>24</v>
      </c>
      <c r="BK491" s="135" t="str">
        <f t="shared" si="149"/>
        <v>Pin Maritime_F2_Classique_GS Pineraies des plaines du Centre et du Nord Ouest_24_</v>
      </c>
      <c r="BL491" s="319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97" t="str">
        <f>+VLOOKUP(G491,Liste!$A$7:$H$69,8,FALSE)</f>
        <v>Résineux</v>
      </c>
      <c r="BU491" s="297">
        <f t="shared" si="150"/>
        <v>0</v>
      </c>
      <c r="BV491" s="299">
        <f t="shared" si="151"/>
        <v>1</v>
      </c>
      <c r="BW491" s="318">
        <v>0</v>
      </c>
      <c r="BX491" s="297">
        <f t="shared" si="152"/>
        <v>0.43</v>
      </c>
      <c r="BY491">
        <f t="shared" si="164"/>
        <v>0</v>
      </c>
      <c r="BZ491" s="303">
        <f t="shared" si="153"/>
        <v>42.138780315402954</v>
      </c>
      <c r="CB491" s="298">
        <v>0.6</v>
      </c>
      <c r="CC491" s="298">
        <v>0.4</v>
      </c>
      <c r="CD491">
        <f t="shared" si="154"/>
        <v>0</v>
      </c>
      <c r="CE491">
        <f t="shared" si="155"/>
        <v>0</v>
      </c>
      <c r="CF491">
        <f t="shared" si="156"/>
        <v>0</v>
      </c>
      <c r="CG491">
        <f t="shared" si="157"/>
        <v>0</v>
      </c>
      <c r="CH491">
        <f t="shared" si="158"/>
        <v>0</v>
      </c>
      <c r="CI491">
        <f t="shared" si="159"/>
        <v>0</v>
      </c>
      <c r="CJ491">
        <f t="shared" si="160"/>
        <v>0</v>
      </c>
      <c r="CK491">
        <f t="shared" si="161"/>
        <v>43.053772470264775</v>
      </c>
      <c r="CL491">
        <f t="shared" si="162"/>
        <v>16.484788939615157</v>
      </c>
      <c r="CM491">
        <f t="shared" si="165"/>
        <v>59.538561409879932</v>
      </c>
      <c r="CN491">
        <f t="shared" si="163"/>
        <v>218.44259137741557</v>
      </c>
      <c r="CO491">
        <f t="shared" si="148"/>
        <v>0</v>
      </c>
    </row>
    <row r="492" spans="1:93" s="12" customFormat="1" ht="14.45" hidden="1" customHeight="1" x14ac:dyDescent="0.25">
      <c r="A492" s="4">
        <v>2021</v>
      </c>
      <c r="B492" s="4"/>
      <c r="C492" s="4" t="s">
        <v>417</v>
      </c>
      <c r="D492" s="4" t="s">
        <v>65</v>
      </c>
      <c r="E492" s="4"/>
      <c r="F492" s="4" t="s">
        <v>90</v>
      </c>
      <c r="G492" s="5" t="s">
        <v>418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419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+VLOOKUP(G492,Liste!$A$7:$G$69,3,FALSE)</f>
        <v>Pin Maritime</v>
      </c>
      <c r="BI492" s="96" t="str">
        <f>+VLOOKUP(H492,Liste!$B$7:$G$69,5,FALSE)</f>
        <v>GS Pineraies des plaines du Centre et du Nord Ouest</v>
      </c>
      <c r="BJ492" s="135">
        <f t="shared" si="147"/>
        <v>25</v>
      </c>
      <c r="BK492" s="135" t="str">
        <f t="shared" si="149"/>
        <v>Pin Maritime_F2_Classique_GS Pineraies des plaines du Centre et du Nord Ouest_25_</v>
      </c>
      <c r="BL492" s="319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97" t="str">
        <f>+VLOOKUP(G492,Liste!$A$7:$H$69,8,FALSE)</f>
        <v>Résineux</v>
      </c>
      <c r="BU492" s="297">
        <f t="shared" si="150"/>
        <v>0</v>
      </c>
      <c r="BV492" s="299">
        <f t="shared" si="151"/>
        <v>1</v>
      </c>
      <c r="BW492" s="318">
        <v>0</v>
      </c>
      <c r="BX492" s="297">
        <f t="shared" si="152"/>
        <v>0.43</v>
      </c>
      <c r="BY492">
        <f t="shared" si="164"/>
        <v>0</v>
      </c>
      <c r="BZ492" s="303">
        <f t="shared" si="153"/>
        <v>42.138780315402954</v>
      </c>
      <c r="CB492" s="298">
        <v>0.6</v>
      </c>
      <c r="CC492" s="298">
        <v>0.4</v>
      </c>
      <c r="CD492">
        <f t="shared" si="154"/>
        <v>0</v>
      </c>
      <c r="CE492">
        <f t="shared" si="155"/>
        <v>0</v>
      </c>
      <c r="CF492">
        <f t="shared" si="156"/>
        <v>0</v>
      </c>
      <c r="CG492">
        <f t="shared" si="157"/>
        <v>0</v>
      </c>
      <c r="CH492">
        <f t="shared" si="158"/>
        <v>0</v>
      </c>
      <c r="CI492">
        <f t="shared" si="159"/>
        <v>0</v>
      </c>
      <c r="CJ492">
        <f t="shared" si="160"/>
        <v>0</v>
      </c>
      <c r="CK492">
        <f t="shared" si="161"/>
        <v>41.876464797965895</v>
      </c>
      <c r="CL492">
        <f t="shared" si="162"/>
        <v>11.656506045630875</v>
      </c>
      <c r="CM492">
        <f t="shared" si="165"/>
        <v>53.532970843596772</v>
      </c>
      <c r="CN492">
        <f t="shared" si="163"/>
        <v>271.97556222101235</v>
      </c>
      <c r="CO492">
        <f t="shared" si="148"/>
        <v>0</v>
      </c>
    </row>
    <row r="493" spans="1:93" s="12" customFormat="1" ht="14.45" hidden="1" customHeight="1" x14ac:dyDescent="0.25">
      <c r="A493" s="4">
        <v>2021</v>
      </c>
      <c r="B493" s="4"/>
      <c r="C493" s="4" t="s">
        <v>417</v>
      </c>
      <c r="D493" s="4" t="s">
        <v>65</v>
      </c>
      <c r="E493" s="4"/>
      <c r="F493" s="4" t="s">
        <v>90</v>
      </c>
      <c r="G493" s="5" t="s">
        <v>418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419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+VLOOKUP(G493,Liste!$A$7:$G$69,3,FALSE)</f>
        <v>Pin Maritime</v>
      </c>
      <c r="BI493" s="96" t="str">
        <f>+VLOOKUP(H493,Liste!$B$7:$G$69,5,FALSE)</f>
        <v>GS Pineraies des plaines du Centre et du Nord Ouest</v>
      </c>
      <c r="BJ493" s="135">
        <f t="shared" si="147"/>
        <v>26</v>
      </c>
      <c r="BK493" s="135" t="str">
        <f t="shared" si="149"/>
        <v>Pin Maritime_F2_Classique_GS Pineraies des plaines du Centre et du Nord Ouest_26_</v>
      </c>
      <c r="BL493" s="319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97" t="str">
        <f>+VLOOKUP(G493,Liste!$A$7:$H$69,8,FALSE)</f>
        <v>Résineux</v>
      </c>
      <c r="BU493" s="297">
        <f t="shared" si="150"/>
        <v>0</v>
      </c>
      <c r="BV493" s="299">
        <f t="shared" si="151"/>
        <v>1</v>
      </c>
      <c r="BW493" s="318">
        <v>0</v>
      </c>
      <c r="BX493" s="297">
        <f t="shared" si="152"/>
        <v>0.43</v>
      </c>
      <c r="BY493">
        <f t="shared" si="164"/>
        <v>0</v>
      </c>
      <c r="BZ493" s="303">
        <f t="shared" si="153"/>
        <v>42.138780315402954</v>
      </c>
      <c r="CB493" s="298">
        <v>0.6</v>
      </c>
      <c r="CC493" s="298">
        <v>0.4</v>
      </c>
      <c r="CD493">
        <f t="shared" si="154"/>
        <v>0</v>
      </c>
      <c r="CE493">
        <f t="shared" si="155"/>
        <v>0</v>
      </c>
      <c r="CF493">
        <f t="shared" si="156"/>
        <v>0</v>
      </c>
      <c r="CG493">
        <f t="shared" si="157"/>
        <v>0</v>
      </c>
      <c r="CH493">
        <f t="shared" si="158"/>
        <v>0</v>
      </c>
      <c r="CI493">
        <f t="shared" si="159"/>
        <v>0</v>
      </c>
      <c r="CJ493">
        <f t="shared" si="160"/>
        <v>0</v>
      </c>
      <c r="CK493">
        <f t="shared" si="161"/>
        <v>40.73135066587794</v>
      </c>
      <c r="CL493">
        <f t="shared" si="162"/>
        <v>8.2423944698075804</v>
      </c>
      <c r="CM493">
        <f t="shared" si="165"/>
        <v>48.973745135685519</v>
      </c>
      <c r="CN493">
        <f t="shared" si="163"/>
        <v>320.94930735669789</v>
      </c>
      <c r="CO493">
        <f t="shared" si="148"/>
        <v>0</v>
      </c>
    </row>
    <row r="494" spans="1:93" s="12" customFormat="1" ht="14.45" hidden="1" customHeight="1" x14ac:dyDescent="0.25">
      <c r="A494" s="4">
        <v>2021</v>
      </c>
      <c r="B494" s="4"/>
      <c r="C494" s="4" t="s">
        <v>417</v>
      </c>
      <c r="D494" s="4" t="s">
        <v>65</v>
      </c>
      <c r="E494" s="4"/>
      <c r="F494" s="4" t="s">
        <v>90</v>
      </c>
      <c r="G494" s="5" t="s">
        <v>418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419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+VLOOKUP(G494,Liste!$A$7:$G$69,3,FALSE)</f>
        <v>Pin Maritime</v>
      </c>
      <c r="BI494" s="96" t="str">
        <f>+VLOOKUP(H494,Liste!$B$7:$G$69,5,FALSE)</f>
        <v>GS Pineraies des plaines du Centre et du Nord Ouest</v>
      </c>
      <c r="BJ494" s="135">
        <f t="shared" si="147"/>
        <v>27</v>
      </c>
      <c r="BK494" s="135" t="str">
        <f t="shared" si="149"/>
        <v>Pin Maritime_F2_Classique_GS Pineraies des plaines du Centre et du Nord Ouest_27_</v>
      </c>
      <c r="BL494" s="319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97" t="str">
        <f>+VLOOKUP(G494,Liste!$A$7:$H$69,8,FALSE)</f>
        <v>Résineux</v>
      </c>
      <c r="BU494" s="297">
        <f t="shared" si="150"/>
        <v>0</v>
      </c>
      <c r="BV494" s="299">
        <f t="shared" si="151"/>
        <v>1</v>
      </c>
      <c r="BW494" s="318">
        <v>0</v>
      </c>
      <c r="BX494" s="297">
        <f t="shared" si="152"/>
        <v>0.43</v>
      </c>
      <c r="BY494">
        <f t="shared" si="164"/>
        <v>0</v>
      </c>
      <c r="BZ494" s="303">
        <f t="shared" si="153"/>
        <v>42.138780315402954</v>
      </c>
      <c r="CB494" s="298">
        <v>0.6</v>
      </c>
      <c r="CC494" s="298">
        <v>0.4</v>
      </c>
      <c r="CD494">
        <f t="shared" si="154"/>
        <v>0</v>
      </c>
      <c r="CE494">
        <f t="shared" si="155"/>
        <v>0</v>
      </c>
      <c r="CF494">
        <f t="shared" si="156"/>
        <v>0</v>
      </c>
      <c r="CG494">
        <f t="shared" si="157"/>
        <v>0</v>
      </c>
      <c r="CH494">
        <f t="shared" si="158"/>
        <v>0</v>
      </c>
      <c r="CI494">
        <f t="shared" si="159"/>
        <v>0</v>
      </c>
      <c r="CJ494">
        <f t="shared" si="160"/>
        <v>0</v>
      </c>
      <c r="CK494">
        <f t="shared" si="161"/>
        <v>39.617549739950867</v>
      </c>
      <c r="CL494">
        <f t="shared" si="162"/>
        <v>5.8282530228154386</v>
      </c>
      <c r="CM494">
        <f t="shared" si="165"/>
        <v>45.445802762766306</v>
      </c>
      <c r="CN494">
        <f t="shared" si="163"/>
        <v>366.39511011946422</v>
      </c>
      <c r="CO494">
        <f t="shared" si="148"/>
        <v>0</v>
      </c>
    </row>
    <row r="495" spans="1:93" s="12" customFormat="1" ht="14.45" hidden="1" customHeight="1" x14ac:dyDescent="0.25">
      <c r="A495" s="4">
        <v>2021</v>
      </c>
      <c r="B495" s="4"/>
      <c r="C495" s="4" t="s">
        <v>417</v>
      </c>
      <c r="D495" s="4" t="s">
        <v>65</v>
      </c>
      <c r="E495" s="4"/>
      <c r="F495" s="4" t="s">
        <v>90</v>
      </c>
      <c r="G495" s="5" t="s">
        <v>418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419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+VLOOKUP(G495,Liste!$A$7:$G$69,3,FALSE)</f>
        <v>Pin Maritime</v>
      </c>
      <c r="BI495" s="96" t="str">
        <f>+VLOOKUP(H495,Liste!$B$7:$G$69,5,FALSE)</f>
        <v>GS Pineraies des plaines du Centre et du Nord Ouest</v>
      </c>
      <c r="BJ495" s="135">
        <f t="shared" si="147"/>
        <v>28</v>
      </c>
      <c r="BK495" s="135" t="str">
        <f t="shared" si="149"/>
        <v>Pin Maritime_F2_Classique_GS Pineraies des plaines du Centre et du Nord Ouest_28_</v>
      </c>
      <c r="BL495" s="319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97" t="str">
        <f>+VLOOKUP(G495,Liste!$A$7:$H$69,8,FALSE)</f>
        <v>Résineux</v>
      </c>
      <c r="BU495" s="297">
        <f t="shared" si="150"/>
        <v>0</v>
      </c>
      <c r="BV495" s="299">
        <f t="shared" si="151"/>
        <v>1</v>
      </c>
      <c r="BW495" s="318">
        <v>0</v>
      </c>
      <c r="BX495" s="297">
        <f t="shared" si="152"/>
        <v>0.43</v>
      </c>
      <c r="BY495">
        <f t="shared" si="164"/>
        <v>0</v>
      </c>
      <c r="BZ495" s="303">
        <f t="shared" si="153"/>
        <v>42.138780315402954</v>
      </c>
      <c r="CB495" s="298">
        <v>0.6</v>
      </c>
      <c r="CC495" s="298">
        <v>0.4</v>
      </c>
      <c r="CD495">
        <f t="shared" si="154"/>
        <v>0</v>
      </c>
      <c r="CE495">
        <f t="shared" si="155"/>
        <v>0</v>
      </c>
      <c r="CF495">
        <f t="shared" si="156"/>
        <v>0</v>
      </c>
      <c r="CG495">
        <f t="shared" si="157"/>
        <v>0</v>
      </c>
      <c r="CH495">
        <f t="shared" si="158"/>
        <v>0</v>
      </c>
      <c r="CI495">
        <f t="shared" si="159"/>
        <v>0</v>
      </c>
      <c r="CJ495">
        <f t="shared" si="160"/>
        <v>0</v>
      </c>
      <c r="CK495">
        <f t="shared" si="161"/>
        <v>38.534205758915519</v>
      </c>
      <c r="CL495">
        <f t="shared" si="162"/>
        <v>4.1211972349037911</v>
      </c>
      <c r="CM495">
        <f t="shared" si="165"/>
        <v>42.655402993819308</v>
      </c>
      <c r="CN495">
        <f t="shared" si="163"/>
        <v>409.0505131132835</v>
      </c>
      <c r="CO495">
        <f t="shared" si="148"/>
        <v>0</v>
      </c>
    </row>
    <row r="496" spans="1:93" s="12" customFormat="1" ht="14.45" hidden="1" customHeight="1" x14ac:dyDescent="0.25">
      <c r="A496" s="4">
        <v>2021</v>
      </c>
      <c r="B496" s="4"/>
      <c r="C496" s="4" t="s">
        <v>417</v>
      </c>
      <c r="D496" s="4" t="s">
        <v>65</v>
      </c>
      <c r="E496" s="4"/>
      <c r="F496" s="4" t="s">
        <v>90</v>
      </c>
      <c r="G496" s="5" t="s">
        <v>418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419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+VLOOKUP(G496,Liste!$A$7:$G$69,3,FALSE)</f>
        <v>Pin Maritime</v>
      </c>
      <c r="BI496" s="96" t="str">
        <f>+VLOOKUP(H496,Liste!$B$7:$G$69,5,FALSE)</f>
        <v>GS Pineraies des plaines du Centre et du Nord Ouest</v>
      </c>
      <c r="BJ496" s="135">
        <f t="shared" si="147"/>
        <v>29</v>
      </c>
      <c r="BK496" s="135" t="str">
        <f t="shared" si="149"/>
        <v>Pin Maritime_F2_Classique_GS Pineraies des plaines du Centre et du Nord Ouest_29_</v>
      </c>
      <c r="BL496" s="319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97" t="str">
        <f>+VLOOKUP(G496,Liste!$A$7:$H$69,8,FALSE)</f>
        <v>Résineux</v>
      </c>
      <c r="BU496" s="297">
        <f t="shared" si="150"/>
        <v>0</v>
      </c>
      <c r="BV496" s="299">
        <f t="shared" si="151"/>
        <v>1</v>
      </c>
      <c r="BW496" s="318">
        <v>0</v>
      </c>
      <c r="BX496" s="297">
        <f t="shared" si="152"/>
        <v>0.43</v>
      </c>
      <c r="BY496">
        <f t="shared" si="164"/>
        <v>0</v>
      </c>
      <c r="BZ496" s="303">
        <f t="shared" si="153"/>
        <v>42.138780315402954</v>
      </c>
      <c r="CB496" s="298">
        <v>0.6</v>
      </c>
      <c r="CC496" s="298">
        <v>0.4</v>
      </c>
      <c r="CD496">
        <f t="shared" si="154"/>
        <v>0</v>
      </c>
      <c r="CE496">
        <f t="shared" si="155"/>
        <v>0</v>
      </c>
      <c r="CF496">
        <f t="shared" si="156"/>
        <v>0</v>
      </c>
      <c r="CG496">
        <f t="shared" si="157"/>
        <v>0</v>
      </c>
      <c r="CH496">
        <f t="shared" si="158"/>
        <v>0</v>
      </c>
      <c r="CI496">
        <f t="shared" si="159"/>
        <v>0</v>
      </c>
      <c r="CJ496">
        <f t="shared" si="160"/>
        <v>0</v>
      </c>
      <c r="CK496">
        <f t="shared" si="161"/>
        <v>37.480485876012168</v>
      </c>
      <c r="CL496">
        <f t="shared" si="162"/>
        <v>2.9141265114077197</v>
      </c>
      <c r="CM496">
        <f t="shared" si="165"/>
        <v>40.39461238741989</v>
      </c>
      <c r="CN496">
        <f t="shared" si="163"/>
        <v>449.4451255007034</v>
      </c>
      <c r="CO496">
        <f t="shared" si="148"/>
        <v>0</v>
      </c>
    </row>
    <row r="497" spans="1:93" s="12" customFormat="1" ht="14.45" hidden="1" customHeight="1" x14ac:dyDescent="0.25">
      <c r="A497" s="4">
        <v>2021</v>
      </c>
      <c r="B497" s="4"/>
      <c r="C497" s="4" t="s">
        <v>417</v>
      </c>
      <c r="D497" s="4" t="s">
        <v>65</v>
      </c>
      <c r="E497" s="4"/>
      <c r="F497" s="4" t="s">
        <v>90</v>
      </c>
      <c r="G497" s="5" t="s">
        <v>418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419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+VLOOKUP(G497,Liste!$A$7:$G$69,3,FALSE)</f>
        <v>Pin Maritime</v>
      </c>
      <c r="BI497" s="96" t="str">
        <f>+VLOOKUP(H497,Liste!$B$7:$G$69,5,FALSE)</f>
        <v>GS Pineraies des plaines du Centre et du Nord Ouest</v>
      </c>
      <c r="BJ497" s="135">
        <f t="shared" si="147"/>
        <v>29</v>
      </c>
      <c r="BK497" s="135" t="str">
        <f t="shared" si="149"/>
        <v>Pin Maritime_F2_Classique_GS Pineraies des plaines du Centre et du Nord Ouest_29_</v>
      </c>
      <c r="BL497" s="319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97" t="str">
        <f>+VLOOKUP(G497,Liste!$A$7:$H$69,8,FALSE)</f>
        <v>Résineux</v>
      </c>
      <c r="BU497" s="297">
        <f t="shared" si="150"/>
        <v>0</v>
      </c>
      <c r="BV497" s="299">
        <f t="shared" si="151"/>
        <v>1</v>
      </c>
      <c r="BW497" s="318">
        <v>0</v>
      </c>
      <c r="BX497" s="297">
        <f t="shared" si="152"/>
        <v>0.43</v>
      </c>
      <c r="BY497">
        <f t="shared" si="164"/>
        <v>22.970625330006126</v>
      </c>
      <c r="BZ497" s="303">
        <f t="shared" si="153"/>
        <v>65.109405645409083</v>
      </c>
      <c r="CB497" s="298">
        <v>0.6</v>
      </c>
      <c r="CC497" s="298">
        <v>0.4</v>
      </c>
      <c r="CD497">
        <f t="shared" si="154"/>
        <v>0</v>
      </c>
      <c r="CE497">
        <f t="shared" si="155"/>
        <v>32.052035344194593</v>
      </c>
      <c r="CF497">
        <f t="shared" si="156"/>
        <v>21.368023562796395</v>
      </c>
      <c r="CG497">
        <f t="shared" si="157"/>
        <v>0</v>
      </c>
      <c r="CH497">
        <f t="shared" si="158"/>
        <v>25.679022316590572</v>
      </c>
      <c r="CI497">
        <f t="shared" si="159"/>
        <v>17.11934821106038</v>
      </c>
      <c r="CJ497">
        <f t="shared" si="160"/>
        <v>0</v>
      </c>
      <c r="CK497">
        <f t="shared" si="161"/>
        <v>36.455580018719523</v>
      </c>
      <c r="CL497">
        <f t="shared" si="162"/>
        <v>2.0605986174518955</v>
      </c>
      <c r="CM497">
        <f t="shared" si="165"/>
        <v>38.516178636171418</v>
      </c>
      <c r="CN497">
        <f t="shared" si="163"/>
        <v>487.96130413687479</v>
      </c>
      <c r="CO497">
        <f t="shared" si="148"/>
        <v>0</v>
      </c>
    </row>
    <row r="498" spans="1:93" s="12" customFormat="1" ht="14.45" hidden="1" customHeight="1" x14ac:dyDescent="0.25">
      <c r="A498" s="4">
        <v>2021</v>
      </c>
      <c r="B498" s="4"/>
      <c r="C498" s="4" t="s">
        <v>417</v>
      </c>
      <c r="D498" s="4" t="s">
        <v>65</v>
      </c>
      <c r="E498" s="4"/>
      <c r="F498" s="4" t="s">
        <v>90</v>
      </c>
      <c r="G498" s="5" t="s">
        <v>418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419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+VLOOKUP(G498,Liste!$A$7:$G$69,3,FALSE)</f>
        <v>Pin Maritime</v>
      </c>
      <c r="BI498" s="96" t="str">
        <f>+VLOOKUP(H498,Liste!$B$7:$G$69,5,FALSE)</f>
        <v>GS Pineraies des plaines du Centre et du Nord Ouest</v>
      </c>
      <c r="BJ498" s="135">
        <f t="shared" si="147"/>
        <v>30</v>
      </c>
      <c r="BK498" s="135" t="str">
        <f t="shared" si="149"/>
        <v>Pin Maritime_F2_Classique_GS Pineraies des plaines du Centre et du Nord Ouest_30_</v>
      </c>
      <c r="BL498" s="319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97" t="str">
        <f>+VLOOKUP(G498,Liste!$A$7:$H$69,8,FALSE)</f>
        <v>Résineux</v>
      </c>
      <c r="BU498" s="297">
        <f t="shared" si="150"/>
        <v>0</v>
      </c>
      <c r="BV498" s="299">
        <f t="shared" si="151"/>
        <v>1</v>
      </c>
      <c r="BW498" s="318">
        <v>0</v>
      </c>
      <c r="BX498" s="297">
        <f t="shared" si="152"/>
        <v>0.43</v>
      </c>
      <c r="BY498">
        <f t="shared" si="164"/>
        <v>0</v>
      </c>
      <c r="BZ498" s="303">
        <f t="shared" si="153"/>
        <v>65.109405645409083</v>
      </c>
      <c r="CB498" s="298">
        <v>0.6</v>
      </c>
      <c r="CC498" s="298">
        <v>0.4</v>
      </c>
      <c r="CD498">
        <f t="shared" si="154"/>
        <v>0</v>
      </c>
      <c r="CE498">
        <f t="shared" si="155"/>
        <v>0</v>
      </c>
      <c r="CF498">
        <f t="shared" si="156"/>
        <v>0</v>
      </c>
      <c r="CG498">
        <f t="shared" si="157"/>
        <v>0</v>
      </c>
      <c r="CH498">
        <f t="shared" si="158"/>
        <v>0</v>
      </c>
      <c r="CI498">
        <f t="shared" si="159"/>
        <v>0</v>
      </c>
      <c r="CJ498">
        <f t="shared" si="160"/>
        <v>0</v>
      </c>
      <c r="CK498">
        <f t="shared" si="161"/>
        <v>60.785003082408608</v>
      </c>
      <c r="CL498">
        <f t="shared" si="162"/>
        <v>15.924815970142424</v>
      </c>
      <c r="CM498">
        <f t="shared" si="165"/>
        <v>76.709819052551026</v>
      </c>
      <c r="CN498">
        <f t="shared" si="163"/>
        <v>564.67112318942577</v>
      </c>
      <c r="CO498">
        <f t="shared" si="148"/>
        <v>18.822370772980857</v>
      </c>
    </row>
    <row r="499" spans="1:93" s="12" customFormat="1" ht="14.45" hidden="1" customHeight="1" x14ac:dyDescent="0.25">
      <c r="A499" s="4">
        <v>2021</v>
      </c>
      <c r="B499" s="4"/>
      <c r="C499" s="4" t="s">
        <v>417</v>
      </c>
      <c r="D499" s="4" t="s">
        <v>65</v>
      </c>
      <c r="E499" s="4"/>
      <c r="F499" s="4" t="s">
        <v>90</v>
      </c>
      <c r="G499" s="5" t="s">
        <v>418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419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+VLOOKUP(G499,Liste!$A$7:$G$69,3,FALSE)</f>
        <v>Pin Maritime</v>
      </c>
      <c r="BI499" s="96" t="str">
        <f>+VLOOKUP(H499,Liste!$B$7:$G$69,5,FALSE)</f>
        <v>GS Pineraies des plaines du Centre et du Nord Ouest</v>
      </c>
      <c r="BJ499" s="135">
        <f t="shared" si="147"/>
        <v>31</v>
      </c>
      <c r="BK499" s="135" t="str">
        <f t="shared" si="149"/>
        <v>Pin Maritime_F2_Classique_GS Pineraies des plaines du Centre et du Nord Ouest_31_</v>
      </c>
      <c r="BL499" s="319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97" t="str">
        <f>+VLOOKUP(G499,Liste!$A$7:$H$69,8,FALSE)</f>
        <v>Résineux</v>
      </c>
      <c r="BU499" s="297">
        <f t="shared" si="150"/>
        <v>0</v>
      </c>
      <c r="BV499" s="299">
        <f t="shared" si="151"/>
        <v>1</v>
      </c>
      <c r="BW499" s="318">
        <v>0</v>
      </c>
      <c r="BX499" s="297">
        <f t="shared" si="152"/>
        <v>0.43</v>
      </c>
      <c r="BY499">
        <f t="shared" si="164"/>
        <v>0</v>
      </c>
      <c r="BZ499" s="303">
        <f t="shared" si="153"/>
        <v>0</v>
      </c>
      <c r="CB499" s="298">
        <v>0.6</v>
      </c>
      <c r="CC499" s="298">
        <v>0.4</v>
      </c>
      <c r="CD499">
        <f t="shared" si="154"/>
        <v>0</v>
      </c>
      <c r="CE499">
        <f t="shared" si="155"/>
        <v>0</v>
      </c>
      <c r="CF499">
        <f t="shared" si="156"/>
        <v>0</v>
      </c>
      <c r="CG499">
        <f t="shared" si="157"/>
        <v>0</v>
      </c>
      <c r="CH499">
        <f t="shared" si="158"/>
        <v>0</v>
      </c>
      <c r="CI499">
        <f t="shared" si="159"/>
        <v>0</v>
      </c>
      <c r="CJ499">
        <f t="shared" si="160"/>
        <v>0</v>
      </c>
      <c r="CK499">
        <f t="shared" si="161"/>
        <v>59.122833976575755</v>
      </c>
      <c r="CL499">
        <f t="shared" si="162"/>
        <v>11.260545361635538</v>
      </c>
      <c r="CM499">
        <f t="shared" si="165"/>
        <v>70.383379338211299</v>
      </c>
      <c r="CN499">
        <f t="shared" si="163"/>
        <v>635.05450252763706</v>
      </c>
      <c r="CO499">
        <f t="shared" si="148"/>
        <v>0</v>
      </c>
    </row>
    <row r="500" spans="1:93" s="12" customFormat="1" ht="14.45" hidden="1" customHeight="1" x14ac:dyDescent="0.25">
      <c r="A500" s="4">
        <v>2021</v>
      </c>
      <c r="B500" s="4"/>
      <c r="C500" s="4" t="s">
        <v>417</v>
      </c>
      <c r="D500" s="4" t="s">
        <v>65</v>
      </c>
      <c r="E500" s="4"/>
      <c r="F500" s="4" t="s">
        <v>90</v>
      </c>
      <c r="G500" s="5" t="s">
        <v>418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419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+VLOOKUP(G500,Liste!$A$7:$G$69,3,FALSE)</f>
        <v>Pin Maritime</v>
      </c>
      <c r="BI500" s="96" t="str">
        <f>+VLOOKUP(H500,Liste!$B$7:$G$69,5,FALSE)</f>
        <v>GS Pineraies des plaines du Centre et du Nord Ouest</v>
      </c>
      <c r="BJ500" s="135">
        <f t="shared" si="147"/>
        <v>32</v>
      </c>
      <c r="BK500" s="135" t="str">
        <f t="shared" si="149"/>
        <v>Pin Maritime_F2_Classique_GS Pineraies des plaines du Centre et du Nord Ouest_32_</v>
      </c>
      <c r="BL500" s="319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97" t="str">
        <f>+VLOOKUP(G500,Liste!$A$7:$H$69,8,FALSE)</f>
        <v>Résineux</v>
      </c>
      <c r="BU500" s="297">
        <f t="shared" si="150"/>
        <v>0</v>
      </c>
      <c r="BV500" s="299">
        <f t="shared" si="151"/>
        <v>1</v>
      </c>
      <c r="BW500" s="318">
        <v>0</v>
      </c>
      <c r="BX500" s="297">
        <f t="shared" si="152"/>
        <v>0.43</v>
      </c>
      <c r="BY500">
        <f t="shared" si="164"/>
        <v>0</v>
      </c>
      <c r="BZ500" s="303">
        <f t="shared" si="153"/>
        <v>0</v>
      </c>
      <c r="CB500" s="298">
        <v>0.6</v>
      </c>
      <c r="CC500" s="298">
        <v>0.4</v>
      </c>
      <c r="CD500">
        <f t="shared" si="154"/>
        <v>0</v>
      </c>
      <c r="CE500">
        <f t="shared" si="155"/>
        <v>0</v>
      </c>
      <c r="CF500">
        <f t="shared" si="156"/>
        <v>0</v>
      </c>
      <c r="CG500">
        <f t="shared" si="157"/>
        <v>0</v>
      </c>
      <c r="CH500">
        <f t="shared" si="158"/>
        <v>0</v>
      </c>
      <c r="CI500">
        <f t="shared" si="159"/>
        <v>0</v>
      </c>
      <c r="CJ500">
        <f t="shared" si="160"/>
        <v>0</v>
      </c>
      <c r="CK500">
        <f t="shared" si="161"/>
        <v>0</v>
      </c>
      <c r="CL500">
        <f t="shared" si="162"/>
        <v>0</v>
      </c>
      <c r="CM500">
        <f t="shared" si="165"/>
        <v>0</v>
      </c>
      <c r="CN500">
        <f t="shared" si="163"/>
        <v>0</v>
      </c>
      <c r="CO500">
        <f t="shared" si="148"/>
        <v>0</v>
      </c>
    </row>
    <row r="501" spans="1:93" s="12" customFormat="1" ht="14.45" hidden="1" customHeight="1" x14ac:dyDescent="0.25">
      <c r="A501" s="4">
        <v>2021</v>
      </c>
      <c r="B501" s="4"/>
      <c r="C501" s="4" t="s">
        <v>417</v>
      </c>
      <c r="D501" s="4" t="s">
        <v>65</v>
      </c>
      <c r="E501" s="4"/>
      <c r="F501" s="4" t="s">
        <v>90</v>
      </c>
      <c r="G501" s="5" t="s">
        <v>418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419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+VLOOKUP(G501,Liste!$A$7:$G$69,3,FALSE)</f>
        <v>Pin Maritime</v>
      </c>
      <c r="BI501" s="96" t="str">
        <f>+VLOOKUP(H501,Liste!$B$7:$G$69,5,FALSE)</f>
        <v>GS Pineraies des plaines du Centre et du Nord Ouest</v>
      </c>
      <c r="BJ501" s="135">
        <f t="shared" si="147"/>
        <v>33</v>
      </c>
      <c r="BK501" s="135" t="str">
        <f t="shared" si="149"/>
        <v>Pin Maritime_F2_Classique_GS Pineraies des plaines du Centre et du Nord Ouest_33_</v>
      </c>
      <c r="BL501" s="319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97" t="str">
        <f>+VLOOKUP(G501,Liste!$A$7:$H$69,8,FALSE)</f>
        <v>Résineux</v>
      </c>
      <c r="BU501" s="297">
        <f t="shared" si="150"/>
        <v>0</v>
      </c>
      <c r="BV501" s="299">
        <f t="shared" si="151"/>
        <v>1</v>
      </c>
      <c r="BW501" s="318">
        <v>0</v>
      </c>
      <c r="BX501" s="297">
        <f t="shared" si="152"/>
        <v>0.43</v>
      </c>
      <c r="BY501">
        <f t="shared" si="164"/>
        <v>0</v>
      </c>
      <c r="BZ501" s="303">
        <f t="shared" si="153"/>
        <v>0</v>
      </c>
      <c r="CB501" s="298">
        <v>0.6</v>
      </c>
      <c r="CC501" s="298">
        <v>0.4</v>
      </c>
      <c r="CD501">
        <f t="shared" si="154"/>
        <v>0</v>
      </c>
      <c r="CE501">
        <f t="shared" si="155"/>
        <v>0</v>
      </c>
      <c r="CF501">
        <f t="shared" si="156"/>
        <v>0</v>
      </c>
      <c r="CG501">
        <f t="shared" si="157"/>
        <v>0</v>
      </c>
      <c r="CH501">
        <f t="shared" si="158"/>
        <v>0</v>
      </c>
      <c r="CI501">
        <f t="shared" si="159"/>
        <v>0</v>
      </c>
      <c r="CJ501">
        <f t="shared" si="160"/>
        <v>0</v>
      </c>
      <c r="CK501">
        <f t="shared" si="161"/>
        <v>0</v>
      </c>
      <c r="CL501">
        <f t="shared" si="162"/>
        <v>0</v>
      </c>
      <c r="CM501">
        <f t="shared" si="165"/>
        <v>0</v>
      </c>
      <c r="CN501">
        <f t="shared" si="163"/>
        <v>0</v>
      </c>
      <c r="CO501">
        <f t="shared" si="148"/>
        <v>0</v>
      </c>
    </row>
    <row r="502" spans="1:93" s="12" customFormat="1" ht="14.45" hidden="1" customHeight="1" x14ac:dyDescent="0.25">
      <c r="A502" s="4">
        <v>2021</v>
      </c>
      <c r="B502" s="4"/>
      <c r="C502" s="4" t="s">
        <v>417</v>
      </c>
      <c r="D502" s="4" t="s">
        <v>65</v>
      </c>
      <c r="E502" s="4"/>
      <c r="F502" s="4" t="s">
        <v>90</v>
      </c>
      <c r="G502" s="5" t="s">
        <v>418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419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+VLOOKUP(G502,Liste!$A$7:$G$69,3,FALSE)</f>
        <v>Pin Maritime</v>
      </c>
      <c r="BI502" s="96" t="str">
        <f>+VLOOKUP(H502,Liste!$B$7:$G$69,5,FALSE)</f>
        <v>GS Pineraies des plaines du Centre et du Nord Ouest</v>
      </c>
      <c r="BJ502" s="135">
        <f t="shared" si="147"/>
        <v>34</v>
      </c>
      <c r="BK502" s="135" t="str">
        <f t="shared" si="149"/>
        <v>Pin Maritime_F2_Classique_GS Pineraies des plaines du Centre et du Nord Ouest_34_</v>
      </c>
      <c r="BL502" s="319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97" t="str">
        <f>+VLOOKUP(G502,Liste!$A$7:$H$69,8,FALSE)</f>
        <v>Résineux</v>
      </c>
      <c r="BU502" s="297">
        <f t="shared" si="150"/>
        <v>0</v>
      </c>
      <c r="BV502" s="299">
        <f t="shared" si="151"/>
        <v>1</v>
      </c>
      <c r="BW502" s="318">
        <v>0</v>
      </c>
      <c r="BX502" s="297">
        <f t="shared" si="152"/>
        <v>0.43</v>
      </c>
      <c r="BY502">
        <f t="shared" si="164"/>
        <v>0</v>
      </c>
      <c r="BZ502" s="303">
        <f t="shared" si="153"/>
        <v>0</v>
      </c>
      <c r="CB502" s="298">
        <v>0.6</v>
      </c>
      <c r="CC502" s="298">
        <v>0.4</v>
      </c>
      <c r="CD502">
        <f t="shared" si="154"/>
        <v>0</v>
      </c>
      <c r="CE502">
        <f t="shared" si="155"/>
        <v>0</v>
      </c>
      <c r="CF502">
        <f t="shared" si="156"/>
        <v>0</v>
      </c>
      <c r="CG502">
        <f t="shared" si="157"/>
        <v>0</v>
      </c>
      <c r="CH502">
        <f t="shared" si="158"/>
        <v>0</v>
      </c>
      <c r="CI502">
        <f t="shared" si="159"/>
        <v>0</v>
      </c>
      <c r="CJ502">
        <f t="shared" si="160"/>
        <v>0</v>
      </c>
      <c r="CK502">
        <f t="shared" si="161"/>
        <v>0</v>
      </c>
      <c r="CL502">
        <f t="shared" si="162"/>
        <v>0</v>
      </c>
      <c r="CM502">
        <f t="shared" si="165"/>
        <v>0</v>
      </c>
      <c r="CN502">
        <f t="shared" si="163"/>
        <v>0</v>
      </c>
      <c r="CO502">
        <f t="shared" si="148"/>
        <v>0</v>
      </c>
    </row>
    <row r="503" spans="1:93" s="12" customFormat="1" ht="14.45" hidden="1" customHeight="1" x14ac:dyDescent="0.25">
      <c r="A503" s="4">
        <v>2021</v>
      </c>
      <c r="B503" s="4"/>
      <c r="C503" s="4" t="s">
        <v>417</v>
      </c>
      <c r="D503" s="4" t="s">
        <v>65</v>
      </c>
      <c r="E503" s="4"/>
      <c r="F503" s="4" t="s">
        <v>90</v>
      </c>
      <c r="G503" s="5" t="s">
        <v>418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419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+VLOOKUP(G503,Liste!$A$7:$G$69,3,FALSE)</f>
        <v>Pin Maritime</v>
      </c>
      <c r="BI503" s="96" t="str">
        <f>+VLOOKUP(H503,Liste!$B$7:$G$69,5,FALSE)</f>
        <v>GS Pineraies des plaines du Centre et du Nord Ouest</v>
      </c>
      <c r="BJ503" s="135">
        <f t="shared" si="147"/>
        <v>35</v>
      </c>
      <c r="BK503" s="135" t="str">
        <f t="shared" si="149"/>
        <v>Pin Maritime_F2_Classique_GS Pineraies des plaines du Centre et du Nord Ouest_35_</v>
      </c>
      <c r="BL503" s="319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97" t="str">
        <f>+VLOOKUP(G503,Liste!$A$7:$H$69,8,FALSE)</f>
        <v>Résineux</v>
      </c>
      <c r="BU503" s="297">
        <f t="shared" si="150"/>
        <v>0</v>
      </c>
      <c r="BV503" s="299">
        <f t="shared" si="151"/>
        <v>1</v>
      </c>
      <c r="BW503" s="318">
        <v>0</v>
      </c>
      <c r="BX503" s="297">
        <f t="shared" si="152"/>
        <v>0.43</v>
      </c>
      <c r="BY503">
        <f t="shared" si="164"/>
        <v>0</v>
      </c>
      <c r="BZ503" s="303">
        <f t="shared" si="153"/>
        <v>0</v>
      </c>
      <c r="CB503" s="298">
        <v>0.6</v>
      </c>
      <c r="CC503" s="298">
        <v>0.4</v>
      </c>
      <c r="CD503">
        <f t="shared" si="154"/>
        <v>0</v>
      </c>
      <c r="CE503">
        <f t="shared" si="155"/>
        <v>0</v>
      </c>
      <c r="CF503">
        <f t="shared" si="156"/>
        <v>0</v>
      </c>
      <c r="CG503">
        <f t="shared" si="157"/>
        <v>0</v>
      </c>
      <c r="CH503">
        <f t="shared" si="158"/>
        <v>0</v>
      </c>
      <c r="CI503">
        <f t="shared" si="159"/>
        <v>0</v>
      </c>
      <c r="CJ503">
        <f t="shared" si="160"/>
        <v>0</v>
      </c>
      <c r="CK503">
        <f t="shared" si="161"/>
        <v>0</v>
      </c>
      <c r="CL503">
        <f t="shared" si="162"/>
        <v>0</v>
      </c>
      <c r="CM503">
        <f t="shared" si="165"/>
        <v>0</v>
      </c>
      <c r="CN503">
        <f t="shared" si="163"/>
        <v>0</v>
      </c>
      <c r="CO503">
        <f t="shared" si="148"/>
        <v>0</v>
      </c>
    </row>
    <row r="504" spans="1:93" s="12" customFormat="1" ht="14.45" hidden="1" customHeight="1" x14ac:dyDescent="0.25">
      <c r="A504" s="4">
        <v>2021</v>
      </c>
      <c r="B504" s="4"/>
      <c r="C504" s="4" t="s">
        <v>417</v>
      </c>
      <c r="D504" s="4" t="s">
        <v>65</v>
      </c>
      <c r="E504" s="4"/>
      <c r="F504" s="4" t="s">
        <v>90</v>
      </c>
      <c r="G504" s="5" t="s">
        <v>418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419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+VLOOKUP(G504,Liste!$A$7:$G$69,3,FALSE)</f>
        <v>Pin Maritime</v>
      </c>
      <c r="BI504" s="96" t="str">
        <f>+VLOOKUP(H504,Liste!$B$7:$G$69,5,FALSE)</f>
        <v>GS Pineraies des plaines du Centre et du Nord Ouest</v>
      </c>
      <c r="BJ504" s="135">
        <f t="shared" si="147"/>
        <v>36</v>
      </c>
      <c r="BK504" s="135" t="str">
        <f t="shared" si="149"/>
        <v>Pin Maritime_F2_Classique_GS Pineraies des plaines du Centre et du Nord Ouest_36_</v>
      </c>
      <c r="BL504" s="319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97" t="str">
        <f>+VLOOKUP(G504,Liste!$A$7:$H$69,8,FALSE)</f>
        <v>Résineux</v>
      </c>
      <c r="BU504" s="297">
        <f t="shared" si="150"/>
        <v>0</v>
      </c>
      <c r="BV504" s="299">
        <f t="shared" si="151"/>
        <v>1</v>
      </c>
      <c r="BW504" s="318">
        <v>0</v>
      </c>
      <c r="BX504" s="297">
        <f t="shared" si="152"/>
        <v>0.43</v>
      </c>
      <c r="BY504">
        <f t="shared" si="164"/>
        <v>0</v>
      </c>
      <c r="BZ504" s="303">
        <f t="shared" si="153"/>
        <v>0</v>
      </c>
      <c r="CB504" s="298">
        <v>0.6</v>
      </c>
      <c r="CC504" s="298">
        <v>0.4</v>
      </c>
      <c r="CD504">
        <f t="shared" si="154"/>
        <v>0</v>
      </c>
      <c r="CE504">
        <f t="shared" si="155"/>
        <v>0</v>
      </c>
      <c r="CF504">
        <f t="shared" si="156"/>
        <v>0</v>
      </c>
      <c r="CG504">
        <f t="shared" si="157"/>
        <v>0</v>
      </c>
      <c r="CH504">
        <f t="shared" si="158"/>
        <v>0</v>
      </c>
      <c r="CI504">
        <f t="shared" si="159"/>
        <v>0</v>
      </c>
      <c r="CJ504">
        <f t="shared" si="160"/>
        <v>0</v>
      </c>
      <c r="CK504">
        <f t="shared" si="161"/>
        <v>0</v>
      </c>
      <c r="CL504">
        <f t="shared" si="162"/>
        <v>0</v>
      </c>
      <c r="CM504">
        <f t="shared" si="165"/>
        <v>0</v>
      </c>
      <c r="CN504">
        <f t="shared" si="163"/>
        <v>0</v>
      </c>
      <c r="CO504">
        <f t="shared" si="148"/>
        <v>0</v>
      </c>
    </row>
    <row r="505" spans="1:93" s="12" customFormat="1" ht="14.45" hidden="1" customHeight="1" x14ac:dyDescent="0.25">
      <c r="A505" s="4">
        <v>2021</v>
      </c>
      <c r="B505" s="4"/>
      <c r="C505" s="4" t="s">
        <v>417</v>
      </c>
      <c r="D505" s="4" t="s">
        <v>65</v>
      </c>
      <c r="E505" s="4"/>
      <c r="F505" s="4" t="s">
        <v>90</v>
      </c>
      <c r="G505" s="5" t="s">
        <v>418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419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+VLOOKUP(G505,Liste!$A$7:$G$69,3,FALSE)</f>
        <v>Pin Maritime</v>
      </c>
      <c r="BI505" s="96" t="str">
        <f>+VLOOKUP(H505,Liste!$B$7:$G$69,5,FALSE)</f>
        <v>GS Pineraies des plaines du Centre et du Nord Ouest</v>
      </c>
      <c r="BJ505" s="135">
        <f t="shared" si="147"/>
        <v>36</v>
      </c>
      <c r="BK505" s="135" t="str">
        <f t="shared" si="149"/>
        <v>Pin Maritime_F2_Classique_GS Pineraies des plaines du Centre et du Nord Ouest_36_</v>
      </c>
      <c r="BL505" s="319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97" t="str">
        <f>+VLOOKUP(G505,Liste!$A$7:$H$69,8,FALSE)</f>
        <v>Résineux</v>
      </c>
      <c r="BU505" s="297">
        <f t="shared" si="150"/>
        <v>0</v>
      </c>
      <c r="BV505" s="299">
        <f t="shared" si="151"/>
        <v>1</v>
      </c>
      <c r="BW505" s="318">
        <v>0</v>
      </c>
      <c r="BX505" s="297">
        <f t="shared" si="152"/>
        <v>0.43</v>
      </c>
      <c r="BY505">
        <f t="shared" si="164"/>
        <v>0</v>
      </c>
      <c r="BZ505" s="303">
        <f t="shared" si="153"/>
        <v>0</v>
      </c>
      <c r="CB505" s="298">
        <v>0.6</v>
      </c>
      <c r="CC505" s="298">
        <v>0.4</v>
      </c>
      <c r="CD505">
        <f t="shared" si="154"/>
        <v>0</v>
      </c>
      <c r="CE505">
        <f t="shared" si="155"/>
        <v>0</v>
      </c>
      <c r="CF505">
        <f t="shared" si="156"/>
        <v>0</v>
      </c>
      <c r="CG505">
        <f t="shared" si="157"/>
        <v>0</v>
      </c>
      <c r="CH505">
        <f t="shared" si="158"/>
        <v>0</v>
      </c>
      <c r="CI505">
        <f t="shared" si="159"/>
        <v>0</v>
      </c>
      <c r="CJ505">
        <f t="shared" si="160"/>
        <v>0</v>
      </c>
      <c r="CK505">
        <f t="shared" si="161"/>
        <v>0</v>
      </c>
      <c r="CL505">
        <f t="shared" si="162"/>
        <v>0</v>
      </c>
      <c r="CM505">
        <f t="shared" si="165"/>
        <v>0</v>
      </c>
      <c r="CN505">
        <f t="shared" si="163"/>
        <v>0</v>
      </c>
      <c r="CO505">
        <f t="shared" si="148"/>
        <v>0</v>
      </c>
    </row>
    <row r="506" spans="1:93" s="12" customFormat="1" ht="14.45" hidden="1" customHeight="1" x14ac:dyDescent="0.25">
      <c r="A506" s="4">
        <v>2021</v>
      </c>
      <c r="B506" s="4"/>
      <c r="C506" s="4" t="s">
        <v>417</v>
      </c>
      <c r="D506" s="4" t="s">
        <v>65</v>
      </c>
      <c r="E506" s="4"/>
      <c r="F506" s="4" t="s">
        <v>90</v>
      </c>
      <c r="G506" s="5" t="s">
        <v>418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419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+VLOOKUP(G506,Liste!$A$7:$G$69,3,FALSE)</f>
        <v>Pin Maritime</v>
      </c>
      <c r="BI506" s="96" t="str">
        <f>+VLOOKUP(H506,Liste!$B$7:$G$69,5,FALSE)</f>
        <v>GS Pineraies des plaines du Centre et du Nord Ouest</v>
      </c>
      <c r="BJ506" s="135">
        <f t="shared" si="147"/>
        <v>37</v>
      </c>
      <c r="BK506" s="135" t="str">
        <f t="shared" si="149"/>
        <v>Pin Maritime_F2_Classique_GS Pineraies des plaines du Centre et du Nord Ouest_37_</v>
      </c>
      <c r="BL506" s="319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97" t="str">
        <f>+VLOOKUP(G506,Liste!$A$7:$H$69,8,FALSE)</f>
        <v>Résineux</v>
      </c>
      <c r="BU506" s="297">
        <f t="shared" si="150"/>
        <v>0</v>
      </c>
      <c r="BV506" s="299">
        <f t="shared" si="151"/>
        <v>1</v>
      </c>
      <c r="BW506" s="318">
        <v>0</v>
      </c>
      <c r="BX506" s="297">
        <f t="shared" si="152"/>
        <v>0.43</v>
      </c>
      <c r="BY506">
        <f t="shared" si="164"/>
        <v>0</v>
      </c>
      <c r="BZ506" s="303">
        <f t="shared" si="153"/>
        <v>0</v>
      </c>
      <c r="CB506" s="298">
        <v>0.6</v>
      </c>
      <c r="CC506" s="298">
        <v>0.4</v>
      </c>
      <c r="CD506">
        <f t="shared" si="154"/>
        <v>0</v>
      </c>
      <c r="CE506">
        <f t="shared" si="155"/>
        <v>0</v>
      </c>
      <c r="CF506">
        <f t="shared" si="156"/>
        <v>0</v>
      </c>
      <c r="CG506">
        <f t="shared" si="157"/>
        <v>0</v>
      </c>
      <c r="CH506">
        <f t="shared" si="158"/>
        <v>0</v>
      </c>
      <c r="CI506">
        <f t="shared" si="159"/>
        <v>0</v>
      </c>
      <c r="CJ506">
        <f t="shared" si="160"/>
        <v>0</v>
      </c>
      <c r="CK506">
        <f t="shared" si="161"/>
        <v>0</v>
      </c>
      <c r="CL506">
        <f t="shared" si="162"/>
        <v>0</v>
      </c>
      <c r="CM506">
        <f t="shared" si="165"/>
        <v>0</v>
      </c>
      <c r="CN506">
        <f t="shared" si="163"/>
        <v>0</v>
      </c>
      <c r="CO506">
        <f t="shared" si="148"/>
        <v>0</v>
      </c>
    </row>
    <row r="507" spans="1:93" s="12" customFormat="1" ht="14.45" hidden="1" customHeight="1" x14ac:dyDescent="0.25">
      <c r="A507" s="4">
        <v>2021</v>
      </c>
      <c r="B507" s="4"/>
      <c r="C507" s="4" t="s">
        <v>417</v>
      </c>
      <c r="D507" s="4" t="s">
        <v>65</v>
      </c>
      <c r="E507" s="4"/>
      <c r="F507" s="4" t="s">
        <v>90</v>
      </c>
      <c r="G507" s="5" t="s">
        <v>418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419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+VLOOKUP(G507,Liste!$A$7:$G$69,3,FALSE)</f>
        <v>Pin Maritime</v>
      </c>
      <c r="BI507" s="96" t="str">
        <f>+VLOOKUP(H507,Liste!$B$7:$G$69,5,FALSE)</f>
        <v>GS Pineraies des plaines du Centre et du Nord Ouest</v>
      </c>
      <c r="BJ507" s="135">
        <f t="shared" si="147"/>
        <v>38</v>
      </c>
      <c r="BK507" s="135" t="str">
        <f t="shared" si="149"/>
        <v>Pin Maritime_F2_Classique_GS Pineraies des plaines du Centre et du Nord Ouest_38_</v>
      </c>
      <c r="BL507" s="319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97" t="str">
        <f>+VLOOKUP(G507,Liste!$A$7:$H$69,8,FALSE)</f>
        <v>Résineux</v>
      </c>
      <c r="BU507" s="297">
        <f t="shared" si="150"/>
        <v>0</v>
      </c>
      <c r="BV507" s="299">
        <f t="shared" si="151"/>
        <v>1</v>
      </c>
      <c r="BW507" s="318">
        <v>0</v>
      </c>
      <c r="BX507" s="297">
        <f t="shared" si="152"/>
        <v>0.43</v>
      </c>
      <c r="BY507">
        <f t="shared" si="164"/>
        <v>0</v>
      </c>
      <c r="BZ507" s="303">
        <f t="shared" si="153"/>
        <v>0</v>
      </c>
      <c r="CB507" s="298">
        <v>0.6</v>
      </c>
      <c r="CC507" s="298">
        <v>0.4</v>
      </c>
      <c r="CD507">
        <f t="shared" si="154"/>
        <v>0</v>
      </c>
      <c r="CE507">
        <f t="shared" si="155"/>
        <v>0</v>
      </c>
      <c r="CF507">
        <f t="shared" si="156"/>
        <v>0</v>
      </c>
      <c r="CG507">
        <f t="shared" si="157"/>
        <v>0</v>
      </c>
      <c r="CH507">
        <f t="shared" si="158"/>
        <v>0</v>
      </c>
      <c r="CI507">
        <f t="shared" si="159"/>
        <v>0</v>
      </c>
      <c r="CJ507">
        <f t="shared" si="160"/>
        <v>0</v>
      </c>
      <c r="CK507">
        <f t="shared" si="161"/>
        <v>0</v>
      </c>
      <c r="CL507">
        <f t="shared" si="162"/>
        <v>0</v>
      </c>
      <c r="CM507">
        <f t="shared" si="165"/>
        <v>0</v>
      </c>
      <c r="CN507">
        <f t="shared" si="163"/>
        <v>0</v>
      </c>
      <c r="CO507">
        <f t="shared" si="148"/>
        <v>0</v>
      </c>
    </row>
    <row r="508" spans="1:93" s="12" customFormat="1" ht="14.45" hidden="1" customHeight="1" x14ac:dyDescent="0.25">
      <c r="A508" s="4">
        <v>2021</v>
      </c>
      <c r="B508" s="4"/>
      <c r="C508" s="4" t="s">
        <v>417</v>
      </c>
      <c r="D508" s="4" t="s">
        <v>65</v>
      </c>
      <c r="E508" s="4"/>
      <c r="F508" s="4" t="s">
        <v>90</v>
      </c>
      <c r="G508" s="5" t="s">
        <v>418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419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+VLOOKUP(G508,Liste!$A$7:$G$69,3,FALSE)</f>
        <v>Pin Maritime</v>
      </c>
      <c r="BI508" s="96" t="str">
        <f>+VLOOKUP(H508,Liste!$B$7:$G$69,5,FALSE)</f>
        <v>GS Pineraies des plaines du Centre et du Nord Ouest</v>
      </c>
      <c r="BJ508" s="135">
        <f t="shared" si="147"/>
        <v>39</v>
      </c>
      <c r="BK508" s="135" t="str">
        <f t="shared" si="149"/>
        <v>Pin Maritime_F2_Classique_GS Pineraies des plaines du Centre et du Nord Ouest_39_</v>
      </c>
      <c r="BL508" s="319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97" t="str">
        <f>+VLOOKUP(G508,Liste!$A$7:$H$69,8,FALSE)</f>
        <v>Résineux</v>
      </c>
      <c r="BU508" s="297">
        <f t="shared" si="150"/>
        <v>0</v>
      </c>
      <c r="BV508" s="299">
        <f t="shared" si="151"/>
        <v>1</v>
      </c>
      <c r="BW508" s="318">
        <v>0</v>
      </c>
      <c r="BX508" s="297">
        <f t="shared" si="152"/>
        <v>0.43</v>
      </c>
      <c r="BY508">
        <f t="shared" si="164"/>
        <v>0</v>
      </c>
      <c r="BZ508" s="303">
        <f t="shared" si="153"/>
        <v>0</v>
      </c>
      <c r="CB508" s="298">
        <v>0.6</v>
      </c>
      <c r="CC508" s="298">
        <v>0.4</v>
      </c>
      <c r="CD508">
        <f t="shared" si="154"/>
        <v>0</v>
      </c>
      <c r="CE508">
        <f t="shared" si="155"/>
        <v>0</v>
      </c>
      <c r="CF508">
        <f t="shared" si="156"/>
        <v>0</v>
      </c>
      <c r="CG508">
        <f t="shared" si="157"/>
        <v>0</v>
      </c>
      <c r="CH508">
        <f t="shared" si="158"/>
        <v>0</v>
      </c>
      <c r="CI508">
        <f t="shared" si="159"/>
        <v>0</v>
      </c>
      <c r="CJ508">
        <f t="shared" si="160"/>
        <v>0</v>
      </c>
      <c r="CK508">
        <f t="shared" si="161"/>
        <v>0</v>
      </c>
      <c r="CL508">
        <f t="shared" si="162"/>
        <v>0</v>
      </c>
      <c r="CM508">
        <f t="shared" si="165"/>
        <v>0</v>
      </c>
      <c r="CN508">
        <f t="shared" si="163"/>
        <v>0</v>
      </c>
      <c r="CO508">
        <f t="shared" si="148"/>
        <v>0</v>
      </c>
    </row>
    <row r="509" spans="1:93" s="12" customFormat="1" ht="14.45" hidden="1" customHeight="1" x14ac:dyDescent="0.25">
      <c r="A509" s="4">
        <v>2021</v>
      </c>
      <c r="B509" s="4"/>
      <c r="C509" s="4" t="s">
        <v>417</v>
      </c>
      <c r="D509" s="4" t="s">
        <v>65</v>
      </c>
      <c r="E509" s="4"/>
      <c r="F509" s="4" t="s">
        <v>90</v>
      </c>
      <c r="G509" s="5" t="s">
        <v>418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419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+VLOOKUP(G509,Liste!$A$7:$G$69,3,FALSE)</f>
        <v>Pin Maritime</v>
      </c>
      <c r="BI509" s="96" t="str">
        <f>+VLOOKUP(H509,Liste!$B$7:$G$69,5,FALSE)</f>
        <v>GS Pineraies des plaines du Centre et du Nord Ouest</v>
      </c>
      <c r="BJ509" s="135">
        <f t="shared" si="147"/>
        <v>40</v>
      </c>
      <c r="BK509" s="135" t="str">
        <f t="shared" si="149"/>
        <v>Pin Maritime_F2_Classique_GS Pineraies des plaines du Centre et du Nord Ouest_40_</v>
      </c>
      <c r="BL509" s="319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97" t="str">
        <f>+VLOOKUP(G509,Liste!$A$7:$H$69,8,FALSE)</f>
        <v>Résineux</v>
      </c>
      <c r="BU509" s="297">
        <f t="shared" si="150"/>
        <v>0</v>
      </c>
      <c r="BV509" s="299">
        <f t="shared" si="151"/>
        <v>1</v>
      </c>
      <c r="BW509" s="318">
        <v>0</v>
      </c>
      <c r="BX509" s="297">
        <f t="shared" si="152"/>
        <v>0.43</v>
      </c>
      <c r="BY509">
        <f t="shared" si="164"/>
        <v>0</v>
      </c>
      <c r="BZ509" s="303">
        <f t="shared" si="153"/>
        <v>0</v>
      </c>
      <c r="CB509" s="298">
        <v>0.6</v>
      </c>
      <c r="CC509" s="298">
        <v>0.4</v>
      </c>
      <c r="CD509">
        <f t="shared" si="154"/>
        <v>0</v>
      </c>
      <c r="CE509">
        <f t="shared" si="155"/>
        <v>0</v>
      </c>
      <c r="CF509">
        <f t="shared" si="156"/>
        <v>0</v>
      </c>
      <c r="CG509">
        <f t="shared" si="157"/>
        <v>0</v>
      </c>
      <c r="CH509">
        <f t="shared" si="158"/>
        <v>0</v>
      </c>
      <c r="CI509">
        <f t="shared" si="159"/>
        <v>0</v>
      </c>
      <c r="CJ509">
        <f t="shared" si="160"/>
        <v>0</v>
      </c>
      <c r="CK509">
        <f t="shared" si="161"/>
        <v>0</v>
      </c>
      <c r="CL509">
        <f t="shared" si="162"/>
        <v>0</v>
      </c>
      <c r="CM509">
        <f t="shared" si="165"/>
        <v>0</v>
      </c>
      <c r="CN509">
        <f t="shared" si="163"/>
        <v>0</v>
      </c>
      <c r="CO509">
        <f t="shared" si="148"/>
        <v>0</v>
      </c>
    </row>
    <row r="510" spans="1:93" s="12" customFormat="1" ht="14.45" hidden="1" customHeight="1" x14ac:dyDescent="0.25">
      <c r="A510" s="4">
        <v>2021</v>
      </c>
      <c r="B510" s="4"/>
      <c r="C510" s="4" t="s">
        <v>417</v>
      </c>
      <c r="D510" s="4" t="s">
        <v>65</v>
      </c>
      <c r="E510" s="4"/>
      <c r="F510" s="4" t="s">
        <v>90</v>
      </c>
      <c r="G510" s="5" t="s">
        <v>418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419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+VLOOKUP(G510,Liste!$A$7:$G$69,3,FALSE)</f>
        <v>Pin Maritime</v>
      </c>
      <c r="BI510" s="96" t="str">
        <f>+VLOOKUP(H510,Liste!$B$7:$G$69,5,FALSE)</f>
        <v>GS Pineraies des plaines du Centre et du Nord Ouest</v>
      </c>
      <c r="BJ510" s="135">
        <f t="shared" si="147"/>
        <v>41</v>
      </c>
      <c r="BK510" s="135" t="str">
        <f t="shared" si="149"/>
        <v>Pin Maritime_F2_Classique_GS Pineraies des plaines du Centre et du Nord Ouest_41_</v>
      </c>
      <c r="BL510" s="319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97" t="str">
        <f>+VLOOKUP(G510,Liste!$A$7:$H$69,8,FALSE)</f>
        <v>Résineux</v>
      </c>
      <c r="BU510" s="297">
        <f t="shared" si="150"/>
        <v>0</v>
      </c>
      <c r="BV510" s="299">
        <f t="shared" si="151"/>
        <v>1</v>
      </c>
      <c r="BW510" s="318">
        <v>0</v>
      </c>
      <c r="BX510" s="297">
        <f t="shared" si="152"/>
        <v>0.43</v>
      </c>
      <c r="BY510">
        <f t="shared" si="164"/>
        <v>0</v>
      </c>
      <c r="BZ510" s="303">
        <f t="shared" si="153"/>
        <v>0</v>
      </c>
      <c r="CB510" s="298">
        <v>0.6</v>
      </c>
      <c r="CC510" s="298">
        <v>0.4</v>
      </c>
      <c r="CD510">
        <f t="shared" si="154"/>
        <v>0</v>
      </c>
      <c r="CE510">
        <f t="shared" si="155"/>
        <v>0</v>
      </c>
      <c r="CF510">
        <f t="shared" si="156"/>
        <v>0</v>
      </c>
      <c r="CG510">
        <f t="shared" si="157"/>
        <v>0</v>
      </c>
      <c r="CH510">
        <f t="shared" si="158"/>
        <v>0</v>
      </c>
      <c r="CI510">
        <f t="shared" si="159"/>
        <v>0</v>
      </c>
      <c r="CJ510">
        <f t="shared" si="160"/>
        <v>0</v>
      </c>
      <c r="CK510">
        <f t="shared" si="161"/>
        <v>0</v>
      </c>
      <c r="CL510">
        <f t="shared" si="162"/>
        <v>0</v>
      </c>
      <c r="CM510">
        <f t="shared" si="165"/>
        <v>0</v>
      </c>
      <c r="CN510">
        <f t="shared" si="163"/>
        <v>0</v>
      </c>
      <c r="CO510">
        <f t="shared" si="148"/>
        <v>0</v>
      </c>
    </row>
    <row r="511" spans="1:93" s="12" customFormat="1" ht="14.45" hidden="1" customHeight="1" x14ac:dyDescent="0.25">
      <c r="A511" s="4">
        <v>2021</v>
      </c>
      <c r="B511" s="4"/>
      <c r="C511" s="4" t="s">
        <v>417</v>
      </c>
      <c r="D511" s="4" t="s">
        <v>65</v>
      </c>
      <c r="E511" s="4"/>
      <c r="F511" s="4" t="s">
        <v>90</v>
      </c>
      <c r="G511" s="5" t="s">
        <v>418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419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+VLOOKUP(G511,Liste!$A$7:$G$69,3,FALSE)</f>
        <v>Pin Maritime</v>
      </c>
      <c r="BI511" s="96" t="str">
        <f>+VLOOKUP(H511,Liste!$B$7:$G$69,5,FALSE)</f>
        <v>GS Pineraies des plaines du Centre et du Nord Ouest</v>
      </c>
      <c r="BJ511" s="135">
        <f t="shared" si="147"/>
        <v>42</v>
      </c>
      <c r="BK511" s="135" t="str">
        <f t="shared" si="149"/>
        <v>Pin Maritime_F2_Classique_GS Pineraies des plaines du Centre et du Nord Ouest_42_</v>
      </c>
      <c r="BL511" s="319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97" t="str">
        <f>+VLOOKUP(G511,Liste!$A$7:$H$69,8,FALSE)</f>
        <v>Résineux</v>
      </c>
      <c r="BU511" s="297">
        <f t="shared" si="150"/>
        <v>0</v>
      </c>
      <c r="BV511" s="299">
        <f t="shared" si="151"/>
        <v>1</v>
      </c>
      <c r="BW511" s="318">
        <v>0</v>
      </c>
      <c r="BX511" s="297">
        <f t="shared" si="152"/>
        <v>0.43</v>
      </c>
      <c r="BY511">
        <f t="shared" si="164"/>
        <v>0</v>
      </c>
      <c r="BZ511" s="303">
        <f t="shared" si="153"/>
        <v>0</v>
      </c>
      <c r="CB511" s="298">
        <v>0.6</v>
      </c>
      <c r="CC511" s="298">
        <v>0.4</v>
      </c>
      <c r="CD511">
        <f t="shared" si="154"/>
        <v>0</v>
      </c>
      <c r="CE511">
        <f t="shared" si="155"/>
        <v>0</v>
      </c>
      <c r="CF511">
        <f t="shared" si="156"/>
        <v>0</v>
      </c>
      <c r="CG511">
        <f t="shared" si="157"/>
        <v>0</v>
      </c>
      <c r="CH511">
        <f t="shared" si="158"/>
        <v>0</v>
      </c>
      <c r="CI511">
        <f t="shared" si="159"/>
        <v>0</v>
      </c>
      <c r="CJ511">
        <f t="shared" si="160"/>
        <v>0</v>
      </c>
      <c r="CK511">
        <f t="shared" si="161"/>
        <v>0</v>
      </c>
      <c r="CL511">
        <f t="shared" si="162"/>
        <v>0</v>
      </c>
      <c r="CM511">
        <f t="shared" si="165"/>
        <v>0</v>
      </c>
      <c r="CN511">
        <f t="shared" si="163"/>
        <v>0</v>
      </c>
      <c r="CO511">
        <f t="shared" si="148"/>
        <v>0</v>
      </c>
    </row>
    <row r="512" spans="1:93" s="12" customFormat="1" ht="14.45" hidden="1" customHeight="1" x14ac:dyDescent="0.25">
      <c r="A512" s="4">
        <v>2021</v>
      </c>
      <c r="B512" s="4"/>
      <c r="C512" s="4" t="s">
        <v>417</v>
      </c>
      <c r="D512" s="4" t="s">
        <v>65</v>
      </c>
      <c r="E512" s="4"/>
      <c r="F512" s="4" t="s">
        <v>90</v>
      </c>
      <c r="G512" s="5" t="s">
        <v>418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419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+VLOOKUP(G512,Liste!$A$7:$G$69,3,FALSE)</f>
        <v>Pin Maritime</v>
      </c>
      <c r="BI512" s="96" t="str">
        <f>+VLOOKUP(H512,Liste!$B$7:$G$69,5,FALSE)</f>
        <v>GS Pineraies des plaines du Centre et du Nord Ouest</v>
      </c>
      <c r="BJ512" s="135">
        <f t="shared" si="147"/>
        <v>43</v>
      </c>
      <c r="BK512" s="135" t="str">
        <f t="shared" si="149"/>
        <v>Pin Maritime_F2_Classique_GS Pineraies des plaines du Centre et du Nord Ouest_43_</v>
      </c>
      <c r="BL512" s="319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97" t="str">
        <f>+VLOOKUP(G512,Liste!$A$7:$H$69,8,FALSE)</f>
        <v>Résineux</v>
      </c>
      <c r="BU512" s="297">
        <f t="shared" si="150"/>
        <v>0</v>
      </c>
      <c r="BV512" s="299">
        <f t="shared" si="151"/>
        <v>1</v>
      </c>
      <c r="BW512" s="318">
        <v>0</v>
      </c>
      <c r="BX512" s="297">
        <f t="shared" si="152"/>
        <v>0.43</v>
      </c>
      <c r="BY512">
        <f t="shared" si="164"/>
        <v>0</v>
      </c>
      <c r="BZ512" s="303">
        <f t="shared" si="153"/>
        <v>0</v>
      </c>
      <c r="CB512" s="298">
        <v>0.6</v>
      </c>
      <c r="CC512" s="298">
        <v>0.4</v>
      </c>
      <c r="CD512">
        <f t="shared" si="154"/>
        <v>0</v>
      </c>
      <c r="CE512">
        <f t="shared" si="155"/>
        <v>0</v>
      </c>
      <c r="CF512">
        <f t="shared" si="156"/>
        <v>0</v>
      </c>
      <c r="CG512">
        <f t="shared" si="157"/>
        <v>0</v>
      </c>
      <c r="CH512">
        <f t="shared" si="158"/>
        <v>0</v>
      </c>
      <c r="CI512">
        <f t="shared" si="159"/>
        <v>0</v>
      </c>
      <c r="CJ512">
        <f t="shared" si="160"/>
        <v>0</v>
      </c>
      <c r="CK512">
        <f t="shared" si="161"/>
        <v>0</v>
      </c>
      <c r="CL512">
        <f t="shared" si="162"/>
        <v>0</v>
      </c>
      <c r="CM512">
        <f t="shared" si="165"/>
        <v>0</v>
      </c>
      <c r="CN512">
        <f t="shared" si="163"/>
        <v>0</v>
      </c>
      <c r="CO512">
        <f t="shared" si="148"/>
        <v>0</v>
      </c>
    </row>
    <row r="513" spans="1:93" s="12" customFormat="1" ht="14.45" hidden="1" customHeight="1" x14ac:dyDescent="0.25">
      <c r="A513" s="4">
        <v>2021</v>
      </c>
      <c r="B513" s="4"/>
      <c r="C513" s="4" t="s">
        <v>417</v>
      </c>
      <c r="D513" s="4" t="s">
        <v>65</v>
      </c>
      <c r="E513" s="4"/>
      <c r="F513" s="4" t="s">
        <v>90</v>
      </c>
      <c r="G513" s="5" t="s">
        <v>418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419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+VLOOKUP(G513,Liste!$A$7:$G$69,3,FALSE)</f>
        <v>Pin Maritime</v>
      </c>
      <c r="BI513" s="96" t="str">
        <f>+VLOOKUP(H513,Liste!$B$7:$G$69,5,FALSE)</f>
        <v>GS Pineraies des plaines du Centre et du Nord Ouest</v>
      </c>
      <c r="BJ513" s="135">
        <f t="shared" si="147"/>
        <v>44</v>
      </c>
      <c r="BK513" s="135" t="str">
        <f t="shared" si="149"/>
        <v>Pin Maritime_F2_Classique_GS Pineraies des plaines du Centre et du Nord Ouest_44_</v>
      </c>
      <c r="BL513" s="319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97" t="str">
        <f>+VLOOKUP(G513,Liste!$A$7:$H$69,8,FALSE)</f>
        <v>Résineux</v>
      </c>
      <c r="BU513" s="297">
        <f t="shared" si="150"/>
        <v>0</v>
      </c>
      <c r="BV513" s="299">
        <f t="shared" si="151"/>
        <v>1</v>
      </c>
      <c r="BW513" s="318">
        <v>0</v>
      </c>
      <c r="BX513" s="297">
        <f t="shared" si="152"/>
        <v>0.43</v>
      </c>
      <c r="BY513">
        <f t="shared" si="164"/>
        <v>0</v>
      </c>
      <c r="BZ513" s="303">
        <f t="shared" si="153"/>
        <v>0</v>
      </c>
      <c r="CB513" s="298">
        <v>0.6</v>
      </c>
      <c r="CC513" s="298">
        <v>0.4</v>
      </c>
      <c r="CD513">
        <f t="shared" si="154"/>
        <v>0</v>
      </c>
      <c r="CE513">
        <f t="shared" si="155"/>
        <v>0</v>
      </c>
      <c r="CF513">
        <f t="shared" si="156"/>
        <v>0</v>
      </c>
      <c r="CG513">
        <f t="shared" si="157"/>
        <v>0</v>
      </c>
      <c r="CH513">
        <f t="shared" si="158"/>
        <v>0</v>
      </c>
      <c r="CI513">
        <f t="shared" si="159"/>
        <v>0</v>
      </c>
      <c r="CJ513">
        <f t="shared" si="160"/>
        <v>0</v>
      </c>
      <c r="CK513">
        <f t="shared" si="161"/>
        <v>0</v>
      </c>
      <c r="CL513">
        <f t="shared" si="162"/>
        <v>0</v>
      </c>
      <c r="CM513">
        <f t="shared" si="165"/>
        <v>0</v>
      </c>
      <c r="CN513">
        <f t="shared" si="163"/>
        <v>0</v>
      </c>
      <c r="CO513">
        <f t="shared" si="148"/>
        <v>0</v>
      </c>
    </row>
    <row r="514" spans="1:93" s="12" customFormat="1" ht="14.45" hidden="1" customHeight="1" x14ac:dyDescent="0.25">
      <c r="A514" s="4">
        <v>2021</v>
      </c>
      <c r="B514" s="4"/>
      <c r="C514" s="4" t="s">
        <v>417</v>
      </c>
      <c r="D514" s="4" t="s">
        <v>65</v>
      </c>
      <c r="E514" s="4"/>
      <c r="F514" s="4" t="s">
        <v>90</v>
      </c>
      <c r="G514" s="5" t="s">
        <v>418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419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+VLOOKUP(G514,Liste!$A$7:$G$69,3,FALSE)</f>
        <v>Pin Maritime</v>
      </c>
      <c r="BI514" s="96" t="str">
        <f>+VLOOKUP(H514,Liste!$B$7:$G$69,5,FALSE)</f>
        <v>GS Pineraies des plaines du Centre et du Nord Ouest</v>
      </c>
      <c r="BJ514" s="135">
        <f t="shared" si="147"/>
        <v>44</v>
      </c>
      <c r="BK514" s="135" t="str">
        <f t="shared" si="149"/>
        <v>Pin Maritime_F2_Classique_GS Pineraies des plaines du Centre et du Nord Ouest_44_</v>
      </c>
      <c r="BL514" s="319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97" t="str">
        <f>+VLOOKUP(G514,Liste!$A$7:$H$69,8,FALSE)</f>
        <v>Résineux</v>
      </c>
      <c r="BU514" s="297">
        <f t="shared" si="150"/>
        <v>0</v>
      </c>
      <c r="BV514" s="299">
        <f t="shared" si="151"/>
        <v>1</v>
      </c>
      <c r="BW514" s="318">
        <v>0</v>
      </c>
      <c r="BX514" s="297">
        <f t="shared" si="152"/>
        <v>0.43</v>
      </c>
      <c r="BY514">
        <f t="shared" si="164"/>
        <v>0</v>
      </c>
      <c r="BZ514" s="303">
        <f t="shared" si="153"/>
        <v>0</v>
      </c>
      <c r="CB514" s="298">
        <v>0.6</v>
      </c>
      <c r="CC514" s="298">
        <v>0.4</v>
      </c>
      <c r="CD514">
        <f t="shared" si="154"/>
        <v>0</v>
      </c>
      <c r="CE514">
        <f t="shared" si="155"/>
        <v>0</v>
      </c>
      <c r="CF514">
        <f t="shared" si="156"/>
        <v>0</v>
      </c>
      <c r="CG514">
        <f t="shared" si="157"/>
        <v>0</v>
      </c>
      <c r="CH514">
        <f t="shared" si="158"/>
        <v>0</v>
      </c>
      <c r="CI514">
        <f t="shared" si="159"/>
        <v>0</v>
      </c>
      <c r="CJ514">
        <f t="shared" si="160"/>
        <v>0</v>
      </c>
      <c r="CK514">
        <f t="shared" si="161"/>
        <v>0</v>
      </c>
      <c r="CL514">
        <f t="shared" si="162"/>
        <v>0</v>
      </c>
      <c r="CM514">
        <f t="shared" si="165"/>
        <v>0</v>
      </c>
      <c r="CN514">
        <f t="shared" si="163"/>
        <v>0</v>
      </c>
      <c r="CO514">
        <f t="shared" si="148"/>
        <v>0</v>
      </c>
    </row>
    <row r="515" spans="1:93" s="12" customFormat="1" ht="14.45" hidden="1" customHeight="1" x14ac:dyDescent="0.25">
      <c r="A515" s="4">
        <v>2021</v>
      </c>
      <c r="B515" s="4"/>
      <c r="C515" s="4" t="s">
        <v>417</v>
      </c>
      <c r="D515" s="4" t="s">
        <v>65</v>
      </c>
      <c r="E515" s="4"/>
      <c r="F515" s="4" t="s">
        <v>90</v>
      </c>
      <c r="G515" s="5" t="s">
        <v>418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419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+VLOOKUP(G515,Liste!$A$7:$G$69,3,FALSE)</f>
        <v>Pin Maritime</v>
      </c>
      <c r="BI515" s="96" t="str">
        <f>+VLOOKUP(H515,Liste!$B$7:$G$69,5,FALSE)</f>
        <v>GS Pineraies des plaines du Centre et du Nord Ouest</v>
      </c>
      <c r="BJ515" s="135">
        <f t="shared" ref="BJ515:BJ578" si="166">+AC515</f>
        <v>45</v>
      </c>
      <c r="BK515" s="135" t="str">
        <f t="shared" si="149"/>
        <v>Pin Maritime_F2_Classique_GS Pineraies des plaines du Centre et du Nord Ouest_45_</v>
      </c>
      <c r="BL515" s="319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97" t="str">
        <f>+VLOOKUP(G515,Liste!$A$7:$H$69,8,FALSE)</f>
        <v>Résineux</v>
      </c>
      <c r="BU515" s="297">
        <f t="shared" si="150"/>
        <v>0</v>
      </c>
      <c r="BV515" s="299">
        <f t="shared" si="151"/>
        <v>1</v>
      </c>
      <c r="BW515" s="318">
        <v>0</v>
      </c>
      <c r="BX515" s="297">
        <f t="shared" si="152"/>
        <v>0.43</v>
      </c>
      <c r="BY515">
        <f t="shared" si="164"/>
        <v>0</v>
      </c>
      <c r="BZ515" s="303">
        <f t="shared" si="153"/>
        <v>0</v>
      </c>
      <c r="CB515" s="298">
        <v>0.6</v>
      </c>
      <c r="CC515" s="298">
        <v>0.4</v>
      </c>
      <c r="CD515">
        <f t="shared" si="154"/>
        <v>0</v>
      </c>
      <c r="CE515">
        <f t="shared" si="155"/>
        <v>0</v>
      </c>
      <c r="CF515">
        <f t="shared" si="156"/>
        <v>0</v>
      </c>
      <c r="CG515">
        <f t="shared" si="157"/>
        <v>0</v>
      </c>
      <c r="CH515">
        <f t="shared" si="158"/>
        <v>0</v>
      </c>
      <c r="CI515">
        <f t="shared" si="159"/>
        <v>0</v>
      </c>
      <c r="CJ515">
        <f t="shared" si="160"/>
        <v>0</v>
      </c>
      <c r="CK515">
        <f t="shared" si="161"/>
        <v>0</v>
      </c>
      <c r="CL515">
        <f t="shared" si="162"/>
        <v>0</v>
      </c>
      <c r="CM515">
        <f t="shared" si="165"/>
        <v>0</v>
      </c>
      <c r="CN515">
        <f t="shared" si="163"/>
        <v>0</v>
      </c>
      <c r="CO515">
        <f t="shared" ref="CO515:CO578" si="167">+IF(BJ515=30,CN515/30,0)</f>
        <v>0</v>
      </c>
    </row>
    <row r="516" spans="1:93" s="12" customFormat="1" ht="14.45" hidden="1" customHeight="1" x14ac:dyDescent="0.25">
      <c r="A516" s="4">
        <v>2021</v>
      </c>
      <c r="B516" s="4"/>
      <c r="C516" s="4" t="s">
        <v>417</v>
      </c>
      <c r="D516" s="4" t="s">
        <v>65</v>
      </c>
      <c r="E516" s="4"/>
      <c r="F516" s="4" t="s">
        <v>90</v>
      </c>
      <c r="G516" s="5" t="s">
        <v>418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419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+VLOOKUP(G516,Liste!$A$7:$G$69,3,FALSE)</f>
        <v>Pin Maritime</v>
      </c>
      <c r="BI516" s="96" t="str">
        <f>+VLOOKUP(H516,Liste!$B$7:$G$69,5,FALSE)</f>
        <v>GS Pineraies des plaines du Centre et du Nord Ouest</v>
      </c>
      <c r="BJ516" s="135">
        <f t="shared" si="166"/>
        <v>46</v>
      </c>
      <c r="BK516" s="135" t="str">
        <f t="shared" ref="BK516:BK579" si="168">+_xlfn.CONCAT(BH516,"_",J516,"_",I516,"_",BI516,"_",BJ516,"_")</f>
        <v>Pin Maritime_F2_Classique_GS Pineraies des plaines du Centre et du Nord Ouest_46_</v>
      </c>
      <c r="BL516" s="319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97" t="str">
        <f>+VLOOKUP(G516,Liste!$A$7:$H$69,8,FALSE)</f>
        <v>Résineux</v>
      </c>
      <c r="BU516" s="297">
        <f t="shared" ref="BU516:BU579" si="169">IF(BT516="Résineux",0%,100%)</f>
        <v>0</v>
      </c>
      <c r="BV516" s="299">
        <f t="shared" ref="BV516:BV579" si="170">+IF(BT516="Résineux",100%,0%)</f>
        <v>1</v>
      </c>
      <c r="BW516" s="318">
        <v>0</v>
      </c>
      <c r="BX516" s="297">
        <f t="shared" ref="BX516:BX579" si="171">+IF(BV516&lt;&gt;0,0.43,0.25)</f>
        <v>0.43</v>
      </c>
      <c r="BY516">
        <f t="shared" ref="BY516:BY579" si="172">+IF(BJ516&lt;=30,AV516*BX516,0)</f>
        <v>0</v>
      </c>
      <c r="BZ516" s="303">
        <f t="shared" ref="BZ516:BZ579" si="173">+IF(BJ516&gt;=31,0,BY516+BZ515)</f>
        <v>0</v>
      </c>
      <c r="CB516" s="298">
        <v>0.6</v>
      </c>
      <c r="CC516" s="298">
        <v>0.4</v>
      </c>
      <c r="CD516">
        <f t="shared" ref="CD516:CD579" si="174">+IF(BJ516&lt;=31,AV516*CA516*0.5,0)</f>
        <v>0</v>
      </c>
      <c r="CE516">
        <f t="shared" ref="CE516:CE579" si="175">IF(BJ516&lt;=31,AV516*CB516,0)</f>
        <v>0</v>
      </c>
      <c r="CF516">
        <f t="shared" ref="CF516:CF579" si="176">IF(BJ516&lt;=31,AV516*CC516,0)</f>
        <v>0</v>
      </c>
      <c r="CG516">
        <f t="shared" ref="CG516:CG579" si="177">CD516*44/12*0.475*BF516</f>
        <v>0</v>
      </c>
      <c r="CH516">
        <f t="shared" ref="CH516:CH579" si="178">CE516*44/12*0.475*BF516</f>
        <v>0</v>
      </c>
      <c r="CI516">
        <f t="shared" ref="CI516:CI579" si="179">CF516*44/12*0.475*BF516</f>
        <v>0</v>
      </c>
      <c r="CJ516">
        <f t="shared" ref="CJ516:CJ579" si="180">+IF(BJ516&lt;=31,CJ515*EXP(-$CJ$1)+CG515*(1-EXP(-$CJ$1))/$CJ$1,0)</f>
        <v>0</v>
      </c>
      <c r="CK516">
        <f t="shared" ref="CK516:CK579" si="181">+IF(BJ516&lt;=31,CK515*EXP(-$CK$1)+CH515*(1-EXP(-$CK$1))/$CK$1,0)</f>
        <v>0</v>
      </c>
      <c r="CL516">
        <f t="shared" ref="CL516:CL579" si="182">+IF(BJ516&lt;=31,CL515*EXP(-$CL$1)+CI515*(1-EXP(-$CL$1))/$CL$1,0)</f>
        <v>0</v>
      </c>
      <c r="CM516">
        <f t="shared" si="165"/>
        <v>0</v>
      </c>
      <c r="CN516">
        <f t="shared" ref="CN516:CN579" si="183">+IF(BJ516&lt;=31,CM516+CN515,0)</f>
        <v>0</v>
      </c>
      <c r="CO516">
        <f t="shared" si="167"/>
        <v>0</v>
      </c>
    </row>
    <row r="517" spans="1:93" s="12" customFormat="1" ht="14.45" hidden="1" customHeight="1" x14ac:dyDescent="0.25">
      <c r="A517" s="4">
        <v>2021</v>
      </c>
      <c r="B517" s="4"/>
      <c r="C517" s="4" t="s">
        <v>417</v>
      </c>
      <c r="D517" s="4" t="s">
        <v>65</v>
      </c>
      <c r="E517" s="4"/>
      <c r="F517" s="4" t="s">
        <v>90</v>
      </c>
      <c r="G517" s="5" t="s">
        <v>418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419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+VLOOKUP(G517,Liste!$A$7:$G$69,3,FALSE)</f>
        <v>Pin Maritime</v>
      </c>
      <c r="BI517" s="96" t="str">
        <f>+VLOOKUP(H517,Liste!$B$7:$G$69,5,FALSE)</f>
        <v>GS Pineraies des plaines du Centre et du Nord Ouest</v>
      </c>
      <c r="BJ517" s="135">
        <f t="shared" si="166"/>
        <v>47</v>
      </c>
      <c r="BK517" s="135" t="str">
        <f t="shared" si="168"/>
        <v>Pin Maritime_F2_Classique_GS Pineraies des plaines du Centre et du Nord Ouest_47_</v>
      </c>
      <c r="BL517" s="319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97" t="str">
        <f>+VLOOKUP(G517,Liste!$A$7:$H$69,8,FALSE)</f>
        <v>Résineux</v>
      </c>
      <c r="BU517" s="297">
        <f t="shared" si="169"/>
        <v>0</v>
      </c>
      <c r="BV517" s="299">
        <f t="shared" si="170"/>
        <v>1</v>
      </c>
      <c r="BW517" s="318">
        <v>0</v>
      </c>
      <c r="BX517" s="297">
        <f t="shared" si="171"/>
        <v>0.43</v>
      </c>
      <c r="BY517">
        <f t="shared" si="172"/>
        <v>0</v>
      </c>
      <c r="BZ517" s="303">
        <f t="shared" si="173"/>
        <v>0</v>
      </c>
      <c r="CB517" s="298">
        <v>0.6</v>
      </c>
      <c r="CC517" s="298">
        <v>0.4</v>
      </c>
      <c r="CD517">
        <f t="shared" si="174"/>
        <v>0</v>
      </c>
      <c r="CE517">
        <f t="shared" si="175"/>
        <v>0</v>
      </c>
      <c r="CF517">
        <f t="shared" si="176"/>
        <v>0</v>
      </c>
      <c r="CG517">
        <f t="shared" si="177"/>
        <v>0</v>
      </c>
      <c r="CH517">
        <f t="shared" si="178"/>
        <v>0</v>
      </c>
      <c r="CI517">
        <f t="shared" si="179"/>
        <v>0</v>
      </c>
      <c r="CJ517">
        <f t="shared" si="180"/>
        <v>0</v>
      </c>
      <c r="CK517">
        <f t="shared" si="181"/>
        <v>0</v>
      </c>
      <c r="CL517">
        <f t="shared" si="182"/>
        <v>0</v>
      </c>
      <c r="CM517">
        <f t="shared" ref="CM517:CM580" si="184">+CJ517+CK517+CL517</f>
        <v>0</v>
      </c>
      <c r="CN517">
        <f t="shared" si="183"/>
        <v>0</v>
      </c>
      <c r="CO517">
        <f t="shared" si="167"/>
        <v>0</v>
      </c>
    </row>
    <row r="518" spans="1:93" s="12" customFormat="1" ht="14.45" hidden="1" customHeight="1" x14ac:dyDescent="0.25">
      <c r="A518" s="4">
        <v>2021</v>
      </c>
      <c r="B518" s="4"/>
      <c r="C518" s="4" t="s">
        <v>417</v>
      </c>
      <c r="D518" s="4" t="s">
        <v>65</v>
      </c>
      <c r="E518" s="4"/>
      <c r="F518" s="4" t="s">
        <v>90</v>
      </c>
      <c r="G518" s="5" t="s">
        <v>418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419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+VLOOKUP(G518,Liste!$A$7:$G$69,3,FALSE)</f>
        <v>Pin Maritime</v>
      </c>
      <c r="BI518" s="96" t="str">
        <f>+VLOOKUP(H518,Liste!$B$7:$G$69,5,FALSE)</f>
        <v>GS Pineraies des plaines du Centre et du Nord Ouest</v>
      </c>
      <c r="BJ518" s="135">
        <f t="shared" si="166"/>
        <v>48</v>
      </c>
      <c r="BK518" s="135" t="str">
        <f t="shared" si="168"/>
        <v>Pin Maritime_F2_Classique_GS Pineraies des plaines du Centre et du Nord Ouest_48_</v>
      </c>
      <c r="BL518" s="319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97" t="str">
        <f>+VLOOKUP(G518,Liste!$A$7:$H$69,8,FALSE)</f>
        <v>Résineux</v>
      </c>
      <c r="BU518" s="297">
        <f t="shared" si="169"/>
        <v>0</v>
      </c>
      <c r="BV518" s="299">
        <f t="shared" si="170"/>
        <v>1</v>
      </c>
      <c r="BW518" s="318">
        <v>0</v>
      </c>
      <c r="BX518" s="297">
        <f t="shared" si="171"/>
        <v>0.43</v>
      </c>
      <c r="BY518">
        <f t="shared" si="172"/>
        <v>0</v>
      </c>
      <c r="BZ518" s="303">
        <f t="shared" si="173"/>
        <v>0</v>
      </c>
      <c r="CB518" s="298">
        <v>0.6</v>
      </c>
      <c r="CC518" s="298">
        <v>0.4</v>
      </c>
      <c r="CD518">
        <f t="shared" si="174"/>
        <v>0</v>
      </c>
      <c r="CE518">
        <f t="shared" si="175"/>
        <v>0</v>
      </c>
      <c r="CF518">
        <f t="shared" si="176"/>
        <v>0</v>
      </c>
      <c r="CG518">
        <f t="shared" si="177"/>
        <v>0</v>
      </c>
      <c r="CH518">
        <f t="shared" si="178"/>
        <v>0</v>
      </c>
      <c r="CI518">
        <f t="shared" si="179"/>
        <v>0</v>
      </c>
      <c r="CJ518">
        <f t="shared" si="180"/>
        <v>0</v>
      </c>
      <c r="CK518">
        <f t="shared" si="181"/>
        <v>0</v>
      </c>
      <c r="CL518">
        <f t="shared" si="182"/>
        <v>0</v>
      </c>
      <c r="CM518">
        <f t="shared" si="184"/>
        <v>0</v>
      </c>
      <c r="CN518">
        <f t="shared" si="183"/>
        <v>0</v>
      </c>
      <c r="CO518">
        <f t="shared" si="167"/>
        <v>0</v>
      </c>
    </row>
    <row r="519" spans="1:93" s="12" customFormat="1" ht="14.45" hidden="1" customHeight="1" x14ac:dyDescent="0.25">
      <c r="A519" s="4">
        <v>2021</v>
      </c>
      <c r="B519" s="4"/>
      <c r="C519" s="4" t="s">
        <v>417</v>
      </c>
      <c r="D519" s="4" t="s">
        <v>65</v>
      </c>
      <c r="E519" s="4"/>
      <c r="F519" s="4" t="s">
        <v>90</v>
      </c>
      <c r="G519" s="5" t="s">
        <v>418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419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+VLOOKUP(G519,Liste!$A$7:$G$69,3,FALSE)</f>
        <v>Pin Maritime</v>
      </c>
      <c r="BI519" s="96" t="str">
        <f>+VLOOKUP(H519,Liste!$B$7:$G$69,5,FALSE)</f>
        <v>GS Pineraies des plaines du Centre et du Nord Ouest</v>
      </c>
      <c r="BJ519" s="135">
        <f t="shared" si="166"/>
        <v>49</v>
      </c>
      <c r="BK519" s="135" t="str">
        <f t="shared" si="168"/>
        <v>Pin Maritime_F2_Classique_GS Pineraies des plaines du Centre et du Nord Ouest_49_</v>
      </c>
      <c r="BL519" s="319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97" t="str">
        <f>+VLOOKUP(G519,Liste!$A$7:$H$69,8,FALSE)</f>
        <v>Résineux</v>
      </c>
      <c r="BU519" s="297">
        <f t="shared" si="169"/>
        <v>0</v>
      </c>
      <c r="BV519" s="299">
        <f t="shared" si="170"/>
        <v>1</v>
      </c>
      <c r="BW519" s="318">
        <v>0</v>
      </c>
      <c r="BX519" s="297">
        <f t="shared" si="171"/>
        <v>0.43</v>
      </c>
      <c r="BY519">
        <f t="shared" si="172"/>
        <v>0</v>
      </c>
      <c r="BZ519" s="303">
        <f t="shared" si="173"/>
        <v>0</v>
      </c>
      <c r="CB519" s="298">
        <v>0.6</v>
      </c>
      <c r="CC519" s="298">
        <v>0.4</v>
      </c>
      <c r="CD519">
        <f t="shared" si="174"/>
        <v>0</v>
      </c>
      <c r="CE519">
        <f t="shared" si="175"/>
        <v>0</v>
      </c>
      <c r="CF519">
        <f t="shared" si="176"/>
        <v>0</v>
      </c>
      <c r="CG519">
        <f t="shared" si="177"/>
        <v>0</v>
      </c>
      <c r="CH519">
        <f t="shared" si="178"/>
        <v>0</v>
      </c>
      <c r="CI519">
        <f t="shared" si="179"/>
        <v>0</v>
      </c>
      <c r="CJ519">
        <f t="shared" si="180"/>
        <v>0</v>
      </c>
      <c r="CK519">
        <f t="shared" si="181"/>
        <v>0</v>
      </c>
      <c r="CL519">
        <f t="shared" si="182"/>
        <v>0</v>
      </c>
      <c r="CM519">
        <f t="shared" si="184"/>
        <v>0</v>
      </c>
      <c r="CN519">
        <f t="shared" si="183"/>
        <v>0</v>
      </c>
      <c r="CO519">
        <f t="shared" si="167"/>
        <v>0</v>
      </c>
    </row>
    <row r="520" spans="1:93" s="12" customFormat="1" ht="14.45" hidden="1" customHeight="1" x14ac:dyDescent="0.25">
      <c r="A520" s="4">
        <v>2021</v>
      </c>
      <c r="B520" s="4"/>
      <c r="C520" s="4" t="s">
        <v>417</v>
      </c>
      <c r="D520" s="4" t="s">
        <v>65</v>
      </c>
      <c r="E520" s="4"/>
      <c r="F520" s="4" t="s">
        <v>90</v>
      </c>
      <c r="G520" s="5" t="s">
        <v>418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419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+VLOOKUP(G520,Liste!$A$7:$G$69,3,FALSE)</f>
        <v>Pin Maritime</v>
      </c>
      <c r="BI520" s="96" t="str">
        <f>+VLOOKUP(H520,Liste!$B$7:$G$69,5,FALSE)</f>
        <v>GS Pineraies des plaines du Centre et du Nord Ouest</v>
      </c>
      <c r="BJ520" s="135">
        <f t="shared" si="166"/>
        <v>50</v>
      </c>
      <c r="BK520" s="135" t="str">
        <f t="shared" si="168"/>
        <v>Pin Maritime_F2_Classique_GS Pineraies des plaines du Centre et du Nord Ouest_50_</v>
      </c>
      <c r="BL520" s="319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97" t="str">
        <f>+VLOOKUP(G520,Liste!$A$7:$H$69,8,FALSE)</f>
        <v>Résineux</v>
      </c>
      <c r="BU520" s="297">
        <f t="shared" si="169"/>
        <v>0</v>
      </c>
      <c r="BV520" s="299">
        <f t="shared" si="170"/>
        <v>1</v>
      </c>
      <c r="BW520" s="318">
        <v>0</v>
      </c>
      <c r="BX520" s="297">
        <f t="shared" si="171"/>
        <v>0.43</v>
      </c>
      <c r="BY520">
        <f t="shared" si="172"/>
        <v>0</v>
      </c>
      <c r="BZ520" s="303">
        <f t="shared" si="173"/>
        <v>0</v>
      </c>
      <c r="CB520" s="298">
        <v>0.6</v>
      </c>
      <c r="CC520" s="298">
        <v>0.4</v>
      </c>
      <c r="CD520">
        <f t="shared" si="174"/>
        <v>0</v>
      </c>
      <c r="CE520">
        <f t="shared" si="175"/>
        <v>0</v>
      </c>
      <c r="CF520">
        <f t="shared" si="176"/>
        <v>0</v>
      </c>
      <c r="CG520">
        <f t="shared" si="177"/>
        <v>0</v>
      </c>
      <c r="CH520">
        <f t="shared" si="178"/>
        <v>0</v>
      </c>
      <c r="CI520">
        <f t="shared" si="179"/>
        <v>0</v>
      </c>
      <c r="CJ520">
        <f t="shared" si="180"/>
        <v>0</v>
      </c>
      <c r="CK520">
        <f t="shared" si="181"/>
        <v>0</v>
      </c>
      <c r="CL520">
        <f t="shared" si="182"/>
        <v>0</v>
      </c>
      <c r="CM520">
        <f t="shared" si="184"/>
        <v>0</v>
      </c>
      <c r="CN520">
        <f t="shared" si="183"/>
        <v>0</v>
      </c>
      <c r="CO520">
        <f t="shared" si="167"/>
        <v>0</v>
      </c>
    </row>
    <row r="521" spans="1:93" s="12" customFormat="1" ht="14.45" hidden="1" customHeight="1" x14ac:dyDescent="0.25">
      <c r="A521" s="4">
        <v>2021</v>
      </c>
      <c r="B521" s="4"/>
      <c r="C521" s="4" t="s">
        <v>417</v>
      </c>
      <c r="D521" s="4" t="s">
        <v>65</v>
      </c>
      <c r="E521" s="4"/>
      <c r="F521" s="4" t="s">
        <v>90</v>
      </c>
      <c r="G521" s="5" t="s">
        <v>418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419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+VLOOKUP(G521,Liste!$A$7:$G$69,3,FALSE)</f>
        <v>Pin Maritime</v>
      </c>
      <c r="BI521" s="96" t="str">
        <f>+VLOOKUP(H521,Liste!$B$7:$G$69,5,FALSE)</f>
        <v>GS Pineraies des plaines du Centre et du Nord Ouest</v>
      </c>
      <c r="BJ521" s="135">
        <f t="shared" si="166"/>
        <v>51</v>
      </c>
      <c r="BK521" s="135" t="str">
        <f t="shared" si="168"/>
        <v>Pin Maritime_F2_Classique_GS Pineraies des plaines du Centre et du Nord Ouest_51_</v>
      </c>
      <c r="BL521" s="319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97" t="str">
        <f>+VLOOKUP(G521,Liste!$A$7:$H$69,8,FALSE)</f>
        <v>Résineux</v>
      </c>
      <c r="BU521" s="297">
        <f t="shared" si="169"/>
        <v>0</v>
      </c>
      <c r="BV521" s="299">
        <f t="shared" si="170"/>
        <v>1</v>
      </c>
      <c r="BW521" s="318">
        <v>0</v>
      </c>
      <c r="BX521" s="297">
        <f t="shared" si="171"/>
        <v>0.43</v>
      </c>
      <c r="BY521">
        <f t="shared" si="172"/>
        <v>0</v>
      </c>
      <c r="BZ521" s="303">
        <f t="shared" si="173"/>
        <v>0</v>
      </c>
      <c r="CB521" s="298">
        <v>0.6</v>
      </c>
      <c r="CC521" s="298">
        <v>0.4</v>
      </c>
      <c r="CD521">
        <f t="shared" si="174"/>
        <v>0</v>
      </c>
      <c r="CE521">
        <f t="shared" si="175"/>
        <v>0</v>
      </c>
      <c r="CF521">
        <f t="shared" si="176"/>
        <v>0</v>
      </c>
      <c r="CG521">
        <f t="shared" si="177"/>
        <v>0</v>
      </c>
      <c r="CH521">
        <f t="shared" si="178"/>
        <v>0</v>
      </c>
      <c r="CI521">
        <f t="shared" si="179"/>
        <v>0</v>
      </c>
      <c r="CJ521">
        <f t="shared" si="180"/>
        <v>0</v>
      </c>
      <c r="CK521">
        <f t="shared" si="181"/>
        <v>0</v>
      </c>
      <c r="CL521">
        <f t="shared" si="182"/>
        <v>0</v>
      </c>
      <c r="CM521">
        <f t="shared" si="184"/>
        <v>0</v>
      </c>
      <c r="CN521">
        <f t="shared" si="183"/>
        <v>0</v>
      </c>
      <c r="CO521">
        <f t="shared" si="167"/>
        <v>0</v>
      </c>
    </row>
    <row r="522" spans="1:93" s="12" customFormat="1" ht="14.45" hidden="1" customHeight="1" x14ac:dyDescent="0.25">
      <c r="A522" s="4">
        <v>2021</v>
      </c>
      <c r="B522" s="4"/>
      <c r="C522" s="4" t="s">
        <v>417</v>
      </c>
      <c r="D522" s="4" t="s">
        <v>65</v>
      </c>
      <c r="E522" s="4"/>
      <c r="F522" s="4" t="s">
        <v>90</v>
      </c>
      <c r="G522" s="5" t="s">
        <v>418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419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+VLOOKUP(G522,Liste!$A$7:$G$69,3,FALSE)</f>
        <v>Pin Maritime</v>
      </c>
      <c r="BI522" s="96" t="str">
        <f>+VLOOKUP(H522,Liste!$B$7:$G$69,5,FALSE)</f>
        <v>GS Pineraies des plaines du Centre et du Nord Ouest</v>
      </c>
      <c r="BJ522" s="135">
        <f t="shared" si="166"/>
        <v>52</v>
      </c>
      <c r="BK522" s="135" t="str">
        <f t="shared" si="168"/>
        <v>Pin Maritime_F2_Classique_GS Pineraies des plaines du Centre et du Nord Ouest_52_</v>
      </c>
      <c r="BL522" s="319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97" t="str">
        <f>+VLOOKUP(G522,Liste!$A$7:$H$69,8,FALSE)</f>
        <v>Résineux</v>
      </c>
      <c r="BU522" s="297">
        <f t="shared" si="169"/>
        <v>0</v>
      </c>
      <c r="BV522" s="299">
        <f t="shared" si="170"/>
        <v>1</v>
      </c>
      <c r="BW522" s="318">
        <v>0</v>
      </c>
      <c r="BX522" s="297">
        <f t="shared" si="171"/>
        <v>0.43</v>
      </c>
      <c r="BY522">
        <f t="shared" si="172"/>
        <v>0</v>
      </c>
      <c r="BZ522" s="303">
        <f t="shared" si="173"/>
        <v>0</v>
      </c>
      <c r="CB522" s="298">
        <v>0.6</v>
      </c>
      <c r="CC522" s="298">
        <v>0.4</v>
      </c>
      <c r="CD522">
        <f t="shared" si="174"/>
        <v>0</v>
      </c>
      <c r="CE522">
        <f t="shared" si="175"/>
        <v>0</v>
      </c>
      <c r="CF522">
        <f t="shared" si="176"/>
        <v>0</v>
      </c>
      <c r="CG522">
        <f t="shared" si="177"/>
        <v>0</v>
      </c>
      <c r="CH522">
        <f t="shared" si="178"/>
        <v>0</v>
      </c>
      <c r="CI522">
        <f t="shared" si="179"/>
        <v>0</v>
      </c>
      <c r="CJ522">
        <f t="shared" si="180"/>
        <v>0</v>
      </c>
      <c r="CK522">
        <f t="shared" si="181"/>
        <v>0</v>
      </c>
      <c r="CL522">
        <f t="shared" si="182"/>
        <v>0</v>
      </c>
      <c r="CM522">
        <f t="shared" si="184"/>
        <v>0</v>
      </c>
      <c r="CN522">
        <f t="shared" si="183"/>
        <v>0</v>
      </c>
      <c r="CO522">
        <f t="shared" si="167"/>
        <v>0</v>
      </c>
    </row>
    <row r="523" spans="1:93" s="12" customFormat="1" ht="14.45" hidden="1" customHeight="1" x14ac:dyDescent="0.25">
      <c r="A523" s="4">
        <v>2021</v>
      </c>
      <c r="B523" s="4"/>
      <c r="C523" s="4" t="s">
        <v>417</v>
      </c>
      <c r="D523" s="4" t="s">
        <v>65</v>
      </c>
      <c r="E523" s="4"/>
      <c r="F523" s="4" t="s">
        <v>90</v>
      </c>
      <c r="G523" s="5" t="s">
        <v>418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419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+VLOOKUP(G523,Liste!$A$7:$G$69,3,FALSE)</f>
        <v>Pin Maritime</v>
      </c>
      <c r="BI523" s="96" t="str">
        <f>+VLOOKUP(H523,Liste!$B$7:$G$69,5,FALSE)</f>
        <v>GS Pineraies des plaines du Centre et du Nord Ouest</v>
      </c>
      <c r="BJ523" s="135">
        <f t="shared" si="166"/>
        <v>52</v>
      </c>
      <c r="BK523" s="135" t="str">
        <f t="shared" si="168"/>
        <v>Pin Maritime_F2_Classique_GS Pineraies des plaines du Centre et du Nord Ouest_52_</v>
      </c>
      <c r="BL523" s="319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97" t="str">
        <f>+VLOOKUP(G523,Liste!$A$7:$H$69,8,FALSE)</f>
        <v>Résineux</v>
      </c>
      <c r="BU523" s="297">
        <f t="shared" si="169"/>
        <v>0</v>
      </c>
      <c r="BV523" s="299">
        <f t="shared" si="170"/>
        <v>1</v>
      </c>
      <c r="BW523" s="318">
        <v>0</v>
      </c>
      <c r="BX523" s="297">
        <f t="shared" si="171"/>
        <v>0.43</v>
      </c>
      <c r="BY523">
        <f t="shared" si="172"/>
        <v>0</v>
      </c>
      <c r="BZ523" s="303">
        <f t="shared" si="173"/>
        <v>0</v>
      </c>
      <c r="CB523" s="298">
        <v>0.6</v>
      </c>
      <c r="CC523" s="298">
        <v>0.4</v>
      </c>
      <c r="CD523">
        <f t="shared" si="174"/>
        <v>0</v>
      </c>
      <c r="CE523">
        <f t="shared" si="175"/>
        <v>0</v>
      </c>
      <c r="CF523">
        <f t="shared" si="176"/>
        <v>0</v>
      </c>
      <c r="CG523">
        <f t="shared" si="177"/>
        <v>0</v>
      </c>
      <c r="CH523">
        <f t="shared" si="178"/>
        <v>0</v>
      </c>
      <c r="CI523">
        <f t="shared" si="179"/>
        <v>0</v>
      </c>
      <c r="CJ523">
        <f t="shared" si="180"/>
        <v>0</v>
      </c>
      <c r="CK523">
        <f t="shared" si="181"/>
        <v>0</v>
      </c>
      <c r="CL523">
        <f t="shared" si="182"/>
        <v>0</v>
      </c>
      <c r="CM523">
        <f t="shared" si="184"/>
        <v>0</v>
      </c>
      <c r="CN523">
        <f t="shared" si="183"/>
        <v>0</v>
      </c>
      <c r="CO523">
        <f t="shared" si="167"/>
        <v>0</v>
      </c>
    </row>
    <row r="524" spans="1:93" s="12" customFormat="1" ht="14.45" hidden="1" customHeight="1" x14ac:dyDescent="0.25">
      <c r="A524" s="4">
        <v>2021</v>
      </c>
      <c r="B524" s="4"/>
      <c r="C524" s="4" t="s">
        <v>417</v>
      </c>
      <c r="D524" s="4" t="s">
        <v>65</v>
      </c>
      <c r="E524" s="4"/>
      <c r="F524" s="4" t="s">
        <v>90</v>
      </c>
      <c r="G524" s="5" t="s">
        <v>418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419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+VLOOKUP(G524,Liste!$A$7:$G$69,3,FALSE)</f>
        <v>Pin Maritime</v>
      </c>
      <c r="BI524" s="96" t="str">
        <f>+VLOOKUP(H524,Liste!$B$7:$G$69,5,FALSE)</f>
        <v>GS Pineraies des plaines du Centre et du Nord Ouest</v>
      </c>
      <c r="BJ524" s="135">
        <f t="shared" si="166"/>
        <v>53</v>
      </c>
      <c r="BK524" s="135" t="str">
        <f t="shared" si="168"/>
        <v>Pin Maritime_F2_Classique_GS Pineraies des plaines du Centre et du Nord Ouest_53_</v>
      </c>
      <c r="BL524" s="319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97" t="str">
        <f>+VLOOKUP(G524,Liste!$A$7:$H$69,8,FALSE)</f>
        <v>Résineux</v>
      </c>
      <c r="BU524" s="297">
        <f t="shared" si="169"/>
        <v>0</v>
      </c>
      <c r="BV524" s="299">
        <f t="shared" si="170"/>
        <v>1</v>
      </c>
      <c r="BW524" s="318">
        <v>0</v>
      </c>
      <c r="BX524" s="297">
        <f t="shared" si="171"/>
        <v>0.43</v>
      </c>
      <c r="BY524">
        <f t="shared" si="172"/>
        <v>0</v>
      </c>
      <c r="BZ524" s="303">
        <f t="shared" si="173"/>
        <v>0</v>
      </c>
      <c r="CB524" s="298">
        <v>0.6</v>
      </c>
      <c r="CC524" s="298">
        <v>0.4</v>
      </c>
      <c r="CD524">
        <f t="shared" si="174"/>
        <v>0</v>
      </c>
      <c r="CE524">
        <f t="shared" si="175"/>
        <v>0</v>
      </c>
      <c r="CF524">
        <f t="shared" si="176"/>
        <v>0</v>
      </c>
      <c r="CG524">
        <f t="shared" si="177"/>
        <v>0</v>
      </c>
      <c r="CH524">
        <f t="shared" si="178"/>
        <v>0</v>
      </c>
      <c r="CI524">
        <f t="shared" si="179"/>
        <v>0</v>
      </c>
      <c r="CJ524">
        <f t="shared" si="180"/>
        <v>0</v>
      </c>
      <c r="CK524">
        <f t="shared" si="181"/>
        <v>0</v>
      </c>
      <c r="CL524">
        <f t="shared" si="182"/>
        <v>0</v>
      </c>
      <c r="CM524">
        <f t="shared" si="184"/>
        <v>0</v>
      </c>
      <c r="CN524">
        <f t="shared" si="183"/>
        <v>0</v>
      </c>
      <c r="CO524">
        <f t="shared" si="167"/>
        <v>0</v>
      </c>
    </row>
    <row r="525" spans="1:93" s="12" customFormat="1" ht="14.45" hidden="1" customHeight="1" x14ac:dyDescent="0.25">
      <c r="A525" s="4">
        <v>2021</v>
      </c>
      <c r="B525" s="4"/>
      <c r="C525" s="4" t="s">
        <v>417</v>
      </c>
      <c r="D525" s="4" t="s">
        <v>65</v>
      </c>
      <c r="E525" s="4"/>
      <c r="F525" s="4" t="s">
        <v>90</v>
      </c>
      <c r="G525" s="5" t="s">
        <v>418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419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+VLOOKUP(G525,Liste!$A$7:$G$69,3,FALSE)</f>
        <v>Pin Maritime</v>
      </c>
      <c r="BI525" s="96" t="str">
        <f>+VLOOKUP(H525,Liste!$B$7:$G$69,5,FALSE)</f>
        <v>GS Pineraies des plaines du Centre et du Nord Ouest</v>
      </c>
      <c r="BJ525" s="135">
        <f t="shared" si="166"/>
        <v>54</v>
      </c>
      <c r="BK525" s="135" t="str">
        <f t="shared" si="168"/>
        <v>Pin Maritime_F2_Classique_GS Pineraies des plaines du Centre et du Nord Ouest_54_</v>
      </c>
      <c r="BL525" s="319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97" t="str">
        <f>+VLOOKUP(G525,Liste!$A$7:$H$69,8,FALSE)</f>
        <v>Résineux</v>
      </c>
      <c r="BU525" s="297">
        <f t="shared" si="169"/>
        <v>0</v>
      </c>
      <c r="BV525" s="299">
        <f t="shared" si="170"/>
        <v>1</v>
      </c>
      <c r="BW525" s="318">
        <v>0</v>
      </c>
      <c r="BX525" s="297">
        <f t="shared" si="171"/>
        <v>0.43</v>
      </c>
      <c r="BY525">
        <f t="shared" si="172"/>
        <v>0</v>
      </c>
      <c r="BZ525" s="303">
        <f t="shared" si="173"/>
        <v>0</v>
      </c>
      <c r="CB525" s="298">
        <v>0.6</v>
      </c>
      <c r="CC525" s="298">
        <v>0.4</v>
      </c>
      <c r="CD525">
        <f t="shared" si="174"/>
        <v>0</v>
      </c>
      <c r="CE525">
        <f t="shared" si="175"/>
        <v>0</v>
      </c>
      <c r="CF525">
        <f t="shared" si="176"/>
        <v>0</v>
      </c>
      <c r="CG525">
        <f t="shared" si="177"/>
        <v>0</v>
      </c>
      <c r="CH525">
        <f t="shared" si="178"/>
        <v>0</v>
      </c>
      <c r="CI525">
        <f t="shared" si="179"/>
        <v>0</v>
      </c>
      <c r="CJ525">
        <f t="shared" si="180"/>
        <v>0</v>
      </c>
      <c r="CK525">
        <f t="shared" si="181"/>
        <v>0</v>
      </c>
      <c r="CL525">
        <f t="shared" si="182"/>
        <v>0</v>
      </c>
      <c r="CM525">
        <f t="shared" si="184"/>
        <v>0</v>
      </c>
      <c r="CN525">
        <f t="shared" si="183"/>
        <v>0</v>
      </c>
      <c r="CO525">
        <f t="shared" si="167"/>
        <v>0</v>
      </c>
    </row>
    <row r="526" spans="1:93" s="12" customFormat="1" ht="14.45" hidden="1" customHeight="1" x14ac:dyDescent="0.25">
      <c r="A526" s="4">
        <v>2021</v>
      </c>
      <c r="B526" s="4"/>
      <c r="C526" s="4" t="s">
        <v>417</v>
      </c>
      <c r="D526" s="4" t="s">
        <v>65</v>
      </c>
      <c r="E526" s="4"/>
      <c r="F526" s="4" t="s">
        <v>90</v>
      </c>
      <c r="G526" s="5" t="s">
        <v>418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419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+VLOOKUP(G526,Liste!$A$7:$G$69,3,FALSE)</f>
        <v>Pin Maritime</v>
      </c>
      <c r="BI526" s="96" t="str">
        <f>+VLOOKUP(H526,Liste!$B$7:$G$69,5,FALSE)</f>
        <v>GS Pineraies des plaines du Centre et du Nord Ouest</v>
      </c>
      <c r="BJ526" s="135">
        <f t="shared" si="166"/>
        <v>55</v>
      </c>
      <c r="BK526" s="135" t="str">
        <f t="shared" si="168"/>
        <v>Pin Maritime_F2_Classique_GS Pineraies des plaines du Centre et du Nord Ouest_55_</v>
      </c>
      <c r="BL526" s="319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97" t="str">
        <f>+VLOOKUP(G526,Liste!$A$7:$H$69,8,FALSE)</f>
        <v>Résineux</v>
      </c>
      <c r="BU526" s="297">
        <f t="shared" si="169"/>
        <v>0</v>
      </c>
      <c r="BV526" s="299">
        <f t="shared" si="170"/>
        <v>1</v>
      </c>
      <c r="BW526" s="318">
        <v>0</v>
      </c>
      <c r="BX526" s="297">
        <f t="shared" si="171"/>
        <v>0.43</v>
      </c>
      <c r="BY526">
        <f t="shared" si="172"/>
        <v>0</v>
      </c>
      <c r="BZ526" s="303">
        <f t="shared" si="173"/>
        <v>0</v>
      </c>
      <c r="CB526" s="298">
        <v>0.6</v>
      </c>
      <c r="CC526" s="298">
        <v>0.4</v>
      </c>
      <c r="CD526">
        <f t="shared" si="174"/>
        <v>0</v>
      </c>
      <c r="CE526">
        <f t="shared" si="175"/>
        <v>0</v>
      </c>
      <c r="CF526">
        <f t="shared" si="176"/>
        <v>0</v>
      </c>
      <c r="CG526">
        <f t="shared" si="177"/>
        <v>0</v>
      </c>
      <c r="CH526">
        <f t="shared" si="178"/>
        <v>0</v>
      </c>
      <c r="CI526">
        <f t="shared" si="179"/>
        <v>0</v>
      </c>
      <c r="CJ526">
        <f t="shared" si="180"/>
        <v>0</v>
      </c>
      <c r="CK526">
        <f t="shared" si="181"/>
        <v>0</v>
      </c>
      <c r="CL526">
        <f t="shared" si="182"/>
        <v>0</v>
      </c>
      <c r="CM526">
        <f t="shared" si="184"/>
        <v>0</v>
      </c>
      <c r="CN526">
        <f t="shared" si="183"/>
        <v>0</v>
      </c>
      <c r="CO526">
        <f t="shared" si="167"/>
        <v>0</v>
      </c>
    </row>
    <row r="527" spans="1:93" s="12" customFormat="1" ht="14.45" hidden="1" customHeight="1" x14ac:dyDescent="0.25">
      <c r="A527" s="4">
        <v>2021</v>
      </c>
      <c r="B527" s="4"/>
      <c r="C527" s="4" t="s">
        <v>417</v>
      </c>
      <c r="D527" s="4" t="s">
        <v>65</v>
      </c>
      <c r="E527" s="4"/>
      <c r="F527" s="4" t="s">
        <v>90</v>
      </c>
      <c r="G527" s="5" t="s">
        <v>418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419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+VLOOKUP(G527,Liste!$A$7:$G$69,3,FALSE)</f>
        <v>Pin Maritime</v>
      </c>
      <c r="BI527" s="96" t="str">
        <f>+VLOOKUP(H527,Liste!$B$7:$G$69,5,FALSE)</f>
        <v>GS Pineraies des plaines du Centre et du Nord Ouest</v>
      </c>
      <c r="BJ527" s="135">
        <f t="shared" si="166"/>
        <v>56</v>
      </c>
      <c r="BK527" s="135" t="str">
        <f t="shared" si="168"/>
        <v>Pin Maritime_F2_Classique_GS Pineraies des plaines du Centre et du Nord Ouest_56_</v>
      </c>
      <c r="BL527" s="319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97" t="str">
        <f>+VLOOKUP(G527,Liste!$A$7:$H$69,8,FALSE)</f>
        <v>Résineux</v>
      </c>
      <c r="BU527" s="297">
        <f t="shared" si="169"/>
        <v>0</v>
      </c>
      <c r="BV527" s="299">
        <f t="shared" si="170"/>
        <v>1</v>
      </c>
      <c r="BW527" s="318">
        <v>0</v>
      </c>
      <c r="BX527" s="297">
        <f t="shared" si="171"/>
        <v>0.43</v>
      </c>
      <c r="BY527">
        <f t="shared" si="172"/>
        <v>0</v>
      </c>
      <c r="BZ527" s="303">
        <f t="shared" si="173"/>
        <v>0</v>
      </c>
      <c r="CB527" s="298">
        <v>0.6</v>
      </c>
      <c r="CC527" s="298">
        <v>0.4</v>
      </c>
      <c r="CD527">
        <f t="shared" si="174"/>
        <v>0</v>
      </c>
      <c r="CE527">
        <f t="shared" si="175"/>
        <v>0</v>
      </c>
      <c r="CF527">
        <f t="shared" si="176"/>
        <v>0</v>
      </c>
      <c r="CG527">
        <f t="shared" si="177"/>
        <v>0</v>
      </c>
      <c r="CH527">
        <f t="shared" si="178"/>
        <v>0</v>
      </c>
      <c r="CI527">
        <f t="shared" si="179"/>
        <v>0</v>
      </c>
      <c r="CJ527">
        <f t="shared" si="180"/>
        <v>0</v>
      </c>
      <c r="CK527">
        <f t="shared" si="181"/>
        <v>0</v>
      </c>
      <c r="CL527">
        <f t="shared" si="182"/>
        <v>0</v>
      </c>
      <c r="CM527">
        <f t="shared" si="184"/>
        <v>0</v>
      </c>
      <c r="CN527">
        <f t="shared" si="183"/>
        <v>0</v>
      </c>
      <c r="CO527">
        <f t="shared" si="167"/>
        <v>0</v>
      </c>
    </row>
    <row r="528" spans="1:93" s="12" customFormat="1" ht="14.45" hidden="1" customHeight="1" x14ac:dyDescent="0.25">
      <c r="A528" s="4">
        <v>2021</v>
      </c>
      <c r="B528" s="4"/>
      <c r="C528" s="4" t="s">
        <v>417</v>
      </c>
      <c r="D528" s="4" t="s">
        <v>65</v>
      </c>
      <c r="E528" s="4"/>
      <c r="F528" s="4" t="s">
        <v>90</v>
      </c>
      <c r="G528" s="5" t="s">
        <v>418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419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+VLOOKUP(G528,Liste!$A$7:$G$69,3,FALSE)</f>
        <v>Pin Maritime</v>
      </c>
      <c r="BI528" s="96" t="str">
        <f>+VLOOKUP(H528,Liste!$B$7:$G$69,5,FALSE)</f>
        <v>GS Pineraies des plaines du Centre et du Nord Ouest</v>
      </c>
      <c r="BJ528" s="135">
        <f t="shared" si="166"/>
        <v>57</v>
      </c>
      <c r="BK528" s="135" t="str">
        <f t="shared" si="168"/>
        <v>Pin Maritime_F2_Classique_GS Pineraies des plaines du Centre et du Nord Ouest_57_</v>
      </c>
      <c r="BL528" s="319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97" t="str">
        <f>+VLOOKUP(G528,Liste!$A$7:$H$69,8,FALSE)</f>
        <v>Résineux</v>
      </c>
      <c r="BU528" s="297">
        <f t="shared" si="169"/>
        <v>0</v>
      </c>
      <c r="BV528" s="299">
        <f t="shared" si="170"/>
        <v>1</v>
      </c>
      <c r="BW528" s="318">
        <v>0</v>
      </c>
      <c r="BX528" s="297">
        <f t="shared" si="171"/>
        <v>0.43</v>
      </c>
      <c r="BY528">
        <f t="shared" si="172"/>
        <v>0</v>
      </c>
      <c r="BZ528" s="303">
        <f t="shared" si="173"/>
        <v>0</v>
      </c>
      <c r="CB528" s="298">
        <v>0.6</v>
      </c>
      <c r="CC528" s="298">
        <v>0.4</v>
      </c>
      <c r="CD528">
        <f t="shared" si="174"/>
        <v>0</v>
      </c>
      <c r="CE528">
        <f t="shared" si="175"/>
        <v>0</v>
      </c>
      <c r="CF528">
        <f t="shared" si="176"/>
        <v>0</v>
      </c>
      <c r="CG528">
        <f t="shared" si="177"/>
        <v>0</v>
      </c>
      <c r="CH528">
        <f t="shared" si="178"/>
        <v>0</v>
      </c>
      <c r="CI528">
        <f t="shared" si="179"/>
        <v>0</v>
      </c>
      <c r="CJ528">
        <f t="shared" si="180"/>
        <v>0</v>
      </c>
      <c r="CK528">
        <f t="shared" si="181"/>
        <v>0</v>
      </c>
      <c r="CL528">
        <f t="shared" si="182"/>
        <v>0</v>
      </c>
      <c r="CM528">
        <f t="shared" si="184"/>
        <v>0</v>
      </c>
      <c r="CN528">
        <f t="shared" si="183"/>
        <v>0</v>
      </c>
      <c r="CO528">
        <f t="shared" si="167"/>
        <v>0</v>
      </c>
    </row>
    <row r="529" spans="1:93" s="12" customFormat="1" ht="14.45" hidden="1" customHeight="1" x14ac:dyDescent="0.25">
      <c r="A529" s="4">
        <v>2021</v>
      </c>
      <c r="B529" s="4"/>
      <c r="C529" s="4" t="s">
        <v>417</v>
      </c>
      <c r="D529" s="4" t="s">
        <v>65</v>
      </c>
      <c r="E529" s="4"/>
      <c r="F529" s="4" t="s">
        <v>90</v>
      </c>
      <c r="G529" s="5" t="s">
        <v>418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419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+VLOOKUP(G529,Liste!$A$7:$G$69,3,FALSE)</f>
        <v>Pin Maritime</v>
      </c>
      <c r="BI529" s="96" t="str">
        <f>+VLOOKUP(H529,Liste!$B$7:$G$69,5,FALSE)</f>
        <v>GS Pineraies des plaines du Centre et du Nord Ouest</v>
      </c>
      <c r="BJ529" s="135">
        <f t="shared" si="166"/>
        <v>58</v>
      </c>
      <c r="BK529" s="135" t="str">
        <f t="shared" si="168"/>
        <v>Pin Maritime_F2_Classique_GS Pineraies des plaines du Centre et du Nord Ouest_58_</v>
      </c>
      <c r="BL529" s="319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97" t="str">
        <f>+VLOOKUP(G529,Liste!$A$7:$H$69,8,FALSE)</f>
        <v>Résineux</v>
      </c>
      <c r="BU529" s="297">
        <f t="shared" si="169"/>
        <v>0</v>
      </c>
      <c r="BV529" s="299">
        <f t="shared" si="170"/>
        <v>1</v>
      </c>
      <c r="BW529" s="318">
        <v>0</v>
      </c>
      <c r="BX529" s="297">
        <f t="shared" si="171"/>
        <v>0.43</v>
      </c>
      <c r="BY529">
        <f t="shared" si="172"/>
        <v>0</v>
      </c>
      <c r="BZ529" s="303">
        <f t="shared" si="173"/>
        <v>0</v>
      </c>
      <c r="CB529" s="298">
        <v>0.6</v>
      </c>
      <c r="CC529" s="298">
        <v>0.4</v>
      </c>
      <c r="CD529">
        <f t="shared" si="174"/>
        <v>0</v>
      </c>
      <c r="CE529">
        <f t="shared" si="175"/>
        <v>0</v>
      </c>
      <c r="CF529">
        <f t="shared" si="176"/>
        <v>0</v>
      </c>
      <c r="CG529">
        <f t="shared" si="177"/>
        <v>0</v>
      </c>
      <c r="CH529">
        <f t="shared" si="178"/>
        <v>0</v>
      </c>
      <c r="CI529">
        <f t="shared" si="179"/>
        <v>0</v>
      </c>
      <c r="CJ529">
        <f t="shared" si="180"/>
        <v>0</v>
      </c>
      <c r="CK529">
        <f t="shared" si="181"/>
        <v>0</v>
      </c>
      <c r="CL529">
        <f t="shared" si="182"/>
        <v>0</v>
      </c>
      <c r="CM529">
        <f t="shared" si="184"/>
        <v>0</v>
      </c>
      <c r="CN529">
        <f t="shared" si="183"/>
        <v>0</v>
      </c>
      <c r="CO529">
        <f t="shared" si="167"/>
        <v>0</v>
      </c>
    </row>
    <row r="530" spans="1:93" s="12" customFormat="1" ht="14.45" hidden="1" customHeight="1" x14ac:dyDescent="0.25">
      <c r="A530" s="4">
        <v>2021</v>
      </c>
      <c r="B530" s="4"/>
      <c r="C530" s="4" t="s">
        <v>417</v>
      </c>
      <c r="D530" s="4" t="s">
        <v>65</v>
      </c>
      <c r="E530" s="4"/>
      <c r="F530" s="4" t="s">
        <v>90</v>
      </c>
      <c r="G530" s="5" t="s">
        <v>418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419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+VLOOKUP(G530,Liste!$A$7:$G$69,3,FALSE)</f>
        <v>Pin Maritime</v>
      </c>
      <c r="BI530" s="96" t="str">
        <f>+VLOOKUP(H530,Liste!$B$7:$G$69,5,FALSE)</f>
        <v>GS Pineraies des plaines du Centre et du Nord Ouest</v>
      </c>
      <c r="BJ530" s="135">
        <f t="shared" si="166"/>
        <v>59</v>
      </c>
      <c r="BK530" s="135" t="str">
        <f t="shared" si="168"/>
        <v>Pin Maritime_F2_Classique_GS Pineraies des plaines du Centre et du Nord Ouest_59_</v>
      </c>
      <c r="BL530" s="319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97" t="str">
        <f>+VLOOKUP(G530,Liste!$A$7:$H$69,8,FALSE)</f>
        <v>Résineux</v>
      </c>
      <c r="BU530" s="297">
        <f t="shared" si="169"/>
        <v>0</v>
      </c>
      <c r="BV530" s="299">
        <f t="shared" si="170"/>
        <v>1</v>
      </c>
      <c r="BW530" s="318">
        <v>0</v>
      </c>
      <c r="BX530" s="297">
        <f t="shared" si="171"/>
        <v>0.43</v>
      </c>
      <c r="BY530">
        <f t="shared" si="172"/>
        <v>0</v>
      </c>
      <c r="BZ530" s="303">
        <f t="shared" si="173"/>
        <v>0</v>
      </c>
      <c r="CB530" s="298">
        <v>0.6</v>
      </c>
      <c r="CC530" s="298">
        <v>0.4</v>
      </c>
      <c r="CD530">
        <f t="shared" si="174"/>
        <v>0</v>
      </c>
      <c r="CE530">
        <f t="shared" si="175"/>
        <v>0</v>
      </c>
      <c r="CF530">
        <f t="shared" si="176"/>
        <v>0</v>
      </c>
      <c r="CG530">
        <f t="shared" si="177"/>
        <v>0</v>
      </c>
      <c r="CH530">
        <f t="shared" si="178"/>
        <v>0</v>
      </c>
      <c r="CI530">
        <f t="shared" si="179"/>
        <v>0</v>
      </c>
      <c r="CJ530">
        <f t="shared" si="180"/>
        <v>0</v>
      </c>
      <c r="CK530">
        <f t="shared" si="181"/>
        <v>0</v>
      </c>
      <c r="CL530">
        <f t="shared" si="182"/>
        <v>0</v>
      </c>
      <c r="CM530">
        <f t="shared" si="184"/>
        <v>0</v>
      </c>
      <c r="CN530">
        <f t="shared" si="183"/>
        <v>0</v>
      </c>
      <c r="CO530">
        <f t="shared" si="167"/>
        <v>0</v>
      </c>
    </row>
    <row r="531" spans="1:93" s="12" customFormat="1" ht="14.45" hidden="1" customHeight="1" x14ac:dyDescent="0.25">
      <c r="A531" s="4">
        <v>2021</v>
      </c>
      <c r="B531" s="4"/>
      <c r="C531" s="4" t="s">
        <v>417</v>
      </c>
      <c r="D531" s="4" t="s">
        <v>65</v>
      </c>
      <c r="E531" s="4"/>
      <c r="F531" s="4" t="s">
        <v>90</v>
      </c>
      <c r="G531" s="5" t="s">
        <v>418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419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+VLOOKUP(G531,Liste!$A$7:$G$69,3,FALSE)</f>
        <v>Pin Maritime</v>
      </c>
      <c r="BI531" s="96" t="str">
        <f>+VLOOKUP(H531,Liste!$B$7:$G$69,5,FALSE)</f>
        <v>GS Pineraies des plaines du Centre et du Nord Ouest</v>
      </c>
      <c r="BJ531" s="135">
        <f t="shared" si="166"/>
        <v>60</v>
      </c>
      <c r="BK531" s="135" t="str">
        <f t="shared" si="168"/>
        <v>Pin Maritime_F2_Classique_GS Pineraies des plaines du Centre et du Nord Ouest_60_</v>
      </c>
      <c r="BL531" s="319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97" t="str">
        <f>+VLOOKUP(G531,Liste!$A$7:$H$69,8,FALSE)</f>
        <v>Résineux</v>
      </c>
      <c r="BU531" s="297">
        <f t="shared" si="169"/>
        <v>0</v>
      </c>
      <c r="BV531" s="299">
        <f t="shared" si="170"/>
        <v>1</v>
      </c>
      <c r="BW531" s="318">
        <v>0</v>
      </c>
      <c r="BX531" s="297">
        <f t="shared" si="171"/>
        <v>0.43</v>
      </c>
      <c r="BY531">
        <f t="shared" si="172"/>
        <v>0</v>
      </c>
      <c r="BZ531" s="303">
        <f t="shared" si="173"/>
        <v>0</v>
      </c>
      <c r="CB531" s="298">
        <v>0.6</v>
      </c>
      <c r="CC531" s="298">
        <v>0.4</v>
      </c>
      <c r="CD531">
        <f t="shared" si="174"/>
        <v>0</v>
      </c>
      <c r="CE531">
        <f t="shared" si="175"/>
        <v>0</v>
      </c>
      <c r="CF531">
        <f t="shared" si="176"/>
        <v>0</v>
      </c>
      <c r="CG531">
        <f t="shared" si="177"/>
        <v>0</v>
      </c>
      <c r="CH531">
        <f t="shared" si="178"/>
        <v>0</v>
      </c>
      <c r="CI531">
        <f t="shared" si="179"/>
        <v>0</v>
      </c>
      <c r="CJ531">
        <f t="shared" si="180"/>
        <v>0</v>
      </c>
      <c r="CK531">
        <f t="shared" si="181"/>
        <v>0</v>
      </c>
      <c r="CL531">
        <f t="shared" si="182"/>
        <v>0</v>
      </c>
      <c r="CM531">
        <f t="shared" si="184"/>
        <v>0</v>
      </c>
      <c r="CN531">
        <f t="shared" si="183"/>
        <v>0</v>
      </c>
      <c r="CO531">
        <f t="shared" si="167"/>
        <v>0</v>
      </c>
    </row>
    <row r="532" spans="1:93" s="12" customFormat="1" ht="14.45" hidden="1" customHeight="1" x14ac:dyDescent="0.25">
      <c r="A532" s="4">
        <v>2021</v>
      </c>
      <c r="B532" s="4"/>
      <c r="C532" s="4" t="s">
        <v>417</v>
      </c>
      <c r="D532" s="4" t="s">
        <v>65</v>
      </c>
      <c r="E532" s="4"/>
      <c r="F532" s="4" t="s">
        <v>90</v>
      </c>
      <c r="G532" s="5" t="s">
        <v>418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419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+VLOOKUP(G532,Liste!$A$7:$G$69,3,FALSE)</f>
        <v>Pin Maritime</v>
      </c>
      <c r="BI532" s="96" t="str">
        <f>+VLOOKUP(H532,Liste!$B$7:$G$69,5,FALSE)</f>
        <v>GS Pineraies des plaines du Centre et du Nord Ouest</v>
      </c>
      <c r="BJ532" s="135">
        <f t="shared" si="166"/>
        <v>60</v>
      </c>
      <c r="BK532" s="135" t="str">
        <f t="shared" si="168"/>
        <v>Pin Maritime_F2_Classique_GS Pineraies des plaines du Centre et du Nord Ouest_60_</v>
      </c>
      <c r="BL532" s="319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97" t="str">
        <f>+VLOOKUP(G532,Liste!$A$7:$H$69,8,FALSE)</f>
        <v>Résineux</v>
      </c>
      <c r="BU532" s="297">
        <f t="shared" si="169"/>
        <v>0</v>
      </c>
      <c r="BV532" s="299">
        <f t="shared" si="170"/>
        <v>1</v>
      </c>
      <c r="BW532" s="318">
        <v>0</v>
      </c>
      <c r="BX532" s="297">
        <f t="shared" si="171"/>
        <v>0.43</v>
      </c>
      <c r="BY532">
        <f t="shared" si="172"/>
        <v>0</v>
      </c>
      <c r="BZ532" s="303">
        <f t="shared" si="173"/>
        <v>0</v>
      </c>
      <c r="CB532" s="298">
        <v>0.6</v>
      </c>
      <c r="CC532" s="298">
        <v>0.4</v>
      </c>
      <c r="CD532">
        <f t="shared" si="174"/>
        <v>0</v>
      </c>
      <c r="CE532">
        <f t="shared" si="175"/>
        <v>0</v>
      </c>
      <c r="CF532">
        <f t="shared" si="176"/>
        <v>0</v>
      </c>
      <c r="CG532">
        <f t="shared" si="177"/>
        <v>0</v>
      </c>
      <c r="CH532">
        <f t="shared" si="178"/>
        <v>0</v>
      </c>
      <c r="CI532">
        <f t="shared" si="179"/>
        <v>0</v>
      </c>
      <c r="CJ532">
        <f t="shared" si="180"/>
        <v>0</v>
      </c>
      <c r="CK532">
        <f t="shared" si="181"/>
        <v>0</v>
      </c>
      <c r="CL532">
        <f t="shared" si="182"/>
        <v>0</v>
      </c>
      <c r="CM532">
        <f t="shared" si="184"/>
        <v>0</v>
      </c>
      <c r="CN532">
        <f t="shared" si="183"/>
        <v>0</v>
      </c>
      <c r="CO532">
        <f t="shared" si="167"/>
        <v>0</v>
      </c>
    </row>
    <row r="533" spans="1:93" s="12" customFormat="1" ht="14.45" hidden="1" customHeight="1" x14ac:dyDescent="0.25">
      <c r="A533" s="4">
        <v>2021</v>
      </c>
      <c r="B533" s="4"/>
      <c r="C533" s="4" t="s">
        <v>417</v>
      </c>
      <c r="D533" s="4" t="s">
        <v>65</v>
      </c>
      <c r="E533" s="4"/>
      <c r="F533" s="4" t="s">
        <v>90</v>
      </c>
      <c r="G533" s="5" t="s">
        <v>418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419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+VLOOKUP(G533,Liste!$A$7:$G$69,3,FALSE)</f>
        <v>Pin Maritime</v>
      </c>
      <c r="BI533" s="96" t="str">
        <f>+VLOOKUP(H533,Liste!$B$7:$G$69,5,FALSE)</f>
        <v>GS Pineraies des plaines du Centre et du Nord Ouest</v>
      </c>
      <c r="BJ533" s="135">
        <f t="shared" si="166"/>
        <v>14</v>
      </c>
      <c r="BK533" s="135" t="str">
        <f t="shared" si="168"/>
        <v>Pin Maritime_F1_Classique_GS Pineraies des plaines du Centre et du Nord Ouest_14_</v>
      </c>
      <c r="BL533" s="319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97" t="str">
        <f>+VLOOKUP(G533,Liste!$A$7:$H$69,8,FALSE)</f>
        <v>Résineux</v>
      </c>
      <c r="BU533" s="297">
        <f t="shared" si="169"/>
        <v>0</v>
      </c>
      <c r="BV533" s="299">
        <f t="shared" si="170"/>
        <v>1</v>
      </c>
      <c r="BW533" s="318">
        <v>0</v>
      </c>
      <c r="BX533" s="297">
        <f t="shared" si="171"/>
        <v>0.43</v>
      </c>
      <c r="BY533">
        <f t="shared" si="172"/>
        <v>0</v>
      </c>
      <c r="BZ533" s="303">
        <f t="shared" si="173"/>
        <v>0</v>
      </c>
      <c r="CB533" s="298">
        <v>0.6</v>
      </c>
      <c r="CC533" s="298">
        <v>0.4</v>
      </c>
      <c r="CD533">
        <f t="shared" si="174"/>
        <v>0</v>
      </c>
      <c r="CE533">
        <f t="shared" si="175"/>
        <v>0</v>
      </c>
      <c r="CF533">
        <f t="shared" si="176"/>
        <v>0</v>
      </c>
      <c r="CG533">
        <f t="shared" si="177"/>
        <v>0</v>
      </c>
      <c r="CH533">
        <f t="shared" si="178"/>
        <v>0</v>
      </c>
      <c r="CI533">
        <f t="shared" si="179"/>
        <v>0</v>
      </c>
      <c r="CJ533">
        <f t="shared" si="180"/>
        <v>0</v>
      </c>
      <c r="CK533">
        <f t="shared" si="181"/>
        <v>0</v>
      </c>
      <c r="CL533">
        <f t="shared" si="182"/>
        <v>0</v>
      </c>
      <c r="CM533">
        <f t="shared" si="184"/>
        <v>0</v>
      </c>
      <c r="CN533">
        <f t="shared" si="183"/>
        <v>0</v>
      </c>
      <c r="CO533">
        <f t="shared" si="167"/>
        <v>0</v>
      </c>
    </row>
    <row r="534" spans="1:93" s="12" customFormat="1" ht="14.45" hidden="1" customHeight="1" x14ac:dyDescent="0.25">
      <c r="A534" s="4">
        <v>2021</v>
      </c>
      <c r="B534" s="4"/>
      <c r="C534" s="4" t="s">
        <v>417</v>
      </c>
      <c r="D534" s="4" t="s">
        <v>65</v>
      </c>
      <c r="E534" s="4"/>
      <c r="F534" s="4" t="s">
        <v>90</v>
      </c>
      <c r="G534" s="5" t="s">
        <v>418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419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+VLOOKUP(G534,Liste!$A$7:$G$69,3,FALSE)</f>
        <v>Pin Maritime</v>
      </c>
      <c r="BI534" s="96" t="str">
        <f>+VLOOKUP(H534,Liste!$B$7:$G$69,5,FALSE)</f>
        <v>GS Pineraies des plaines du Centre et du Nord Ouest</v>
      </c>
      <c r="BJ534" s="135">
        <f t="shared" si="166"/>
        <v>14</v>
      </c>
      <c r="BK534" s="135" t="str">
        <f t="shared" si="168"/>
        <v>Pin Maritime_F1_Classique_GS Pineraies des plaines du Centre et du Nord Ouest_14_</v>
      </c>
      <c r="BL534" s="319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97" t="str">
        <f>+VLOOKUP(G534,Liste!$A$7:$H$69,8,FALSE)</f>
        <v>Résineux</v>
      </c>
      <c r="BU534" s="297">
        <f t="shared" si="169"/>
        <v>0</v>
      </c>
      <c r="BV534" s="299">
        <f t="shared" si="170"/>
        <v>1</v>
      </c>
      <c r="BW534" s="318">
        <v>0</v>
      </c>
      <c r="BX534" s="297">
        <f t="shared" si="171"/>
        <v>0.43</v>
      </c>
      <c r="BY534">
        <f t="shared" si="172"/>
        <v>16.378701956515222</v>
      </c>
      <c r="BZ534" s="303">
        <f t="shared" si="173"/>
        <v>16.378701956515222</v>
      </c>
      <c r="CB534" s="298">
        <v>0.6</v>
      </c>
      <c r="CC534" s="298">
        <v>0.4</v>
      </c>
      <c r="CD534">
        <f t="shared" si="174"/>
        <v>0</v>
      </c>
      <c r="CE534">
        <f t="shared" si="175"/>
        <v>22.854002730021239</v>
      </c>
      <c r="CF534">
        <f t="shared" si="176"/>
        <v>15.236001820014161</v>
      </c>
      <c r="CG534">
        <f t="shared" si="177"/>
        <v>0</v>
      </c>
      <c r="CH534">
        <f t="shared" si="178"/>
        <v>18.309865187202014</v>
      </c>
      <c r="CI534">
        <f t="shared" si="179"/>
        <v>12.206576791468013</v>
      </c>
      <c r="CJ534">
        <f t="shared" si="180"/>
        <v>0</v>
      </c>
      <c r="CK534">
        <f t="shared" si="181"/>
        <v>0</v>
      </c>
      <c r="CL534">
        <f t="shared" si="182"/>
        <v>0</v>
      </c>
      <c r="CM534">
        <f t="shared" si="184"/>
        <v>0</v>
      </c>
      <c r="CN534">
        <f t="shared" si="183"/>
        <v>0</v>
      </c>
      <c r="CO534">
        <f t="shared" si="167"/>
        <v>0</v>
      </c>
    </row>
    <row r="535" spans="1:93" s="12" customFormat="1" ht="14.45" hidden="1" customHeight="1" x14ac:dyDescent="0.25">
      <c r="A535" s="4">
        <v>2021</v>
      </c>
      <c r="B535" s="4"/>
      <c r="C535" s="4" t="s">
        <v>417</v>
      </c>
      <c r="D535" s="4" t="s">
        <v>65</v>
      </c>
      <c r="E535" s="4"/>
      <c r="F535" s="4" t="s">
        <v>90</v>
      </c>
      <c r="G535" s="5" t="s">
        <v>418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419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+VLOOKUP(G535,Liste!$A$7:$G$69,3,FALSE)</f>
        <v>Pin Maritime</v>
      </c>
      <c r="BI535" s="96" t="str">
        <f>+VLOOKUP(H535,Liste!$B$7:$G$69,5,FALSE)</f>
        <v>GS Pineraies des plaines du Centre et du Nord Ouest</v>
      </c>
      <c r="BJ535" s="135">
        <f t="shared" si="166"/>
        <v>15</v>
      </c>
      <c r="BK535" s="135" t="str">
        <f t="shared" si="168"/>
        <v>Pin Maritime_F1_Classique_GS Pineraies des plaines du Centre et du Nord Ouest_15_</v>
      </c>
      <c r="BL535" s="319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97" t="str">
        <f>+VLOOKUP(G535,Liste!$A$7:$H$69,8,FALSE)</f>
        <v>Résineux</v>
      </c>
      <c r="BU535" s="297">
        <f t="shared" si="169"/>
        <v>0</v>
      </c>
      <c r="BV535" s="299">
        <f t="shared" si="170"/>
        <v>1</v>
      </c>
      <c r="BW535" s="318">
        <v>0</v>
      </c>
      <c r="BX535" s="297">
        <f t="shared" si="171"/>
        <v>0.43</v>
      </c>
      <c r="BY535">
        <f t="shared" si="172"/>
        <v>0</v>
      </c>
      <c r="BZ535" s="303">
        <f t="shared" si="173"/>
        <v>16.378701956515222</v>
      </c>
      <c r="CB535" s="298">
        <v>0.6</v>
      </c>
      <c r="CC535" s="298">
        <v>0.4</v>
      </c>
      <c r="CD535">
        <f t="shared" si="174"/>
        <v>0</v>
      </c>
      <c r="CE535">
        <f t="shared" si="175"/>
        <v>0</v>
      </c>
      <c r="CF535">
        <f t="shared" si="176"/>
        <v>0</v>
      </c>
      <c r="CG535">
        <f t="shared" si="177"/>
        <v>0</v>
      </c>
      <c r="CH535">
        <f t="shared" si="178"/>
        <v>0</v>
      </c>
      <c r="CI535">
        <f t="shared" si="179"/>
        <v>0</v>
      </c>
      <c r="CJ535">
        <f t="shared" si="180"/>
        <v>0</v>
      </c>
      <c r="CK535">
        <f t="shared" si="181"/>
        <v>18.058366262614442</v>
      </c>
      <c r="CL535">
        <f t="shared" si="182"/>
        <v>10.315914620783646</v>
      </c>
      <c r="CM535">
        <f t="shared" si="184"/>
        <v>28.374280883398086</v>
      </c>
      <c r="CN535">
        <f t="shared" si="183"/>
        <v>28.374280883398086</v>
      </c>
      <c r="CO535">
        <f t="shared" si="167"/>
        <v>0</v>
      </c>
    </row>
    <row r="536" spans="1:93" s="12" customFormat="1" ht="14.45" hidden="1" customHeight="1" x14ac:dyDescent="0.25">
      <c r="A536" s="4">
        <v>2021</v>
      </c>
      <c r="B536" s="4"/>
      <c r="C536" s="4" t="s">
        <v>417</v>
      </c>
      <c r="D536" s="4" t="s">
        <v>65</v>
      </c>
      <c r="E536" s="4"/>
      <c r="F536" s="4" t="s">
        <v>90</v>
      </c>
      <c r="G536" s="5" t="s">
        <v>418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419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+VLOOKUP(G536,Liste!$A$7:$G$69,3,FALSE)</f>
        <v>Pin Maritime</v>
      </c>
      <c r="BI536" s="96" t="str">
        <f>+VLOOKUP(H536,Liste!$B$7:$G$69,5,FALSE)</f>
        <v>GS Pineraies des plaines du Centre et du Nord Ouest</v>
      </c>
      <c r="BJ536" s="135">
        <f t="shared" si="166"/>
        <v>16</v>
      </c>
      <c r="BK536" s="135" t="str">
        <f t="shared" si="168"/>
        <v>Pin Maritime_F1_Classique_GS Pineraies des plaines du Centre et du Nord Ouest_16_</v>
      </c>
      <c r="BL536" s="319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97" t="str">
        <f>+VLOOKUP(G536,Liste!$A$7:$H$69,8,FALSE)</f>
        <v>Résineux</v>
      </c>
      <c r="BU536" s="297">
        <f t="shared" si="169"/>
        <v>0</v>
      </c>
      <c r="BV536" s="299">
        <f t="shared" si="170"/>
        <v>1</v>
      </c>
      <c r="BW536" s="318">
        <v>0</v>
      </c>
      <c r="BX536" s="297">
        <f t="shared" si="171"/>
        <v>0.43</v>
      </c>
      <c r="BY536">
        <f t="shared" si="172"/>
        <v>0</v>
      </c>
      <c r="BZ536" s="303">
        <f t="shared" si="173"/>
        <v>16.378701956515222</v>
      </c>
      <c r="CB536" s="298">
        <v>0.6</v>
      </c>
      <c r="CC536" s="298">
        <v>0.4</v>
      </c>
      <c r="CD536">
        <f t="shared" si="174"/>
        <v>0</v>
      </c>
      <c r="CE536">
        <f t="shared" si="175"/>
        <v>0</v>
      </c>
      <c r="CF536">
        <f t="shared" si="176"/>
        <v>0</v>
      </c>
      <c r="CG536">
        <f t="shared" si="177"/>
        <v>0</v>
      </c>
      <c r="CH536">
        <f t="shared" si="178"/>
        <v>0</v>
      </c>
      <c r="CI536">
        <f t="shared" si="179"/>
        <v>0</v>
      </c>
      <c r="CJ536">
        <f t="shared" si="180"/>
        <v>0</v>
      </c>
      <c r="CK536">
        <f t="shared" si="181"/>
        <v>17.564559287515042</v>
      </c>
      <c r="CL536">
        <f t="shared" si="182"/>
        <v>7.2944531824975689</v>
      </c>
      <c r="CM536">
        <f t="shared" si="184"/>
        <v>24.859012470012612</v>
      </c>
      <c r="CN536">
        <f t="shared" si="183"/>
        <v>53.233293353410701</v>
      </c>
      <c r="CO536">
        <f t="shared" si="167"/>
        <v>0</v>
      </c>
    </row>
    <row r="537" spans="1:93" s="12" customFormat="1" ht="14.45" hidden="1" customHeight="1" x14ac:dyDescent="0.25">
      <c r="A537" s="4">
        <v>2021</v>
      </c>
      <c r="B537" s="4"/>
      <c r="C537" s="4" t="s">
        <v>417</v>
      </c>
      <c r="D537" s="4" t="s">
        <v>65</v>
      </c>
      <c r="E537" s="4"/>
      <c r="F537" s="4" t="s">
        <v>90</v>
      </c>
      <c r="G537" s="5" t="s">
        <v>418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419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+VLOOKUP(G537,Liste!$A$7:$G$69,3,FALSE)</f>
        <v>Pin Maritime</v>
      </c>
      <c r="BI537" s="96" t="str">
        <f>+VLOOKUP(H537,Liste!$B$7:$G$69,5,FALSE)</f>
        <v>GS Pineraies des plaines du Centre et du Nord Ouest</v>
      </c>
      <c r="BJ537" s="135">
        <f t="shared" si="166"/>
        <v>17</v>
      </c>
      <c r="BK537" s="135" t="str">
        <f t="shared" si="168"/>
        <v>Pin Maritime_F1_Classique_GS Pineraies des plaines du Centre et du Nord Ouest_17_</v>
      </c>
      <c r="BL537" s="319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97" t="str">
        <f>+VLOOKUP(G537,Liste!$A$7:$H$69,8,FALSE)</f>
        <v>Résineux</v>
      </c>
      <c r="BU537" s="297">
        <f t="shared" si="169"/>
        <v>0</v>
      </c>
      <c r="BV537" s="299">
        <f t="shared" si="170"/>
        <v>1</v>
      </c>
      <c r="BW537" s="318">
        <v>0</v>
      </c>
      <c r="BX537" s="297">
        <f t="shared" si="171"/>
        <v>0.43</v>
      </c>
      <c r="BY537">
        <f t="shared" si="172"/>
        <v>0</v>
      </c>
      <c r="BZ537" s="303">
        <f t="shared" si="173"/>
        <v>16.378701956515222</v>
      </c>
      <c r="CB537" s="298">
        <v>0.6</v>
      </c>
      <c r="CC537" s="298">
        <v>0.4</v>
      </c>
      <c r="CD537">
        <f t="shared" si="174"/>
        <v>0</v>
      </c>
      <c r="CE537">
        <f t="shared" si="175"/>
        <v>0</v>
      </c>
      <c r="CF537">
        <f t="shared" si="176"/>
        <v>0</v>
      </c>
      <c r="CG537">
        <f t="shared" si="177"/>
        <v>0</v>
      </c>
      <c r="CH537">
        <f t="shared" si="178"/>
        <v>0</v>
      </c>
      <c r="CI537">
        <f t="shared" si="179"/>
        <v>0</v>
      </c>
      <c r="CJ537">
        <f t="shared" si="180"/>
        <v>0</v>
      </c>
      <c r="CK537">
        <f t="shared" si="181"/>
        <v>17.084255490117915</v>
      </c>
      <c r="CL537">
        <f t="shared" si="182"/>
        <v>5.1579573103918239</v>
      </c>
      <c r="CM537">
        <f t="shared" si="184"/>
        <v>22.242212800509741</v>
      </c>
      <c r="CN537">
        <f t="shared" si="183"/>
        <v>75.475506153920435</v>
      </c>
      <c r="CO537">
        <f t="shared" si="167"/>
        <v>0</v>
      </c>
    </row>
    <row r="538" spans="1:93" s="12" customFormat="1" ht="14.45" hidden="1" customHeight="1" x14ac:dyDescent="0.25">
      <c r="A538" s="4">
        <v>2021</v>
      </c>
      <c r="B538" s="4"/>
      <c r="C538" s="4" t="s">
        <v>417</v>
      </c>
      <c r="D538" s="4" t="s">
        <v>65</v>
      </c>
      <c r="E538" s="4"/>
      <c r="F538" s="4" t="s">
        <v>90</v>
      </c>
      <c r="G538" s="5" t="s">
        <v>418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419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+VLOOKUP(G538,Liste!$A$7:$G$69,3,FALSE)</f>
        <v>Pin Maritime</v>
      </c>
      <c r="BI538" s="96" t="str">
        <f>+VLOOKUP(H538,Liste!$B$7:$G$69,5,FALSE)</f>
        <v>GS Pineraies des plaines du Centre et du Nord Ouest</v>
      </c>
      <c r="BJ538" s="135">
        <f t="shared" si="166"/>
        <v>18</v>
      </c>
      <c r="BK538" s="135" t="str">
        <f t="shared" si="168"/>
        <v>Pin Maritime_F1_Classique_GS Pineraies des plaines du Centre et du Nord Ouest_18_</v>
      </c>
      <c r="BL538" s="319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97" t="str">
        <f>+VLOOKUP(G538,Liste!$A$7:$H$69,8,FALSE)</f>
        <v>Résineux</v>
      </c>
      <c r="BU538" s="297">
        <f t="shared" si="169"/>
        <v>0</v>
      </c>
      <c r="BV538" s="299">
        <f t="shared" si="170"/>
        <v>1</v>
      </c>
      <c r="BW538" s="318">
        <v>0</v>
      </c>
      <c r="BX538" s="297">
        <f t="shared" si="171"/>
        <v>0.43</v>
      </c>
      <c r="BY538">
        <f t="shared" si="172"/>
        <v>0</v>
      </c>
      <c r="BZ538" s="303">
        <f t="shared" si="173"/>
        <v>16.378701956515222</v>
      </c>
      <c r="CB538" s="298">
        <v>0.6</v>
      </c>
      <c r="CC538" s="298">
        <v>0.4</v>
      </c>
      <c r="CD538">
        <f t="shared" si="174"/>
        <v>0</v>
      </c>
      <c r="CE538">
        <f t="shared" si="175"/>
        <v>0</v>
      </c>
      <c r="CF538">
        <f t="shared" si="176"/>
        <v>0</v>
      </c>
      <c r="CG538">
        <f t="shared" si="177"/>
        <v>0</v>
      </c>
      <c r="CH538">
        <f t="shared" si="178"/>
        <v>0</v>
      </c>
      <c r="CI538">
        <f t="shared" si="179"/>
        <v>0</v>
      </c>
      <c r="CJ538">
        <f t="shared" si="180"/>
        <v>0</v>
      </c>
      <c r="CK538">
        <f t="shared" si="181"/>
        <v>16.61708562531869</v>
      </c>
      <c r="CL538">
        <f t="shared" si="182"/>
        <v>3.6472265912487849</v>
      </c>
      <c r="CM538">
        <f t="shared" si="184"/>
        <v>20.264312216567475</v>
      </c>
      <c r="CN538">
        <f t="shared" si="183"/>
        <v>95.73981837048791</v>
      </c>
      <c r="CO538">
        <f t="shared" si="167"/>
        <v>0</v>
      </c>
    </row>
    <row r="539" spans="1:93" s="12" customFormat="1" ht="14.45" hidden="1" customHeight="1" x14ac:dyDescent="0.25">
      <c r="A539" s="4">
        <v>2021</v>
      </c>
      <c r="B539" s="4"/>
      <c r="C539" s="4" t="s">
        <v>417</v>
      </c>
      <c r="D539" s="4" t="s">
        <v>65</v>
      </c>
      <c r="E539" s="4"/>
      <c r="F539" s="4" t="s">
        <v>90</v>
      </c>
      <c r="G539" s="5" t="s">
        <v>418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419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+VLOOKUP(G539,Liste!$A$7:$G$69,3,FALSE)</f>
        <v>Pin Maritime</v>
      </c>
      <c r="BI539" s="96" t="str">
        <f>+VLOOKUP(H539,Liste!$B$7:$G$69,5,FALSE)</f>
        <v>GS Pineraies des plaines du Centre et du Nord Ouest</v>
      </c>
      <c r="BJ539" s="135">
        <f t="shared" si="166"/>
        <v>19</v>
      </c>
      <c r="BK539" s="135" t="str">
        <f t="shared" si="168"/>
        <v>Pin Maritime_F1_Classique_GS Pineraies des plaines du Centre et du Nord Ouest_19_</v>
      </c>
      <c r="BL539" s="319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97" t="str">
        <f>+VLOOKUP(G539,Liste!$A$7:$H$69,8,FALSE)</f>
        <v>Résineux</v>
      </c>
      <c r="BU539" s="297">
        <f t="shared" si="169"/>
        <v>0</v>
      </c>
      <c r="BV539" s="299">
        <f t="shared" si="170"/>
        <v>1</v>
      </c>
      <c r="BW539" s="318">
        <v>0</v>
      </c>
      <c r="BX539" s="297">
        <f t="shared" si="171"/>
        <v>0.43</v>
      </c>
      <c r="BY539">
        <f t="shared" si="172"/>
        <v>0</v>
      </c>
      <c r="BZ539" s="303">
        <f t="shared" si="173"/>
        <v>16.378701956515222</v>
      </c>
      <c r="CB539" s="298">
        <v>0.6</v>
      </c>
      <c r="CC539" s="298">
        <v>0.4</v>
      </c>
      <c r="CD539">
        <f t="shared" si="174"/>
        <v>0</v>
      </c>
      <c r="CE539">
        <f t="shared" si="175"/>
        <v>0</v>
      </c>
      <c r="CF539">
        <f t="shared" si="176"/>
        <v>0</v>
      </c>
      <c r="CG539">
        <f t="shared" si="177"/>
        <v>0</v>
      </c>
      <c r="CH539">
        <f t="shared" si="178"/>
        <v>0</v>
      </c>
      <c r="CI539">
        <f t="shared" si="179"/>
        <v>0</v>
      </c>
      <c r="CJ539">
        <f t="shared" si="180"/>
        <v>0</v>
      </c>
      <c r="CK539">
        <f t="shared" si="181"/>
        <v>16.162690545039798</v>
      </c>
      <c r="CL539">
        <f t="shared" si="182"/>
        <v>2.5789786551959124</v>
      </c>
      <c r="CM539">
        <f t="shared" si="184"/>
        <v>18.741669200235709</v>
      </c>
      <c r="CN539">
        <f t="shared" si="183"/>
        <v>114.48148757072362</v>
      </c>
      <c r="CO539">
        <f t="shared" si="167"/>
        <v>0</v>
      </c>
    </row>
    <row r="540" spans="1:93" s="12" customFormat="1" ht="14.45" hidden="1" customHeight="1" x14ac:dyDescent="0.25">
      <c r="A540" s="4">
        <v>2021</v>
      </c>
      <c r="B540" s="4"/>
      <c r="C540" s="4" t="s">
        <v>417</v>
      </c>
      <c r="D540" s="4" t="s">
        <v>65</v>
      </c>
      <c r="E540" s="4"/>
      <c r="F540" s="4" t="s">
        <v>90</v>
      </c>
      <c r="G540" s="5" t="s">
        <v>418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419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+VLOOKUP(G540,Liste!$A$7:$G$69,3,FALSE)</f>
        <v>Pin Maritime</v>
      </c>
      <c r="BI540" s="96" t="str">
        <f>+VLOOKUP(H540,Liste!$B$7:$G$69,5,FALSE)</f>
        <v>GS Pineraies des plaines du Centre et du Nord Ouest</v>
      </c>
      <c r="BJ540" s="135">
        <f t="shared" si="166"/>
        <v>19</v>
      </c>
      <c r="BK540" s="135" t="str">
        <f t="shared" si="168"/>
        <v>Pin Maritime_F1_Classique_GS Pineraies des plaines du Centre et du Nord Ouest_19_</v>
      </c>
      <c r="BL540" s="319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97" t="str">
        <f>+VLOOKUP(G540,Liste!$A$7:$H$69,8,FALSE)</f>
        <v>Résineux</v>
      </c>
      <c r="BU540" s="297">
        <f t="shared" si="169"/>
        <v>0</v>
      </c>
      <c r="BV540" s="299">
        <f t="shared" si="170"/>
        <v>1</v>
      </c>
      <c r="BW540" s="318">
        <v>0</v>
      </c>
      <c r="BX540" s="297">
        <f t="shared" si="171"/>
        <v>0.43</v>
      </c>
      <c r="BY540">
        <f t="shared" si="172"/>
        <v>18.796431551182536</v>
      </c>
      <c r="BZ540" s="303">
        <f t="shared" si="173"/>
        <v>35.175133507697758</v>
      </c>
      <c r="CB540" s="298">
        <v>0.6</v>
      </c>
      <c r="CC540" s="298">
        <v>0.4</v>
      </c>
      <c r="CD540">
        <f t="shared" si="174"/>
        <v>0</v>
      </c>
      <c r="CE540">
        <f t="shared" si="175"/>
        <v>26.227578908626793</v>
      </c>
      <c r="CF540">
        <f t="shared" si="176"/>
        <v>17.485052605751196</v>
      </c>
      <c r="CG540">
        <f t="shared" si="177"/>
        <v>0</v>
      </c>
      <c r="CH540">
        <f t="shared" si="178"/>
        <v>21.012661968961499</v>
      </c>
      <c r="CI540">
        <f t="shared" si="179"/>
        <v>14.008441312641002</v>
      </c>
      <c r="CJ540">
        <f t="shared" si="180"/>
        <v>0</v>
      </c>
      <c r="CK540">
        <f t="shared" si="181"/>
        <v>15.720720922126729</v>
      </c>
      <c r="CL540">
        <f t="shared" si="182"/>
        <v>1.8236132956243927</v>
      </c>
      <c r="CM540">
        <f t="shared" si="184"/>
        <v>17.544334217751121</v>
      </c>
      <c r="CN540">
        <f t="shared" si="183"/>
        <v>132.02582178847473</v>
      </c>
      <c r="CO540">
        <f t="shared" si="167"/>
        <v>0</v>
      </c>
    </row>
    <row r="541" spans="1:93" s="12" customFormat="1" ht="14.45" hidden="1" customHeight="1" x14ac:dyDescent="0.25">
      <c r="A541" s="4">
        <v>2021</v>
      </c>
      <c r="B541" s="4"/>
      <c r="C541" s="4" t="s">
        <v>417</v>
      </c>
      <c r="D541" s="4" t="s">
        <v>65</v>
      </c>
      <c r="E541" s="4"/>
      <c r="F541" s="4" t="s">
        <v>90</v>
      </c>
      <c r="G541" s="5" t="s">
        <v>418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419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+VLOOKUP(G541,Liste!$A$7:$G$69,3,FALSE)</f>
        <v>Pin Maritime</v>
      </c>
      <c r="BI541" s="96" t="str">
        <f>+VLOOKUP(H541,Liste!$B$7:$G$69,5,FALSE)</f>
        <v>GS Pineraies des plaines du Centre et du Nord Ouest</v>
      </c>
      <c r="BJ541" s="135">
        <f t="shared" si="166"/>
        <v>20</v>
      </c>
      <c r="BK541" s="135" t="str">
        <f t="shared" si="168"/>
        <v>Pin Maritime_F1_Classique_GS Pineraies des plaines du Centre et du Nord Ouest_20_</v>
      </c>
      <c r="BL541" s="319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97" t="str">
        <f>+VLOOKUP(G541,Liste!$A$7:$H$69,8,FALSE)</f>
        <v>Résineux</v>
      </c>
      <c r="BU541" s="297">
        <f t="shared" si="169"/>
        <v>0</v>
      </c>
      <c r="BV541" s="299">
        <f t="shared" si="170"/>
        <v>1</v>
      </c>
      <c r="BW541" s="318">
        <v>0</v>
      </c>
      <c r="BX541" s="297">
        <f t="shared" si="171"/>
        <v>0.43</v>
      </c>
      <c r="BY541">
        <f t="shared" si="172"/>
        <v>0</v>
      </c>
      <c r="BZ541" s="303">
        <f t="shared" si="173"/>
        <v>35.175133507697758</v>
      </c>
      <c r="CB541" s="298">
        <v>0.6</v>
      </c>
      <c r="CC541" s="298">
        <v>0.4</v>
      </c>
      <c r="CD541">
        <f t="shared" si="174"/>
        <v>0</v>
      </c>
      <c r="CE541">
        <f t="shared" si="175"/>
        <v>0</v>
      </c>
      <c r="CF541">
        <f t="shared" si="176"/>
        <v>0</v>
      </c>
      <c r="CG541">
        <f t="shared" si="177"/>
        <v>0</v>
      </c>
      <c r="CH541">
        <f t="shared" si="178"/>
        <v>0</v>
      </c>
      <c r="CI541">
        <f t="shared" si="179"/>
        <v>0</v>
      </c>
      <c r="CJ541">
        <f t="shared" si="180"/>
        <v>0</v>
      </c>
      <c r="CK541">
        <f t="shared" si="181"/>
        <v>36.014875204273594</v>
      </c>
      <c r="CL541">
        <f t="shared" si="182"/>
        <v>13.128179815538076</v>
      </c>
      <c r="CM541">
        <f t="shared" si="184"/>
        <v>49.143055019811669</v>
      </c>
      <c r="CN541">
        <f t="shared" si="183"/>
        <v>181.1688768082864</v>
      </c>
      <c r="CO541">
        <f t="shared" si="167"/>
        <v>0</v>
      </c>
    </row>
    <row r="542" spans="1:93" s="12" customFormat="1" ht="14.45" hidden="1" customHeight="1" x14ac:dyDescent="0.25">
      <c r="A542" s="4">
        <v>2021</v>
      </c>
      <c r="B542" s="4"/>
      <c r="C542" s="4" t="s">
        <v>417</v>
      </c>
      <c r="D542" s="4" t="s">
        <v>65</v>
      </c>
      <c r="E542" s="4"/>
      <c r="F542" s="4" t="s">
        <v>90</v>
      </c>
      <c r="G542" s="5" t="s">
        <v>418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419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+VLOOKUP(G542,Liste!$A$7:$G$69,3,FALSE)</f>
        <v>Pin Maritime</v>
      </c>
      <c r="BI542" s="96" t="str">
        <f>+VLOOKUP(H542,Liste!$B$7:$G$69,5,FALSE)</f>
        <v>GS Pineraies des plaines du Centre et du Nord Ouest</v>
      </c>
      <c r="BJ542" s="135">
        <f t="shared" si="166"/>
        <v>21</v>
      </c>
      <c r="BK542" s="135" t="str">
        <f t="shared" si="168"/>
        <v>Pin Maritime_F1_Classique_GS Pineraies des plaines du Centre et du Nord Ouest_21_</v>
      </c>
      <c r="BL542" s="319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97" t="str">
        <f>+VLOOKUP(G542,Liste!$A$7:$H$69,8,FALSE)</f>
        <v>Résineux</v>
      </c>
      <c r="BU542" s="297">
        <f t="shared" si="169"/>
        <v>0</v>
      </c>
      <c r="BV542" s="299">
        <f t="shared" si="170"/>
        <v>1</v>
      </c>
      <c r="BW542" s="318">
        <v>0</v>
      </c>
      <c r="BX542" s="297">
        <f t="shared" si="171"/>
        <v>0.43</v>
      </c>
      <c r="BY542">
        <f t="shared" si="172"/>
        <v>0</v>
      </c>
      <c r="BZ542" s="303">
        <f t="shared" si="173"/>
        <v>35.175133507697758</v>
      </c>
      <c r="CB542" s="298">
        <v>0.6</v>
      </c>
      <c r="CC542" s="298">
        <v>0.4</v>
      </c>
      <c r="CD542">
        <f t="shared" si="174"/>
        <v>0</v>
      </c>
      <c r="CE542">
        <f t="shared" si="175"/>
        <v>0</v>
      </c>
      <c r="CF542">
        <f t="shared" si="176"/>
        <v>0</v>
      </c>
      <c r="CG542">
        <f t="shared" si="177"/>
        <v>0</v>
      </c>
      <c r="CH542">
        <f t="shared" si="178"/>
        <v>0</v>
      </c>
      <c r="CI542">
        <f t="shared" si="179"/>
        <v>0</v>
      </c>
      <c r="CJ542">
        <f t="shared" si="180"/>
        <v>0</v>
      </c>
      <c r="CK542">
        <f t="shared" si="181"/>
        <v>35.030046547872757</v>
      </c>
      <c r="CL542">
        <f t="shared" si="182"/>
        <v>9.2830249722033322</v>
      </c>
      <c r="CM542">
        <f t="shared" si="184"/>
        <v>44.313071520076093</v>
      </c>
      <c r="CN542">
        <f t="shared" si="183"/>
        <v>225.48194832836248</v>
      </c>
      <c r="CO542">
        <f t="shared" si="167"/>
        <v>0</v>
      </c>
    </row>
    <row r="543" spans="1:93" s="12" customFormat="1" ht="14.45" hidden="1" customHeight="1" x14ac:dyDescent="0.25">
      <c r="A543" s="4">
        <v>2021</v>
      </c>
      <c r="B543" s="4"/>
      <c r="C543" s="4" t="s">
        <v>417</v>
      </c>
      <c r="D543" s="4" t="s">
        <v>65</v>
      </c>
      <c r="E543" s="4"/>
      <c r="F543" s="4" t="s">
        <v>90</v>
      </c>
      <c r="G543" s="5" t="s">
        <v>418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419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+VLOOKUP(G543,Liste!$A$7:$G$69,3,FALSE)</f>
        <v>Pin Maritime</v>
      </c>
      <c r="BI543" s="96" t="str">
        <f>+VLOOKUP(H543,Liste!$B$7:$G$69,5,FALSE)</f>
        <v>GS Pineraies des plaines du Centre et du Nord Ouest</v>
      </c>
      <c r="BJ543" s="135">
        <f t="shared" si="166"/>
        <v>22</v>
      </c>
      <c r="BK543" s="135" t="str">
        <f t="shared" si="168"/>
        <v>Pin Maritime_F1_Classique_GS Pineraies des plaines du Centre et du Nord Ouest_22_</v>
      </c>
      <c r="BL543" s="319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97" t="str">
        <f>+VLOOKUP(G543,Liste!$A$7:$H$69,8,FALSE)</f>
        <v>Résineux</v>
      </c>
      <c r="BU543" s="297">
        <f t="shared" si="169"/>
        <v>0</v>
      </c>
      <c r="BV543" s="299">
        <f t="shared" si="170"/>
        <v>1</v>
      </c>
      <c r="BW543" s="318">
        <v>0</v>
      </c>
      <c r="BX543" s="297">
        <f t="shared" si="171"/>
        <v>0.43</v>
      </c>
      <c r="BY543">
        <f t="shared" si="172"/>
        <v>0</v>
      </c>
      <c r="BZ543" s="303">
        <f t="shared" si="173"/>
        <v>35.175133507697758</v>
      </c>
      <c r="CB543" s="298">
        <v>0.6</v>
      </c>
      <c r="CC543" s="298">
        <v>0.4</v>
      </c>
      <c r="CD543">
        <f t="shared" si="174"/>
        <v>0</v>
      </c>
      <c r="CE543">
        <f t="shared" si="175"/>
        <v>0</v>
      </c>
      <c r="CF543">
        <f t="shared" si="176"/>
        <v>0</v>
      </c>
      <c r="CG543">
        <f t="shared" si="177"/>
        <v>0</v>
      </c>
      <c r="CH543">
        <f t="shared" si="178"/>
        <v>0</v>
      </c>
      <c r="CI543">
        <f t="shared" si="179"/>
        <v>0</v>
      </c>
      <c r="CJ543">
        <f t="shared" si="180"/>
        <v>0</v>
      </c>
      <c r="CK543">
        <f t="shared" si="181"/>
        <v>34.072148082871088</v>
      </c>
      <c r="CL543">
        <f t="shared" si="182"/>
        <v>6.5640899077690387</v>
      </c>
      <c r="CM543">
        <f t="shared" si="184"/>
        <v>40.636237990640126</v>
      </c>
      <c r="CN543">
        <f t="shared" si="183"/>
        <v>266.11818631900258</v>
      </c>
      <c r="CO543">
        <f t="shared" si="167"/>
        <v>0</v>
      </c>
    </row>
    <row r="544" spans="1:93" s="12" customFormat="1" ht="14.45" hidden="1" customHeight="1" x14ac:dyDescent="0.25">
      <c r="A544" s="4">
        <v>2021</v>
      </c>
      <c r="B544" s="4"/>
      <c r="C544" s="4" t="s">
        <v>417</v>
      </c>
      <c r="D544" s="4" t="s">
        <v>65</v>
      </c>
      <c r="E544" s="4"/>
      <c r="F544" s="4" t="s">
        <v>90</v>
      </c>
      <c r="G544" s="5" t="s">
        <v>418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419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+VLOOKUP(G544,Liste!$A$7:$G$69,3,FALSE)</f>
        <v>Pin Maritime</v>
      </c>
      <c r="BI544" s="96" t="str">
        <f>+VLOOKUP(H544,Liste!$B$7:$G$69,5,FALSE)</f>
        <v>GS Pineraies des plaines du Centre et du Nord Ouest</v>
      </c>
      <c r="BJ544" s="135">
        <f t="shared" si="166"/>
        <v>23</v>
      </c>
      <c r="BK544" s="135" t="str">
        <f t="shared" si="168"/>
        <v>Pin Maritime_F1_Classique_GS Pineraies des plaines du Centre et du Nord Ouest_23_</v>
      </c>
      <c r="BL544" s="319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97" t="str">
        <f>+VLOOKUP(G544,Liste!$A$7:$H$69,8,FALSE)</f>
        <v>Résineux</v>
      </c>
      <c r="BU544" s="297">
        <f t="shared" si="169"/>
        <v>0</v>
      </c>
      <c r="BV544" s="299">
        <f t="shared" si="170"/>
        <v>1</v>
      </c>
      <c r="BW544" s="318">
        <v>0</v>
      </c>
      <c r="BX544" s="297">
        <f t="shared" si="171"/>
        <v>0.43</v>
      </c>
      <c r="BY544">
        <f t="shared" si="172"/>
        <v>0</v>
      </c>
      <c r="BZ544" s="303">
        <f t="shared" si="173"/>
        <v>35.175133507697758</v>
      </c>
      <c r="CB544" s="298">
        <v>0.6</v>
      </c>
      <c r="CC544" s="298">
        <v>0.4</v>
      </c>
      <c r="CD544">
        <f t="shared" si="174"/>
        <v>0</v>
      </c>
      <c r="CE544">
        <f t="shared" si="175"/>
        <v>0</v>
      </c>
      <c r="CF544">
        <f t="shared" si="176"/>
        <v>0</v>
      </c>
      <c r="CG544">
        <f t="shared" si="177"/>
        <v>0</v>
      </c>
      <c r="CH544">
        <f t="shared" si="178"/>
        <v>0</v>
      </c>
      <c r="CI544">
        <f t="shared" si="179"/>
        <v>0</v>
      </c>
      <c r="CJ544">
        <f t="shared" si="180"/>
        <v>0</v>
      </c>
      <c r="CK544">
        <f t="shared" si="181"/>
        <v>33.140443401768586</v>
      </c>
      <c r="CL544">
        <f t="shared" si="182"/>
        <v>4.641512486101667</v>
      </c>
      <c r="CM544">
        <f t="shared" si="184"/>
        <v>37.781955887870254</v>
      </c>
      <c r="CN544">
        <f t="shared" si="183"/>
        <v>303.90014220687283</v>
      </c>
      <c r="CO544">
        <f t="shared" si="167"/>
        <v>0</v>
      </c>
    </row>
    <row r="545" spans="1:93" s="12" customFormat="1" ht="14.45" hidden="1" customHeight="1" x14ac:dyDescent="0.25">
      <c r="A545" s="4">
        <v>2021</v>
      </c>
      <c r="B545" s="4"/>
      <c r="C545" s="4" t="s">
        <v>417</v>
      </c>
      <c r="D545" s="4" t="s">
        <v>65</v>
      </c>
      <c r="E545" s="4"/>
      <c r="F545" s="4" t="s">
        <v>90</v>
      </c>
      <c r="G545" s="5" t="s">
        <v>418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419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+VLOOKUP(G545,Liste!$A$7:$G$69,3,FALSE)</f>
        <v>Pin Maritime</v>
      </c>
      <c r="BI545" s="96" t="str">
        <f>+VLOOKUP(H545,Liste!$B$7:$G$69,5,FALSE)</f>
        <v>GS Pineraies des plaines du Centre et du Nord Ouest</v>
      </c>
      <c r="BJ545" s="135">
        <f t="shared" si="166"/>
        <v>24</v>
      </c>
      <c r="BK545" s="135" t="str">
        <f t="shared" si="168"/>
        <v>Pin Maritime_F1_Classique_GS Pineraies des plaines du Centre et du Nord Ouest_24_</v>
      </c>
      <c r="BL545" s="319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97" t="str">
        <f>+VLOOKUP(G545,Liste!$A$7:$H$69,8,FALSE)</f>
        <v>Résineux</v>
      </c>
      <c r="BU545" s="297">
        <f t="shared" si="169"/>
        <v>0</v>
      </c>
      <c r="BV545" s="299">
        <f t="shared" si="170"/>
        <v>1</v>
      </c>
      <c r="BW545" s="318">
        <v>0</v>
      </c>
      <c r="BX545" s="297">
        <f t="shared" si="171"/>
        <v>0.43</v>
      </c>
      <c r="BY545">
        <f t="shared" si="172"/>
        <v>0</v>
      </c>
      <c r="BZ545" s="303">
        <f t="shared" si="173"/>
        <v>35.175133507697758</v>
      </c>
      <c r="CB545" s="298">
        <v>0.6</v>
      </c>
      <c r="CC545" s="298">
        <v>0.4</v>
      </c>
      <c r="CD545">
        <f t="shared" si="174"/>
        <v>0</v>
      </c>
      <c r="CE545">
        <f t="shared" si="175"/>
        <v>0</v>
      </c>
      <c r="CF545">
        <f t="shared" si="176"/>
        <v>0</v>
      </c>
      <c r="CG545">
        <f t="shared" si="177"/>
        <v>0</v>
      </c>
      <c r="CH545">
        <f t="shared" si="178"/>
        <v>0</v>
      </c>
      <c r="CI545">
        <f t="shared" si="179"/>
        <v>0</v>
      </c>
      <c r="CJ545">
        <f t="shared" si="180"/>
        <v>0</v>
      </c>
      <c r="CK545">
        <f t="shared" si="181"/>
        <v>32.23421623416705</v>
      </c>
      <c r="CL545">
        <f t="shared" si="182"/>
        <v>3.2820449538845198</v>
      </c>
      <c r="CM545">
        <f t="shared" si="184"/>
        <v>35.516261188051573</v>
      </c>
      <c r="CN545">
        <f t="shared" si="183"/>
        <v>339.41640339492437</v>
      </c>
      <c r="CO545">
        <f t="shared" si="167"/>
        <v>0</v>
      </c>
    </row>
    <row r="546" spans="1:93" s="12" customFormat="1" ht="14.45" hidden="1" customHeight="1" x14ac:dyDescent="0.25">
      <c r="A546" s="4">
        <v>2021</v>
      </c>
      <c r="B546" s="4"/>
      <c r="C546" s="4" t="s">
        <v>417</v>
      </c>
      <c r="D546" s="4" t="s">
        <v>65</v>
      </c>
      <c r="E546" s="4"/>
      <c r="F546" s="4" t="s">
        <v>90</v>
      </c>
      <c r="G546" s="5" t="s">
        <v>418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419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+VLOOKUP(G546,Liste!$A$7:$G$69,3,FALSE)</f>
        <v>Pin Maritime</v>
      </c>
      <c r="BI546" s="96" t="str">
        <f>+VLOOKUP(H546,Liste!$B$7:$G$69,5,FALSE)</f>
        <v>GS Pineraies des plaines du Centre et du Nord Ouest</v>
      </c>
      <c r="BJ546" s="135">
        <f t="shared" si="166"/>
        <v>24</v>
      </c>
      <c r="BK546" s="135" t="str">
        <f t="shared" si="168"/>
        <v>Pin Maritime_F1_Classique_GS Pineraies des plaines du Centre et du Nord Ouest_24_</v>
      </c>
      <c r="BL546" s="319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97" t="str">
        <f>+VLOOKUP(G546,Liste!$A$7:$H$69,8,FALSE)</f>
        <v>Résineux</v>
      </c>
      <c r="BU546" s="297">
        <f t="shared" si="169"/>
        <v>0</v>
      </c>
      <c r="BV546" s="299">
        <f t="shared" si="170"/>
        <v>1</v>
      </c>
      <c r="BW546" s="318">
        <v>0</v>
      </c>
      <c r="BX546" s="297">
        <f t="shared" si="171"/>
        <v>0.43</v>
      </c>
      <c r="BY546">
        <f t="shared" si="172"/>
        <v>19.780489645810409</v>
      </c>
      <c r="BZ546" s="303">
        <f t="shared" si="173"/>
        <v>54.955623153508171</v>
      </c>
      <c r="CB546" s="298">
        <v>0.6</v>
      </c>
      <c r="CC546" s="298">
        <v>0.4</v>
      </c>
      <c r="CD546">
        <f t="shared" si="174"/>
        <v>0</v>
      </c>
      <c r="CE546">
        <f t="shared" si="175"/>
        <v>27.600683226712196</v>
      </c>
      <c r="CF546">
        <f t="shared" si="176"/>
        <v>18.400455484474801</v>
      </c>
      <c r="CG546">
        <f t="shared" si="177"/>
        <v>0</v>
      </c>
      <c r="CH546">
        <f t="shared" si="178"/>
        <v>22.112747378467592</v>
      </c>
      <c r="CI546">
        <f t="shared" si="179"/>
        <v>14.741831585645061</v>
      </c>
      <c r="CJ546">
        <f t="shared" si="180"/>
        <v>0</v>
      </c>
      <c r="CK546">
        <f t="shared" si="181"/>
        <v>31.352769896119991</v>
      </c>
      <c r="CL546">
        <f t="shared" si="182"/>
        <v>2.3207562430508339</v>
      </c>
      <c r="CM546">
        <f t="shared" si="184"/>
        <v>33.673526139170825</v>
      </c>
      <c r="CN546">
        <f t="shared" si="183"/>
        <v>373.08992953409518</v>
      </c>
      <c r="CO546">
        <f t="shared" si="167"/>
        <v>0</v>
      </c>
    </row>
    <row r="547" spans="1:93" s="12" customFormat="1" ht="14.45" hidden="1" customHeight="1" x14ac:dyDescent="0.25">
      <c r="A547" s="4">
        <v>2021</v>
      </c>
      <c r="B547" s="4"/>
      <c r="C547" s="4" t="s">
        <v>417</v>
      </c>
      <c r="D547" s="4" t="s">
        <v>65</v>
      </c>
      <c r="E547" s="4"/>
      <c r="F547" s="4" t="s">
        <v>90</v>
      </c>
      <c r="G547" s="5" t="s">
        <v>418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419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+VLOOKUP(G547,Liste!$A$7:$G$69,3,FALSE)</f>
        <v>Pin Maritime</v>
      </c>
      <c r="BI547" s="96" t="str">
        <f>+VLOOKUP(H547,Liste!$B$7:$G$69,5,FALSE)</f>
        <v>GS Pineraies des plaines du Centre et du Nord Ouest</v>
      </c>
      <c r="BJ547" s="135">
        <f t="shared" si="166"/>
        <v>25</v>
      </c>
      <c r="BK547" s="135" t="str">
        <f t="shared" si="168"/>
        <v>Pin Maritime_F1_Classique_GS Pineraies des plaines du Centre et du Nord Ouest_25_</v>
      </c>
      <c r="BL547" s="319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97" t="str">
        <f>+VLOOKUP(G547,Liste!$A$7:$H$69,8,FALSE)</f>
        <v>Résineux</v>
      </c>
      <c r="BU547" s="297">
        <f t="shared" si="169"/>
        <v>0</v>
      </c>
      <c r="BV547" s="299">
        <f t="shared" si="170"/>
        <v>1</v>
      </c>
      <c r="BW547" s="318">
        <v>0</v>
      </c>
      <c r="BX547" s="297">
        <f t="shared" si="171"/>
        <v>0.43</v>
      </c>
      <c r="BY547">
        <f t="shared" si="172"/>
        <v>0</v>
      </c>
      <c r="BZ547" s="303">
        <f t="shared" si="173"/>
        <v>54.955623153508171</v>
      </c>
      <c r="CB547" s="298">
        <v>0.6</v>
      </c>
      <c r="CC547" s="298">
        <v>0.4</v>
      </c>
      <c r="CD547">
        <f t="shared" si="174"/>
        <v>0</v>
      </c>
      <c r="CE547">
        <f t="shared" si="175"/>
        <v>0</v>
      </c>
      <c r="CF547">
        <f t="shared" si="176"/>
        <v>0</v>
      </c>
      <c r="CG547">
        <f t="shared" si="177"/>
        <v>0</v>
      </c>
      <c r="CH547">
        <f t="shared" si="178"/>
        <v>0</v>
      </c>
      <c r="CI547">
        <f t="shared" si="179"/>
        <v>0</v>
      </c>
      <c r="CJ547">
        <f t="shared" si="180"/>
        <v>0</v>
      </c>
      <c r="CK547">
        <f t="shared" si="181"/>
        <v>52.304439936796967</v>
      </c>
      <c r="CL547">
        <f t="shared" si="182"/>
        <v>14.099509290197037</v>
      </c>
      <c r="CM547">
        <f t="shared" si="184"/>
        <v>66.403949226994001</v>
      </c>
      <c r="CN547">
        <f t="shared" si="183"/>
        <v>439.49387876108915</v>
      </c>
      <c r="CO547">
        <f t="shared" si="167"/>
        <v>0</v>
      </c>
    </row>
    <row r="548" spans="1:93" s="12" customFormat="1" ht="14.45" hidden="1" customHeight="1" x14ac:dyDescent="0.25">
      <c r="A548" s="4">
        <v>2021</v>
      </c>
      <c r="B548" s="4"/>
      <c r="C548" s="4" t="s">
        <v>417</v>
      </c>
      <c r="D548" s="4" t="s">
        <v>65</v>
      </c>
      <c r="E548" s="4"/>
      <c r="F548" s="4" t="s">
        <v>90</v>
      </c>
      <c r="G548" s="5" t="s">
        <v>418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419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+VLOOKUP(G548,Liste!$A$7:$G$69,3,FALSE)</f>
        <v>Pin Maritime</v>
      </c>
      <c r="BI548" s="96" t="str">
        <f>+VLOOKUP(H548,Liste!$B$7:$G$69,5,FALSE)</f>
        <v>GS Pineraies des plaines du Centre et du Nord Ouest</v>
      </c>
      <c r="BJ548" s="135">
        <f t="shared" si="166"/>
        <v>26</v>
      </c>
      <c r="BK548" s="135" t="str">
        <f t="shared" si="168"/>
        <v>Pin Maritime_F1_Classique_GS Pineraies des plaines du Centre et du Nord Ouest_26_</v>
      </c>
      <c r="BL548" s="319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97" t="str">
        <f>+VLOOKUP(G548,Liste!$A$7:$H$69,8,FALSE)</f>
        <v>Résineux</v>
      </c>
      <c r="BU548" s="297">
        <f t="shared" si="169"/>
        <v>0</v>
      </c>
      <c r="BV548" s="299">
        <f t="shared" si="170"/>
        <v>1</v>
      </c>
      <c r="BW548" s="318">
        <v>0</v>
      </c>
      <c r="BX548" s="297">
        <f t="shared" si="171"/>
        <v>0.43</v>
      </c>
      <c r="BY548">
        <f t="shared" si="172"/>
        <v>0</v>
      </c>
      <c r="BZ548" s="303">
        <f t="shared" si="173"/>
        <v>54.955623153508171</v>
      </c>
      <c r="CB548" s="298">
        <v>0.6</v>
      </c>
      <c r="CC548" s="298">
        <v>0.4</v>
      </c>
      <c r="CD548">
        <f t="shared" si="174"/>
        <v>0</v>
      </c>
      <c r="CE548">
        <f t="shared" si="175"/>
        <v>0</v>
      </c>
      <c r="CF548">
        <f t="shared" si="176"/>
        <v>0</v>
      </c>
      <c r="CG548">
        <f t="shared" si="177"/>
        <v>0</v>
      </c>
      <c r="CH548">
        <f t="shared" si="178"/>
        <v>0</v>
      </c>
      <c r="CI548">
        <f t="shared" si="179"/>
        <v>0</v>
      </c>
      <c r="CJ548">
        <f t="shared" si="180"/>
        <v>0</v>
      </c>
      <c r="CK548">
        <f t="shared" si="181"/>
        <v>50.874172276154304</v>
      </c>
      <c r="CL548">
        <f t="shared" si="182"/>
        <v>9.9698586305010508</v>
      </c>
      <c r="CM548">
        <f t="shared" si="184"/>
        <v>60.844030906655355</v>
      </c>
      <c r="CN548">
        <f t="shared" si="183"/>
        <v>500.3379096677445</v>
      </c>
      <c r="CO548">
        <f t="shared" si="167"/>
        <v>0</v>
      </c>
    </row>
    <row r="549" spans="1:93" s="12" customFormat="1" ht="14.45" hidden="1" customHeight="1" x14ac:dyDescent="0.25">
      <c r="A549" s="4">
        <v>2021</v>
      </c>
      <c r="B549" s="4"/>
      <c r="C549" s="4" t="s">
        <v>417</v>
      </c>
      <c r="D549" s="4" t="s">
        <v>65</v>
      </c>
      <c r="E549" s="4"/>
      <c r="F549" s="4" t="s">
        <v>90</v>
      </c>
      <c r="G549" s="5" t="s">
        <v>418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419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+VLOOKUP(G549,Liste!$A$7:$G$69,3,FALSE)</f>
        <v>Pin Maritime</v>
      </c>
      <c r="BI549" s="96" t="str">
        <f>+VLOOKUP(H549,Liste!$B$7:$G$69,5,FALSE)</f>
        <v>GS Pineraies des plaines du Centre et du Nord Ouest</v>
      </c>
      <c r="BJ549" s="135">
        <f t="shared" si="166"/>
        <v>27</v>
      </c>
      <c r="BK549" s="135" t="str">
        <f t="shared" si="168"/>
        <v>Pin Maritime_F1_Classique_GS Pineraies des plaines du Centre et du Nord Ouest_27_</v>
      </c>
      <c r="BL549" s="319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97" t="str">
        <f>+VLOOKUP(G549,Liste!$A$7:$H$69,8,FALSE)</f>
        <v>Résineux</v>
      </c>
      <c r="BU549" s="297">
        <f t="shared" si="169"/>
        <v>0</v>
      </c>
      <c r="BV549" s="299">
        <f t="shared" si="170"/>
        <v>1</v>
      </c>
      <c r="BW549" s="318">
        <v>0</v>
      </c>
      <c r="BX549" s="297">
        <f t="shared" si="171"/>
        <v>0.43</v>
      </c>
      <c r="BY549">
        <f t="shared" si="172"/>
        <v>0</v>
      </c>
      <c r="BZ549" s="303">
        <f t="shared" si="173"/>
        <v>54.955623153508171</v>
      </c>
      <c r="CB549" s="298">
        <v>0.6</v>
      </c>
      <c r="CC549" s="298">
        <v>0.4</v>
      </c>
      <c r="CD549">
        <f t="shared" si="174"/>
        <v>0</v>
      </c>
      <c r="CE549">
        <f t="shared" si="175"/>
        <v>0</v>
      </c>
      <c r="CF549">
        <f t="shared" si="176"/>
        <v>0</v>
      </c>
      <c r="CG549">
        <f t="shared" si="177"/>
        <v>0</v>
      </c>
      <c r="CH549">
        <f t="shared" si="178"/>
        <v>0</v>
      </c>
      <c r="CI549">
        <f t="shared" si="179"/>
        <v>0</v>
      </c>
      <c r="CJ549">
        <f t="shared" si="180"/>
        <v>0</v>
      </c>
      <c r="CK549">
        <f t="shared" si="181"/>
        <v>49.483015359906418</v>
      </c>
      <c r="CL549">
        <f t="shared" si="182"/>
        <v>7.0497546450985196</v>
      </c>
      <c r="CM549">
        <f t="shared" si="184"/>
        <v>56.532770005004934</v>
      </c>
      <c r="CN549">
        <f t="shared" si="183"/>
        <v>556.87067967274947</v>
      </c>
      <c r="CO549">
        <f t="shared" si="167"/>
        <v>0</v>
      </c>
    </row>
    <row r="550" spans="1:93" s="12" customFormat="1" ht="14.45" hidden="1" customHeight="1" x14ac:dyDescent="0.25">
      <c r="A550" s="4">
        <v>2021</v>
      </c>
      <c r="B550" s="4"/>
      <c r="C550" s="4" t="s">
        <v>417</v>
      </c>
      <c r="D550" s="4" t="s">
        <v>65</v>
      </c>
      <c r="E550" s="4"/>
      <c r="F550" s="4" t="s">
        <v>90</v>
      </c>
      <c r="G550" s="5" t="s">
        <v>418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419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+VLOOKUP(G550,Liste!$A$7:$G$69,3,FALSE)</f>
        <v>Pin Maritime</v>
      </c>
      <c r="BI550" s="96" t="str">
        <f>+VLOOKUP(H550,Liste!$B$7:$G$69,5,FALSE)</f>
        <v>GS Pineraies des plaines du Centre et du Nord Ouest</v>
      </c>
      <c r="BJ550" s="135">
        <f t="shared" si="166"/>
        <v>28</v>
      </c>
      <c r="BK550" s="135" t="str">
        <f t="shared" si="168"/>
        <v>Pin Maritime_F1_Classique_GS Pineraies des plaines du Centre et du Nord Ouest_28_</v>
      </c>
      <c r="BL550" s="319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97" t="str">
        <f>+VLOOKUP(G550,Liste!$A$7:$H$69,8,FALSE)</f>
        <v>Résineux</v>
      </c>
      <c r="BU550" s="297">
        <f t="shared" si="169"/>
        <v>0</v>
      </c>
      <c r="BV550" s="299">
        <f t="shared" si="170"/>
        <v>1</v>
      </c>
      <c r="BW550" s="318">
        <v>0</v>
      </c>
      <c r="BX550" s="297">
        <f t="shared" si="171"/>
        <v>0.43</v>
      </c>
      <c r="BY550">
        <f t="shared" si="172"/>
        <v>0</v>
      </c>
      <c r="BZ550" s="303">
        <f t="shared" si="173"/>
        <v>54.955623153508171</v>
      </c>
      <c r="CB550" s="298">
        <v>0.6</v>
      </c>
      <c r="CC550" s="298">
        <v>0.4</v>
      </c>
      <c r="CD550">
        <f t="shared" si="174"/>
        <v>0</v>
      </c>
      <c r="CE550">
        <f t="shared" si="175"/>
        <v>0</v>
      </c>
      <c r="CF550">
        <f t="shared" si="176"/>
        <v>0</v>
      </c>
      <c r="CG550">
        <f t="shared" si="177"/>
        <v>0</v>
      </c>
      <c r="CH550">
        <f t="shared" si="178"/>
        <v>0</v>
      </c>
      <c r="CI550">
        <f t="shared" si="179"/>
        <v>0</v>
      </c>
      <c r="CJ550">
        <f t="shared" si="180"/>
        <v>0</v>
      </c>
      <c r="CK550">
        <f t="shared" si="181"/>
        <v>48.129899702691091</v>
      </c>
      <c r="CL550">
        <f t="shared" si="182"/>
        <v>4.9849293152505263</v>
      </c>
      <c r="CM550">
        <f t="shared" si="184"/>
        <v>53.114829017941616</v>
      </c>
      <c r="CN550">
        <f t="shared" si="183"/>
        <v>609.98550869069106</v>
      </c>
      <c r="CO550">
        <f t="shared" si="167"/>
        <v>0</v>
      </c>
    </row>
    <row r="551" spans="1:93" s="12" customFormat="1" ht="14.45" hidden="1" customHeight="1" x14ac:dyDescent="0.25">
      <c r="A551" s="4">
        <v>2021</v>
      </c>
      <c r="B551" s="4"/>
      <c r="C551" s="4" t="s">
        <v>417</v>
      </c>
      <c r="D551" s="4" t="s">
        <v>65</v>
      </c>
      <c r="E551" s="4"/>
      <c r="F551" s="4" t="s">
        <v>90</v>
      </c>
      <c r="G551" s="5" t="s">
        <v>418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419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+VLOOKUP(G551,Liste!$A$7:$G$69,3,FALSE)</f>
        <v>Pin Maritime</v>
      </c>
      <c r="BI551" s="96" t="str">
        <f>+VLOOKUP(H551,Liste!$B$7:$G$69,5,FALSE)</f>
        <v>GS Pineraies des plaines du Centre et du Nord Ouest</v>
      </c>
      <c r="BJ551" s="135">
        <f t="shared" si="166"/>
        <v>29</v>
      </c>
      <c r="BK551" s="135" t="str">
        <f t="shared" si="168"/>
        <v>Pin Maritime_F1_Classique_GS Pineraies des plaines du Centre et du Nord Ouest_29_</v>
      </c>
      <c r="BL551" s="319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97" t="str">
        <f>+VLOOKUP(G551,Liste!$A$7:$H$69,8,FALSE)</f>
        <v>Résineux</v>
      </c>
      <c r="BU551" s="297">
        <f t="shared" si="169"/>
        <v>0</v>
      </c>
      <c r="BV551" s="299">
        <f t="shared" si="170"/>
        <v>1</v>
      </c>
      <c r="BW551" s="318">
        <v>0</v>
      </c>
      <c r="BX551" s="297">
        <f t="shared" si="171"/>
        <v>0.43</v>
      </c>
      <c r="BY551">
        <f t="shared" si="172"/>
        <v>0</v>
      </c>
      <c r="BZ551" s="303">
        <f t="shared" si="173"/>
        <v>54.955623153508171</v>
      </c>
      <c r="CB551" s="298">
        <v>0.6</v>
      </c>
      <c r="CC551" s="298">
        <v>0.4</v>
      </c>
      <c r="CD551">
        <f t="shared" si="174"/>
        <v>0</v>
      </c>
      <c r="CE551">
        <f t="shared" si="175"/>
        <v>0</v>
      </c>
      <c r="CF551">
        <f t="shared" si="176"/>
        <v>0</v>
      </c>
      <c r="CG551">
        <f t="shared" si="177"/>
        <v>0</v>
      </c>
      <c r="CH551">
        <f t="shared" si="178"/>
        <v>0</v>
      </c>
      <c r="CI551">
        <f t="shared" si="179"/>
        <v>0</v>
      </c>
      <c r="CJ551">
        <f t="shared" si="180"/>
        <v>0</v>
      </c>
      <c r="CK551">
        <f t="shared" si="181"/>
        <v>46.813785064279578</v>
      </c>
      <c r="CL551">
        <f t="shared" si="182"/>
        <v>3.5248773225492602</v>
      </c>
      <c r="CM551">
        <f t="shared" si="184"/>
        <v>50.338662386828837</v>
      </c>
      <c r="CN551">
        <f t="shared" si="183"/>
        <v>660.32417107751985</v>
      </c>
      <c r="CO551">
        <f t="shared" si="167"/>
        <v>0</v>
      </c>
    </row>
    <row r="552" spans="1:93" s="12" customFormat="1" ht="14.45" hidden="1" customHeight="1" x14ac:dyDescent="0.25">
      <c r="A552" s="4">
        <v>2021</v>
      </c>
      <c r="B552" s="4"/>
      <c r="C552" s="4" t="s">
        <v>417</v>
      </c>
      <c r="D552" s="4" t="s">
        <v>65</v>
      </c>
      <c r="E552" s="4"/>
      <c r="F552" s="4" t="s">
        <v>90</v>
      </c>
      <c r="G552" s="5" t="s">
        <v>418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419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+VLOOKUP(G552,Liste!$A$7:$G$69,3,FALSE)</f>
        <v>Pin Maritime</v>
      </c>
      <c r="BI552" s="96" t="str">
        <f>+VLOOKUP(H552,Liste!$B$7:$G$69,5,FALSE)</f>
        <v>GS Pineraies des plaines du Centre et du Nord Ouest</v>
      </c>
      <c r="BJ552" s="135">
        <f t="shared" si="166"/>
        <v>30</v>
      </c>
      <c r="BK552" s="135" t="str">
        <f t="shared" si="168"/>
        <v>Pin Maritime_F1_Classique_GS Pineraies des plaines du Centre et du Nord Ouest_30_</v>
      </c>
      <c r="BL552" s="319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97" t="str">
        <f>+VLOOKUP(G552,Liste!$A$7:$H$69,8,FALSE)</f>
        <v>Résineux</v>
      </c>
      <c r="BU552" s="297">
        <f t="shared" si="169"/>
        <v>0</v>
      </c>
      <c r="BV552" s="299">
        <f t="shared" si="170"/>
        <v>1</v>
      </c>
      <c r="BW552" s="318">
        <v>0</v>
      </c>
      <c r="BX552" s="297">
        <f t="shared" si="171"/>
        <v>0.43</v>
      </c>
      <c r="BY552">
        <f t="shared" si="172"/>
        <v>0</v>
      </c>
      <c r="BZ552" s="303">
        <f t="shared" si="173"/>
        <v>54.955623153508171</v>
      </c>
      <c r="CB552" s="298">
        <v>0.6</v>
      </c>
      <c r="CC552" s="298">
        <v>0.4</v>
      </c>
      <c r="CD552">
        <f t="shared" si="174"/>
        <v>0</v>
      </c>
      <c r="CE552">
        <f t="shared" si="175"/>
        <v>0</v>
      </c>
      <c r="CF552">
        <f t="shared" si="176"/>
        <v>0</v>
      </c>
      <c r="CG552">
        <f t="shared" si="177"/>
        <v>0</v>
      </c>
      <c r="CH552">
        <f t="shared" si="178"/>
        <v>0</v>
      </c>
      <c r="CI552">
        <f t="shared" si="179"/>
        <v>0</v>
      </c>
      <c r="CJ552">
        <f t="shared" si="180"/>
        <v>0</v>
      </c>
      <c r="CK552">
        <f t="shared" si="181"/>
        <v>45.533659649866891</v>
      </c>
      <c r="CL552">
        <f t="shared" si="182"/>
        <v>2.4924646576252636</v>
      </c>
      <c r="CM552">
        <f t="shared" si="184"/>
        <v>48.026124307492154</v>
      </c>
      <c r="CN552">
        <f t="shared" si="183"/>
        <v>708.35029538501203</v>
      </c>
      <c r="CO552">
        <f t="shared" si="167"/>
        <v>23.611676512833736</v>
      </c>
    </row>
    <row r="553" spans="1:93" s="12" customFormat="1" ht="14.45" hidden="1" customHeight="1" x14ac:dyDescent="0.25">
      <c r="A553" s="4">
        <v>2021</v>
      </c>
      <c r="B553" s="4"/>
      <c r="C553" s="4" t="s">
        <v>417</v>
      </c>
      <c r="D553" s="4" t="s">
        <v>65</v>
      </c>
      <c r="E553" s="4"/>
      <c r="F553" s="4" t="s">
        <v>90</v>
      </c>
      <c r="G553" s="5" t="s">
        <v>418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419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+VLOOKUP(G553,Liste!$A$7:$G$69,3,FALSE)</f>
        <v>Pin Maritime</v>
      </c>
      <c r="BI553" s="96" t="str">
        <f>+VLOOKUP(H553,Liste!$B$7:$G$69,5,FALSE)</f>
        <v>GS Pineraies des plaines du Centre et du Nord Ouest</v>
      </c>
      <c r="BJ553" s="135">
        <f t="shared" si="166"/>
        <v>30</v>
      </c>
      <c r="BK553" s="135" t="str">
        <f t="shared" si="168"/>
        <v>Pin Maritime_F1_Classique_GS Pineraies des plaines du Centre et du Nord Ouest_30_</v>
      </c>
      <c r="BL553" s="319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97" t="str">
        <f>+VLOOKUP(G553,Liste!$A$7:$H$69,8,FALSE)</f>
        <v>Résineux</v>
      </c>
      <c r="BU553" s="297">
        <f t="shared" si="169"/>
        <v>0</v>
      </c>
      <c r="BV553" s="299">
        <f t="shared" si="170"/>
        <v>1</v>
      </c>
      <c r="BW553" s="318">
        <v>0</v>
      </c>
      <c r="BX553" s="297">
        <f t="shared" si="171"/>
        <v>0.43</v>
      </c>
      <c r="BY553">
        <f t="shared" si="172"/>
        <v>28.995542217959766</v>
      </c>
      <c r="BZ553" s="303">
        <f t="shared" si="173"/>
        <v>83.951165371467937</v>
      </c>
      <c r="CB553" s="298">
        <v>0.6</v>
      </c>
      <c r="CC553" s="298">
        <v>0.4</v>
      </c>
      <c r="CD553">
        <f t="shared" si="174"/>
        <v>0</v>
      </c>
      <c r="CE553">
        <f t="shared" si="175"/>
        <v>40.458896118083395</v>
      </c>
      <c r="CF553">
        <f t="shared" si="176"/>
        <v>26.972597412055599</v>
      </c>
      <c r="CG553">
        <f t="shared" si="177"/>
        <v>0</v>
      </c>
      <c r="CH553">
        <f t="shared" si="178"/>
        <v>32.414318939937807</v>
      </c>
      <c r="CI553">
        <f t="shared" si="179"/>
        <v>21.609545959958545</v>
      </c>
      <c r="CJ553">
        <f t="shared" si="180"/>
        <v>0</v>
      </c>
      <c r="CK553">
        <f t="shared" si="181"/>
        <v>44.288539332230187</v>
      </c>
      <c r="CL553">
        <f t="shared" si="182"/>
        <v>1.7624386612746306</v>
      </c>
      <c r="CM553">
        <f t="shared" si="184"/>
        <v>46.050977993504816</v>
      </c>
      <c r="CN553">
        <f t="shared" si="183"/>
        <v>754.40127337851686</v>
      </c>
      <c r="CO553">
        <f t="shared" si="167"/>
        <v>25.146709112617227</v>
      </c>
    </row>
    <row r="554" spans="1:93" s="12" customFormat="1" ht="14.45" hidden="1" customHeight="1" x14ac:dyDescent="0.25">
      <c r="A554" s="4">
        <v>2021</v>
      </c>
      <c r="B554" s="4"/>
      <c r="C554" s="4" t="s">
        <v>417</v>
      </c>
      <c r="D554" s="4" t="s">
        <v>65</v>
      </c>
      <c r="E554" s="4"/>
      <c r="F554" s="4" t="s">
        <v>90</v>
      </c>
      <c r="G554" s="5" t="s">
        <v>418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419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+VLOOKUP(G554,Liste!$A$7:$G$69,3,FALSE)</f>
        <v>Pin Maritime</v>
      </c>
      <c r="BI554" s="96" t="str">
        <f>+VLOOKUP(H554,Liste!$B$7:$G$69,5,FALSE)</f>
        <v>GS Pineraies des plaines du Centre et du Nord Ouest</v>
      </c>
      <c r="BJ554" s="135">
        <f t="shared" si="166"/>
        <v>31</v>
      </c>
      <c r="BK554" s="135" t="str">
        <f t="shared" si="168"/>
        <v>Pin Maritime_F1_Classique_GS Pineraies des plaines du Centre et du Nord Ouest_31_</v>
      </c>
      <c r="BL554" s="319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97" t="str">
        <f>+VLOOKUP(G554,Liste!$A$7:$H$69,8,FALSE)</f>
        <v>Résineux</v>
      </c>
      <c r="BU554" s="297">
        <f t="shared" si="169"/>
        <v>0</v>
      </c>
      <c r="BV554" s="299">
        <f t="shared" si="170"/>
        <v>1</v>
      </c>
      <c r="BW554" s="318">
        <v>0</v>
      </c>
      <c r="BX554" s="297">
        <f t="shared" si="171"/>
        <v>0.43</v>
      </c>
      <c r="BY554">
        <f t="shared" si="172"/>
        <v>0</v>
      </c>
      <c r="BZ554" s="303">
        <f t="shared" si="173"/>
        <v>0</v>
      </c>
      <c r="CB554" s="298">
        <v>0.6</v>
      </c>
      <c r="CC554" s="298">
        <v>0.4</v>
      </c>
      <c r="CD554">
        <f t="shared" si="174"/>
        <v>0</v>
      </c>
      <c r="CE554">
        <f t="shared" si="175"/>
        <v>0</v>
      </c>
      <c r="CF554">
        <f t="shared" si="176"/>
        <v>0</v>
      </c>
      <c r="CG554">
        <f t="shared" si="177"/>
        <v>0</v>
      </c>
      <c r="CH554">
        <f t="shared" si="178"/>
        <v>0</v>
      </c>
      <c r="CI554">
        <f t="shared" si="179"/>
        <v>0</v>
      </c>
      <c r="CJ554">
        <f t="shared" si="180"/>
        <v>0</v>
      </c>
      <c r="CK554">
        <f t="shared" si="181"/>
        <v>75.046552280872589</v>
      </c>
      <c r="CL554">
        <f t="shared" si="182"/>
        <v>19.508701399801286</v>
      </c>
      <c r="CM554">
        <f t="shared" si="184"/>
        <v>94.555253680673871</v>
      </c>
      <c r="CN554">
        <f t="shared" si="183"/>
        <v>848.95652705919076</v>
      </c>
      <c r="CO554">
        <f t="shared" si="167"/>
        <v>0</v>
      </c>
    </row>
    <row r="555" spans="1:93" s="12" customFormat="1" ht="14.45" hidden="1" customHeight="1" x14ac:dyDescent="0.25">
      <c r="A555" s="4">
        <v>2021</v>
      </c>
      <c r="B555" s="4"/>
      <c r="C555" s="4" t="s">
        <v>417</v>
      </c>
      <c r="D555" s="4" t="s">
        <v>65</v>
      </c>
      <c r="E555" s="4"/>
      <c r="F555" s="4" t="s">
        <v>90</v>
      </c>
      <c r="G555" s="5" t="s">
        <v>418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419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+VLOOKUP(G555,Liste!$A$7:$G$69,3,FALSE)</f>
        <v>Pin Maritime</v>
      </c>
      <c r="BI555" s="96" t="str">
        <f>+VLOOKUP(H555,Liste!$B$7:$G$69,5,FALSE)</f>
        <v>GS Pineraies des plaines du Centre et du Nord Ouest</v>
      </c>
      <c r="BJ555" s="135">
        <f t="shared" si="166"/>
        <v>32</v>
      </c>
      <c r="BK555" s="135" t="str">
        <f t="shared" si="168"/>
        <v>Pin Maritime_F1_Classique_GS Pineraies des plaines du Centre et du Nord Ouest_32_</v>
      </c>
      <c r="BL555" s="319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97" t="str">
        <f>+VLOOKUP(G555,Liste!$A$7:$H$69,8,FALSE)</f>
        <v>Résineux</v>
      </c>
      <c r="BU555" s="297">
        <f t="shared" si="169"/>
        <v>0</v>
      </c>
      <c r="BV555" s="299">
        <f t="shared" si="170"/>
        <v>1</v>
      </c>
      <c r="BW555" s="318">
        <v>0</v>
      </c>
      <c r="BX555" s="297">
        <f t="shared" si="171"/>
        <v>0.43</v>
      </c>
      <c r="BY555">
        <f t="shared" si="172"/>
        <v>0</v>
      </c>
      <c r="BZ555" s="303">
        <f t="shared" si="173"/>
        <v>0</v>
      </c>
      <c r="CB555" s="298">
        <v>0.6</v>
      </c>
      <c r="CC555" s="298">
        <v>0.4</v>
      </c>
      <c r="CD555">
        <f t="shared" si="174"/>
        <v>0</v>
      </c>
      <c r="CE555">
        <f t="shared" si="175"/>
        <v>0</v>
      </c>
      <c r="CF555">
        <f t="shared" si="176"/>
        <v>0</v>
      </c>
      <c r="CG555">
        <f t="shared" si="177"/>
        <v>0</v>
      </c>
      <c r="CH555">
        <f t="shared" si="178"/>
        <v>0</v>
      </c>
      <c r="CI555">
        <f t="shared" si="179"/>
        <v>0</v>
      </c>
      <c r="CJ555">
        <f t="shared" si="180"/>
        <v>0</v>
      </c>
      <c r="CK555">
        <f t="shared" si="181"/>
        <v>0</v>
      </c>
      <c r="CL555">
        <f t="shared" si="182"/>
        <v>0</v>
      </c>
      <c r="CM555">
        <f t="shared" si="184"/>
        <v>0</v>
      </c>
      <c r="CN555">
        <f t="shared" si="183"/>
        <v>0</v>
      </c>
      <c r="CO555">
        <f t="shared" si="167"/>
        <v>0</v>
      </c>
    </row>
    <row r="556" spans="1:93" s="12" customFormat="1" ht="14.45" hidden="1" customHeight="1" x14ac:dyDescent="0.25">
      <c r="A556" s="4">
        <v>2021</v>
      </c>
      <c r="B556" s="4"/>
      <c r="C556" s="4" t="s">
        <v>417</v>
      </c>
      <c r="D556" s="4" t="s">
        <v>65</v>
      </c>
      <c r="E556" s="4"/>
      <c r="F556" s="4" t="s">
        <v>90</v>
      </c>
      <c r="G556" s="5" t="s">
        <v>418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419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+VLOOKUP(G556,Liste!$A$7:$G$69,3,FALSE)</f>
        <v>Pin Maritime</v>
      </c>
      <c r="BI556" s="96" t="str">
        <f>+VLOOKUP(H556,Liste!$B$7:$G$69,5,FALSE)</f>
        <v>GS Pineraies des plaines du Centre et du Nord Ouest</v>
      </c>
      <c r="BJ556" s="135">
        <f t="shared" si="166"/>
        <v>33</v>
      </c>
      <c r="BK556" s="135" t="str">
        <f t="shared" si="168"/>
        <v>Pin Maritime_F1_Classique_GS Pineraies des plaines du Centre et du Nord Ouest_33_</v>
      </c>
      <c r="BL556" s="319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97" t="str">
        <f>+VLOOKUP(G556,Liste!$A$7:$H$69,8,FALSE)</f>
        <v>Résineux</v>
      </c>
      <c r="BU556" s="297">
        <f t="shared" si="169"/>
        <v>0</v>
      </c>
      <c r="BV556" s="299">
        <f t="shared" si="170"/>
        <v>1</v>
      </c>
      <c r="BW556" s="318">
        <v>0</v>
      </c>
      <c r="BX556" s="297">
        <f t="shared" si="171"/>
        <v>0.43</v>
      </c>
      <c r="BY556">
        <f t="shared" si="172"/>
        <v>0</v>
      </c>
      <c r="BZ556" s="303">
        <f t="shared" si="173"/>
        <v>0</v>
      </c>
      <c r="CB556" s="298">
        <v>0.6</v>
      </c>
      <c r="CC556" s="298">
        <v>0.4</v>
      </c>
      <c r="CD556">
        <f t="shared" si="174"/>
        <v>0</v>
      </c>
      <c r="CE556">
        <f t="shared" si="175"/>
        <v>0</v>
      </c>
      <c r="CF556">
        <f t="shared" si="176"/>
        <v>0</v>
      </c>
      <c r="CG556">
        <f t="shared" si="177"/>
        <v>0</v>
      </c>
      <c r="CH556">
        <f t="shared" si="178"/>
        <v>0</v>
      </c>
      <c r="CI556">
        <f t="shared" si="179"/>
        <v>0</v>
      </c>
      <c r="CJ556">
        <f t="shared" si="180"/>
        <v>0</v>
      </c>
      <c r="CK556">
        <f t="shared" si="181"/>
        <v>0</v>
      </c>
      <c r="CL556">
        <f t="shared" si="182"/>
        <v>0</v>
      </c>
      <c r="CM556">
        <f t="shared" si="184"/>
        <v>0</v>
      </c>
      <c r="CN556">
        <f t="shared" si="183"/>
        <v>0</v>
      </c>
      <c r="CO556">
        <f t="shared" si="167"/>
        <v>0</v>
      </c>
    </row>
    <row r="557" spans="1:93" s="12" customFormat="1" ht="14.45" hidden="1" customHeight="1" x14ac:dyDescent="0.25">
      <c r="A557" s="4">
        <v>2021</v>
      </c>
      <c r="B557" s="4"/>
      <c r="C557" s="4" t="s">
        <v>417</v>
      </c>
      <c r="D557" s="4" t="s">
        <v>65</v>
      </c>
      <c r="E557" s="4"/>
      <c r="F557" s="4" t="s">
        <v>90</v>
      </c>
      <c r="G557" s="5" t="s">
        <v>418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419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+VLOOKUP(G557,Liste!$A$7:$G$69,3,FALSE)</f>
        <v>Pin Maritime</v>
      </c>
      <c r="BI557" s="96" t="str">
        <f>+VLOOKUP(H557,Liste!$B$7:$G$69,5,FALSE)</f>
        <v>GS Pineraies des plaines du Centre et du Nord Ouest</v>
      </c>
      <c r="BJ557" s="135">
        <f t="shared" si="166"/>
        <v>34</v>
      </c>
      <c r="BK557" s="135" t="str">
        <f t="shared" si="168"/>
        <v>Pin Maritime_F1_Classique_GS Pineraies des plaines du Centre et du Nord Ouest_34_</v>
      </c>
      <c r="BL557" s="319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97" t="str">
        <f>+VLOOKUP(G557,Liste!$A$7:$H$69,8,FALSE)</f>
        <v>Résineux</v>
      </c>
      <c r="BU557" s="297">
        <f t="shared" si="169"/>
        <v>0</v>
      </c>
      <c r="BV557" s="299">
        <f t="shared" si="170"/>
        <v>1</v>
      </c>
      <c r="BW557" s="318">
        <v>0</v>
      </c>
      <c r="BX557" s="297">
        <f t="shared" si="171"/>
        <v>0.43</v>
      </c>
      <c r="BY557">
        <f t="shared" si="172"/>
        <v>0</v>
      </c>
      <c r="BZ557" s="303">
        <f t="shared" si="173"/>
        <v>0</v>
      </c>
      <c r="CB557" s="298">
        <v>0.6</v>
      </c>
      <c r="CC557" s="298">
        <v>0.4</v>
      </c>
      <c r="CD557">
        <f t="shared" si="174"/>
        <v>0</v>
      </c>
      <c r="CE557">
        <f t="shared" si="175"/>
        <v>0</v>
      </c>
      <c r="CF557">
        <f t="shared" si="176"/>
        <v>0</v>
      </c>
      <c r="CG557">
        <f t="shared" si="177"/>
        <v>0</v>
      </c>
      <c r="CH557">
        <f t="shared" si="178"/>
        <v>0</v>
      </c>
      <c r="CI557">
        <f t="shared" si="179"/>
        <v>0</v>
      </c>
      <c r="CJ557">
        <f t="shared" si="180"/>
        <v>0</v>
      </c>
      <c r="CK557">
        <f t="shared" si="181"/>
        <v>0</v>
      </c>
      <c r="CL557">
        <f t="shared" si="182"/>
        <v>0</v>
      </c>
      <c r="CM557">
        <f t="shared" si="184"/>
        <v>0</v>
      </c>
      <c r="CN557">
        <f t="shared" si="183"/>
        <v>0</v>
      </c>
      <c r="CO557">
        <f t="shared" si="167"/>
        <v>0</v>
      </c>
    </row>
    <row r="558" spans="1:93" s="12" customFormat="1" ht="14.45" hidden="1" customHeight="1" x14ac:dyDescent="0.25">
      <c r="A558" s="4">
        <v>2021</v>
      </c>
      <c r="B558" s="4"/>
      <c r="C558" s="4" t="s">
        <v>417</v>
      </c>
      <c r="D558" s="4" t="s">
        <v>65</v>
      </c>
      <c r="E558" s="4"/>
      <c r="F558" s="4" t="s">
        <v>90</v>
      </c>
      <c r="G558" s="5" t="s">
        <v>418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419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+VLOOKUP(G558,Liste!$A$7:$G$69,3,FALSE)</f>
        <v>Pin Maritime</v>
      </c>
      <c r="BI558" s="96" t="str">
        <f>+VLOOKUP(H558,Liste!$B$7:$G$69,5,FALSE)</f>
        <v>GS Pineraies des plaines du Centre et du Nord Ouest</v>
      </c>
      <c r="BJ558" s="135">
        <f t="shared" si="166"/>
        <v>35</v>
      </c>
      <c r="BK558" s="135" t="str">
        <f t="shared" si="168"/>
        <v>Pin Maritime_F1_Classique_GS Pineraies des plaines du Centre et du Nord Ouest_35_</v>
      </c>
      <c r="BL558" s="319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97" t="str">
        <f>+VLOOKUP(G558,Liste!$A$7:$H$69,8,FALSE)</f>
        <v>Résineux</v>
      </c>
      <c r="BU558" s="297">
        <f t="shared" si="169"/>
        <v>0</v>
      </c>
      <c r="BV558" s="299">
        <f t="shared" si="170"/>
        <v>1</v>
      </c>
      <c r="BW558" s="318">
        <v>0</v>
      </c>
      <c r="BX558" s="297">
        <f t="shared" si="171"/>
        <v>0.43</v>
      </c>
      <c r="BY558">
        <f t="shared" si="172"/>
        <v>0</v>
      </c>
      <c r="BZ558" s="303">
        <f t="shared" si="173"/>
        <v>0</v>
      </c>
      <c r="CB558" s="298">
        <v>0.6</v>
      </c>
      <c r="CC558" s="298">
        <v>0.4</v>
      </c>
      <c r="CD558">
        <f t="shared" si="174"/>
        <v>0</v>
      </c>
      <c r="CE558">
        <f t="shared" si="175"/>
        <v>0</v>
      </c>
      <c r="CF558">
        <f t="shared" si="176"/>
        <v>0</v>
      </c>
      <c r="CG558">
        <f t="shared" si="177"/>
        <v>0</v>
      </c>
      <c r="CH558">
        <f t="shared" si="178"/>
        <v>0</v>
      </c>
      <c r="CI558">
        <f t="shared" si="179"/>
        <v>0</v>
      </c>
      <c r="CJ558">
        <f t="shared" si="180"/>
        <v>0</v>
      </c>
      <c r="CK558">
        <f t="shared" si="181"/>
        <v>0</v>
      </c>
      <c r="CL558">
        <f t="shared" si="182"/>
        <v>0</v>
      </c>
      <c r="CM558">
        <f t="shared" si="184"/>
        <v>0</v>
      </c>
      <c r="CN558">
        <f t="shared" si="183"/>
        <v>0</v>
      </c>
      <c r="CO558">
        <f t="shared" si="167"/>
        <v>0</v>
      </c>
    </row>
    <row r="559" spans="1:93" s="12" customFormat="1" ht="14.45" hidden="1" customHeight="1" x14ac:dyDescent="0.25">
      <c r="A559" s="4">
        <v>2021</v>
      </c>
      <c r="B559" s="4"/>
      <c r="C559" s="4" t="s">
        <v>417</v>
      </c>
      <c r="D559" s="4" t="s">
        <v>65</v>
      </c>
      <c r="E559" s="4"/>
      <c r="F559" s="4" t="s">
        <v>90</v>
      </c>
      <c r="G559" s="5" t="s">
        <v>418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419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+VLOOKUP(G559,Liste!$A$7:$G$69,3,FALSE)</f>
        <v>Pin Maritime</v>
      </c>
      <c r="BI559" s="96" t="str">
        <f>+VLOOKUP(H559,Liste!$B$7:$G$69,5,FALSE)</f>
        <v>GS Pineraies des plaines du Centre et du Nord Ouest</v>
      </c>
      <c r="BJ559" s="135">
        <f t="shared" si="166"/>
        <v>36</v>
      </c>
      <c r="BK559" s="135" t="str">
        <f t="shared" si="168"/>
        <v>Pin Maritime_F1_Classique_GS Pineraies des plaines du Centre et du Nord Ouest_36_</v>
      </c>
      <c r="BL559" s="319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97" t="str">
        <f>+VLOOKUP(G559,Liste!$A$7:$H$69,8,FALSE)</f>
        <v>Résineux</v>
      </c>
      <c r="BU559" s="297">
        <f t="shared" si="169"/>
        <v>0</v>
      </c>
      <c r="BV559" s="299">
        <f t="shared" si="170"/>
        <v>1</v>
      </c>
      <c r="BW559" s="318">
        <v>0</v>
      </c>
      <c r="BX559" s="297">
        <f t="shared" si="171"/>
        <v>0.43</v>
      </c>
      <c r="BY559">
        <f t="shared" si="172"/>
        <v>0</v>
      </c>
      <c r="BZ559" s="303">
        <f t="shared" si="173"/>
        <v>0</v>
      </c>
      <c r="CB559" s="298">
        <v>0.6</v>
      </c>
      <c r="CC559" s="298">
        <v>0.4</v>
      </c>
      <c r="CD559">
        <f t="shared" si="174"/>
        <v>0</v>
      </c>
      <c r="CE559">
        <f t="shared" si="175"/>
        <v>0</v>
      </c>
      <c r="CF559">
        <f t="shared" si="176"/>
        <v>0</v>
      </c>
      <c r="CG559">
        <f t="shared" si="177"/>
        <v>0</v>
      </c>
      <c r="CH559">
        <f t="shared" si="178"/>
        <v>0</v>
      </c>
      <c r="CI559">
        <f t="shared" si="179"/>
        <v>0</v>
      </c>
      <c r="CJ559">
        <f t="shared" si="180"/>
        <v>0</v>
      </c>
      <c r="CK559">
        <f t="shared" si="181"/>
        <v>0</v>
      </c>
      <c r="CL559">
        <f t="shared" si="182"/>
        <v>0</v>
      </c>
      <c r="CM559">
        <f t="shared" si="184"/>
        <v>0</v>
      </c>
      <c r="CN559">
        <f t="shared" si="183"/>
        <v>0</v>
      </c>
      <c r="CO559">
        <f t="shared" si="167"/>
        <v>0</v>
      </c>
    </row>
    <row r="560" spans="1:93" s="12" customFormat="1" ht="14.45" hidden="1" customHeight="1" x14ac:dyDescent="0.25">
      <c r="A560" s="4">
        <v>2021</v>
      </c>
      <c r="B560" s="4"/>
      <c r="C560" s="4" t="s">
        <v>417</v>
      </c>
      <c r="D560" s="4" t="s">
        <v>65</v>
      </c>
      <c r="E560" s="4"/>
      <c r="F560" s="4" t="s">
        <v>90</v>
      </c>
      <c r="G560" s="5" t="s">
        <v>418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419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+VLOOKUP(G560,Liste!$A$7:$G$69,3,FALSE)</f>
        <v>Pin Maritime</v>
      </c>
      <c r="BI560" s="96" t="str">
        <f>+VLOOKUP(H560,Liste!$B$7:$G$69,5,FALSE)</f>
        <v>GS Pineraies des plaines du Centre et du Nord Ouest</v>
      </c>
      <c r="BJ560" s="135">
        <f t="shared" si="166"/>
        <v>37</v>
      </c>
      <c r="BK560" s="135" t="str">
        <f t="shared" si="168"/>
        <v>Pin Maritime_F1_Classique_GS Pineraies des plaines du Centre et du Nord Ouest_37_</v>
      </c>
      <c r="BL560" s="319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97" t="str">
        <f>+VLOOKUP(G560,Liste!$A$7:$H$69,8,FALSE)</f>
        <v>Résineux</v>
      </c>
      <c r="BU560" s="297">
        <f t="shared" si="169"/>
        <v>0</v>
      </c>
      <c r="BV560" s="299">
        <f t="shared" si="170"/>
        <v>1</v>
      </c>
      <c r="BW560" s="318">
        <v>0</v>
      </c>
      <c r="BX560" s="297">
        <f t="shared" si="171"/>
        <v>0.43</v>
      </c>
      <c r="BY560">
        <f t="shared" si="172"/>
        <v>0</v>
      </c>
      <c r="BZ560" s="303">
        <f t="shared" si="173"/>
        <v>0</v>
      </c>
      <c r="CB560" s="298">
        <v>0.6</v>
      </c>
      <c r="CC560" s="298">
        <v>0.4</v>
      </c>
      <c r="CD560">
        <f t="shared" si="174"/>
        <v>0</v>
      </c>
      <c r="CE560">
        <f t="shared" si="175"/>
        <v>0</v>
      </c>
      <c r="CF560">
        <f t="shared" si="176"/>
        <v>0</v>
      </c>
      <c r="CG560">
        <f t="shared" si="177"/>
        <v>0</v>
      </c>
      <c r="CH560">
        <f t="shared" si="178"/>
        <v>0</v>
      </c>
      <c r="CI560">
        <f t="shared" si="179"/>
        <v>0</v>
      </c>
      <c r="CJ560">
        <f t="shared" si="180"/>
        <v>0</v>
      </c>
      <c r="CK560">
        <f t="shared" si="181"/>
        <v>0</v>
      </c>
      <c r="CL560">
        <f t="shared" si="182"/>
        <v>0</v>
      </c>
      <c r="CM560">
        <f t="shared" si="184"/>
        <v>0</v>
      </c>
      <c r="CN560">
        <f t="shared" si="183"/>
        <v>0</v>
      </c>
      <c r="CO560">
        <f t="shared" si="167"/>
        <v>0</v>
      </c>
    </row>
    <row r="561" spans="1:93" s="12" customFormat="1" ht="14.45" hidden="1" customHeight="1" x14ac:dyDescent="0.25">
      <c r="A561" s="4">
        <v>2021</v>
      </c>
      <c r="B561" s="4"/>
      <c r="C561" s="4" t="s">
        <v>417</v>
      </c>
      <c r="D561" s="4" t="s">
        <v>65</v>
      </c>
      <c r="E561" s="4"/>
      <c r="F561" s="4" t="s">
        <v>90</v>
      </c>
      <c r="G561" s="5" t="s">
        <v>418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419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+VLOOKUP(G561,Liste!$A$7:$G$69,3,FALSE)</f>
        <v>Pin Maritime</v>
      </c>
      <c r="BI561" s="96" t="str">
        <f>+VLOOKUP(H561,Liste!$B$7:$G$69,5,FALSE)</f>
        <v>GS Pineraies des plaines du Centre et du Nord Ouest</v>
      </c>
      <c r="BJ561" s="135">
        <f t="shared" si="166"/>
        <v>38</v>
      </c>
      <c r="BK561" s="135" t="str">
        <f t="shared" si="168"/>
        <v>Pin Maritime_F1_Classique_GS Pineraies des plaines du Centre et du Nord Ouest_38_</v>
      </c>
      <c r="BL561" s="319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97" t="str">
        <f>+VLOOKUP(G561,Liste!$A$7:$H$69,8,FALSE)</f>
        <v>Résineux</v>
      </c>
      <c r="BU561" s="297">
        <f t="shared" si="169"/>
        <v>0</v>
      </c>
      <c r="BV561" s="299">
        <f t="shared" si="170"/>
        <v>1</v>
      </c>
      <c r="BW561" s="318">
        <v>0</v>
      </c>
      <c r="BX561" s="297">
        <f t="shared" si="171"/>
        <v>0.43</v>
      </c>
      <c r="BY561">
        <f t="shared" si="172"/>
        <v>0</v>
      </c>
      <c r="BZ561" s="303">
        <f t="shared" si="173"/>
        <v>0</v>
      </c>
      <c r="CB561" s="298">
        <v>0.6</v>
      </c>
      <c r="CC561" s="298">
        <v>0.4</v>
      </c>
      <c r="CD561">
        <f t="shared" si="174"/>
        <v>0</v>
      </c>
      <c r="CE561">
        <f t="shared" si="175"/>
        <v>0</v>
      </c>
      <c r="CF561">
        <f t="shared" si="176"/>
        <v>0</v>
      </c>
      <c r="CG561">
        <f t="shared" si="177"/>
        <v>0</v>
      </c>
      <c r="CH561">
        <f t="shared" si="178"/>
        <v>0</v>
      </c>
      <c r="CI561">
        <f t="shared" si="179"/>
        <v>0</v>
      </c>
      <c r="CJ561">
        <f t="shared" si="180"/>
        <v>0</v>
      </c>
      <c r="CK561">
        <f t="shared" si="181"/>
        <v>0</v>
      </c>
      <c r="CL561">
        <f t="shared" si="182"/>
        <v>0</v>
      </c>
      <c r="CM561">
        <f t="shared" si="184"/>
        <v>0</v>
      </c>
      <c r="CN561">
        <f t="shared" si="183"/>
        <v>0</v>
      </c>
      <c r="CO561">
        <f t="shared" si="167"/>
        <v>0</v>
      </c>
    </row>
    <row r="562" spans="1:93" s="12" customFormat="1" ht="14.45" hidden="1" customHeight="1" x14ac:dyDescent="0.25">
      <c r="A562" s="4">
        <v>2021</v>
      </c>
      <c r="B562" s="4"/>
      <c r="C562" s="4" t="s">
        <v>417</v>
      </c>
      <c r="D562" s="4" t="s">
        <v>65</v>
      </c>
      <c r="E562" s="4"/>
      <c r="F562" s="4" t="s">
        <v>90</v>
      </c>
      <c r="G562" s="5" t="s">
        <v>418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419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+VLOOKUP(G562,Liste!$A$7:$G$69,3,FALSE)</f>
        <v>Pin Maritime</v>
      </c>
      <c r="BI562" s="96" t="str">
        <f>+VLOOKUP(H562,Liste!$B$7:$G$69,5,FALSE)</f>
        <v>GS Pineraies des plaines du Centre et du Nord Ouest</v>
      </c>
      <c r="BJ562" s="135">
        <f t="shared" si="166"/>
        <v>38</v>
      </c>
      <c r="BK562" s="135" t="str">
        <f t="shared" si="168"/>
        <v>Pin Maritime_F1_Classique_GS Pineraies des plaines du Centre et du Nord Ouest_38_</v>
      </c>
      <c r="BL562" s="319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97" t="str">
        <f>+VLOOKUP(G562,Liste!$A$7:$H$69,8,FALSE)</f>
        <v>Résineux</v>
      </c>
      <c r="BU562" s="297">
        <f t="shared" si="169"/>
        <v>0</v>
      </c>
      <c r="BV562" s="299">
        <f t="shared" si="170"/>
        <v>1</v>
      </c>
      <c r="BW562" s="318">
        <v>0</v>
      </c>
      <c r="BX562" s="297">
        <f t="shared" si="171"/>
        <v>0.43</v>
      </c>
      <c r="BY562">
        <f t="shared" si="172"/>
        <v>0</v>
      </c>
      <c r="BZ562" s="303">
        <f t="shared" si="173"/>
        <v>0</v>
      </c>
      <c r="CB562" s="298">
        <v>0.6</v>
      </c>
      <c r="CC562" s="298">
        <v>0.4</v>
      </c>
      <c r="CD562">
        <f t="shared" si="174"/>
        <v>0</v>
      </c>
      <c r="CE562">
        <f t="shared" si="175"/>
        <v>0</v>
      </c>
      <c r="CF562">
        <f t="shared" si="176"/>
        <v>0</v>
      </c>
      <c r="CG562">
        <f t="shared" si="177"/>
        <v>0</v>
      </c>
      <c r="CH562">
        <f t="shared" si="178"/>
        <v>0</v>
      </c>
      <c r="CI562">
        <f t="shared" si="179"/>
        <v>0</v>
      </c>
      <c r="CJ562">
        <f t="shared" si="180"/>
        <v>0</v>
      </c>
      <c r="CK562">
        <f t="shared" si="181"/>
        <v>0</v>
      </c>
      <c r="CL562">
        <f t="shared" si="182"/>
        <v>0</v>
      </c>
      <c r="CM562">
        <f t="shared" si="184"/>
        <v>0</v>
      </c>
      <c r="CN562">
        <f t="shared" si="183"/>
        <v>0</v>
      </c>
      <c r="CO562">
        <f t="shared" si="167"/>
        <v>0</v>
      </c>
    </row>
    <row r="563" spans="1:93" s="12" customFormat="1" ht="14.45" hidden="1" customHeight="1" x14ac:dyDescent="0.25">
      <c r="A563" s="4">
        <v>2021</v>
      </c>
      <c r="B563" s="4"/>
      <c r="C563" s="4" t="s">
        <v>417</v>
      </c>
      <c r="D563" s="4" t="s">
        <v>65</v>
      </c>
      <c r="E563" s="4"/>
      <c r="F563" s="4" t="s">
        <v>90</v>
      </c>
      <c r="G563" s="5" t="s">
        <v>418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419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+VLOOKUP(G563,Liste!$A$7:$G$69,3,FALSE)</f>
        <v>Pin Maritime</v>
      </c>
      <c r="BI563" s="96" t="str">
        <f>+VLOOKUP(H563,Liste!$B$7:$G$69,5,FALSE)</f>
        <v>GS Pineraies des plaines du Centre et du Nord Ouest</v>
      </c>
      <c r="BJ563" s="135">
        <f t="shared" si="166"/>
        <v>39</v>
      </c>
      <c r="BK563" s="135" t="str">
        <f t="shared" si="168"/>
        <v>Pin Maritime_F1_Classique_GS Pineraies des plaines du Centre et du Nord Ouest_39_</v>
      </c>
      <c r="BL563" s="319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97" t="str">
        <f>+VLOOKUP(G563,Liste!$A$7:$H$69,8,FALSE)</f>
        <v>Résineux</v>
      </c>
      <c r="BU563" s="297">
        <f t="shared" si="169"/>
        <v>0</v>
      </c>
      <c r="BV563" s="299">
        <f t="shared" si="170"/>
        <v>1</v>
      </c>
      <c r="BW563" s="318">
        <v>0</v>
      </c>
      <c r="BX563" s="297">
        <f t="shared" si="171"/>
        <v>0.43</v>
      </c>
      <c r="BY563">
        <f t="shared" si="172"/>
        <v>0</v>
      </c>
      <c r="BZ563" s="303">
        <f t="shared" si="173"/>
        <v>0</v>
      </c>
      <c r="CB563" s="298">
        <v>0.6</v>
      </c>
      <c r="CC563" s="298">
        <v>0.4</v>
      </c>
      <c r="CD563">
        <f t="shared" si="174"/>
        <v>0</v>
      </c>
      <c r="CE563">
        <f t="shared" si="175"/>
        <v>0</v>
      </c>
      <c r="CF563">
        <f t="shared" si="176"/>
        <v>0</v>
      </c>
      <c r="CG563">
        <f t="shared" si="177"/>
        <v>0</v>
      </c>
      <c r="CH563">
        <f t="shared" si="178"/>
        <v>0</v>
      </c>
      <c r="CI563">
        <f t="shared" si="179"/>
        <v>0</v>
      </c>
      <c r="CJ563">
        <f t="shared" si="180"/>
        <v>0</v>
      </c>
      <c r="CK563">
        <f t="shared" si="181"/>
        <v>0</v>
      </c>
      <c r="CL563">
        <f t="shared" si="182"/>
        <v>0</v>
      </c>
      <c r="CM563">
        <f t="shared" si="184"/>
        <v>0</v>
      </c>
      <c r="CN563">
        <f t="shared" si="183"/>
        <v>0</v>
      </c>
      <c r="CO563">
        <f t="shared" si="167"/>
        <v>0</v>
      </c>
    </row>
    <row r="564" spans="1:93" s="12" customFormat="1" ht="14.45" hidden="1" customHeight="1" x14ac:dyDescent="0.25">
      <c r="A564" s="4">
        <v>2021</v>
      </c>
      <c r="B564" s="4"/>
      <c r="C564" s="4" t="s">
        <v>417</v>
      </c>
      <c r="D564" s="4" t="s">
        <v>65</v>
      </c>
      <c r="E564" s="4"/>
      <c r="F564" s="4" t="s">
        <v>90</v>
      </c>
      <c r="G564" s="5" t="s">
        <v>418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419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+VLOOKUP(G564,Liste!$A$7:$G$69,3,FALSE)</f>
        <v>Pin Maritime</v>
      </c>
      <c r="BI564" s="96" t="str">
        <f>+VLOOKUP(H564,Liste!$B$7:$G$69,5,FALSE)</f>
        <v>GS Pineraies des plaines du Centre et du Nord Ouest</v>
      </c>
      <c r="BJ564" s="135">
        <f t="shared" si="166"/>
        <v>40</v>
      </c>
      <c r="BK564" s="135" t="str">
        <f t="shared" si="168"/>
        <v>Pin Maritime_F1_Classique_GS Pineraies des plaines du Centre et du Nord Ouest_40_</v>
      </c>
      <c r="BL564" s="319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97" t="str">
        <f>+VLOOKUP(G564,Liste!$A$7:$H$69,8,FALSE)</f>
        <v>Résineux</v>
      </c>
      <c r="BU564" s="297">
        <f t="shared" si="169"/>
        <v>0</v>
      </c>
      <c r="BV564" s="299">
        <f t="shared" si="170"/>
        <v>1</v>
      </c>
      <c r="BW564" s="318">
        <v>0</v>
      </c>
      <c r="BX564" s="297">
        <f t="shared" si="171"/>
        <v>0.43</v>
      </c>
      <c r="BY564">
        <f t="shared" si="172"/>
        <v>0</v>
      </c>
      <c r="BZ564" s="303">
        <f t="shared" si="173"/>
        <v>0</v>
      </c>
      <c r="CB564" s="298">
        <v>0.6</v>
      </c>
      <c r="CC564" s="298">
        <v>0.4</v>
      </c>
      <c r="CD564">
        <f t="shared" si="174"/>
        <v>0</v>
      </c>
      <c r="CE564">
        <f t="shared" si="175"/>
        <v>0</v>
      </c>
      <c r="CF564">
        <f t="shared" si="176"/>
        <v>0</v>
      </c>
      <c r="CG564">
        <f t="shared" si="177"/>
        <v>0</v>
      </c>
      <c r="CH564">
        <f t="shared" si="178"/>
        <v>0</v>
      </c>
      <c r="CI564">
        <f t="shared" si="179"/>
        <v>0</v>
      </c>
      <c r="CJ564">
        <f t="shared" si="180"/>
        <v>0</v>
      </c>
      <c r="CK564">
        <f t="shared" si="181"/>
        <v>0</v>
      </c>
      <c r="CL564">
        <f t="shared" si="182"/>
        <v>0</v>
      </c>
      <c r="CM564">
        <f t="shared" si="184"/>
        <v>0</v>
      </c>
      <c r="CN564">
        <f t="shared" si="183"/>
        <v>0</v>
      </c>
      <c r="CO564">
        <f t="shared" si="167"/>
        <v>0</v>
      </c>
    </row>
    <row r="565" spans="1:93" s="12" customFormat="1" ht="14.45" hidden="1" customHeight="1" x14ac:dyDescent="0.25">
      <c r="A565" s="4">
        <v>2021</v>
      </c>
      <c r="B565" s="4"/>
      <c r="C565" s="4" t="s">
        <v>417</v>
      </c>
      <c r="D565" s="4" t="s">
        <v>65</v>
      </c>
      <c r="E565" s="4"/>
      <c r="F565" s="4" t="s">
        <v>90</v>
      </c>
      <c r="G565" s="5" t="s">
        <v>418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419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+VLOOKUP(G565,Liste!$A$7:$G$69,3,FALSE)</f>
        <v>Pin Maritime</v>
      </c>
      <c r="BI565" s="96" t="str">
        <f>+VLOOKUP(H565,Liste!$B$7:$G$69,5,FALSE)</f>
        <v>GS Pineraies des plaines du Centre et du Nord Ouest</v>
      </c>
      <c r="BJ565" s="135">
        <f t="shared" si="166"/>
        <v>41</v>
      </c>
      <c r="BK565" s="135" t="str">
        <f t="shared" si="168"/>
        <v>Pin Maritime_F1_Classique_GS Pineraies des plaines du Centre et du Nord Ouest_41_</v>
      </c>
      <c r="BL565" s="319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97" t="str">
        <f>+VLOOKUP(G565,Liste!$A$7:$H$69,8,FALSE)</f>
        <v>Résineux</v>
      </c>
      <c r="BU565" s="297">
        <f t="shared" si="169"/>
        <v>0</v>
      </c>
      <c r="BV565" s="299">
        <f t="shared" si="170"/>
        <v>1</v>
      </c>
      <c r="BW565" s="318">
        <v>0</v>
      </c>
      <c r="BX565" s="297">
        <f t="shared" si="171"/>
        <v>0.43</v>
      </c>
      <c r="BY565">
        <f t="shared" si="172"/>
        <v>0</v>
      </c>
      <c r="BZ565" s="303">
        <f t="shared" si="173"/>
        <v>0</v>
      </c>
      <c r="CB565" s="298">
        <v>0.6</v>
      </c>
      <c r="CC565" s="298">
        <v>0.4</v>
      </c>
      <c r="CD565">
        <f t="shared" si="174"/>
        <v>0</v>
      </c>
      <c r="CE565">
        <f t="shared" si="175"/>
        <v>0</v>
      </c>
      <c r="CF565">
        <f t="shared" si="176"/>
        <v>0</v>
      </c>
      <c r="CG565">
        <f t="shared" si="177"/>
        <v>0</v>
      </c>
      <c r="CH565">
        <f t="shared" si="178"/>
        <v>0</v>
      </c>
      <c r="CI565">
        <f t="shared" si="179"/>
        <v>0</v>
      </c>
      <c r="CJ565">
        <f t="shared" si="180"/>
        <v>0</v>
      </c>
      <c r="CK565">
        <f t="shared" si="181"/>
        <v>0</v>
      </c>
      <c r="CL565">
        <f t="shared" si="182"/>
        <v>0</v>
      </c>
      <c r="CM565">
        <f t="shared" si="184"/>
        <v>0</v>
      </c>
      <c r="CN565">
        <f t="shared" si="183"/>
        <v>0</v>
      </c>
      <c r="CO565">
        <f t="shared" si="167"/>
        <v>0</v>
      </c>
    </row>
    <row r="566" spans="1:93" s="12" customFormat="1" ht="14.45" hidden="1" customHeight="1" x14ac:dyDescent="0.25">
      <c r="A566" s="4">
        <v>2021</v>
      </c>
      <c r="B566" s="4"/>
      <c r="C566" s="4" t="s">
        <v>417</v>
      </c>
      <c r="D566" s="4" t="s">
        <v>65</v>
      </c>
      <c r="E566" s="4"/>
      <c r="F566" s="4" t="s">
        <v>90</v>
      </c>
      <c r="G566" s="5" t="s">
        <v>418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419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+VLOOKUP(G566,Liste!$A$7:$G$69,3,FALSE)</f>
        <v>Pin Maritime</v>
      </c>
      <c r="BI566" s="96" t="str">
        <f>+VLOOKUP(H566,Liste!$B$7:$G$69,5,FALSE)</f>
        <v>GS Pineraies des plaines du Centre et du Nord Ouest</v>
      </c>
      <c r="BJ566" s="135">
        <f t="shared" si="166"/>
        <v>42</v>
      </c>
      <c r="BK566" s="135" t="str">
        <f t="shared" si="168"/>
        <v>Pin Maritime_F1_Classique_GS Pineraies des plaines du Centre et du Nord Ouest_42_</v>
      </c>
      <c r="BL566" s="319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97" t="str">
        <f>+VLOOKUP(G566,Liste!$A$7:$H$69,8,FALSE)</f>
        <v>Résineux</v>
      </c>
      <c r="BU566" s="297">
        <f t="shared" si="169"/>
        <v>0</v>
      </c>
      <c r="BV566" s="299">
        <f t="shared" si="170"/>
        <v>1</v>
      </c>
      <c r="BW566" s="318">
        <v>0</v>
      </c>
      <c r="BX566" s="297">
        <f t="shared" si="171"/>
        <v>0.43</v>
      </c>
      <c r="BY566">
        <f t="shared" si="172"/>
        <v>0</v>
      </c>
      <c r="BZ566" s="303">
        <f t="shared" si="173"/>
        <v>0</v>
      </c>
      <c r="CB566" s="298">
        <v>0.6</v>
      </c>
      <c r="CC566" s="298">
        <v>0.4</v>
      </c>
      <c r="CD566">
        <f t="shared" si="174"/>
        <v>0</v>
      </c>
      <c r="CE566">
        <f t="shared" si="175"/>
        <v>0</v>
      </c>
      <c r="CF566">
        <f t="shared" si="176"/>
        <v>0</v>
      </c>
      <c r="CG566">
        <f t="shared" si="177"/>
        <v>0</v>
      </c>
      <c r="CH566">
        <f t="shared" si="178"/>
        <v>0</v>
      </c>
      <c r="CI566">
        <f t="shared" si="179"/>
        <v>0</v>
      </c>
      <c r="CJ566">
        <f t="shared" si="180"/>
        <v>0</v>
      </c>
      <c r="CK566">
        <f t="shared" si="181"/>
        <v>0</v>
      </c>
      <c r="CL566">
        <f t="shared" si="182"/>
        <v>0</v>
      </c>
      <c r="CM566">
        <f t="shared" si="184"/>
        <v>0</v>
      </c>
      <c r="CN566">
        <f t="shared" si="183"/>
        <v>0</v>
      </c>
      <c r="CO566">
        <f t="shared" si="167"/>
        <v>0</v>
      </c>
    </row>
    <row r="567" spans="1:93" s="12" customFormat="1" ht="14.45" hidden="1" customHeight="1" x14ac:dyDescent="0.25">
      <c r="A567" s="4">
        <v>2021</v>
      </c>
      <c r="B567" s="4"/>
      <c r="C567" s="4" t="s">
        <v>417</v>
      </c>
      <c r="D567" s="4" t="s">
        <v>65</v>
      </c>
      <c r="E567" s="4"/>
      <c r="F567" s="4" t="s">
        <v>90</v>
      </c>
      <c r="G567" s="5" t="s">
        <v>418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419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+VLOOKUP(G567,Liste!$A$7:$G$69,3,FALSE)</f>
        <v>Pin Maritime</v>
      </c>
      <c r="BI567" s="96" t="str">
        <f>+VLOOKUP(H567,Liste!$B$7:$G$69,5,FALSE)</f>
        <v>GS Pineraies des plaines du Centre et du Nord Ouest</v>
      </c>
      <c r="BJ567" s="135">
        <f t="shared" si="166"/>
        <v>43</v>
      </c>
      <c r="BK567" s="135" t="str">
        <f t="shared" si="168"/>
        <v>Pin Maritime_F1_Classique_GS Pineraies des plaines du Centre et du Nord Ouest_43_</v>
      </c>
      <c r="BL567" s="319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97" t="str">
        <f>+VLOOKUP(G567,Liste!$A$7:$H$69,8,FALSE)</f>
        <v>Résineux</v>
      </c>
      <c r="BU567" s="297">
        <f t="shared" si="169"/>
        <v>0</v>
      </c>
      <c r="BV567" s="299">
        <f t="shared" si="170"/>
        <v>1</v>
      </c>
      <c r="BW567" s="318">
        <v>0</v>
      </c>
      <c r="BX567" s="297">
        <f t="shared" si="171"/>
        <v>0.43</v>
      </c>
      <c r="BY567">
        <f t="shared" si="172"/>
        <v>0</v>
      </c>
      <c r="BZ567" s="303">
        <f t="shared" si="173"/>
        <v>0</v>
      </c>
      <c r="CB567" s="298">
        <v>0.6</v>
      </c>
      <c r="CC567" s="298">
        <v>0.4</v>
      </c>
      <c r="CD567">
        <f t="shared" si="174"/>
        <v>0</v>
      </c>
      <c r="CE567">
        <f t="shared" si="175"/>
        <v>0</v>
      </c>
      <c r="CF567">
        <f t="shared" si="176"/>
        <v>0</v>
      </c>
      <c r="CG567">
        <f t="shared" si="177"/>
        <v>0</v>
      </c>
      <c r="CH567">
        <f t="shared" si="178"/>
        <v>0</v>
      </c>
      <c r="CI567">
        <f t="shared" si="179"/>
        <v>0</v>
      </c>
      <c r="CJ567">
        <f t="shared" si="180"/>
        <v>0</v>
      </c>
      <c r="CK567">
        <f t="shared" si="181"/>
        <v>0</v>
      </c>
      <c r="CL567">
        <f t="shared" si="182"/>
        <v>0</v>
      </c>
      <c r="CM567">
        <f t="shared" si="184"/>
        <v>0</v>
      </c>
      <c r="CN567">
        <f t="shared" si="183"/>
        <v>0</v>
      </c>
      <c r="CO567">
        <f t="shared" si="167"/>
        <v>0</v>
      </c>
    </row>
    <row r="568" spans="1:93" s="12" customFormat="1" ht="14.45" hidden="1" customHeight="1" x14ac:dyDescent="0.25">
      <c r="A568" s="4">
        <v>2021</v>
      </c>
      <c r="B568" s="4"/>
      <c r="C568" s="4" t="s">
        <v>417</v>
      </c>
      <c r="D568" s="4" t="s">
        <v>65</v>
      </c>
      <c r="E568" s="4"/>
      <c r="F568" s="4" t="s">
        <v>90</v>
      </c>
      <c r="G568" s="5" t="s">
        <v>418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419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+VLOOKUP(G568,Liste!$A$7:$G$69,3,FALSE)</f>
        <v>Pin Maritime</v>
      </c>
      <c r="BI568" s="96" t="str">
        <f>+VLOOKUP(H568,Liste!$B$7:$G$69,5,FALSE)</f>
        <v>GS Pineraies des plaines du Centre et du Nord Ouest</v>
      </c>
      <c r="BJ568" s="135">
        <f t="shared" si="166"/>
        <v>44</v>
      </c>
      <c r="BK568" s="135" t="str">
        <f t="shared" si="168"/>
        <v>Pin Maritime_F1_Classique_GS Pineraies des plaines du Centre et du Nord Ouest_44_</v>
      </c>
      <c r="BL568" s="319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97" t="str">
        <f>+VLOOKUP(G568,Liste!$A$7:$H$69,8,FALSE)</f>
        <v>Résineux</v>
      </c>
      <c r="BU568" s="297">
        <f t="shared" si="169"/>
        <v>0</v>
      </c>
      <c r="BV568" s="299">
        <f t="shared" si="170"/>
        <v>1</v>
      </c>
      <c r="BW568" s="318">
        <v>0</v>
      </c>
      <c r="BX568" s="297">
        <f t="shared" si="171"/>
        <v>0.43</v>
      </c>
      <c r="BY568">
        <f t="shared" si="172"/>
        <v>0</v>
      </c>
      <c r="BZ568" s="303">
        <f t="shared" si="173"/>
        <v>0</v>
      </c>
      <c r="CB568" s="298">
        <v>0.6</v>
      </c>
      <c r="CC568" s="298">
        <v>0.4</v>
      </c>
      <c r="CD568">
        <f t="shared" si="174"/>
        <v>0</v>
      </c>
      <c r="CE568">
        <f t="shared" si="175"/>
        <v>0</v>
      </c>
      <c r="CF568">
        <f t="shared" si="176"/>
        <v>0</v>
      </c>
      <c r="CG568">
        <f t="shared" si="177"/>
        <v>0</v>
      </c>
      <c r="CH568">
        <f t="shared" si="178"/>
        <v>0</v>
      </c>
      <c r="CI568">
        <f t="shared" si="179"/>
        <v>0</v>
      </c>
      <c r="CJ568">
        <f t="shared" si="180"/>
        <v>0</v>
      </c>
      <c r="CK568">
        <f t="shared" si="181"/>
        <v>0</v>
      </c>
      <c r="CL568">
        <f t="shared" si="182"/>
        <v>0</v>
      </c>
      <c r="CM568">
        <f t="shared" si="184"/>
        <v>0</v>
      </c>
      <c r="CN568">
        <f t="shared" si="183"/>
        <v>0</v>
      </c>
      <c r="CO568">
        <f t="shared" si="167"/>
        <v>0</v>
      </c>
    </row>
    <row r="569" spans="1:93" s="12" customFormat="1" ht="14.45" hidden="1" customHeight="1" x14ac:dyDescent="0.25">
      <c r="A569" s="4">
        <v>2021</v>
      </c>
      <c r="B569" s="4"/>
      <c r="C569" s="4" t="s">
        <v>417</v>
      </c>
      <c r="D569" s="4" t="s">
        <v>65</v>
      </c>
      <c r="E569" s="4"/>
      <c r="F569" s="4" t="s">
        <v>90</v>
      </c>
      <c r="G569" s="5" t="s">
        <v>418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419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+VLOOKUP(G569,Liste!$A$7:$G$69,3,FALSE)</f>
        <v>Pin Maritime</v>
      </c>
      <c r="BI569" s="96" t="str">
        <f>+VLOOKUP(H569,Liste!$B$7:$G$69,5,FALSE)</f>
        <v>GS Pineraies des plaines du Centre et du Nord Ouest</v>
      </c>
      <c r="BJ569" s="135">
        <f t="shared" si="166"/>
        <v>45</v>
      </c>
      <c r="BK569" s="135" t="str">
        <f t="shared" si="168"/>
        <v>Pin Maritime_F1_Classique_GS Pineraies des plaines du Centre et du Nord Ouest_45_</v>
      </c>
      <c r="BL569" s="319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97" t="str">
        <f>+VLOOKUP(G569,Liste!$A$7:$H$69,8,FALSE)</f>
        <v>Résineux</v>
      </c>
      <c r="BU569" s="297">
        <f t="shared" si="169"/>
        <v>0</v>
      </c>
      <c r="BV569" s="299">
        <f t="shared" si="170"/>
        <v>1</v>
      </c>
      <c r="BW569" s="318">
        <v>0</v>
      </c>
      <c r="BX569" s="297">
        <f t="shared" si="171"/>
        <v>0.43</v>
      </c>
      <c r="BY569">
        <f t="shared" si="172"/>
        <v>0</v>
      </c>
      <c r="BZ569" s="303">
        <f t="shared" si="173"/>
        <v>0</v>
      </c>
      <c r="CB569" s="298">
        <v>0.6</v>
      </c>
      <c r="CC569" s="298">
        <v>0.4</v>
      </c>
      <c r="CD569">
        <f t="shared" si="174"/>
        <v>0</v>
      </c>
      <c r="CE569">
        <f t="shared" si="175"/>
        <v>0</v>
      </c>
      <c r="CF569">
        <f t="shared" si="176"/>
        <v>0</v>
      </c>
      <c r="CG569">
        <f t="shared" si="177"/>
        <v>0</v>
      </c>
      <c r="CH569">
        <f t="shared" si="178"/>
        <v>0</v>
      </c>
      <c r="CI569">
        <f t="shared" si="179"/>
        <v>0</v>
      </c>
      <c r="CJ569">
        <f t="shared" si="180"/>
        <v>0</v>
      </c>
      <c r="CK569">
        <f t="shared" si="181"/>
        <v>0</v>
      </c>
      <c r="CL569">
        <f t="shared" si="182"/>
        <v>0</v>
      </c>
      <c r="CM569">
        <f t="shared" si="184"/>
        <v>0</v>
      </c>
      <c r="CN569">
        <f t="shared" si="183"/>
        <v>0</v>
      </c>
      <c r="CO569">
        <f t="shared" si="167"/>
        <v>0</v>
      </c>
    </row>
    <row r="570" spans="1:93" s="12" customFormat="1" ht="14.45" hidden="1" customHeight="1" x14ac:dyDescent="0.25">
      <c r="A570" s="4">
        <v>2021</v>
      </c>
      <c r="B570" s="4"/>
      <c r="C570" s="4" t="s">
        <v>417</v>
      </c>
      <c r="D570" s="4" t="s">
        <v>65</v>
      </c>
      <c r="E570" s="4"/>
      <c r="F570" s="4" t="s">
        <v>90</v>
      </c>
      <c r="G570" s="5" t="s">
        <v>418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419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+VLOOKUP(G570,Liste!$A$7:$G$69,3,FALSE)</f>
        <v>Pin Maritime</v>
      </c>
      <c r="BI570" s="96" t="str">
        <f>+VLOOKUP(H570,Liste!$B$7:$G$69,5,FALSE)</f>
        <v>GS Pineraies des plaines du Centre et du Nord Ouest</v>
      </c>
      <c r="BJ570" s="135">
        <f t="shared" si="166"/>
        <v>46</v>
      </c>
      <c r="BK570" s="135" t="str">
        <f t="shared" si="168"/>
        <v>Pin Maritime_F1_Classique_GS Pineraies des plaines du Centre et du Nord Ouest_46_</v>
      </c>
      <c r="BL570" s="319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97" t="str">
        <f>+VLOOKUP(G570,Liste!$A$7:$H$69,8,FALSE)</f>
        <v>Résineux</v>
      </c>
      <c r="BU570" s="297">
        <f t="shared" si="169"/>
        <v>0</v>
      </c>
      <c r="BV570" s="299">
        <f t="shared" si="170"/>
        <v>1</v>
      </c>
      <c r="BW570" s="318">
        <v>0</v>
      </c>
      <c r="BX570" s="297">
        <f t="shared" si="171"/>
        <v>0.43</v>
      </c>
      <c r="BY570">
        <f t="shared" si="172"/>
        <v>0</v>
      </c>
      <c r="BZ570" s="303">
        <f t="shared" si="173"/>
        <v>0</v>
      </c>
      <c r="CB570" s="298">
        <v>0.6</v>
      </c>
      <c r="CC570" s="298">
        <v>0.4</v>
      </c>
      <c r="CD570">
        <f t="shared" si="174"/>
        <v>0</v>
      </c>
      <c r="CE570">
        <f t="shared" si="175"/>
        <v>0</v>
      </c>
      <c r="CF570">
        <f t="shared" si="176"/>
        <v>0</v>
      </c>
      <c r="CG570">
        <f t="shared" si="177"/>
        <v>0</v>
      </c>
      <c r="CH570">
        <f t="shared" si="178"/>
        <v>0</v>
      </c>
      <c r="CI570">
        <f t="shared" si="179"/>
        <v>0</v>
      </c>
      <c r="CJ570">
        <f t="shared" si="180"/>
        <v>0</v>
      </c>
      <c r="CK570">
        <f t="shared" si="181"/>
        <v>0</v>
      </c>
      <c r="CL570">
        <f t="shared" si="182"/>
        <v>0</v>
      </c>
      <c r="CM570">
        <f t="shared" si="184"/>
        <v>0</v>
      </c>
      <c r="CN570">
        <f t="shared" si="183"/>
        <v>0</v>
      </c>
      <c r="CO570">
        <f t="shared" si="167"/>
        <v>0</v>
      </c>
    </row>
    <row r="571" spans="1:93" s="12" customFormat="1" ht="14.45" hidden="1" customHeight="1" x14ac:dyDescent="0.25">
      <c r="A571" s="4">
        <v>2021</v>
      </c>
      <c r="B571" s="4"/>
      <c r="C571" s="4" t="s">
        <v>417</v>
      </c>
      <c r="D571" s="4" t="s">
        <v>65</v>
      </c>
      <c r="E571" s="4"/>
      <c r="F571" s="4" t="s">
        <v>90</v>
      </c>
      <c r="G571" s="5" t="s">
        <v>418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419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+VLOOKUP(G571,Liste!$A$7:$G$69,3,FALSE)</f>
        <v>Pin Maritime</v>
      </c>
      <c r="BI571" s="96" t="str">
        <f>+VLOOKUP(H571,Liste!$B$7:$G$69,5,FALSE)</f>
        <v>GS Pineraies des plaines du Centre et du Nord Ouest</v>
      </c>
      <c r="BJ571" s="135">
        <f t="shared" si="166"/>
        <v>46</v>
      </c>
      <c r="BK571" s="135" t="str">
        <f t="shared" si="168"/>
        <v>Pin Maritime_F1_Classique_GS Pineraies des plaines du Centre et du Nord Ouest_46_</v>
      </c>
      <c r="BL571" s="319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97" t="str">
        <f>+VLOOKUP(G571,Liste!$A$7:$H$69,8,FALSE)</f>
        <v>Résineux</v>
      </c>
      <c r="BU571" s="297">
        <f t="shared" si="169"/>
        <v>0</v>
      </c>
      <c r="BV571" s="299">
        <f t="shared" si="170"/>
        <v>1</v>
      </c>
      <c r="BW571" s="318">
        <v>0</v>
      </c>
      <c r="BX571" s="297">
        <f t="shared" si="171"/>
        <v>0.43</v>
      </c>
      <c r="BY571">
        <f t="shared" si="172"/>
        <v>0</v>
      </c>
      <c r="BZ571" s="303">
        <f t="shared" si="173"/>
        <v>0</v>
      </c>
      <c r="CB571" s="298">
        <v>0.6</v>
      </c>
      <c r="CC571" s="298">
        <v>0.4</v>
      </c>
      <c r="CD571">
        <f t="shared" si="174"/>
        <v>0</v>
      </c>
      <c r="CE571">
        <f t="shared" si="175"/>
        <v>0</v>
      </c>
      <c r="CF571">
        <f t="shared" si="176"/>
        <v>0</v>
      </c>
      <c r="CG571">
        <f t="shared" si="177"/>
        <v>0</v>
      </c>
      <c r="CH571">
        <f t="shared" si="178"/>
        <v>0</v>
      </c>
      <c r="CI571">
        <f t="shared" si="179"/>
        <v>0</v>
      </c>
      <c r="CJ571">
        <f t="shared" si="180"/>
        <v>0</v>
      </c>
      <c r="CK571">
        <f t="shared" si="181"/>
        <v>0</v>
      </c>
      <c r="CL571">
        <f t="shared" si="182"/>
        <v>0</v>
      </c>
      <c r="CM571">
        <f t="shared" si="184"/>
        <v>0</v>
      </c>
      <c r="CN571">
        <f t="shared" si="183"/>
        <v>0</v>
      </c>
      <c r="CO571">
        <f t="shared" si="167"/>
        <v>0</v>
      </c>
    </row>
    <row r="572" spans="1:93" s="12" customFormat="1" ht="14.45" hidden="1" customHeight="1" x14ac:dyDescent="0.25">
      <c r="A572" s="4">
        <v>2021</v>
      </c>
      <c r="B572" s="4"/>
      <c r="C572" s="4" t="s">
        <v>417</v>
      </c>
      <c r="D572" s="4" t="s">
        <v>65</v>
      </c>
      <c r="E572" s="4"/>
      <c r="F572" s="4" t="s">
        <v>90</v>
      </c>
      <c r="G572" s="5" t="s">
        <v>418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419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+VLOOKUP(G572,Liste!$A$7:$G$69,3,FALSE)</f>
        <v>Pin Maritime</v>
      </c>
      <c r="BI572" s="96" t="str">
        <f>+VLOOKUP(H572,Liste!$B$7:$G$69,5,FALSE)</f>
        <v>GS Pineraies des plaines du Centre et du Nord Ouest</v>
      </c>
      <c r="BJ572" s="135">
        <f t="shared" si="166"/>
        <v>47</v>
      </c>
      <c r="BK572" s="135" t="str">
        <f t="shared" si="168"/>
        <v>Pin Maritime_F1_Classique_GS Pineraies des plaines du Centre et du Nord Ouest_47_</v>
      </c>
      <c r="BL572" s="319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97" t="str">
        <f>+VLOOKUP(G572,Liste!$A$7:$H$69,8,FALSE)</f>
        <v>Résineux</v>
      </c>
      <c r="BU572" s="297">
        <f t="shared" si="169"/>
        <v>0</v>
      </c>
      <c r="BV572" s="299">
        <f t="shared" si="170"/>
        <v>1</v>
      </c>
      <c r="BW572" s="318">
        <v>0</v>
      </c>
      <c r="BX572" s="297">
        <f t="shared" si="171"/>
        <v>0.43</v>
      </c>
      <c r="BY572">
        <f t="shared" si="172"/>
        <v>0</v>
      </c>
      <c r="BZ572" s="303">
        <f t="shared" si="173"/>
        <v>0</v>
      </c>
      <c r="CB572" s="298">
        <v>0.6</v>
      </c>
      <c r="CC572" s="298">
        <v>0.4</v>
      </c>
      <c r="CD572">
        <f t="shared" si="174"/>
        <v>0</v>
      </c>
      <c r="CE572">
        <f t="shared" si="175"/>
        <v>0</v>
      </c>
      <c r="CF572">
        <f t="shared" si="176"/>
        <v>0</v>
      </c>
      <c r="CG572">
        <f t="shared" si="177"/>
        <v>0</v>
      </c>
      <c r="CH572">
        <f t="shared" si="178"/>
        <v>0</v>
      </c>
      <c r="CI572">
        <f t="shared" si="179"/>
        <v>0</v>
      </c>
      <c r="CJ572">
        <f t="shared" si="180"/>
        <v>0</v>
      </c>
      <c r="CK572">
        <f t="shared" si="181"/>
        <v>0</v>
      </c>
      <c r="CL572">
        <f t="shared" si="182"/>
        <v>0</v>
      </c>
      <c r="CM572">
        <f t="shared" si="184"/>
        <v>0</v>
      </c>
      <c r="CN572">
        <f t="shared" si="183"/>
        <v>0</v>
      </c>
      <c r="CO572">
        <f t="shared" si="167"/>
        <v>0</v>
      </c>
    </row>
    <row r="573" spans="1:93" s="12" customFormat="1" ht="14.45" hidden="1" customHeight="1" x14ac:dyDescent="0.25">
      <c r="A573" s="4">
        <v>2021</v>
      </c>
      <c r="B573" s="4"/>
      <c r="C573" s="4" t="s">
        <v>417</v>
      </c>
      <c r="D573" s="4" t="s">
        <v>65</v>
      </c>
      <c r="E573" s="4"/>
      <c r="F573" s="4" t="s">
        <v>90</v>
      </c>
      <c r="G573" s="5" t="s">
        <v>418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419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+VLOOKUP(G573,Liste!$A$7:$G$69,3,FALSE)</f>
        <v>Pin Maritime</v>
      </c>
      <c r="BI573" s="96" t="str">
        <f>+VLOOKUP(H573,Liste!$B$7:$G$69,5,FALSE)</f>
        <v>GS Pineraies des plaines du Centre et du Nord Ouest</v>
      </c>
      <c r="BJ573" s="135">
        <f t="shared" si="166"/>
        <v>48</v>
      </c>
      <c r="BK573" s="135" t="str">
        <f t="shared" si="168"/>
        <v>Pin Maritime_F1_Classique_GS Pineraies des plaines du Centre et du Nord Ouest_48_</v>
      </c>
      <c r="BL573" s="319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97" t="str">
        <f>+VLOOKUP(G573,Liste!$A$7:$H$69,8,FALSE)</f>
        <v>Résineux</v>
      </c>
      <c r="BU573" s="297">
        <f t="shared" si="169"/>
        <v>0</v>
      </c>
      <c r="BV573" s="299">
        <f t="shared" si="170"/>
        <v>1</v>
      </c>
      <c r="BW573" s="318">
        <v>0</v>
      </c>
      <c r="BX573" s="297">
        <f t="shared" si="171"/>
        <v>0.43</v>
      </c>
      <c r="BY573">
        <f t="shared" si="172"/>
        <v>0</v>
      </c>
      <c r="BZ573" s="303">
        <f t="shared" si="173"/>
        <v>0</v>
      </c>
      <c r="CB573" s="298">
        <v>0.6</v>
      </c>
      <c r="CC573" s="298">
        <v>0.4</v>
      </c>
      <c r="CD573">
        <f t="shared" si="174"/>
        <v>0</v>
      </c>
      <c r="CE573">
        <f t="shared" si="175"/>
        <v>0</v>
      </c>
      <c r="CF573">
        <f t="shared" si="176"/>
        <v>0</v>
      </c>
      <c r="CG573">
        <f t="shared" si="177"/>
        <v>0</v>
      </c>
      <c r="CH573">
        <f t="shared" si="178"/>
        <v>0</v>
      </c>
      <c r="CI573">
        <f t="shared" si="179"/>
        <v>0</v>
      </c>
      <c r="CJ573">
        <f t="shared" si="180"/>
        <v>0</v>
      </c>
      <c r="CK573">
        <f t="shared" si="181"/>
        <v>0</v>
      </c>
      <c r="CL573">
        <f t="shared" si="182"/>
        <v>0</v>
      </c>
      <c r="CM573">
        <f t="shared" si="184"/>
        <v>0</v>
      </c>
      <c r="CN573">
        <f t="shared" si="183"/>
        <v>0</v>
      </c>
      <c r="CO573">
        <f t="shared" si="167"/>
        <v>0</v>
      </c>
    </row>
    <row r="574" spans="1:93" s="12" customFormat="1" ht="14.45" hidden="1" customHeight="1" x14ac:dyDescent="0.25">
      <c r="A574" s="4">
        <v>2021</v>
      </c>
      <c r="B574" s="4"/>
      <c r="C574" s="4" t="s">
        <v>417</v>
      </c>
      <c r="D574" s="4" t="s">
        <v>65</v>
      </c>
      <c r="E574" s="4"/>
      <c r="F574" s="4" t="s">
        <v>90</v>
      </c>
      <c r="G574" s="5" t="s">
        <v>418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419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+VLOOKUP(G574,Liste!$A$7:$G$69,3,FALSE)</f>
        <v>Pin Maritime</v>
      </c>
      <c r="BI574" s="96" t="str">
        <f>+VLOOKUP(H574,Liste!$B$7:$G$69,5,FALSE)</f>
        <v>GS Pineraies des plaines du Centre et du Nord Ouest</v>
      </c>
      <c r="BJ574" s="135">
        <f t="shared" si="166"/>
        <v>49</v>
      </c>
      <c r="BK574" s="135" t="str">
        <f t="shared" si="168"/>
        <v>Pin Maritime_F1_Classique_GS Pineraies des plaines du Centre et du Nord Ouest_49_</v>
      </c>
      <c r="BL574" s="319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97" t="str">
        <f>+VLOOKUP(G574,Liste!$A$7:$H$69,8,FALSE)</f>
        <v>Résineux</v>
      </c>
      <c r="BU574" s="297">
        <f t="shared" si="169"/>
        <v>0</v>
      </c>
      <c r="BV574" s="299">
        <f t="shared" si="170"/>
        <v>1</v>
      </c>
      <c r="BW574" s="318">
        <v>0</v>
      </c>
      <c r="BX574" s="297">
        <f t="shared" si="171"/>
        <v>0.43</v>
      </c>
      <c r="BY574">
        <f t="shared" si="172"/>
        <v>0</v>
      </c>
      <c r="BZ574" s="303">
        <f t="shared" si="173"/>
        <v>0</v>
      </c>
      <c r="CB574" s="298">
        <v>0.6</v>
      </c>
      <c r="CC574" s="298">
        <v>0.4</v>
      </c>
      <c r="CD574">
        <f t="shared" si="174"/>
        <v>0</v>
      </c>
      <c r="CE574">
        <f t="shared" si="175"/>
        <v>0</v>
      </c>
      <c r="CF574">
        <f t="shared" si="176"/>
        <v>0</v>
      </c>
      <c r="CG574">
        <f t="shared" si="177"/>
        <v>0</v>
      </c>
      <c r="CH574">
        <f t="shared" si="178"/>
        <v>0</v>
      </c>
      <c r="CI574">
        <f t="shared" si="179"/>
        <v>0</v>
      </c>
      <c r="CJ574">
        <f t="shared" si="180"/>
        <v>0</v>
      </c>
      <c r="CK574">
        <f t="shared" si="181"/>
        <v>0</v>
      </c>
      <c r="CL574">
        <f t="shared" si="182"/>
        <v>0</v>
      </c>
      <c r="CM574">
        <f t="shared" si="184"/>
        <v>0</v>
      </c>
      <c r="CN574">
        <f t="shared" si="183"/>
        <v>0</v>
      </c>
      <c r="CO574">
        <f t="shared" si="167"/>
        <v>0</v>
      </c>
    </row>
    <row r="575" spans="1:93" s="12" customFormat="1" ht="14.45" hidden="1" customHeight="1" x14ac:dyDescent="0.25">
      <c r="A575" s="4">
        <v>2021</v>
      </c>
      <c r="B575" s="4"/>
      <c r="C575" s="4" t="s">
        <v>417</v>
      </c>
      <c r="D575" s="4" t="s">
        <v>65</v>
      </c>
      <c r="E575" s="4"/>
      <c r="F575" s="4" t="s">
        <v>90</v>
      </c>
      <c r="G575" s="5" t="s">
        <v>418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419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+VLOOKUP(G575,Liste!$A$7:$G$69,3,FALSE)</f>
        <v>Pin Maritime</v>
      </c>
      <c r="BI575" s="96" t="str">
        <f>+VLOOKUP(H575,Liste!$B$7:$G$69,5,FALSE)</f>
        <v>GS Pineraies des plaines du Centre et du Nord Ouest</v>
      </c>
      <c r="BJ575" s="135">
        <f t="shared" si="166"/>
        <v>50</v>
      </c>
      <c r="BK575" s="135" t="str">
        <f t="shared" si="168"/>
        <v>Pin Maritime_F1_Classique_GS Pineraies des plaines du Centre et du Nord Ouest_50_</v>
      </c>
      <c r="BL575" s="319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97" t="str">
        <f>+VLOOKUP(G575,Liste!$A$7:$H$69,8,FALSE)</f>
        <v>Résineux</v>
      </c>
      <c r="BU575" s="297">
        <f t="shared" si="169"/>
        <v>0</v>
      </c>
      <c r="BV575" s="299">
        <f t="shared" si="170"/>
        <v>1</v>
      </c>
      <c r="BW575" s="318">
        <v>0</v>
      </c>
      <c r="BX575" s="297">
        <f t="shared" si="171"/>
        <v>0.43</v>
      </c>
      <c r="BY575">
        <f t="shared" si="172"/>
        <v>0</v>
      </c>
      <c r="BZ575" s="303">
        <f t="shared" si="173"/>
        <v>0</v>
      </c>
      <c r="CB575" s="298">
        <v>0.6</v>
      </c>
      <c r="CC575" s="298">
        <v>0.4</v>
      </c>
      <c r="CD575">
        <f t="shared" si="174"/>
        <v>0</v>
      </c>
      <c r="CE575">
        <f t="shared" si="175"/>
        <v>0</v>
      </c>
      <c r="CF575">
        <f t="shared" si="176"/>
        <v>0</v>
      </c>
      <c r="CG575">
        <f t="shared" si="177"/>
        <v>0</v>
      </c>
      <c r="CH575">
        <f t="shared" si="178"/>
        <v>0</v>
      </c>
      <c r="CI575">
        <f t="shared" si="179"/>
        <v>0</v>
      </c>
      <c r="CJ575">
        <f t="shared" si="180"/>
        <v>0</v>
      </c>
      <c r="CK575">
        <f t="shared" si="181"/>
        <v>0</v>
      </c>
      <c r="CL575">
        <f t="shared" si="182"/>
        <v>0</v>
      </c>
      <c r="CM575">
        <f t="shared" si="184"/>
        <v>0</v>
      </c>
      <c r="CN575">
        <f t="shared" si="183"/>
        <v>0</v>
      </c>
      <c r="CO575">
        <f t="shared" si="167"/>
        <v>0</v>
      </c>
    </row>
    <row r="576" spans="1:93" s="12" customFormat="1" ht="14.45" hidden="1" customHeight="1" x14ac:dyDescent="0.25">
      <c r="A576" s="4">
        <v>2021</v>
      </c>
      <c r="B576" s="4"/>
      <c r="C576" s="4" t="s">
        <v>417</v>
      </c>
      <c r="D576" s="4" t="s">
        <v>65</v>
      </c>
      <c r="E576" s="4"/>
      <c r="F576" s="4" t="s">
        <v>90</v>
      </c>
      <c r="G576" s="5" t="s">
        <v>418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419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+VLOOKUP(G576,Liste!$A$7:$G$69,3,FALSE)</f>
        <v>Pin Maritime</v>
      </c>
      <c r="BI576" s="96" t="str">
        <f>+VLOOKUP(H576,Liste!$B$7:$G$69,5,FALSE)</f>
        <v>GS Pineraies des plaines du Centre et du Nord Ouest</v>
      </c>
      <c r="BJ576" s="135">
        <f t="shared" si="166"/>
        <v>51</v>
      </c>
      <c r="BK576" s="135" t="str">
        <f t="shared" si="168"/>
        <v>Pin Maritime_F1_Classique_GS Pineraies des plaines du Centre et du Nord Ouest_51_</v>
      </c>
      <c r="BL576" s="319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97" t="str">
        <f>+VLOOKUP(G576,Liste!$A$7:$H$69,8,FALSE)</f>
        <v>Résineux</v>
      </c>
      <c r="BU576" s="297">
        <f t="shared" si="169"/>
        <v>0</v>
      </c>
      <c r="BV576" s="299">
        <f t="shared" si="170"/>
        <v>1</v>
      </c>
      <c r="BW576" s="318">
        <v>0</v>
      </c>
      <c r="BX576" s="297">
        <f t="shared" si="171"/>
        <v>0.43</v>
      </c>
      <c r="BY576">
        <f t="shared" si="172"/>
        <v>0</v>
      </c>
      <c r="BZ576" s="303">
        <f t="shared" si="173"/>
        <v>0</v>
      </c>
      <c r="CB576" s="298">
        <v>0.6</v>
      </c>
      <c r="CC576" s="298">
        <v>0.4</v>
      </c>
      <c r="CD576">
        <f t="shared" si="174"/>
        <v>0</v>
      </c>
      <c r="CE576">
        <f t="shared" si="175"/>
        <v>0</v>
      </c>
      <c r="CF576">
        <f t="shared" si="176"/>
        <v>0</v>
      </c>
      <c r="CG576">
        <f t="shared" si="177"/>
        <v>0</v>
      </c>
      <c r="CH576">
        <f t="shared" si="178"/>
        <v>0</v>
      </c>
      <c r="CI576">
        <f t="shared" si="179"/>
        <v>0</v>
      </c>
      <c r="CJ576">
        <f t="shared" si="180"/>
        <v>0</v>
      </c>
      <c r="CK576">
        <f t="shared" si="181"/>
        <v>0</v>
      </c>
      <c r="CL576">
        <f t="shared" si="182"/>
        <v>0</v>
      </c>
      <c r="CM576">
        <f t="shared" si="184"/>
        <v>0</v>
      </c>
      <c r="CN576">
        <f t="shared" si="183"/>
        <v>0</v>
      </c>
      <c r="CO576">
        <f t="shared" si="167"/>
        <v>0</v>
      </c>
    </row>
    <row r="577" spans="1:93" s="12" customFormat="1" ht="14.45" hidden="1" customHeight="1" x14ac:dyDescent="0.25">
      <c r="A577" s="4">
        <v>2021</v>
      </c>
      <c r="B577" s="4"/>
      <c r="C577" s="4" t="s">
        <v>417</v>
      </c>
      <c r="D577" s="4" t="s">
        <v>65</v>
      </c>
      <c r="E577" s="4"/>
      <c r="F577" s="4" t="s">
        <v>90</v>
      </c>
      <c r="G577" s="5" t="s">
        <v>418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419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+VLOOKUP(G577,Liste!$A$7:$G$69,3,FALSE)</f>
        <v>Pin Maritime</v>
      </c>
      <c r="BI577" s="96" t="str">
        <f>+VLOOKUP(H577,Liste!$B$7:$G$69,5,FALSE)</f>
        <v>GS Pineraies des plaines du Centre et du Nord Ouest</v>
      </c>
      <c r="BJ577" s="135">
        <f t="shared" si="166"/>
        <v>52</v>
      </c>
      <c r="BK577" s="135" t="str">
        <f t="shared" si="168"/>
        <v>Pin Maritime_F1_Classique_GS Pineraies des plaines du Centre et du Nord Ouest_52_</v>
      </c>
      <c r="BL577" s="319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97" t="str">
        <f>+VLOOKUP(G577,Liste!$A$7:$H$69,8,FALSE)</f>
        <v>Résineux</v>
      </c>
      <c r="BU577" s="297">
        <f t="shared" si="169"/>
        <v>0</v>
      </c>
      <c r="BV577" s="299">
        <f t="shared" si="170"/>
        <v>1</v>
      </c>
      <c r="BW577" s="318">
        <v>0</v>
      </c>
      <c r="BX577" s="297">
        <f t="shared" si="171"/>
        <v>0.43</v>
      </c>
      <c r="BY577">
        <f t="shared" si="172"/>
        <v>0</v>
      </c>
      <c r="BZ577" s="303">
        <f t="shared" si="173"/>
        <v>0</v>
      </c>
      <c r="CB577" s="298">
        <v>0.6</v>
      </c>
      <c r="CC577" s="298">
        <v>0.4</v>
      </c>
      <c r="CD577">
        <f t="shared" si="174"/>
        <v>0</v>
      </c>
      <c r="CE577">
        <f t="shared" si="175"/>
        <v>0</v>
      </c>
      <c r="CF577">
        <f t="shared" si="176"/>
        <v>0</v>
      </c>
      <c r="CG577">
        <f t="shared" si="177"/>
        <v>0</v>
      </c>
      <c r="CH577">
        <f t="shared" si="178"/>
        <v>0</v>
      </c>
      <c r="CI577">
        <f t="shared" si="179"/>
        <v>0</v>
      </c>
      <c r="CJ577">
        <f t="shared" si="180"/>
        <v>0</v>
      </c>
      <c r="CK577">
        <f t="shared" si="181"/>
        <v>0</v>
      </c>
      <c r="CL577">
        <f t="shared" si="182"/>
        <v>0</v>
      </c>
      <c r="CM577">
        <f t="shared" si="184"/>
        <v>0</v>
      </c>
      <c r="CN577">
        <f t="shared" si="183"/>
        <v>0</v>
      </c>
      <c r="CO577">
        <f t="shared" si="167"/>
        <v>0</v>
      </c>
    </row>
    <row r="578" spans="1:93" s="12" customFormat="1" ht="14.45" hidden="1" customHeight="1" x14ac:dyDescent="0.25">
      <c r="A578" s="4">
        <v>2021</v>
      </c>
      <c r="B578" s="4"/>
      <c r="C578" s="4" t="s">
        <v>417</v>
      </c>
      <c r="D578" s="4" t="s">
        <v>65</v>
      </c>
      <c r="E578" s="4"/>
      <c r="F578" s="4" t="s">
        <v>90</v>
      </c>
      <c r="G578" s="5" t="s">
        <v>418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419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+VLOOKUP(G578,Liste!$A$7:$G$69,3,FALSE)</f>
        <v>Pin Maritime</v>
      </c>
      <c r="BI578" s="96" t="str">
        <f>+VLOOKUP(H578,Liste!$B$7:$G$69,5,FALSE)</f>
        <v>GS Pineraies des plaines du Centre et du Nord Ouest</v>
      </c>
      <c r="BJ578" s="135">
        <f t="shared" si="166"/>
        <v>53</v>
      </c>
      <c r="BK578" s="135" t="str">
        <f t="shared" si="168"/>
        <v>Pin Maritime_F1_Classique_GS Pineraies des plaines du Centre et du Nord Ouest_53_</v>
      </c>
      <c r="BL578" s="319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97" t="str">
        <f>+VLOOKUP(G578,Liste!$A$7:$H$69,8,FALSE)</f>
        <v>Résineux</v>
      </c>
      <c r="BU578" s="297">
        <f t="shared" si="169"/>
        <v>0</v>
      </c>
      <c r="BV578" s="299">
        <f t="shared" si="170"/>
        <v>1</v>
      </c>
      <c r="BW578" s="318">
        <v>0</v>
      </c>
      <c r="BX578" s="297">
        <f t="shared" si="171"/>
        <v>0.43</v>
      </c>
      <c r="BY578">
        <f t="shared" si="172"/>
        <v>0</v>
      </c>
      <c r="BZ578" s="303">
        <f t="shared" si="173"/>
        <v>0</v>
      </c>
      <c r="CB578" s="298">
        <v>0.6</v>
      </c>
      <c r="CC578" s="298">
        <v>0.4</v>
      </c>
      <c r="CD578">
        <f t="shared" si="174"/>
        <v>0</v>
      </c>
      <c r="CE578">
        <f t="shared" si="175"/>
        <v>0</v>
      </c>
      <c r="CF578">
        <f t="shared" si="176"/>
        <v>0</v>
      </c>
      <c r="CG578">
        <f t="shared" si="177"/>
        <v>0</v>
      </c>
      <c r="CH578">
        <f t="shared" si="178"/>
        <v>0</v>
      </c>
      <c r="CI578">
        <f t="shared" si="179"/>
        <v>0</v>
      </c>
      <c r="CJ578">
        <f t="shared" si="180"/>
        <v>0</v>
      </c>
      <c r="CK578">
        <f t="shared" si="181"/>
        <v>0</v>
      </c>
      <c r="CL578">
        <f t="shared" si="182"/>
        <v>0</v>
      </c>
      <c r="CM578">
        <f t="shared" si="184"/>
        <v>0</v>
      </c>
      <c r="CN578">
        <f t="shared" si="183"/>
        <v>0</v>
      </c>
      <c r="CO578">
        <f t="shared" si="167"/>
        <v>0</v>
      </c>
    </row>
    <row r="579" spans="1:93" s="12" customFormat="1" ht="14.45" hidden="1" customHeight="1" x14ac:dyDescent="0.25">
      <c r="A579" s="4">
        <v>2021</v>
      </c>
      <c r="B579" s="4"/>
      <c r="C579" s="4" t="s">
        <v>417</v>
      </c>
      <c r="D579" s="4" t="s">
        <v>65</v>
      </c>
      <c r="E579" s="4"/>
      <c r="F579" s="4" t="s">
        <v>90</v>
      </c>
      <c r="G579" s="5" t="s">
        <v>418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419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+VLOOKUP(G579,Liste!$A$7:$G$69,3,FALSE)</f>
        <v>Pin Maritime</v>
      </c>
      <c r="BI579" s="96" t="str">
        <f>+VLOOKUP(H579,Liste!$B$7:$G$69,5,FALSE)</f>
        <v>GS Pineraies des plaines du Centre et du Nord Ouest</v>
      </c>
      <c r="BJ579" s="135">
        <f t="shared" ref="BJ579:BJ642" si="185">+AC579</f>
        <v>54</v>
      </c>
      <c r="BK579" s="135" t="str">
        <f t="shared" si="168"/>
        <v>Pin Maritime_F1_Classique_GS Pineraies des plaines du Centre et du Nord Ouest_54_</v>
      </c>
      <c r="BL579" s="319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97" t="str">
        <f>+VLOOKUP(G579,Liste!$A$7:$H$69,8,FALSE)</f>
        <v>Résineux</v>
      </c>
      <c r="BU579" s="297">
        <f t="shared" si="169"/>
        <v>0</v>
      </c>
      <c r="BV579" s="299">
        <f t="shared" si="170"/>
        <v>1</v>
      </c>
      <c r="BW579" s="318">
        <v>0</v>
      </c>
      <c r="BX579" s="297">
        <f t="shared" si="171"/>
        <v>0.43</v>
      </c>
      <c r="BY579">
        <f t="shared" si="172"/>
        <v>0</v>
      </c>
      <c r="BZ579" s="303">
        <f t="shared" si="173"/>
        <v>0</v>
      </c>
      <c r="CB579" s="298">
        <v>0.6</v>
      </c>
      <c r="CC579" s="298">
        <v>0.4</v>
      </c>
      <c r="CD579">
        <f t="shared" si="174"/>
        <v>0</v>
      </c>
      <c r="CE579">
        <f t="shared" si="175"/>
        <v>0</v>
      </c>
      <c r="CF579">
        <f t="shared" si="176"/>
        <v>0</v>
      </c>
      <c r="CG579">
        <f t="shared" si="177"/>
        <v>0</v>
      </c>
      <c r="CH579">
        <f t="shared" si="178"/>
        <v>0</v>
      </c>
      <c r="CI579">
        <f t="shared" si="179"/>
        <v>0</v>
      </c>
      <c r="CJ579">
        <f t="shared" si="180"/>
        <v>0</v>
      </c>
      <c r="CK579">
        <f t="shared" si="181"/>
        <v>0</v>
      </c>
      <c r="CL579">
        <f t="shared" si="182"/>
        <v>0</v>
      </c>
      <c r="CM579">
        <f t="shared" si="184"/>
        <v>0</v>
      </c>
      <c r="CN579">
        <f t="shared" si="183"/>
        <v>0</v>
      </c>
      <c r="CO579">
        <f t="shared" ref="CO579:CO642" si="186">+IF(BJ579=30,CN579/30,0)</f>
        <v>0</v>
      </c>
    </row>
    <row r="580" spans="1:93" s="12" customFormat="1" ht="14.45" hidden="1" customHeight="1" x14ac:dyDescent="0.25">
      <c r="A580" s="4">
        <v>2021</v>
      </c>
      <c r="B580" s="4"/>
      <c r="C580" s="4" t="s">
        <v>417</v>
      </c>
      <c r="D580" s="4" t="s">
        <v>65</v>
      </c>
      <c r="E580" s="4"/>
      <c r="F580" s="4" t="s">
        <v>90</v>
      </c>
      <c r="G580" s="5" t="s">
        <v>418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419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+VLOOKUP(G580,Liste!$A$7:$G$69,3,FALSE)</f>
        <v>Pin Maritime</v>
      </c>
      <c r="BI580" s="96" t="str">
        <f>+VLOOKUP(H580,Liste!$B$7:$G$69,5,FALSE)</f>
        <v>GS Pineraies des plaines du Centre et du Nord Ouest</v>
      </c>
      <c r="BJ580" s="135">
        <f t="shared" si="185"/>
        <v>54</v>
      </c>
      <c r="BK580" s="135" t="str">
        <f t="shared" ref="BK580:BK643" si="187">+_xlfn.CONCAT(BH580,"_",J580,"_",I580,"_",BI580,"_",BJ580,"_")</f>
        <v>Pin Maritime_F1_Classique_GS Pineraies des plaines du Centre et du Nord Ouest_54_</v>
      </c>
      <c r="BL580" s="319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97" t="str">
        <f>+VLOOKUP(G580,Liste!$A$7:$H$69,8,FALSE)</f>
        <v>Résineux</v>
      </c>
      <c r="BU580" s="297">
        <f t="shared" ref="BU580:BU643" si="188">IF(BT580="Résineux",0%,100%)</f>
        <v>0</v>
      </c>
      <c r="BV580" s="299">
        <f t="shared" ref="BV580:BV643" si="189">+IF(BT580="Résineux",100%,0%)</f>
        <v>1</v>
      </c>
      <c r="BW580" s="318">
        <v>0</v>
      </c>
      <c r="BX580" s="297">
        <f t="shared" ref="BX580:BX643" si="190">+IF(BV580&lt;&gt;0,0.43,0.25)</f>
        <v>0.43</v>
      </c>
      <c r="BY580">
        <f t="shared" ref="BY580:BY643" si="191">+IF(BJ580&lt;=30,AV580*BX580,0)</f>
        <v>0</v>
      </c>
      <c r="BZ580" s="303">
        <f t="shared" ref="BZ580:BZ643" si="192">+IF(BJ580&gt;=31,0,BY580+BZ579)</f>
        <v>0</v>
      </c>
      <c r="CB580" s="298">
        <v>0.6</v>
      </c>
      <c r="CC580" s="298">
        <v>0.4</v>
      </c>
      <c r="CD580">
        <f t="shared" ref="CD580:CD643" si="193">+IF(BJ580&lt;=31,AV580*CA580*0.5,0)</f>
        <v>0</v>
      </c>
      <c r="CE580">
        <f t="shared" ref="CE580:CE643" si="194">IF(BJ580&lt;=31,AV580*CB580,0)</f>
        <v>0</v>
      </c>
      <c r="CF580">
        <f t="shared" ref="CF580:CF643" si="195">IF(BJ580&lt;=31,AV580*CC580,0)</f>
        <v>0</v>
      </c>
      <c r="CG580">
        <f t="shared" ref="CG580:CG643" si="196">CD580*44/12*0.475*BF580</f>
        <v>0</v>
      </c>
      <c r="CH580">
        <f t="shared" ref="CH580:CH643" si="197">CE580*44/12*0.475*BF580</f>
        <v>0</v>
      </c>
      <c r="CI580">
        <f t="shared" ref="CI580:CI643" si="198">CF580*44/12*0.475*BF580</f>
        <v>0</v>
      </c>
      <c r="CJ580">
        <f t="shared" ref="CJ580:CJ643" si="199">+IF(BJ580&lt;=31,CJ579*EXP(-$CJ$1)+CG579*(1-EXP(-$CJ$1))/$CJ$1,0)</f>
        <v>0</v>
      </c>
      <c r="CK580">
        <f t="shared" ref="CK580:CK643" si="200">+IF(BJ580&lt;=31,CK579*EXP(-$CK$1)+CH579*(1-EXP(-$CK$1))/$CK$1,0)</f>
        <v>0</v>
      </c>
      <c r="CL580">
        <f t="shared" ref="CL580:CL643" si="201">+IF(BJ580&lt;=31,CL579*EXP(-$CL$1)+CI579*(1-EXP(-$CL$1))/$CL$1,0)</f>
        <v>0</v>
      </c>
      <c r="CM580">
        <f t="shared" si="184"/>
        <v>0</v>
      </c>
      <c r="CN580">
        <f t="shared" ref="CN580:CN643" si="202">+IF(BJ580&lt;=31,CM580+CN579,0)</f>
        <v>0</v>
      </c>
      <c r="CO580">
        <f t="shared" si="186"/>
        <v>0</v>
      </c>
    </row>
    <row r="581" spans="1:93" s="12" customFormat="1" ht="14.45" hidden="1" customHeight="1" x14ac:dyDescent="0.25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+VLOOKUP(G581,Liste!$A$7:$G$69,3,FALSE)</f>
        <v>Pin Laricio</v>
      </c>
      <c r="BI581" s="96" t="str">
        <f>+VLOOKUP(H581,Liste!$B$7:$G$69,5,FALSE)</f>
        <v>GS Pineraies des plaines du Centre et du Nord Ouest</v>
      </c>
      <c r="BJ581" s="135">
        <f t="shared" si="185"/>
        <v>15</v>
      </c>
      <c r="BK581" s="135" t="str">
        <f t="shared" si="187"/>
        <v>Pin Laricio_F1_Classique_GS Pineraies des plaines du Centre et du Nord Ouest_15_</v>
      </c>
      <c r="BL581" s="319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97" t="str">
        <f>+VLOOKUP(G581,Liste!$A$7:$H$69,8,FALSE)</f>
        <v>Résineux</v>
      </c>
      <c r="BU581" s="297">
        <f t="shared" si="188"/>
        <v>0</v>
      </c>
      <c r="BV581" s="299">
        <f t="shared" si="189"/>
        <v>1</v>
      </c>
      <c r="BW581" s="318">
        <v>0</v>
      </c>
      <c r="BX581" s="297">
        <f t="shared" si="190"/>
        <v>0.43</v>
      </c>
      <c r="BY581">
        <f t="shared" si="191"/>
        <v>0</v>
      </c>
      <c r="BZ581" s="303">
        <f t="shared" si="192"/>
        <v>0</v>
      </c>
      <c r="CB581" s="298">
        <v>0.6</v>
      </c>
      <c r="CC581" s="298">
        <v>0.4</v>
      </c>
      <c r="CD581">
        <f t="shared" si="193"/>
        <v>0</v>
      </c>
      <c r="CE581">
        <f t="shared" si="194"/>
        <v>0</v>
      </c>
      <c r="CF581">
        <f t="shared" si="195"/>
        <v>0</v>
      </c>
      <c r="CG581">
        <f t="shared" si="196"/>
        <v>0</v>
      </c>
      <c r="CH581">
        <f t="shared" si="197"/>
        <v>0</v>
      </c>
      <c r="CI581">
        <f t="shared" si="198"/>
        <v>0</v>
      </c>
      <c r="CJ581">
        <f t="shared" si="199"/>
        <v>0</v>
      </c>
      <c r="CK581">
        <f t="shared" si="200"/>
        <v>0</v>
      </c>
      <c r="CL581">
        <f t="shared" si="201"/>
        <v>0</v>
      </c>
      <c r="CM581">
        <f t="shared" ref="CM581:CM644" si="203">+CJ581+CK581+CL581</f>
        <v>0</v>
      </c>
      <c r="CN581">
        <f t="shared" si="202"/>
        <v>0</v>
      </c>
      <c r="CO581">
        <f t="shared" si="186"/>
        <v>0</v>
      </c>
    </row>
    <row r="582" spans="1:93" s="12" customFormat="1" ht="14.45" hidden="1" customHeight="1" x14ac:dyDescent="0.25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+VLOOKUP(G582,Liste!$A$7:$G$69,3,FALSE)</f>
        <v>Pin Laricio</v>
      </c>
      <c r="BI582" s="96" t="str">
        <f>+VLOOKUP(H582,Liste!$B$7:$G$69,5,FALSE)</f>
        <v>GS Pineraies des plaines du Centre et du Nord Ouest</v>
      </c>
      <c r="BJ582" s="135">
        <f t="shared" si="185"/>
        <v>16</v>
      </c>
      <c r="BK582" s="135" t="str">
        <f t="shared" si="187"/>
        <v>Pin Laricio_F1_Classique_GS Pineraies des plaines du Centre et du Nord Ouest_16_</v>
      </c>
      <c r="BL582" s="319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97" t="str">
        <f>+VLOOKUP(G582,Liste!$A$7:$H$69,8,FALSE)</f>
        <v>Résineux</v>
      </c>
      <c r="BU582" s="297">
        <f t="shared" si="188"/>
        <v>0</v>
      </c>
      <c r="BV582" s="299">
        <f t="shared" si="189"/>
        <v>1</v>
      </c>
      <c r="BW582" s="318">
        <v>0</v>
      </c>
      <c r="BX582" s="297">
        <f t="shared" si="190"/>
        <v>0.43</v>
      </c>
      <c r="BY582">
        <f t="shared" si="191"/>
        <v>0</v>
      </c>
      <c r="BZ582" s="303">
        <f t="shared" si="192"/>
        <v>0</v>
      </c>
      <c r="CB582" s="298">
        <v>0.6</v>
      </c>
      <c r="CC582" s="298">
        <v>0.4</v>
      </c>
      <c r="CD582">
        <f t="shared" si="193"/>
        <v>0</v>
      </c>
      <c r="CE582">
        <f t="shared" si="194"/>
        <v>0</v>
      </c>
      <c r="CF582">
        <f t="shared" si="195"/>
        <v>0</v>
      </c>
      <c r="CG582">
        <f t="shared" si="196"/>
        <v>0</v>
      </c>
      <c r="CH582">
        <f t="shared" si="197"/>
        <v>0</v>
      </c>
      <c r="CI582">
        <f t="shared" si="198"/>
        <v>0</v>
      </c>
      <c r="CJ582">
        <f t="shared" si="199"/>
        <v>0</v>
      </c>
      <c r="CK582">
        <f t="shared" si="200"/>
        <v>0</v>
      </c>
      <c r="CL582">
        <f t="shared" si="201"/>
        <v>0</v>
      </c>
      <c r="CM582">
        <f t="shared" si="203"/>
        <v>0</v>
      </c>
      <c r="CN582">
        <f t="shared" si="202"/>
        <v>0</v>
      </c>
      <c r="CO582">
        <f t="shared" si="186"/>
        <v>0</v>
      </c>
    </row>
    <row r="583" spans="1:93" s="12" customFormat="1" ht="14.45" hidden="1" customHeight="1" x14ac:dyDescent="0.25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+VLOOKUP(G583,Liste!$A$7:$G$69,3,FALSE)</f>
        <v>Pin Laricio</v>
      </c>
      <c r="BI583" s="96" t="str">
        <f>+VLOOKUP(H583,Liste!$B$7:$G$69,5,FALSE)</f>
        <v>GS Pineraies des plaines du Centre et du Nord Ouest</v>
      </c>
      <c r="BJ583" s="135">
        <f t="shared" si="185"/>
        <v>17</v>
      </c>
      <c r="BK583" s="135" t="str">
        <f t="shared" si="187"/>
        <v>Pin Laricio_F1_Classique_GS Pineraies des plaines du Centre et du Nord Ouest_17_</v>
      </c>
      <c r="BL583" s="319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97" t="str">
        <f>+VLOOKUP(G583,Liste!$A$7:$H$69,8,FALSE)</f>
        <v>Résineux</v>
      </c>
      <c r="BU583" s="297">
        <f t="shared" si="188"/>
        <v>0</v>
      </c>
      <c r="BV583" s="299">
        <f t="shared" si="189"/>
        <v>1</v>
      </c>
      <c r="BW583" s="318">
        <v>0</v>
      </c>
      <c r="BX583" s="297">
        <f t="shared" si="190"/>
        <v>0.43</v>
      </c>
      <c r="BY583">
        <f t="shared" si="191"/>
        <v>0</v>
      </c>
      <c r="BZ583" s="303">
        <f t="shared" si="192"/>
        <v>0</v>
      </c>
      <c r="CB583" s="298">
        <v>0.6</v>
      </c>
      <c r="CC583" s="298">
        <v>0.4</v>
      </c>
      <c r="CD583">
        <f t="shared" si="193"/>
        <v>0</v>
      </c>
      <c r="CE583">
        <f t="shared" si="194"/>
        <v>0</v>
      </c>
      <c r="CF583">
        <f t="shared" si="195"/>
        <v>0</v>
      </c>
      <c r="CG583">
        <f t="shared" si="196"/>
        <v>0</v>
      </c>
      <c r="CH583">
        <f t="shared" si="197"/>
        <v>0</v>
      </c>
      <c r="CI583">
        <f t="shared" si="198"/>
        <v>0</v>
      </c>
      <c r="CJ583">
        <f t="shared" si="199"/>
        <v>0</v>
      </c>
      <c r="CK583">
        <f t="shared" si="200"/>
        <v>0</v>
      </c>
      <c r="CL583">
        <f t="shared" si="201"/>
        <v>0</v>
      </c>
      <c r="CM583">
        <f t="shared" si="203"/>
        <v>0</v>
      </c>
      <c r="CN583">
        <f t="shared" si="202"/>
        <v>0</v>
      </c>
      <c r="CO583">
        <f t="shared" si="186"/>
        <v>0</v>
      </c>
    </row>
    <row r="584" spans="1:93" s="12" customFormat="1" ht="14.45" hidden="1" customHeight="1" x14ac:dyDescent="0.25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+VLOOKUP(G584,Liste!$A$7:$G$69,3,FALSE)</f>
        <v>Pin Laricio</v>
      </c>
      <c r="BI584" s="96" t="str">
        <f>+VLOOKUP(H584,Liste!$B$7:$G$69,5,FALSE)</f>
        <v>GS Pineraies des plaines du Centre et du Nord Ouest</v>
      </c>
      <c r="BJ584" s="135">
        <f t="shared" si="185"/>
        <v>18</v>
      </c>
      <c r="BK584" s="135" t="str">
        <f t="shared" si="187"/>
        <v>Pin Laricio_F1_Classique_GS Pineraies des plaines du Centre et du Nord Ouest_18_</v>
      </c>
      <c r="BL584" s="319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97" t="str">
        <f>+VLOOKUP(G584,Liste!$A$7:$H$69,8,FALSE)</f>
        <v>Résineux</v>
      </c>
      <c r="BU584" s="297">
        <f t="shared" si="188"/>
        <v>0</v>
      </c>
      <c r="BV584" s="299">
        <f t="shared" si="189"/>
        <v>1</v>
      </c>
      <c r="BW584" s="318">
        <v>0</v>
      </c>
      <c r="BX584" s="297">
        <f t="shared" si="190"/>
        <v>0.43</v>
      </c>
      <c r="BY584">
        <f t="shared" si="191"/>
        <v>0</v>
      </c>
      <c r="BZ584" s="303">
        <f t="shared" si="192"/>
        <v>0</v>
      </c>
      <c r="CB584" s="298">
        <v>0.6</v>
      </c>
      <c r="CC584" s="298">
        <v>0.4</v>
      </c>
      <c r="CD584">
        <f t="shared" si="193"/>
        <v>0</v>
      </c>
      <c r="CE584">
        <f t="shared" si="194"/>
        <v>0</v>
      </c>
      <c r="CF584">
        <f t="shared" si="195"/>
        <v>0</v>
      </c>
      <c r="CG584">
        <f t="shared" si="196"/>
        <v>0</v>
      </c>
      <c r="CH584">
        <f t="shared" si="197"/>
        <v>0</v>
      </c>
      <c r="CI584">
        <f t="shared" si="198"/>
        <v>0</v>
      </c>
      <c r="CJ584">
        <f t="shared" si="199"/>
        <v>0</v>
      </c>
      <c r="CK584">
        <f t="shared" si="200"/>
        <v>0</v>
      </c>
      <c r="CL584">
        <f t="shared" si="201"/>
        <v>0</v>
      </c>
      <c r="CM584">
        <f t="shared" si="203"/>
        <v>0</v>
      </c>
      <c r="CN584">
        <f t="shared" si="202"/>
        <v>0</v>
      </c>
      <c r="CO584">
        <f t="shared" si="186"/>
        <v>0</v>
      </c>
    </row>
    <row r="585" spans="1:93" s="12" customFormat="1" ht="14.45" hidden="1" customHeight="1" x14ac:dyDescent="0.25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+VLOOKUP(G585,Liste!$A$7:$G$69,3,FALSE)</f>
        <v>Pin Laricio</v>
      </c>
      <c r="BI585" s="96" t="str">
        <f>+VLOOKUP(H585,Liste!$B$7:$G$69,5,FALSE)</f>
        <v>GS Pineraies des plaines du Centre et du Nord Ouest</v>
      </c>
      <c r="BJ585" s="135">
        <f t="shared" si="185"/>
        <v>19</v>
      </c>
      <c r="BK585" s="135" t="str">
        <f t="shared" si="187"/>
        <v>Pin Laricio_F1_Classique_GS Pineraies des plaines du Centre et du Nord Ouest_19_</v>
      </c>
      <c r="BL585" s="319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97" t="str">
        <f>+VLOOKUP(G585,Liste!$A$7:$H$69,8,FALSE)</f>
        <v>Résineux</v>
      </c>
      <c r="BU585" s="297">
        <f t="shared" si="188"/>
        <v>0</v>
      </c>
      <c r="BV585" s="299">
        <f t="shared" si="189"/>
        <v>1</v>
      </c>
      <c r="BW585" s="318">
        <v>0</v>
      </c>
      <c r="BX585" s="297">
        <f t="shared" si="190"/>
        <v>0.43</v>
      </c>
      <c r="BY585">
        <f t="shared" si="191"/>
        <v>0</v>
      </c>
      <c r="BZ585" s="303">
        <f t="shared" si="192"/>
        <v>0</v>
      </c>
      <c r="CB585" s="298">
        <v>0.6</v>
      </c>
      <c r="CC585" s="298">
        <v>0.4</v>
      </c>
      <c r="CD585">
        <f t="shared" si="193"/>
        <v>0</v>
      </c>
      <c r="CE585">
        <f t="shared" si="194"/>
        <v>0</v>
      </c>
      <c r="CF585">
        <f t="shared" si="195"/>
        <v>0</v>
      </c>
      <c r="CG585">
        <f t="shared" si="196"/>
        <v>0</v>
      </c>
      <c r="CH585">
        <f t="shared" si="197"/>
        <v>0</v>
      </c>
      <c r="CI585">
        <f t="shared" si="198"/>
        <v>0</v>
      </c>
      <c r="CJ585">
        <f t="shared" si="199"/>
        <v>0</v>
      </c>
      <c r="CK585">
        <f t="shared" si="200"/>
        <v>0</v>
      </c>
      <c r="CL585">
        <f t="shared" si="201"/>
        <v>0</v>
      </c>
      <c r="CM585">
        <f t="shared" si="203"/>
        <v>0</v>
      </c>
      <c r="CN585">
        <f t="shared" si="202"/>
        <v>0</v>
      </c>
      <c r="CO585">
        <f t="shared" si="186"/>
        <v>0</v>
      </c>
    </row>
    <row r="586" spans="1:93" s="12" customFormat="1" ht="14.45" hidden="1" customHeight="1" x14ac:dyDescent="0.25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+VLOOKUP(G586,Liste!$A$7:$G$69,3,FALSE)</f>
        <v>Pin Laricio</v>
      </c>
      <c r="BI586" s="96" t="str">
        <f>+VLOOKUP(H586,Liste!$B$7:$G$69,5,FALSE)</f>
        <v>GS Pineraies des plaines du Centre et du Nord Ouest</v>
      </c>
      <c r="BJ586" s="135">
        <f t="shared" si="185"/>
        <v>19</v>
      </c>
      <c r="BK586" s="135" t="str">
        <f t="shared" si="187"/>
        <v>Pin Laricio_F1_Classique_GS Pineraies des plaines du Centre et du Nord Ouest_19_</v>
      </c>
      <c r="BL586" s="319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97" t="str">
        <f>+VLOOKUP(G586,Liste!$A$7:$H$69,8,FALSE)</f>
        <v>Résineux</v>
      </c>
      <c r="BU586" s="297">
        <f t="shared" si="188"/>
        <v>0</v>
      </c>
      <c r="BV586" s="299">
        <f t="shared" si="189"/>
        <v>1</v>
      </c>
      <c r="BW586" s="318">
        <v>0</v>
      </c>
      <c r="BX586" s="297">
        <f t="shared" si="190"/>
        <v>0.43</v>
      </c>
      <c r="BY586">
        <f t="shared" si="191"/>
        <v>19.908633513020959</v>
      </c>
      <c r="BZ586" s="303">
        <f t="shared" si="192"/>
        <v>19.908633513020959</v>
      </c>
      <c r="CB586" s="298">
        <v>0.6</v>
      </c>
      <c r="CC586" s="298">
        <v>0.4</v>
      </c>
      <c r="CD586">
        <f t="shared" si="193"/>
        <v>0</v>
      </c>
      <c r="CE586">
        <f t="shared" si="194"/>
        <v>27.779488622819944</v>
      </c>
      <c r="CF586">
        <f t="shared" si="195"/>
        <v>18.519659081879961</v>
      </c>
      <c r="CG586">
        <f t="shared" si="196"/>
        <v>0</v>
      </c>
      <c r="CH586">
        <f t="shared" si="197"/>
        <v>21.772174208135134</v>
      </c>
      <c r="CI586">
        <f t="shared" si="198"/>
        <v>14.514782805423419</v>
      </c>
      <c r="CJ586">
        <f t="shared" si="199"/>
        <v>0</v>
      </c>
      <c r="CK586">
        <f t="shared" si="200"/>
        <v>0</v>
      </c>
      <c r="CL586">
        <f t="shared" si="201"/>
        <v>0</v>
      </c>
      <c r="CM586">
        <f t="shared" si="203"/>
        <v>0</v>
      </c>
      <c r="CN586">
        <f t="shared" si="202"/>
        <v>0</v>
      </c>
      <c r="CO586">
        <f t="shared" si="186"/>
        <v>0</v>
      </c>
    </row>
    <row r="587" spans="1:93" s="12" customFormat="1" ht="14.45" hidden="1" customHeight="1" x14ac:dyDescent="0.25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+VLOOKUP(G587,Liste!$A$7:$G$69,3,FALSE)</f>
        <v>Pin Laricio</v>
      </c>
      <c r="BI587" s="96" t="str">
        <f>+VLOOKUP(H587,Liste!$B$7:$G$69,5,FALSE)</f>
        <v>GS Pineraies des plaines du Centre et du Nord Ouest</v>
      </c>
      <c r="BJ587" s="135">
        <f t="shared" si="185"/>
        <v>20</v>
      </c>
      <c r="BK587" s="135" t="str">
        <f t="shared" si="187"/>
        <v>Pin Laricio_F1_Classique_GS Pineraies des plaines du Centre et du Nord Ouest_20_</v>
      </c>
      <c r="BL587" s="319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97" t="str">
        <f>+VLOOKUP(G587,Liste!$A$7:$H$69,8,FALSE)</f>
        <v>Résineux</v>
      </c>
      <c r="BU587" s="297">
        <f t="shared" si="188"/>
        <v>0</v>
      </c>
      <c r="BV587" s="299">
        <f t="shared" si="189"/>
        <v>1</v>
      </c>
      <c r="BW587" s="318">
        <v>0</v>
      </c>
      <c r="BX587" s="297">
        <f t="shared" si="190"/>
        <v>0.43</v>
      </c>
      <c r="BY587">
        <f t="shared" si="191"/>
        <v>0</v>
      </c>
      <c r="BZ587" s="303">
        <f t="shared" si="192"/>
        <v>19.908633513020959</v>
      </c>
      <c r="CB587" s="298">
        <v>0.6</v>
      </c>
      <c r="CC587" s="298">
        <v>0.4</v>
      </c>
      <c r="CD587">
        <f t="shared" si="193"/>
        <v>0</v>
      </c>
      <c r="CE587">
        <f t="shared" si="194"/>
        <v>0</v>
      </c>
      <c r="CF587">
        <f t="shared" si="195"/>
        <v>0</v>
      </c>
      <c r="CG587">
        <f t="shared" si="196"/>
        <v>0</v>
      </c>
      <c r="CH587">
        <f t="shared" si="197"/>
        <v>0</v>
      </c>
      <c r="CI587">
        <f t="shared" si="198"/>
        <v>0</v>
      </c>
      <c r="CJ587">
        <f t="shared" si="199"/>
        <v>0</v>
      </c>
      <c r="CK587">
        <f t="shared" si="200"/>
        <v>21.473118024853864</v>
      </c>
      <c r="CL587">
        <f t="shared" si="201"/>
        <v>12.266605348735037</v>
      </c>
      <c r="CM587">
        <f t="shared" si="203"/>
        <v>33.739723373588902</v>
      </c>
      <c r="CN587">
        <f t="shared" si="202"/>
        <v>33.739723373588902</v>
      </c>
      <c r="CO587">
        <f t="shared" si="186"/>
        <v>0</v>
      </c>
    </row>
    <row r="588" spans="1:93" s="12" customFormat="1" ht="14.45" hidden="1" customHeight="1" x14ac:dyDescent="0.25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+VLOOKUP(G588,Liste!$A$7:$G$69,3,FALSE)</f>
        <v>Pin Laricio</v>
      </c>
      <c r="BI588" s="96" t="str">
        <f>+VLOOKUP(H588,Liste!$B$7:$G$69,5,FALSE)</f>
        <v>GS Pineraies des plaines du Centre et du Nord Ouest</v>
      </c>
      <c r="BJ588" s="135">
        <f t="shared" si="185"/>
        <v>21</v>
      </c>
      <c r="BK588" s="135" t="str">
        <f t="shared" si="187"/>
        <v>Pin Laricio_F1_Classique_GS Pineraies des plaines du Centre et du Nord Ouest_21_</v>
      </c>
      <c r="BL588" s="319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97" t="str">
        <f>+VLOOKUP(G588,Liste!$A$7:$H$69,8,FALSE)</f>
        <v>Résineux</v>
      </c>
      <c r="BU588" s="297">
        <f t="shared" si="188"/>
        <v>0</v>
      </c>
      <c r="BV588" s="299">
        <f t="shared" si="189"/>
        <v>1</v>
      </c>
      <c r="BW588" s="318">
        <v>0</v>
      </c>
      <c r="BX588" s="297">
        <f t="shared" si="190"/>
        <v>0.43</v>
      </c>
      <c r="BY588">
        <f t="shared" si="191"/>
        <v>0</v>
      </c>
      <c r="BZ588" s="303">
        <f t="shared" si="192"/>
        <v>19.908633513020959</v>
      </c>
      <c r="CB588" s="298">
        <v>0.6</v>
      </c>
      <c r="CC588" s="298">
        <v>0.4</v>
      </c>
      <c r="CD588">
        <f t="shared" si="193"/>
        <v>0</v>
      </c>
      <c r="CE588">
        <f t="shared" si="194"/>
        <v>0</v>
      </c>
      <c r="CF588">
        <f t="shared" si="195"/>
        <v>0</v>
      </c>
      <c r="CG588">
        <f t="shared" si="196"/>
        <v>0</v>
      </c>
      <c r="CH588">
        <f t="shared" si="197"/>
        <v>0</v>
      </c>
      <c r="CI588">
        <f t="shared" si="198"/>
        <v>0</v>
      </c>
      <c r="CJ588">
        <f t="shared" si="199"/>
        <v>0</v>
      </c>
      <c r="CK588">
        <f t="shared" si="200"/>
        <v>20.885934483242035</v>
      </c>
      <c r="CL588">
        <f t="shared" si="201"/>
        <v>8.6737998242297198</v>
      </c>
      <c r="CM588">
        <f t="shared" si="203"/>
        <v>29.559734307471757</v>
      </c>
      <c r="CN588">
        <f t="shared" si="202"/>
        <v>63.299457681060659</v>
      </c>
      <c r="CO588">
        <f t="shared" si="186"/>
        <v>0</v>
      </c>
    </row>
    <row r="589" spans="1:93" s="12" customFormat="1" ht="14.45" hidden="1" customHeight="1" x14ac:dyDescent="0.25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+VLOOKUP(G589,Liste!$A$7:$G$69,3,FALSE)</f>
        <v>Pin Laricio</v>
      </c>
      <c r="BI589" s="96" t="str">
        <f>+VLOOKUP(H589,Liste!$B$7:$G$69,5,FALSE)</f>
        <v>GS Pineraies des plaines du Centre et du Nord Ouest</v>
      </c>
      <c r="BJ589" s="135">
        <f t="shared" si="185"/>
        <v>22</v>
      </c>
      <c r="BK589" s="135" t="str">
        <f t="shared" si="187"/>
        <v>Pin Laricio_F1_Classique_GS Pineraies des plaines du Centre et du Nord Ouest_22_</v>
      </c>
      <c r="BL589" s="319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97" t="str">
        <f>+VLOOKUP(G589,Liste!$A$7:$H$69,8,FALSE)</f>
        <v>Résineux</v>
      </c>
      <c r="BU589" s="297">
        <f t="shared" si="188"/>
        <v>0</v>
      </c>
      <c r="BV589" s="299">
        <f t="shared" si="189"/>
        <v>1</v>
      </c>
      <c r="BW589" s="318">
        <v>0</v>
      </c>
      <c r="BX589" s="297">
        <f t="shared" si="190"/>
        <v>0.43</v>
      </c>
      <c r="BY589">
        <f t="shared" si="191"/>
        <v>0</v>
      </c>
      <c r="BZ589" s="303">
        <f t="shared" si="192"/>
        <v>19.908633513020959</v>
      </c>
      <c r="CB589" s="298">
        <v>0.6</v>
      </c>
      <c r="CC589" s="298">
        <v>0.4</v>
      </c>
      <c r="CD589">
        <f t="shared" si="193"/>
        <v>0</v>
      </c>
      <c r="CE589">
        <f t="shared" si="194"/>
        <v>0</v>
      </c>
      <c r="CF589">
        <f t="shared" si="195"/>
        <v>0</v>
      </c>
      <c r="CG589">
        <f t="shared" si="196"/>
        <v>0</v>
      </c>
      <c r="CH589">
        <f t="shared" si="197"/>
        <v>0</v>
      </c>
      <c r="CI589">
        <f t="shared" si="198"/>
        <v>0</v>
      </c>
      <c r="CJ589">
        <f t="shared" si="199"/>
        <v>0</v>
      </c>
      <c r="CK589">
        <f t="shared" si="200"/>
        <v>20.314807506454223</v>
      </c>
      <c r="CL589">
        <f t="shared" si="201"/>
        <v>6.1333026743675196</v>
      </c>
      <c r="CM589">
        <f t="shared" si="203"/>
        <v>26.448110180821743</v>
      </c>
      <c r="CN589">
        <f t="shared" si="202"/>
        <v>89.747567861882402</v>
      </c>
      <c r="CO589">
        <f t="shared" si="186"/>
        <v>0</v>
      </c>
    </row>
    <row r="590" spans="1:93" s="12" customFormat="1" ht="14.45" hidden="1" customHeight="1" x14ac:dyDescent="0.25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+VLOOKUP(G590,Liste!$A$7:$G$69,3,FALSE)</f>
        <v>Pin Laricio</v>
      </c>
      <c r="BI590" s="96" t="str">
        <f>+VLOOKUP(H590,Liste!$B$7:$G$69,5,FALSE)</f>
        <v>GS Pineraies des plaines du Centre et du Nord Ouest</v>
      </c>
      <c r="BJ590" s="135">
        <f t="shared" si="185"/>
        <v>23</v>
      </c>
      <c r="BK590" s="135" t="str">
        <f t="shared" si="187"/>
        <v>Pin Laricio_F1_Classique_GS Pineraies des plaines du Centre et du Nord Ouest_23_</v>
      </c>
      <c r="BL590" s="319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97" t="str">
        <f>+VLOOKUP(G590,Liste!$A$7:$H$69,8,FALSE)</f>
        <v>Résineux</v>
      </c>
      <c r="BU590" s="297">
        <f t="shared" si="188"/>
        <v>0</v>
      </c>
      <c r="BV590" s="299">
        <f t="shared" si="189"/>
        <v>1</v>
      </c>
      <c r="BW590" s="318">
        <v>0</v>
      </c>
      <c r="BX590" s="297">
        <f t="shared" si="190"/>
        <v>0.43</v>
      </c>
      <c r="BY590">
        <f t="shared" si="191"/>
        <v>0</v>
      </c>
      <c r="BZ590" s="303">
        <f t="shared" si="192"/>
        <v>19.908633513020959</v>
      </c>
      <c r="CB590" s="298">
        <v>0.6</v>
      </c>
      <c r="CC590" s="298">
        <v>0.4</v>
      </c>
      <c r="CD590">
        <f t="shared" si="193"/>
        <v>0</v>
      </c>
      <c r="CE590">
        <f t="shared" si="194"/>
        <v>0</v>
      </c>
      <c r="CF590">
        <f t="shared" si="195"/>
        <v>0</v>
      </c>
      <c r="CG590">
        <f t="shared" si="196"/>
        <v>0</v>
      </c>
      <c r="CH590">
        <f t="shared" si="197"/>
        <v>0</v>
      </c>
      <c r="CI590">
        <f t="shared" si="198"/>
        <v>0</v>
      </c>
      <c r="CJ590">
        <f t="shared" si="199"/>
        <v>0</v>
      </c>
      <c r="CK590">
        <f t="shared" si="200"/>
        <v>19.759298026880934</v>
      </c>
      <c r="CL590">
        <f t="shared" si="201"/>
        <v>4.3368999121148608</v>
      </c>
      <c r="CM590">
        <f t="shared" si="203"/>
        <v>24.096197938995793</v>
      </c>
      <c r="CN590">
        <f t="shared" si="202"/>
        <v>113.8437658008782</v>
      </c>
      <c r="CO590">
        <f t="shared" si="186"/>
        <v>0</v>
      </c>
    </row>
    <row r="591" spans="1:93" s="12" customFormat="1" ht="14.45" hidden="1" customHeight="1" x14ac:dyDescent="0.25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+VLOOKUP(G591,Liste!$A$7:$G$69,3,FALSE)</f>
        <v>Pin Laricio</v>
      </c>
      <c r="BI591" s="96" t="str">
        <f>+VLOOKUP(H591,Liste!$B$7:$G$69,5,FALSE)</f>
        <v>GS Pineraies des plaines du Centre et du Nord Ouest</v>
      </c>
      <c r="BJ591" s="135">
        <f t="shared" si="185"/>
        <v>24</v>
      </c>
      <c r="BK591" s="135" t="str">
        <f t="shared" si="187"/>
        <v>Pin Laricio_F1_Classique_GS Pineraies des plaines du Centre et du Nord Ouest_24_</v>
      </c>
      <c r="BL591" s="319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97" t="str">
        <f>+VLOOKUP(G591,Liste!$A$7:$H$69,8,FALSE)</f>
        <v>Résineux</v>
      </c>
      <c r="BU591" s="297">
        <f t="shared" si="188"/>
        <v>0</v>
      </c>
      <c r="BV591" s="299">
        <f t="shared" si="189"/>
        <v>1</v>
      </c>
      <c r="BW591" s="318">
        <v>0</v>
      </c>
      <c r="BX591" s="297">
        <f t="shared" si="190"/>
        <v>0.43</v>
      </c>
      <c r="BY591">
        <f t="shared" si="191"/>
        <v>0</v>
      </c>
      <c r="BZ591" s="303">
        <f t="shared" si="192"/>
        <v>19.908633513020959</v>
      </c>
      <c r="CB591" s="298">
        <v>0.6</v>
      </c>
      <c r="CC591" s="298">
        <v>0.4</v>
      </c>
      <c r="CD591">
        <f t="shared" si="193"/>
        <v>0</v>
      </c>
      <c r="CE591">
        <f t="shared" si="194"/>
        <v>0</v>
      </c>
      <c r="CF591">
        <f t="shared" si="195"/>
        <v>0</v>
      </c>
      <c r="CG591">
        <f t="shared" si="196"/>
        <v>0</v>
      </c>
      <c r="CH591">
        <f t="shared" si="197"/>
        <v>0</v>
      </c>
      <c r="CI591">
        <f t="shared" si="198"/>
        <v>0</v>
      </c>
      <c r="CJ591">
        <f t="shared" si="199"/>
        <v>0</v>
      </c>
      <c r="CK591">
        <f t="shared" si="200"/>
        <v>19.218978983239552</v>
      </c>
      <c r="CL591">
        <f t="shared" si="201"/>
        <v>3.0666513371837603</v>
      </c>
      <c r="CM591">
        <f t="shared" si="203"/>
        <v>22.285630320423312</v>
      </c>
      <c r="CN591">
        <f t="shared" si="202"/>
        <v>136.12939612130151</v>
      </c>
      <c r="CO591">
        <f t="shared" si="186"/>
        <v>0</v>
      </c>
    </row>
    <row r="592" spans="1:93" s="12" customFormat="1" ht="14.45" hidden="1" customHeight="1" x14ac:dyDescent="0.25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+VLOOKUP(G592,Liste!$A$7:$G$69,3,FALSE)</f>
        <v>Pin Laricio</v>
      </c>
      <c r="BI592" s="96" t="str">
        <f>+VLOOKUP(H592,Liste!$B$7:$G$69,5,FALSE)</f>
        <v>GS Pineraies des plaines du Centre et du Nord Ouest</v>
      </c>
      <c r="BJ592" s="135">
        <f t="shared" si="185"/>
        <v>24</v>
      </c>
      <c r="BK592" s="135" t="str">
        <f t="shared" si="187"/>
        <v>Pin Laricio_F1_Classique_GS Pineraies des plaines du Centre et du Nord Ouest_24_</v>
      </c>
      <c r="BL592" s="319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97" t="str">
        <f>+VLOOKUP(G592,Liste!$A$7:$H$69,8,FALSE)</f>
        <v>Résineux</v>
      </c>
      <c r="BU592" s="297">
        <f t="shared" si="188"/>
        <v>0</v>
      </c>
      <c r="BV592" s="299">
        <f t="shared" si="189"/>
        <v>1</v>
      </c>
      <c r="BW592" s="318">
        <v>0</v>
      </c>
      <c r="BX592" s="297">
        <f t="shared" si="190"/>
        <v>0.43</v>
      </c>
      <c r="BY592">
        <f t="shared" si="191"/>
        <v>19.279649082082351</v>
      </c>
      <c r="BZ592" s="303">
        <f t="shared" si="192"/>
        <v>39.18828259510331</v>
      </c>
      <c r="CB592" s="298">
        <v>0.6</v>
      </c>
      <c r="CC592" s="298">
        <v>0.4</v>
      </c>
      <c r="CD592">
        <f t="shared" si="193"/>
        <v>0</v>
      </c>
      <c r="CE592">
        <f t="shared" si="194"/>
        <v>26.901835928487003</v>
      </c>
      <c r="CF592">
        <f t="shared" si="195"/>
        <v>17.934557285658002</v>
      </c>
      <c r="CG592">
        <f t="shared" si="196"/>
        <v>0</v>
      </c>
      <c r="CH592">
        <f t="shared" si="197"/>
        <v>21.084313908951685</v>
      </c>
      <c r="CI592">
        <f t="shared" si="198"/>
        <v>14.05620927263446</v>
      </c>
      <c r="CJ592">
        <f t="shared" si="199"/>
        <v>0</v>
      </c>
      <c r="CK592">
        <f t="shared" si="200"/>
        <v>18.693434992260688</v>
      </c>
      <c r="CL592">
        <f t="shared" si="201"/>
        <v>2.1684499560574308</v>
      </c>
      <c r="CM592">
        <f t="shared" si="203"/>
        <v>20.861884948318117</v>
      </c>
      <c r="CN592">
        <f t="shared" si="202"/>
        <v>156.99128106961962</v>
      </c>
      <c r="CO592">
        <f t="shared" si="186"/>
        <v>0</v>
      </c>
    </row>
    <row r="593" spans="1:93" s="12" customFormat="1" ht="14.45" hidden="1" customHeight="1" x14ac:dyDescent="0.25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+VLOOKUP(G593,Liste!$A$7:$G$69,3,FALSE)</f>
        <v>Pin Laricio</v>
      </c>
      <c r="BI593" s="96" t="str">
        <f>+VLOOKUP(H593,Liste!$B$7:$G$69,5,FALSE)</f>
        <v>GS Pineraies des plaines du Centre et du Nord Ouest</v>
      </c>
      <c r="BJ593" s="135">
        <f t="shared" si="185"/>
        <v>25</v>
      </c>
      <c r="BK593" s="135" t="str">
        <f t="shared" si="187"/>
        <v>Pin Laricio_F1_Classique_GS Pineraies des plaines du Centre et du Nord Ouest_25_</v>
      </c>
      <c r="BL593" s="319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97" t="str">
        <f>+VLOOKUP(G593,Liste!$A$7:$H$69,8,FALSE)</f>
        <v>Résineux</v>
      </c>
      <c r="BU593" s="297">
        <f t="shared" si="188"/>
        <v>0</v>
      </c>
      <c r="BV593" s="299">
        <f t="shared" si="189"/>
        <v>1</v>
      </c>
      <c r="BW593" s="318">
        <v>0</v>
      </c>
      <c r="BX593" s="297">
        <f t="shared" si="190"/>
        <v>0.43</v>
      </c>
      <c r="BY593">
        <f t="shared" si="191"/>
        <v>0</v>
      </c>
      <c r="BZ593" s="303">
        <f t="shared" si="192"/>
        <v>39.18828259510331</v>
      </c>
      <c r="CB593" s="298">
        <v>0.6</v>
      </c>
      <c r="CC593" s="298">
        <v>0.4</v>
      </c>
      <c r="CD593">
        <f t="shared" si="193"/>
        <v>0</v>
      </c>
      <c r="CE593">
        <f t="shared" si="194"/>
        <v>0</v>
      </c>
      <c r="CF593">
        <f t="shared" si="195"/>
        <v>0</v>
      </c>
      <c r="CG593">
        <f t="shared" si="196"/>
        <v>0</v>
      </c>
      <c r="CH593">
        <f t="shared" si="197"/>
        <v>0</v>
      </c>
      <c r="CI593">
        <f t="shared" si="198"/>
        <v>0</v>
      </c>
      <c r="CJ593">
        <f t="shared" si="199"/>
        <v>0</v>
      </c>
      <c r="CK593">
        <f t="shared" si="200"/>
        <v>38.976968001841698</v>
      </c>
      <c r="CL593">
        <f t="shared" si="201"/>
        <v>13.412385393978319</v>
      </c>
      <c r="CM593">
        <f t="shared" si="203"/>
        <v>52.389353395820017</v>
      </c>
      <c r="CN593">
        <f t="shared" si="202"/>
        <v>209.38063446543964</v>
      </c>
      <c r="CO593">
        <f t="shared" si="186"/>
        <v>0</v>
      </c>
    </row>
    <row r="594" spans="1:93" s="12" customFormat="1" ht="14.45" hidden="1" customHeight="1" x14ac:dyDescent="0.25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+VLOOKUP(G594,Liste!$A$7:$G$69,3,FALSE)</f>
        <v>Pin Laricio</v>
      </c>
      <c r="BI594" s="96" t="str">
        <f>+VLOOKUP(H594,Liste!$B$7:$G$69,5,FALSE)</f>
        <v>GS Pineraies des plaines du Centre et du Nord Ouest</v>
      </c>
      <c r="BJ594" s="135">
        <f t="shared" si="185"/>
        <v>26</v>
      </c>
      <c r="BK594" s="135" t="str">
        <f t="shared" si="187"/>
        <v>Pin Laricio_F1_Classique_GS Pineraies des plaines du Centre et du Nord Ouest_26_</v>
      </c>
      <c r="BL594" s="319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97" t="str">
        <f>+VLOOKUP(G594,Liste!$A$7:$H$69,8,FALSE)</f>
        <v>Résineux</v>
      </c>
      <c r="BU594" s="297">
        <f t="shared" si="188"/>
        <v>0</v>
      </c>
      <c r="BV594" s="299">
        <f t="shared" si="189"/>
        <v>1</v>
      </c>
      <c r="BW594" s="318">
        <v>0</v>
      </c>
      <c r="BX594" s="297">
        <f t="shared" si="190"/>
        <v>0.43</v>
      </c>
      <c r="BY594">
        <f t="shared" si="191"/>
        <v>0</v>
      </c>
      <c r="BZ594" s="303">
        <f t="shared" si="192"/>
        <v>39.18828259510331</v>
      </c>
      <c r="CB594" s="298">
        <v>0.6</v>
      </c>
      <c r="CC594" s="298">
        <v>0.4</v>
      </c>
      <c r="CD594">
        <f t="shared" si="193"/>
        <v>0</v>
      </c>
      <c r="CE594">
        <f t="shared" si="194"/>
        <v>0</v>
      </c>
      <c r="CF594">
        <f t="shared" si="195"/>
        <v>0</v>
      </c>
      <c r="CG594">
        <f t="shared" si="196"/>
        <v>0</v>
      </c>
      <c r="CH594">
        <f t="shared" si="197"/>
        <v>0</v>
      </c>
      <c r="CI594">
        <f t="shared" si="198"/>
        <v>0</v>
      </c>
      <c r="CJ594">
        <f t="shared" si="199"/>
        <v>0</v>
      </c>
      <c r="CK594">
        <f t="shared" si="200"/>
        <v>37.911140762121676</v>
      </c>
      <c r="CL594">
        <f t="shared" si="201"/>
        <v>9.4839886639694733</v>
      </c>
      <c r="CM594">
        <f t="shared" si="203"/>
        <v>47.395129426091145</v>
      </c>
      <c r="CN594">
        <f t="shared" si="202"/>
        <v>256.7757638915308</v>
      </c>
      <c r="CO594">
        <f t="shared" si="186"/>
        <v>0</v>
      </c>
    </row>
    <row r="595" spans="1:93" s="12" customFormat="1" ht="14.45" hidden="1" customHeight="1" x14ac:dyDescent="0.25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+VLOOKUP(G595,Liste!$A$7:$G$69,3,FALSE)</f>
        <v>Pin Laricio</v>
      </c>
      <c r="BI595" s="96" t="str">
        <f>+VLOOKUP(H595,Liste!$B$7:$G$69,5,FALSE)</f>
        <v>GS Pineraies des plaines du Centre et du Nord Ouest</v>
      </c>
      <c r="BJ595" s="135">
        <f t="shared" si="185"/>
        <v>27</v>
      </c>
      <c r="BK595" s="135" t="str">
        <f t="shared" si="187"/>
        <v>Pin Laricio_F1_Classique_GS Pineraies des plaines du Centre et du Nord Ouest_27_</v>
      </c>
      <c r="BL595" s="319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97" t="str">
        <f>+VLOOKUP(G595,Liste!$A$7:$H$69,8,FALSE)</f>
        <v>Résineux</v>
      </c>
      <c r="BU595" s="297">
        <f t="shared" si="188"/>
        <v>0</v>
      </c>
      <c r="BV595" s="299">
        <f t="shared" si="189"/>
        <v>1</v>
      </c>
      <c r="BW595" s="318">
        <v>0</v>
      </c>
      <c r="BX595" s="297">
        <f t="shared" si="190"/>
        <v>0.43</v>
      </c>
      <c r="BY595">
        <f t="shared" si="191"/>
        <v>0</v>
      </c>
      <c r="BZ595" s="303">
        <f t="shared" si="192"/>
        <v>39.18828259510331</v>
      </c>
      <c r="CB595" s="298">
        <v>0.6</v>
      </c>
      <c r="CC595" s="298">
        <v>0.4</v>
      </c>
      <c r="CD595">
        <f t="shared" si="193"/>
        <v>0</v>
      </c>
      <c r="CE595">
        <f t="shared" si="194"/>
        <v>0</v>
      </c>
      <c r="CF595">
        <f t="shared" si="195"/>
        <v>0</v>
      </c>
      <c r="CG595">
        <f t="shared" si="196"/>
        <v>0</v>
      </c>
      <c r="CH595">
        <f t="shared" si="197"/>
        <v>0</v>
      </c>
      <c r="CI595">
        <f t="shared" si="198"/>
        <v>0</v>
      </c>
      <c r="CJ595">
        <f t="shared" si="199"/>
        <v>0</v>
      </c>
      <c r="CK595">
        <f t="shared" si="200"/>
        <v>36.874458624321214</v>
      </c>
      <c r="CL595">
        <f t="shared" si="201"/>
        <v>6.7061926969891603</v>
      </c>
      <c r="CM595">
        <f t="shared" si="203"/>
        <v>43.580651321310377</v>
      </c>
      <c r="CN595">
        <f t="shared" si="202"/>
        <v>300.35641521284117</v>
      </c>
      <c r="CO595">
        <f t="shared" si="186"/>
        <v>0</v>
      </c>
    </row>
    <row r="596" spans="1:93" s="12" customFormat="1" ht="14.45" hidden="1" customHeight="1" x14ac:dyDescent="0.25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+VLOOKUP(G596,Liste!$A$7:$G$69,3,FALSE)</f>
        <v>Pin Laricio</v>
      </c>
      <c r="BI596" s="96" t="str">
        <f>+VLOOKUP(H596,Liste!$B$7:$G$69,5,FALSE)</f>
        <v>GS Pineraies des plaines du Centre et du Nord Ouest</v>
      </c>
      <c r="BJ596" s="135">
        <f t="shared" si="185"/>
        <v>28</v>
      </c>
      <c r="BK596" s="135" t="str">
        <f t="shared" si="187"/>
        <v>Pin Laricio_F1_Classique_GS Pineraies des plaines du Centre et du Nord Ouest_28_</v>
      </c>
      <c r="BL596" s="319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97" t="str">
        <f>+VLOOKUP(G596,Liste!$A$7:$H$69,8,FALSE)</f>
        <v>Résineux</v>
      </c>
      <c r="BU596" s="297">
        <f t="shared" si="188"/>
        <v>0</v>
      </c>
      <c r="BV596" s="299">
        <f t="shared" si="189"/>
        <v>1</v>
      </c>
      <c r="BW596" s="318">
        <v>0</v>
      </c>
      <c r="BX596" s="297">
        <f t="shared" si="190"/>
        <v>0.43</v>
      </c>
      <c r="BY596">
        <f t="shared" si="191"/>
        <v>0</v>
      </c>
      <c r="BZ596" s="303">
        <f t="shared" si="192"/>
        <v>39.18828259510331</v>
      </c>
      <c r="CB596" s="298">
        <v>0.6</v>
      </c>
      <c r="CC596" s="298">
        <v>0.4</v>
      </c>
      <c r="CD596">
        <f t="shared" si="193"/>
        <v>0</v>
      </c>
      <c r="CE596">
        <f t="shared" si="194"/>
        <v>0</v>
      </c>
      <c r="CF596">
        <f t="shared" si="195"/>
        <v>0</v>
      </c>
      <c r="CG596">
        <f t="shared" si="196"/>
        <v>0</v>
      </c>
      <c r="CH596">
        <f t="shared" si="197"/>
        <v>0</v>
      </c>
      <c r="CI596">
        <f t="shared" si="198"/>
        <v>0</v>
      </c>
      <c r="CJ596">
        <f t="shared" si="199"/>
        <v>0</v>
      </c>
      <c r="CK596">
        <f t="shared" si="200"/>
        <v>35.866124614095646</v>
      </c>
      <c r="CL596">
        <f t="shared" si="201"/>
        <v>4.7419943319847375</v>
      </c>
      <c r="CM596">
        <f t="shared" si="203"/>
        <v>40.608118946080381</v>
      </c>
      <c r="CN596">
        <f t="shared" si="202"/>
        <v>340.96453415892154</v>
      </c>
      <c r="CO596">
        <f t="shared" si="186"/>
        <v>0</v>
      </c>
    </row>
    <row r="597" spans="1:93" s="12" customFormat="1" ht="14.45" hidden="1" customHeight="1" x14ac:dyDescent="0.25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+VLOOKUP(G597,Liste!$A$7:$G$69,3,FALSE)</f>
        <v>Pin Laricio</v>
      </c>
      <c r="BI597" s="96" t="str">
        <f>+VLOOKUP(H597,Liste!$B$7:$G$69,5,FALSE)</f>
        <v>GS Pineraies des plaines du Centre et du Nord Ouest</v>
      </c>
      <c r="BJ597" s="135">
        <f t="shared" si="185"/>
        <v>29</v>
      </c>
      <c r="BK597" s="135" t="str">
        <f t="shared" si="187"/>
        <v>Pin Laricio_F1_Classique_GS Pineraies des plaines du Centre et du Nord Ouest_29_</v>
      </c>
      <c r="BL597" s="319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97" t="str">
        <f>+VLOOKUP(G597,Liste!$A$7:$H$69,8,FALSE)</f>
        <v>Résineux</v>
      </c>
      <c r="BU597" s="297">
        <f t="shared" si="188"/>
        <v>0</v>
      </c>
      <c r="BV597" s="299">
        <f t="shared" si="189"/>
        <v>1</v>
      </c>
      <c r="BW597" s="318">
        <v>0</v>
      </c>
      <c r="BX597" s="297">
        <f t="shared" si="190"/>
        <v>0.43</v>
      </c>
      <c r="BY597">
        <f t="shared" si="191"/>
        <v>0</v>
      </c>
      <c r="BZ597" s="303">
        <f t="shared" si="192"/>
        <v>39.18828259510331</v>
      </c>
      <c r="CB597" s="298">
        <v>0.6</v>
      </c>
      <c r="CC597" s="298">
        <v>0.4</v>
      </c>
      <c r="CD597">
        <f t="shared" si="193"/>
        <v>0</v>
      </c>
      <c r="CE597">
        <f t="shared" si="194"/>
        <v>0</v>
      </c>
      <c r="CF597">
        <f t="shared" si="195"/>
        <v>0</v>
      </c>
      <c r="CG597">
        <f t="shared" si="196"/>
        <v>0</v>
      </c>
      <c r="CH597">
        <f t="shared" si="197"/>
        <v>0</v>
      </c>
      <c r="CI597">
        <f t="shared" si="198"/>
        <v>0</v>
      </c>
      <c r="CJ597">
        <f t="shared" si="199"/>
        <v>0</v>
      </c>
      <c r="CK597">
        <f t="shared" si="200"/>
        <v>34.885363550405678</v>
      </c>
      <c r="CL597">
        <f t="shared" si="201"/>
        <v>3.3530963484945806</v>
      </c>
      <c r="CM597">
        <f t="shared" si="203"/>
        <v>38.23845989890026</v>
      </c>
      <c r="CN597">
        <f t="shared" si="202"/>
        <v>379.2029940578218</v>
      </c>
      <c r="CO597">
        <f t="shared" si="186"/>
        <v>0</v>
      </c>
    </row>
    <row r="598" spans="1:93" s="12" customFormat="1" ht="14.45" hidden="1" customHeight="1" x14ac:dyDescent="0.25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+VLOOKUP(G598,Liste!$A$7:$G$69,3,FALSE)</f>
        <v>Pin Laricio</v>
      </c>
      <c r="BI598" s="96" t="str">
        <f>+VLOOKUP(H598,Liste!$B$7:$G$69,5,FALSE)</f>
        <v>GS Pineraies des plaines du Centre et du Nord Ouest</v>
      </c>
      <c r="BJ598" s="135">
        <f t="shared" si="185"/>
        <v>30</v>
      </c>
      <c r="BK598" s="135" t="str">
        <f t="shared" si="187"/>
        <v>Pin Laricio_F1_Classique_GS Pineraies des plaines du Centre et du Nord Ouest_30_</v>
      </c>
      <c r="BL598" s="319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97" t="str">
        <f>+VLOOKUP(G598,Liste!$A$7:$H$69,8,FALSE)</f>
        <v>Résineux</v>
      </c>
      <c r="BU598" s="297">
        <f t="shared" si="188"/>
        <v>0</v>
      </c>
      <c r="BV598" s="299">
        <f t="shared" si="189"/>
        <v>1</v>
      </c>
      <c r="BW598" s="318">
        <v>0</v>
      </c>
      <c r="BX598" s="297">
        <f t="shared" si="190"/>
        <v>0.43</v>
      </c>
      <c r="BY598">
        <f t="shared" si="191"/>
        <v>0</v>
      </c>
      <c r="BZ598" s="303">
        <f t="shared" si="192"/>
        <v>39.18828259510331</v>
      </c>
      <c r="CB598" s="298">
        <v>0.6</v>
      </c>
      <c r="CC598" s="298">
        <v>0.4</v>
      </c>
      <c r="CD598">
        <f t="shared" si="193"/>
        <v>0</v>
      </c>
      <c r="CE598">
        <f t="shared" si="194"/>
        <v>0</v>
      </c>
      <c r="CF598">
        <f t="shared" si="195"/>
        <v>0</v>
      </c>
      <c r="CG598">
        <f t="shared" si="196"/>
        <v>0</v>
      </c>
      <c r="CH598">
        <f t="shared" si="197"/>
        <v>0</v>
      </c>
      <c r="CI598">
        <f t="shared" si="198"/>
        <v>0</v>
      </c>
      <c r="CJ598">
        <f t="shared" si="199"/>
        <v>0</v>
      </c>
      <c r="CK598">
        <f t="shared" si="200"/>
        <v>33.931421449578295</v>
      </c>
      <c r="CL598">
        <f t="shared" si="201"/>
        <v>2.3709971659923692</v>
      </c>
      <c r="CM598">
        <f t="shared" si="203"/>
        <v>36.302418615570666</v>
      </c>
      <c r="CN598">
        <f t="shared" si="202"/>
        <v>415.50541267339247</v>
      </c>
      <c r="CO598">
        <f t="shared" si="186"/>
        <v>13.850180422446416</v>
      </c>
    </row>
    <row r="599" spans="1:93" s="12" customFormat="1" ht="14.45" hidden="1" customHeight="1" x14ac:dyDescent="0.25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+VLOOKUP(G599,Liste!$A$7:$G$69,3,FALSE)</f>
        <v>Pin Laricio</v>
      </c>
      <c r="BI599" s="96" t="str">
        <f>+VLOOKUP(H599,Liste!$B$7:$G$69,5,FALSE)</f>
        <v>GS Pineraies des plaines du Centre et du Nord Ouest</v>
      </c>
      <c r="BJ599" s="135">
        <f t="shared" si="185"/>
        <v>30</v>
      </c>
      <c r="BK599" s="135" t="str">
        <f t="shared" si="187"/>
        <v>Pin Laricio_F1_Classique_GS Pineraies des plaines du Centre et du Nord Ouest_30_</v>
      </c>
      <c r="BL599" s="319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97" t="str">
        <f>+VLOOKUP(G599,Liste!$A$7:$H$69,8,FALSE)</f>
        <v>Résineux</v>
      </c>
      <c r="BU599" s="297">
        <f t="shared" si="188"/>
        <v>0</v>
      </c>
      <c r="BV599" s="299">
        <f t="shared" si="189"/>
        <v>1</v>
      </c>
      <c r="BW599" s="318">
        <v>0</v>
      </c>
      <c r="BX599" s="297">
        <f t="shared" si="190"/>
        <v>0.43</v>
      </c>
      <c r="BY599">
        <f t="shared" si="191"/>
        <v>28.376249322441939</v>
      </c>
      <c r="BZ599" s="303">
        <f t="shared" si="192"/>
        <v>67.564531917545253</v>
      </c>
      <c r="CB599" s="298">
        <v>0.6</v>
      </c>
      <c r="CC599" s="298">
        <v>0.4</v>
      </c>
      <c r="CD599">
        <f t="shared" si="193"/>
        <v>0</v>
      </c>
      <c r="CE599">
        <f t="shared" si="194"/>
        <v>39.594766496430609</v>
      </c>
      <c r="CF599">
        <f t="shared" si="195"/>
        <v>26.39651099762041</v>
      </c>
      <c r="CG599">
        <f t="shared" si="196"/>
        <v>0</v>
      </c>
      <c r="CH599">
        <f t="shared" si="197"/>
        <v>31.032398241577493</v>
      </c>
      <c r="CI599">
        <f t="shared" si="198"/>
        <v>20.688265494384996</v>
      </c>
      <c r="CJ599">
        <f t="shared" si="199"/>
        <v>0</v>
      </c>
      <c r="CK599">
        <f t="shared" si="200"/>
        <v>33.003564945663676</v>
      </c>
      <c r="CL599">
        <f t="shared" si="201"/>
        <v>1.6765481742472905</v>
      </c>
      <c r="CM599">
        <f t="shared" si="203"/>
        <v>34.680113119910963</v>
      </c>
      <c r="CN599">
        <f t="shared" si="202"/>
        <v>450.18552579330344</v>
      </c>
      <c r="CO599">
        <f t="shared" si="186"/>
        <v>15.006184193110114</v>
      </c>
    </row>
    <row r="600" spans="1:93" s="12" customFormat="1" ht="14.45" hidden="1" customHeight="1" x14ac:dyDescent="0.25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+VLOOKUP(G600,Liste!$A$7:$G$69,3,FALSE)</f>
        <v>Pin Laricio</v>
      </c>
      <c r="BI600" s="96" t="str">
        <f>+VLOOKUP(H600,Liste!$B$7:$G$69,5,FALSE)</f>
        <v>GS Pineraies des plaines du Centre et du Nord Ouest</v>
      </c>
      <c r="BJ600" s="135">
        <f t="shared" si="185"/>
        <v>31</v>
      </c>
      <c r="BK600" s="135" t="str">
        <f t="shared" si="187"/>
        <v>Pin Laricio_F1_Classique_GS Pineraies des plaines du Centre et du Nord Ouest_31_</v>
      </c>
      <c r="BL600" s="319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97" t="str">
        <f>+VLOOKUP(G600,Liste!$A$7:$H$69,8,FALSE)</f>
        <v>Résineux</v>
      </c>
      <c r="BU600" s="297">
        <f t="shared" si="188"/>
        <v>0</v>
      </c>
      <c r="BV600" s="299">
        <f t="shared" si="189"/>
        <v>1</v>
      </c>
      <c r="BW600" s="318">
        <v>0</v>
      </c>
      <c r="BX600" s="297">
        <f t="shared" si="190"/>
        <v>0.43</v>
      </c>
      <c r="BY600">
        <f t="shared" si="191"/>
        <v>0</v>
      </c>
      <c r="BZ600" s="303">
        <f t="shared" si="192"/>
        <v>0</v>
      </c>
      <c r="CB600" s="298">
        <v>0.6</v>
      </c>
      <c r="CC600" s="298">
        <v>0.4</v>
      </c>
      <c r="CD600">
        <f t="shared" si="193"/>
        <v>0</v>
      </c>
      <c r="CE600">
        <f t="shared" si="194"/>
        <v>0</v>
      </c>
      <c r="CF600">
        <f t="shared" si="195"/>
        <v>0</v>
      </c>
      <c r="CG600">
        <f t="shared" si="196"/>
        <v>0</v>
      </c>
      <c r="CH600">
        <f t="shared" si="197"/>
        <v>0</v>
      </c>
      <c r="CI600">
        <f t="shared" si="198"/>
        <v>0</v>
      </c>
      <c r="CJ600">
        <f t="shared" si="199"/>
        <v>0</v>
      </c>
      <c r="CK600">
        <f t="shared" si="200"/>
        <v>62.707227070385912</v>
      </c>
      <c r="CL600">
        <f t="shared" si="201"/>
        <v>18.66938322470444</v>
      </c>
      <c r="CM600">
        <f t="shared" si="203"/>
        <v>81.376610295090359</v>
      </c>
      <c r="CN600">
        <f t="shared" si="202"/>
        <v>531.5621360883938</v>
      </c>
      <c r="CO600">
        <f t="shared" si="186"/>
        <v>0</v>
      </c>
    </row>
    <row r="601" spans="1:93" s="12" customFormat="1" ht="14.45" hidden="1" customHeight="1" x14ac:dyDescent="0.25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+VLOOKUP(G601,Liste!$A$7:$G$69,3,FALSE)</f>
        <v>Pin Laricio</v>
      </c>
      <c r="BI601" s="96" t="str">
        <f>+VLOOKUP(H601,Liste!$B$7:$G$69,5,FALSE)</f>
        <v>GS Pineraies des plaines du Centre et du Nord Ouest</v>
      </c>
      <c r="BJ601" s="135">
        <f t="shared" si="185"/>
        <v>32</v>
      </c>
      <c r="BK601" s="135" t="str">
        <f t="shared" si="187"/>
        <v>Pin Laricio_F1_Classique_GS Pineraies des plaines du Centre et du Nord Ouest_32_</v>
      </c>
      <c r="BL601" s="319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97" t="str">
        <f>+VLOOKUP(G601,Liste!$A$7:$H$69,8,FALSE)</f>
        <v>Résineux</v>
      </c>
      <c r="BU601" s="297">
        <f t="shared" si="188"/>
        <v>0</v>
      </c>
      <c r="BV601" s="299">
        <f t="shared" si="189"/>
        <v>1</v>
      </c>
      <c r="BW601" s="318">
        <v>0</v>
      </c>
      <c r="BX601" s="297">
        <f t="shared" si="190"/>
        <v>0.43</v>
      </c>
      <c r="BY601">
        <f t="shared" si="191"/>
        <v>0</v>
      </c>
      <c r="BZ601" s="303">
        <f t="shared" si="192"/>
        <v>0</v>
      </c>
      <c r="CB601" s="298">
        <v>0.6</v>
      </c>
      <c r="CC601" s="298">
        <v>0.4</v>
      </c>
      <c r="CD601">
        <f t="shared" si="193"/>
        <v>0</v>
      </c>
      <c r="CE601">
        <f t="shared" si="194"/>
        <v>0</v>
      </c>
      <c r="CF601">
        <f t="shared" si="195"/>
        <v>0</v>
      </c>
      <c r="CG601">
        <f t="shared" si="196"/>
        <v>0</v>
      </c>
      <c r="CH601">
        <f t="shared" si="197"/>
        <v>0</v>
      </c>
      <c r="CI601">
        <f t="shared" si="198"/>
        <v>0</v>
      </c>
      <c r="CJ601">
        <f t="shared" si="199"/>
        <v>0</v>
      </c>
      <c r="CK601">
        <f t="shared" si="200"/>
        <v>0</v>
      </c>
      <c r="CL601">
        <f t="shared" si="201"/>
        <v>0</v>
      </c>
      <c r="CM601">
        <f t="shared" si="203"/>
        <v>0</v>
      </c>
      <c r="CN601">
        <f t="shared" si="202"/>
        <v>0</v>
      </c>
      <c r="CO601">
        <f t="shared" si="186"/>
        <v>0</v>
      </c>
    </row>
    <row r="602" spans="1:93" s="12" customFormat="1" ht="14.45" hidden="1" customHeight="1" x14ac:dyDescent="0.25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+VLOOKUP(G602,Liste!$A$7:$G$69,3,FALSE)</f>
        <v>Pin Laricio</v>
      </c>
      <c r="BI602" s="96" t="str">
        <f>+VLOOKUP(H602,Liste!$B$7:$G$69,5,FALSE)</f>
        <v>GS Pineraies des plaines du Centre et du Nord Ouest</v>
      </c>
      <c r="BJ602" s="135">
        <f t="shared" si="185"/>
        <v>33</v>
      </c>
      <c r="BK602" s="135" t="str">
        <f t="shared" si="187"/>
        <v>Pin Laricio_F1_Classique_GS Pineraies des plaines du Centre et du Nord Ouest_33_</v>
      </c>
      <c r="BL602" s="319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97" t="str">
        <f>+VLOOKUP(G602,Liste!$A$7:$H$69,8,FALSE)</f>
        <v>Résineux</v>
      </c>
      <c r="BU602" s="297">
        <f t="shared" si="188"/>
        <v>0</v>
      </c>
      <c r="BV602" s="299">
        <f t="shared" si="189"/>
        <v>1</v>
      </c>
      <c r="BW602" s="318">
        <v>0</v>
      </c>
      <c r="BX602" s="297">
        <f t="shared" si="190"/>
        <v>0.43</v>
      </c>
      <c r="BY602">
        <f t="shared" si="191"/>
        <v>0</v>
      </c>
      <c r="BZ602" s="303">
        <f t="shared" si="192"/>
        <v>0</v>
      </c>
      <c r="CB602" s="298">
        <v>0.6</v>
      </c>
      <c r="CC602" s="298">
        <v>0.4</v>
      </c>
      <c r="CD602">
        <f t="shared" si="193"/>
        <v>0</v>
      </c>
      <c r="CE602">
        <f t="shared" si="194"/>
        <v>0</v>
      </c>
      <c r="CF602">
        <f t="shared" si="195"/>
        <v>0</v>
      </c>
      <c r="CG602">
        <f t="shared" si="196"/>
        <v>0</v>
      </c>
      <c r="CH602">
        <f t="shared" si="197"/>
        <v>0</v>
      </c>
      <c r="CI602">
        <f t="shared" si="198"/>
        <v>0</v>
      </c>
      <c r="CJ602">
        <f t="shared" si="199"/>
        <v>0</v>
      </c>
      <c r="CK602">
        <f t="shared" si="200"/>
        <v>0</v>
      </c>
      <c r="CL602">
        <f t="shared" si="201"/>
        <v>0</v>
      </c>
      <c r="CM602">
        <f t="shared" si="203"/>
        <v>0</v>
      </c>
      <c r="CN602">
        <f t="shared" si="202"/>
        <v>0</v>
      </c>
      <c r="CO602">
        <f t="shared" si="186"/>
        <v>0</v>
      </c>
    </row>
    <row r="603" spans="1:93" s="12" customFormat="1" ht="14.45" hidden="1" customHeight="1" x14ac:dyDescent="0.25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+VLOOKUP(G603,Liste!$A$7:$G$69,3,FALSE)</f>
        <v>Pin Laricio</v>
      </c>
      <c r="BI603" s="96" t="str">
        <f>+VLOOKUP(H603,Liste!$B$7:$G$69,5,FALSE)</f>
        <v>GS Pineraies des plaines du Centre et du Nord Ouest</v>
      </c>
      <c r="BJ603" s="135">
        <f t="shared" si="185"/>
        <v>34</v>
      </c>
      <c r="BK603" s="135" t="str">
        <f t="shared" si="187"/>
        <v>Pin Laricio_F1_Classique_GS Pineraies des plaines du Centre et du Nord Ouest_34_</v>
      </c>
      <c r="BL603" s="319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97" t="str">
        <f>+VLOOKUP(G603,Liste!$A$7:$H$69,8,FALSE)</f>
        <v>Résineux</v>
      </c>
      <c r="BU603" s="297">
        <f t="shared" si="188"/>
        <v>0</v>
      </c>
      <c r="BV603" s="299">
        <f t="shared" si="189"/>
        <v>1</v>
      </c>
      <c r="BW603" s="318">
        <v>0</v>
      </c>
      <c r="BX603" s="297">
        <f t="shared" si="190"/>
        <v>0.43</v>
      </c>
      <c r="BY603">
        <f t="shared" si="191"/>
        <v>0</v>
      </c>
      <c r="BZ603" s="303">
        <f t="shared" si="192"/>
        <v>0</v>
      </c>
      <c r="CB603" s="298">
        <v>0.6</v>
      </c>
      <c r="CC603" s="298">
        <v>0.4</v>
      </c>
      <c r="CD603">
        <f t="shared" si="193"/>
        <v>0</v>
      </c>
      <c r="CE603">
        <f t="shared" si="194"/>
        <v>0</v>
      </c>
      <c r="CF603">
        <f t="shared" si="195"/>
        <v>0</v>
      </c>
      <c r="CG603">
        <f t="shared" si="196"/>
        <v>0</v>
      </c>
      <c r="CH603">
        <f t="shared" si="197"/>
        <v>0</v>
      </c>
      <c r="CI603">
        <f t="shared" si="198"/>
        <v>0</v>
      </c>
      <c r="CJ603">
        <f t="shared" si="199"/>
        <v>0</v>
      </c>
      <c r="CK603">
        <f t="shared" si="200"/>
        <v>0</v>
      </c>
      <c r="CL603">
        <f t="shared" si="201"/>
        <v>0</v>
      </c>
      <c r="CM603">
        <f t="shared" si="203"/>
        <v>0</v>
      </c>
      <c r="CN603">
        <f t="shared" si="202"/>
        <v>0</v>
      </c>
      <c r="CO603">
        <f t="shared" si="186"/>
        <v>0</v>
      </c>
    </row>
    <row r="604" spans="1:93" s="12" customFormat="1" ht="14.45" hidden="1" customHeight="1" x14ac:dyDescent="0.25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+VLOOKUP(G604,Liste!$A$7:$G$69,3,FALSE)</f>
        <v>Pin Laricio</v>
      </c>
      <c r="BI604" s="96" t="str">
        <f>+VLOOKUP(H604,Liste!$B$7:$G$69,5,FALSE)</f>
        <v>GS Pineraies des plaines du Centre et du Nord Ouest</v>
      </c>
      <c r="BJ604" s="135">
        <f t="shared" si="185"/>
        <v>35</v>
      </c>
      <c r="BK604" s="135" t="str">
        <f t="shared" si="187"/>
        <v>Pin Laricio_F1_Classique_GS Pineraies des plaines du Centre et du Nord Ouest_35_</v>
      </c>
      <c r="BL604" s="319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97" t="str">
        <f>+VLOOKUP(G604,Liste!$A$7:$H$69,8,FALSE)</f>
        <v>Résineux</v>
      </c>
      <c r="BU604" s="297">
        <f t="shared" si="188"/>
        <v>0</v>
      </c>
      <c r="BV604" s="299">
        <f t="shared" si="189"/>
        <v>1</v>
      </c>
      <c r="BW604" s="318">
        <v>0</v>
      </c>
      <c r="BX604" s="297">
        <f t="shared" si="190"/>
        <v>0.43</v>
      </c>
      <c r="BY604">
        <f t="shared" si="191"/>
        <v>0</v>
      </c>
      <c r="BZ604" s="303">
        <f t="shared" si="192"/>
        <v>0</v>
      </c>
      <c r="CB604" s="298">
        <v>0.6</v>
      </c>
      <c r="CC604" s="298">
        <v>0.4</v>
      </c>
      <c r="CD604">
        <f t="shared" si="193"/>
        <v>0</v>
      </c>
      <c r="CE604">
        <f t="shared" si="194"/>
        <v>0</v>
      </c>
      <c r="CF604">
        <f t="shared" si="195"/>
        <v>0</v>
      </c>
      <c r="CG604">
        <f t="shared" si="196"/>
        <v>0</v>
      </c>
      <c r="CH604">
        <f t="shared" si="197"/>
        <v>0</v>
      </c>
      <c r="CI604">
        <f t="shared" si="198"/>
        <v>0</v>
      </c>
      <c r="CJ604">
        <f t="shared" si="199"/>
        <v>0</v>
      </c>
      <c r="CK604">
        <f t="shared" si="200"/>
        <v>0</v>
      </c>
      <c r="CL604">
        <f t="shared" si="201"/>
        <v>0</v>
      </c>
      <c r="CM604">
        <f t="shared" si="203"/>
        <v>0</v>
      </c>
      <c r="CN604">
        <f t="shared" si="202"/>
        <v>0</v>
      </c>
      <c r="CO604">
        <f t="shared" si="186"/>
        <v>0</v>
      </c>
    </row>
    <row r="605" spans="1:93" s="12" customFormat="1" ht="14.45" hidden="1" customHeight="1" x14ac:dyDescent="0.25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+VLOOKUP(G605,Liste!$A$7:$G$69,3,FALSE)</f>
        <v>Pin Laricio</v>
      </c>
      <c r="BI605" s="96" t="str">
        <f>+VLOOKUP(H605,Liste!$B$7:$G$69,5,FALSE)</f>
        <v>GS Pineraies des plaines du Centre et du Nord Ouest</v>
      </c>
      <c r="BJ605" s="135">
        <f t="shared" si="185"/>
        <v>36</v>
      </c>
      <c r="BK605" s="135" t="str">
        <f t="shared" si="187"/>
        <v>Pin Laricio_F1_Classique_GS Pineraies des plaines du Centre et du Nord Ouest_36_</v>
      </c>
      <c r="BL605" s="319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97" t="str">
        <f>+VLOOKUP(G605,Liste!$A$7:$H$69,8,FALSE)</f>
        <v>Résineux</v>
      </c>
      <c r="BU605" s="297">
        <f t="shared" si="188"/>
        <v>0</v>
      </c>
      <c r="BV605" s="299">
        <f t="shared" si="189"/>
        <v>1</v>
      </c>
      <c r="BW605" s="318">
        <v>0</v>
      </c>
      <c r="BX605" s="297">
        <f t="shared" si="190"/>
        <v>0.43</v>
      </c>
      <c r="BY605">
        <f t="shared" si="191"/>
        <v>0</v>
      </c>
      <c r="BZ605" s="303">
        <f t="shared" si="192"/>
        <v>0</v>
      </c>
      <c r="CB605" s="298">
        <v>0.6</v>
      </c>
      <c r="CC605" s="298">
        <v>0.4</v>
      </c>
      <c r="CD605">
        <f t="shared" si="193"/>
        <v>0</v>
      </c>
      <c r="CE605">
        <f t="shared" si="194"/>
        <v>0</v>
      </c>
      <c r="CF605">
        <f t="shared" si="195"/>
        <v>0</v>
      </c>
      <c r="CG605">
        <f t="shared" si="196"/>
        <v>0</v>
      </c>
      <c r="CH605">
        <f t="shared" si="197"/>
        <v>0</v>
      </c>
      <c r="CI605">
        <f t="shared" si="198"/>
        <v>0</v>
      </c>
      <c r="CJ605">
        <f t="shared" si="199"/>
        <v>0</v>
      </c>
      <c r="CK605">
        <f t="shared" si="200"/>
        <v>0</v>
      </c>
      <c r="CL605">
        <f t="shared" si="201"/>
        <v>0</v>
      </c>
      <c r="CM605">
        <f t="shared" si="203"/>
        <v>0</v>
      </c>
      <c r="CN605">
        <f t="shared" si="202"/>
        <v>0</v>
      </c>
      <c r="CO605">
        <f t="shared" si="186"/>
        <v>0</v>
      </c>
    </row>
    <row r="606" spans="1:93" s="12" customFormat="1" ht="14.45" hidden="1" customHeight="1" x14ac:dyDescent="0.25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+VLOOKUP(G606,Liste!$A$7:$G$69,3,FALSE)</f>
        <v>Pin Laricio</v>
      </c>
      <c r="BI606" s="96" t="str">
        <f>+VLOOKUP(H606,Liste!$B$7:$G$69,5,FALSE)</f>
        <v>GS Pineraies des plaines du Centre et du Nord Ouest</v>
      </c>
      <c r="BJ606" s="135">
        <f t="shared" si="185"/>
        <v>37</v>
      </c>
      <c r="BK606" s="135" t="str">
        <f t="shared" si="187"/>
        <v>Pin Laricio_F1_Classique_GS Pineraies des plaines du Centre et du Nord Ouest_37_</v>
      </c>
      <c r="BL606" s="319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97" t="str">
        <f>+VLOOKUP(G606,Liste!$A$7:$H$69,8,FALSE)</f>
        <v>Résineux</v>
      </c>
      <c r="BU606" s="297">
        <f t="shared" si="188"/>
        <v>0</v>
      </c>
      <c r="BV606" s="299">
        <f t="shared" si="189"/>
        <v>1</v>
      </c>
      <c r="BW606" s="318">
        <v>0</v>
      </c>
      <c r="BX606" s="297">
        <f t="shared" si="190"/>
        <v>0.43</v>
      </c>
      <c r="BY606">
        <f t="shared" si="191"/>
        <v>0</v>
      </c>
      <c r="BZ606" s="303">
        <f t="shared" si="192"/>
        <v>0</v>
      </c>
      <c r="CB606" s="298">
        <v>0.6</v>
      </c>
      <c r="CC606" s="298">
        <v>0.4</v>
      </c>
      <c r="CD606">
        <f t="shared" si="193"/>
        <v>0</v>
      </c>
      <c r="CE606">
        <f t="shared" si="194"/>
        <v>0</v>
      </c>
      <c r="CF606">
        <f t="shared" si="195"/>
        <v>0</v>
      </c>
      <c r="CG606">
        <f t="shared" si="196"/>
        <v>0</v>
      </c>
      <c r="CH606">
        <f t="shared" si="197"/>
        <v>0</v>
      </c>
      <c r="CI606">
        <f t="shared" si="198"/>
        <v>0</v>
      </c>
      <c r="CJ606">
        <f t="shared" si="199"/>
        <v>0</v>
      </c>
      <c r="CK606">
        <f t="shared" si="200"/>
        <v>0</v>
      </c>
      <c r="CL606">
        <f t="shared" si="201"/>
        <v>0</v>
      </c>
      <c r="CM606">
        <f t="shared" si="203"/>
        <v>0</v>
      </c>
      <c r="CN606">
        <f t="shared" si="202"/>
        <v>0</v>
      </c>
      <c r="CO606">
        <f t="shared" si="186"/>
        <v>0</v>
      </c>
    </row>
    <row r="607" spans="1:93" s="12" customFormat="1" ht="14.45" hidden="1" customHeight="1" x14ac:dyDescent="0.25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+VLOOKUP(G607,Liste!$A$7:$G$69,3,FALSE)</f>
        <v>Pin Laricio</v>
      </c>
      <c r="BI607" s="96" t="str">
        <f>+VLOOKUP(H607,Liste!$B$7:$G$69,5,FALSE)</f>
        <v>GS Pineraies des plaines du Centre et du Nord Ouest</v>
      </c>
      <c r="BJ607" s="135">
        <f t="shared" si="185"/>
        <v>37</v>
      </c>
      <c r="BK607" s="135" t="str">
        <f t="shared" si="187"/>
        <v>Pin Laricio_F1_Classique_GS Pineraies des plaines du Centre et du Nord Ouest_37_</v>
      </c>
      <c r="BL607" s="319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97" t="str">
        <f>+VLOOKUP(G607,Liste!$A$7:$H$69,8,FALSE)</f>
        <v>Résineux</v>
      </c>
      <c r="BU607" s="297">
        <f t="shared" si="188"/>
        <v>0</v>
      </c>
      <c r="BV607" s="299">
        <f t="shared" si="189"/>
        <v>1</v>
      </c>
      <c r="BW607" s="318">
        <v>0</v>
      </c>
      <c r="BX607" s="297">
        <f t="shared" si="190"/>
        <v>0.43</v>
      </c>
      <c r="BY607">
        <f t="shared" si="191"/>
        <v>0</v>
      </c>
      <c r="BZ607" s="303">
        <f t="shared" si="192"/>
        <v>0</v>
      </c>
      <c r="CB607" s="298">
        <v>0.6</v>
      </c>
      <c r="CC607" s="298">
        <v>0.4</v>
      </c>
      <c r="CD607">
        <f t="shared" si="193"/>
        <v>0</v>
      </c>
      <c r="CE607">
        <f t="shared" si="194"/>
        <v>0</v>
      </c>
      <c r="CF607">
        <f t="shared" si="195"/>
        <v>0</v>
      </c>
      <c r="CG607">
        <f t="shared" si="196"/>
        <v>0</v>
      </c>
      <c r="CH607">
        <f t="shared" si="197"/>
        <v>0</v>
      </c>
      <c r="CI607">
        <f t="shared" si="198"/>
        <v>0</v>
      </c>
      <c r="CJ607">
        <f t="shared" si="199"/>
        <v>0</v>
      </c>
      <c r="CK607">
        <f t="shared" si="200"/>
        <v>0</v>
      </c>
      <c r="CL607">
        <f t="shared" si="201"/>
        <v>0</v>
      </c>
      <c r="CM607">
        <f t="shared" si="203"/>
        <v>0</v>
      </c>
      <c r="CN607">
        <f t="shared" si="202"/>
        <v>0</v>
      </c>
      <c r="CO607">
        <f t="shared" si="186"/>
        <v>0</v>
      </c>
    </row>
    <row r="608" spans="1:93" s="12" customFormat="1" ht="14.45" hidden="1" customHeight="1" x14ac:dyDescent="0.25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+VLOOKUP(G608,Liste!$A$7:$G$69,3,FALSE)</f>
        <v>Pin Laricio</v>
      </c>
      <c r="BI608" s="96" t="str">
        <f>+VLOOKUP(H608,Liste!$B$7:$G$69,5,FALSE)</f>
        <v>GS Pineraies des plaines du Centre et du Nord Ouest</v>
      </c>
      <c r="BJ608" s="135">
        <f t="shared" si="185"/>
        <v>38</v>
      </c>
      <c r="BK608" s="135" t="str">
        <f t="shared" si="187"/>
        <v>Pin Laricio_F1_Classique_GS Pineraies des plaines du Centre et du Nord Ouest_38_</v>
      </c>
      <c r="BL608" s="319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97" t="str">
        <f>+VLOOKUP(G608,Liste!$A$7:$H$69,8,FALSE)</f>
        <v>Résineux</v>
      </c>
      <c r="BU608" s="297">
        <f t="shared" si="188"/>
        <v>0</v>
      </c>
      <c r="BV608" s="299">
        <f t="shared" si="189"/>
        <v>1</v>
      </c>
      <c r="BW608" s="318">
        <v>0</v>
      </c>
      <c r="BX608" s="297">
        <f t="shared" si="190"/>
        <v>0.43</v>
      </c>
      <c r="BY608">
        <f t="shared" si="191"/>
        <v>0</v>
      </c>
      <c r="BZ608" s="303">
        <f t="shared" si="192"/>
        <v>0</v>
      </c>
      <c r="CB608" s="298">
        <v>0.6</v>
      </c>
      <c r="CC608" s="298">
        <v>0.4</v>
      </c>
      <c r="CD608">
        <f t="shared" si="193"/>
        <v>0</v>
      </c>
      <c r="CE608">
        <f t="shared" si="194"/>
        <v>0</v>
      </c>
      <c r="CF608">
        <f t="shared" si="195"/>
        <v>0</v>
      </c>
      <c r="CG608">
        <f t="shared" si="196"/>
        <v>0</v>
      </c>
      <c r="CH608">
        <f t="shared" si="197"/>
        <v>0</v>
      </c>
      <c r="CI608">
        <f t="shared" si="198"/>
        <v>0</v>
      </c>
      <c r="CJ608">
        <f t="shared" si="199"/>
        <v>0</v>
      </c>
      <c r="CK608">
        <f t="shared" si="200"/>
        <v>0</v>
      </c>
      <c r="CL608">
        <f t="shared" si="201"/>
        <v>0</v>
      </c>
      <c r="CM608">
        <f t="shared" si="203"/>
        <v>0</v>
      </c>
      <c r="CN608">
        <f t="shared" si="202"/>
        <v>0</v>
      </c>
      <c r="CO608">
        <f t="shared" si="186"/>
        <v>0</v>
      </c>
    </row>
    <row r="609" spans="1:93" s="12" customFormat="1" ht="14.45" hidden="1" customHeight="1" x14ac:dyDescent="0.25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+VLOOKUP(G609,Liste!$A$7:$G$69,3,FALSE)</f>
        <v>Pin Laricio</v>
      </c>
      <c r="BI609" s="96" t="str">
        <f>+VLOOKUP(H609,Liste!$B$7:$G$69,5,FALSE)</f>
        <v>GS Pineraies des plaines du Centre et du Nord Ouest</v>
      </c>
      <c r="BJ609" s="135">
        <f t="shared" si="185"/>
        <v>39</v>
      </c>
      <c r="BK609" s="135" t="str">
        <f t="shared" si="187"/>
        <v>Pin Laricio_F1_Classique_GS Pineraies des plaines du Centre et du Nord Ouest_39_</v>
      </c>
      <c r="BL609" s="319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97" t="str">
        <f>+VLOOKUP(G609,Liste!$A$7:$H$69,8,FALSE)</f>
        <v>Résineux</v>
      </c>
      <c r="BU609" s="297">
        <f t="shared" si="188"/>
        <v>0</v>
      </c>
      <c r="BV609" s="299">
        <f t="shared" si="189"/>
        <v>1</v>
      </c>
      <c r="BW609" s="318">
        <v>0</v>
      </c>
      <c r="BX609" s="297">
        <f t="shared" si="190"/>
        <v>0.43</v>
      </c>
      <c r="BY609">
        <f t="shared" si="191"/>
        <v>0</v>
      </c>
      <c r="BZ609" s="303">
        <f t="shared" si="192"/>
        <v>0</v>
      </c>
      <c r="CB609" s="298">
        <v>0.6</v>
      </c>
      <c r="CC609" s="298">
        <v>0.4</v>
      </c>
      <c r="CD609">
        <f t="shared" si="193"/>
        <v>0</v>
      </c>
      <c r="CE609">
        <f t="shared" si="194"/>
        <v>0</v>
      </c>
      <c r="CF609">
        <f t="shared" si="195"/>
        <v>0</v>
      </c>
      <c r="CG609">
        <f t="shared" si="196"/>
        <v>0</v>
      </c>
      <c r="CH609">
        <f t="shared" si="197"/>
        <v>0</v>
      </c>
      <c r="CI609">
        <f t="shared" si="198"/>
        <v>0</v>
      </c>
      <c r="CJ609">
        <f t="shared" si="199"/>
        <v>0</v>
      </c>
      <c r="CK609">
        <f t="shared" si="200"/>
        <v>0</v>
      </c>
      <c r="CL609">
        <f t="shared" si="201"/>
        <v>0</v>
      </c>
      <c r="CM609">
        <f t="shared" si="203"/>
        <v>0</v>
      </c>
      <c r="CN609">
        <f t="shared" si="202"/>
        <v>0</v>
      </c>
      <c r="CO609">
        <f t="shared" si="186"/>
        <v>0</v>
      </c>
    </row>
    <row r="610" spans="1:93" s="12" customFormat="1" ht="14.45" hidden="1" customHeight="1" x14ac:dyDescent="0.25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+VLOOKUP(G610,Liste!$A$7:$G$69,3,FALSE)</f>
        <v>Pin Laricio</v>
      </c>
      <c r="BI610" s="96" t="str">
        <f>+VLOOKUP(H610,Liste!$B$7:$G$69,5,FALSE)</f>
        <v>GS Pineraies des plaines du Centre et du Nord Ouest</v>
      </c>
      <c r="BJ610" s="135">
        <f t="shared" si="185"/>
        <v>40</v>
      </c>
      <c r="BK610" s="135" t="str">
        <f t="shared" si="187"/>
        <v>Pin Laricio_F1_Classique_GS Pineraies des plaines du Centre et du Nord Ouest_40_</v>
      </c>
      <c r="BL610" s="319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97" t="str">
        <f>+VLOOKUP(G610,Liste!$A$7:$H$69,8,FALSE)</f>
        <v>Résineux</v>
      </c>
      <c r="BU610" s="297">
        <f t="shared" si="188"/>
        <v>0</v>
      </c>
      <c r="BV610" s="299">
        <f t="shared" si="189"/>
        <v>1</v>
      </c>
      <c r="BW610" s="318">
        <v>0</v>
      </c>
      <c r="BX610" s="297">
        <f t="shared" si="190"/>
        <v>0.43</v>
      </c>
      <c r="BY610">
        <f t="shared" si="191"/>
        <v>0</v>
      </c>
      <c r="BZ610" s="303">
        <f t="shared" si="192"/>
        <v>0</v>
      </c>
      <c r="CB610" s="298">
        <v>0.6</v>
      </c>
      <c r="CC610" s="298">
        <v>0.4</v>
      </c>
      <c r="CD610">
        <f t="shared" si="193"/>
        <v>0</v>
      </c>
      <c r="CE610">
        <f t="shared" si="194"/>
        <v>0</v>
      </c>
      <c r="CF610">
        <f t="shared" si="195"/>
        <v>0</v>
      </c>
      <c r="CG610">
        <f t="shared" si="196"/>
        <v>0</v>
      </c>
      <c r="CH610">
        <f t="shared" si="197"/>
        <v>0</v>
      </c>
      <c r="CI610">
        <f t="shared" si="198"/>
        <v>0</v>
      </c>
      <c r="CJ610">
        <f t="shared" si="199"/>
        <v>0</v>
      </c>
      <c r="CK610">
        <f t="shared" si="200"/>
        <v>0</v>
      </c>
      <c r="CL610">
        <f t="shared" si="201"/>
        <v>0</v>
      </c>
      <c r="CM610">
        <f t="shared" si="203"/>
        <v>0</v>
      </c>
      <c r="CN610">
        <f t="shared" si="202"/>
        <v>0</v>
      </c>
      <c r="CO610">
        <f t="shared" si="186"/>
        <v>0</v>
      </c>
    </row>
    <row r="611" spans="1:93" s="12" customFormat="1" ht="14.45" hidden="1" customHeight="1" x14ac:dyDescent="0.25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+VLOOKUP(G611,Liste!$A$7:$G$69,3,FALSE)</f>
        <v>Pin Laricio</v>
      </c>
      <c r="BI611" s="96" t="str">
        <f>+VLOOKUP(H611,Liste!$B$7:$G$69,5,FALSE)</f>
        <v>GS Pineraies des plaines du Centre et du Nord Ouest</v>
      </c>
      <c r="BJ611" s="135">
        <f t="shared" si="185"/>
        <v>41</v>
      </c>
      <c r="BK611" s="135" t="str">
        <f t="shared" si="187"/>
        <v>Pin Laricio_F1_Classique_GS Pineraies des plaines du Centre et du Nord Ouest_41_</v>
      </c>
      <c r="BL611" s="319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97" t="str">
        <f>+VLOOKUP(G611,Liste!$A$7:$H$69,8,FALSE)</f>
        <v>Résineux</v>
      </c>
      <c r="BU611" s="297">
        <f t="shared" si="188"/>
        <v>0</v>
      </c>
      <c r="BV611" s="299">
        <f t="shared" si="189"/>
        <v>1</v>
      </c>
      <c r="BW611" s="318">
        <v>0</v>
      </c>
      <c r="BX611" s="297">
        <f t="shared" si="190"/>
        <v>0.43</v>
      </c>
      <c r="BY611">
        <f t="shared" si="191"/>
        <v>0</v>
      </c>
      <c r="BZ611" s="303">
        <f t="shared" si="192"/>
        <v>0</v>
      </c>
      <c r="CB611" s="298">
        <v>0.6</v>
      </c>
      <c r="CC611" s="298">
        <v>0.4</v>
      </c>
      <c r="CD611">
        <f t="shared" si="193"/>
        <v>0</v>
      </c>
      <c r="CE611">
        <f t="shared" si="194"/>
        <v>0</v>
      </c>
      <c r="CF611">
        <f t="shared" si="195"/>
        <v>0</v>
      </c>
      <c r="CG611">
        <f t="shared" si="196"/>
        <v>0</v>
      </c>
      <c r="CH611">
        <f t="shared" si="197"/>
        <v>0</v>
      </c>
      <c r="CI611">
        <f t="shared" si="198"/>
        <v>0</v>
      </c>
      <c r="CJ611">
        <f t="shared" si="199"/>
        <v>0</v>
      </c>
      <c r="CK611">
        <f t="shared" si="200"/>
        <v>0</v>
      </c>
      <c r="CL611">
        <f t="shared" si="201"/>
        <v>0</v>
      </c>
      <c r="CM611">
        <f t="shared" si="203"/>
        <v>0</v>
      </c>
      <c r="CN611">
        <f t="shared" si="202"/>
        <v>0</v>
      </c>
      <c r="CO611">
        <f t="shared" si="186"/>
        <v>0</v>
      </c>
    </row>
    <row r="612" spans="1:93" s="12" customFormat="1" ht="14.45" hidden="1" customHeight="1" x14ac:dyDescent="0.25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+VLOOKUP(G612,Liste!$A$7:$G$69,3,FALSE)</f>
        <v>Pin Laricio</v>
      </c>
      <c r="BI612" s="96" t="str">
        <f>+VLOOKUP(H612,Liste!$B$7:$G$69,5,FALSE)</f>
        <v>GS Pineraies des plaines du Centre et du Nord Ouest</v>
      </c>
      <c r="BJ612" s="135">
        <f t="shared" si="185"/>
        <v>42</v>
      </c>
      <c r="BK612" s="135" t="str">
        <f t="shared" si="187"/>
        <v>Pin Laricio_F1_Classique_GS Pineraies des plaines du Centre et du Nord Ouest_42_</v>
      </c>
      <c r="BL612" s="319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97" t="str">
        <f>+VLOOKUP(G612,Liste!$A$7:$H$69,8,FALSE)</f>
        <v>Résineux</v>
      </c>
      <c r="BU612" s="297">
        <f t="shared" si="188"/>
        <v>0</v>
      </c>
      <c r="BV612" s="299">
        <f t="shared" si="189"/>
        <v>1</v>
      </c>
      <c r="BW612" s="318">
        <v>0</v>
      </c>
      <c r="BX612" s="297">
        <f t="shared" si="190"/>
        <v>0.43</v>
      </c>
      <c r="BY612">
        <f t="shared" si="191"/>
        <v>0</v>
      </c>
      <c r="BZ612" s="303">
        <f t="shared" si="192"/>
        <v>0</v>
      </c>
      <c r="CB612" s="298">
        <v>0.6</v>
      </c>
      <c r="CC612" s="298">
        <v>0.4</v>
      </c>
      <c r="CD612">
        <f t="shared" si="193"/>
        <v>0</v>
      </c>
      <c r="CE612">
        <f t="shared" si="194"/>
        <v>0</v>
      </c>
      <c r="CF612">
        <f t="shared" si="195"/>
        <v>0</v>
      </c>
      <c r="CG612">
        <f t="shared" si="196"/>
        <v>0</v>
      </c>
      <c r="CH612">
        <f t="shared" si="197"/>
        <v>0</v>
      </c>
      <c r="CI612">
        <f t="shared" si="198"/>
        <v>0</v>
      </c>
      <c r="CJ612">
        <f t="shared" si="199"/>
        <v>0</v>
      </c>
      <c r="CK612">
        <f t="shared" si="200"/>
        <v>0</v>
      </c>
      <c r="CL612">
        <f t="shared" si="201"/>
        <v>0</v>
      </c>
      <c r="CM612">
        <f t="shared" si="203"/>
        <v>0</v>
      </c>
      <c r="CN612">
        <f t="shared" si="202"/>
        <v>0</v>
      </c>
      <c r="CO612">
        <f t="shared" si="186"/>
        <v>0</v>
      </c>
    </row>
    <row r="613" spans="1:93" s="12" customFormat="1" ht="14.45" hidden="1" customHeight="1" x14ac:dyDescent="0.25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+VLOOKUP(G613,Liste!$A$7:$G$69,3,FALSE)</f>
        <v>Pin Laricio</v>
      </c>
      <c r="BI613" s="96" t="str">
        <f>+VLOOKUP(H613,Liste!$B$7:$G$69,5,FALSE)</f>
        <v>GS Pineraies des plaines du Centre et du Nord Ouest</v>
      </c>
      <c r="BJ613" s="135">
        <f t="shared" si="185"/>
        <v>43</v>
      </c>
      <c r="BK613" s="135" t="str">
        <f t="shared" si="187"/>
        <v>Pin Laricio_F1_Classique_GS Pineraies des plaines du Centre et du Nord Ouest_43_</v>
      </c>
      <c r="BL613" s="319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97" t="str">
        <f>+VLOOKUP(G613,Liste!$A$7:$H$69,8,FALSE)</f>
        <v>Résineux</v>
      </c>
      <c r="BU613" s="297">
        <f t="shared" si="188"/>
        <v>0</v>
      </c>
      <c r="BV613" s="299">
        <f t="shared" si="189"/>
        <v>1</v>
      </c>
      <c r="BW613" s="318">
        <v>0</v>
      </c>
      <c r="BX613" s="297">
        <f t="shared" si="190"/>
        <v>0.43</v>
      </c>
      <c r="BY613">
        <f t="shared" si="191"/>
        <v>0</v>
      </c>
      <c r="BZ613" s="303">
        <f t="shared" si="192"/>
        <v>0</v>
      </c>
      <c r="CB613" s="298">
        <v>0.6</v>
      </c>
      <c r="CC613" s="298">
        <v>0.4</v>
      </c>
      <c r="CD613">
        <f t="shared" si="193"/>
        <v>0</v>
      </c>
      <c r="CE613">
        <f t="shared" si="194"/>
        <v>0</v>
      </c>
      <c r="CF613">
        <f t="shared" si="195"/>
        <v>0</v>
      </c>
      <c r="CG613">
        <f t="shared" si="196"/>
        <v>0</v>
      </c>
      <c r="CH613">
        <f t="shared" si="197"/>
        <v>0</v>
      </c>
      <c r="CI613">
        <f t="shared" si="198"/>
        <v>0</v>
      </c>
      <c r="CJ613">
        <f t="shared" si="199"/>
        <v>0</v>
      </c>
      <c r="CK613">
        <f t="shared" si="200"/>
        <v>0</v>
      </c>
      <c r="CL613">
        <f t="shared" si="201"/>
        <v>0</v>
      </c>
      <c r="CM613">
        <f t="shared" si="203"/>
        <v>0</v>
      </c>
      <c r="CN613">
        <f t="shared" si="202"/>
        <v>0</v>
      </c>
      <c r="CO613">
        <f t="shared" si="186"/>
        <v>0</v>
      </c>
    </row>
    <row r="614" spans="1:93" s="12" customFormat="1" ht="14.45" hidden="1" customHeight="1" x14ac:dyDescent="0.25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+VLOOKUP(G614,Liste!$A$7:$G$69,3,FALSE)</f>
        <v>Pin Laricio</v>
      </c>
      <c r="BI614" s="96" t="str">
        <f>+VLOOKUP(H614,Liste!$B$7:$G$69,5,FALSE)</f>
        <v>GS Pineraies des plaines du Centre et du Nord Ouest</v>
      </c>
      <c r="BJ614" s="135">
        <f t="shared" si="185"/>
        <v>44</v>
      </c>
      <c r="BK614" s="135" t="str">
        <f t="shared" si="187"/>
        <v>Pin Laricio_F1_Classique_GS Pineraies des plaines du Centre et du Nord Ouest_44_</v>
      </c>
      <c r="BL614" s="319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97" t="str">
        <f>+VLOOKUP(G614,Liste!$A$7:$H$69,8,FALSE)</f>
        <v>Résineux</v>
      </c>
      <c r="BU614" s="297">
        <f t="shared" si="188"/>
        <v>0</v>
      </c>
      <c r="BV614" s="299">
        <f t="shared" si="189"/>
        <v>1</v>
      </c>
      <c r="BW614" s="318">
        <v>0</v>
      </c>
      <c r="BX614" s="297">
        <f t="shared" si="190"/>
        <v>0.43</v>
      </c>
      <c r="BY614">
        <f t="shared" si="191"/>
        <v>0</v>
      </c>
      <c r="BZ614" s="303">
        <f t="shared" si="192"/>
        <v>0</v>
      </c>
      <c r="CB614" s="298">
        <v>0.6</v>
      </c>
      <c r="CC614" s="298">
        <v>0.4</v>
      </c>
      <c r="CD614">
        <f t="shared" si="193"/>
        <v>0</v>
      </c>
      <c r="CE614">
        <f t="shared" si="194"/>
        <v>0</v>
      </c>
      <c r="CF614">
        <f t="shared" si="195"/>
        <v>0</v>
      </c>
      <c r="CG614">
        <f t="shared" si="196"/>
        <v>0</v>
      </c>
      <c r="CH614">
        <f t="shared" si="197"/>
        <v>0</v>
      </c>
      <c r="CI614">
        <f t="shared" si="198"/>
        <v>0</v>
      </c>
      <c r="CJ614">
        <f t="shared" si="199"/>
        <v>0</v>
      </c>
      <c r="CK614">
        <f t="shared" si="200"/>
        <v>0</v>
      </c>
      <c r="CL614">
        <f t="shared" si="201"/>
        <v>0</v>
      </c>
      <c r="CM614">
        <f t="shared" si="203"/>
        <v>0</v>
      </c>
      <c r="CN614">
        <f t="shared" si="202"/>
        <v>0</v>
      </c>
      <c r="CO614">
        <f t="shared" si="186"/>
        <v>0</v>
      </c>
    </row>
    <row r="615" spans="1:93" s="12" customFormat="1" ht="14.45" hidden="1" customHeight="1" x14ac:dyDescent="0.25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+VLOOKUP(G615,Liste!$A$7:$G$69,3,FALSE)</f>
        <v>Pin Laricio</v>
      </c>
      <c r="BI615" s="96" t="str">
        <f>+VLOOKUP(H615,Liste!$B$7:$G$69,5,FALSE)</f>
        <v>GS Pineraies des plaines du Centre et du Nord Ouest</v>
      </c>
      <c r="BJ615" s="135">
        <f t="shared" si="185"/>
        <v>45</v>
      </c>
      <c r="BK615" s="135" t="str">
        <f t="shared" si="187"/>
        <v>Pin Laricio_F1_Classique_GS Pineraies des plaines du Centre et du Nord Ouest_45_</v>
      </c>
      <c r="BL615" s="319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97" t="str">
        <f>+VLOOKUP(G615,Liste!$A$7:$H$69,8,FALSE)</f>
        <v>Résineux</v>
      </c>
      <c r="BU615" s="297">
        <f t="shared" si="188"/>
        <v>0</v>
      </c>
      <c r="BV615" s="299">
        <f t="shared" si="189"/>
        <v>1</v>
      </c>
      <c r="BW615" s="318">
        <v>0</v>
      </c>
      <c r="BX615" s="297">
        <f t="shared" si="190"/>
        <v>0.43</v>
      </c>
      <c r="BY615">
        <f t="shared" si="191"/>
        <v>0</v>
      </c>
      <c r="BZ615" s="303">
        <f t="shared" si="192"/>
        <v>0</v>
      </c>
      <c r="CB615" s="298">
        <v>0.6</v>
      </c>
      <c r="CC615" s="298">
        <v>0.4</v>
      </c>
      <c r="CD615">
        <f t="shared" si="193"/>
        <v>0</v>
      </c>
      <c r="CE615">
        <f t="shared" si="194"/>
        <v>0</v>
      </c>
      <c r="CF615">
        <f t="shared" si="195"/>
        <v>0</v>
      </c>
      <c r="CG615">
        <f t="shared" si="196"/>
        <v>0</v>
      </c>
      <c r="CH615">
        <f t="shared" si="197"/>
        <v>0</v>
      </c>
      <c r="CI615">
        <f t="shared" si="198"/>
        <v>0</v>
      </c>
      <c r="CJ615">
        <f t="shared" si="199"/>
        <v>0</v>
      </c>
      <c r="CK615">
        <f t="shared" si="200"/>
        <v>0</v>
      </c>
      <c r="CL615">
        <f t="shared" si="201"/>
        <v>0</v>
      </c>
      <c r="CM615">
        <f t="shared" si="203"/>
        <v>0</v>
      </c>
      <c r="CN615">
        <f t="shared" si="202"/>
        <v>0</v>
      </c>
      <c r="CO615">
        <f t="shared" si="186"/>
        <v>0</v>
      </c>
    </row>
    <row r="616" spans="1:93" s="12" customFormat="1" ht="14.45" hidden="1" customHeight="1" x14ac:dyDescent="0.25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+VLOOKUP(G616,Liste!$A$7:$G$69,3,FALSE)</f>
        <v>Pin Laricio</v>
      </c>
      <c r="BI616" s="96" t="str">
        <f>+VLOOKUP(H616,Liste!$B$7:$G$69,5,FALSE)</f>
        <v>GS Pineraies des plaines du Centre et du Nord Ouest</v>
      </c>
      <c r="BJ616" s="135">
        <f t="shared" si="185"/>
        <v>46</v>
      </c>
      <c r="BK616" s="135" t="str">
        <f t="shared" si="187"/>
        <v>Pin Laricio_F1_Classique_GS Pineraies des plaines du Centre et du Nord Ouest_46_</v>
      </c>
      <c r="BL616" s="319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97" t="str">
        <f>+VLOOKUP(G616,Liste!$A$7:$H$69,8,FALSE)</f>
        <v>Résineux</v>
      </c>
      <c r="BU616" s="297">
        <f t="shared" si="188"/>
        <v>0</v>
      </c>
      <c r="BV616" s="299">
        <f t="shared" si="189"/>
        <v>1</v>
      </c>
      <c r="BW616" s="318">
        <v>0</v>
      </c>
      <c r="BX616" s="297">
        <f t="shared" si="190"/>
        <v>0.43</v>
      </c>
      <c r="BY616">
        <f t="shared" si="191"/>
        <v>0</v>
      </c>
      <c r="BZ616" s="303">
        <f t="shared" si="192"/>
        <v>0</v>
      </c>
      <c r="CB616" s="298">
        <v>0.6</v>
      </c>
      <c r="CC616" s="298">
        <v>0.4</v>
      </c>
      <c r="CD616">
        <f t="shared" si="193"/>
        <v>0</v>
      </c>
      <c r="CE616">
        <f t="shared" si="194"/>
        <v>0</v>
      </c>
      <c r="CF616">
        <f t="shared" si="195"/>
        <v>0</v>
      </c>
      <c r="CG616">
        <f t="shared" si="196"/>
        <v>0</v>
      </c>
      <c r="CH616">
        <f t="shared" si="197"/>
        <v>0</v>
      </c>
      <c r="CI616">
        <f t="shared" si="198"/>
        <v>0</v>
      </c>
      <c r="CJ616">
        <f t="shared" si="199"/>
        <v>0</v>
      </c>
      <c r="CK616">
        <f t="shared" si="200"/>
        <v>0</v>
      </c>
      <c r="CL616">
        <f t="shared" si="201"/>
        <v>0</v>
      </c>
      <c r="CM616">
        <f t="shared" si="203"/>
        <v>0</v>
      </c>
      <c r="CN616">
        <f t="shared" si="202"/>
        <v>0</v>
      </c>
      <c r="CO616">
        <f t="shared" si="186"/>
        <v>0</v>
      </c>
    </row>
    <row r="617" spans="1:93" s="12" customFormat="1" ht="14.45" hidden="1" customHeight="1" x14ac:dyDescent="0.25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+VLOOKUP(G617,Liste!$A$7:$G$69,3,FALSE)</f>
        <v>Pin Laricio</v>
      </c>
      <c r="BI617" s="96" t="str">
        <f>+VLOOKUP(H617,Liste!$B$7:$G$69,5,FALSE)</f>
        <v>GS Pineraies des plaines du Centre et du Nord Ouest</v>
      </c>
      <c r="BJ617" s="135">
        <f t="shared" si="185"/>
        <v>46</v>
      </c>
      <c r="BK617" s="135" t="str">
        <f t="shared" si="187"/>
        <v>Pin Laricio_F1_Classique_GS Pineraies des plaines du Centre et du Nord Ouest_46_</v>
      </c>
      <c r="BL617" s="319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97" t="str">
        <f>+VLOOKUP(G617,Liste!$A$7:$H$69,8,FALSE)</f>
        <v>Résineux</v>
      </c>
      <c r="BU617" s="297">
        <f t="shared" si="188"/>
        <v>0</v>
      </c>
      <c r="BV617" s="299">
        <f t="shared" si="189"/>
        <v>1</v>
      </c>
      <c r="BW617" s="318">
        <v>0</v>
      </c>
      <c r="BX617" s="297">
        <f t="shared" si="190"/>
        <v>0.43</v>
      </c>
      <c r="BY617">
        <f t="shared" si="191"/>
        <v>0</v>
      </c>
      <c r="BZ617" s="303">
        <f t="shared" si="192"/>
        <v>0</v>
      </c>
      <c r="CB617" s="298">
        <v>0.6</v>
      </c>
      <c r="CC617" s="298">
        <v>0.4</v>
      </c>
      <c r="CD617">
        <f t="shared" si="193"/>
        <v>0</v>
      </c>
      <c r="CE617">
        <f t="shared" si="194"/>
        <v>0</v>
      </c>
      <c r="CF617">
        <f t="shared" si="195"/>
        <v>0</v>
      </c>
      <c r="CG617">
        <f t="shared" si="196"/>
        <v>0</v>
      </c>
      <c r="CH617">
        <f t="shared" si="197"/>
        <v>0</v>
      </c>
      <c r="CI617">
        <f t="shared" si="198"/>
        <v>0</v>
      </c>
      <c r="CJ617">
        <f t="shared" si="199"/>
        <v>0</v>
      </c>
      <c r="CK617">
        <f t="shared" si="200"/>
        <v>0</v>
      </c>
      <c r="CL617">
        <f t="shared" si="201"/>
        <v>0</v>
      </c>
      <c r="CM617">
        <f t="shared" si="203"/>
        <v>0</v>
      </c>
      <c r="CN617">
        <f t="shared" si="202"/>
        <v>0</v>
      </c>
      <c r="CO617">
        <f t="shared" si="186"/>
        <v>0</v>
      </c>
    </row>
    <row r="618" spans="1:93" s="12" customFormat="1" ht="14.45" hidden="1" customHeight="1" x14ac:dyDescent="0.25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+VLOOKUP(G618,Liste!$A$7:$G$69,3,FALSE)</f>
        <v>Pin Laricio</v>
      </c>
      <c r="BI618" s="96" t="str">
        <f>+VLOOKUP(H618,Liste!$B$7:$G$69,5,FALSE)</f>
        <v>GS Pineraies des plaines du Centre et du Nord Ouest</v>
      </c>
      <c r="BJ618" s="135">
        <f t="shared" si="185"/>
        <v>47</v>
      </c>
      <c r="BK618" s="135" t="str">
        <f t="shared" si="187"/>
        <v>Pin Laricio_F1_Classique_GS Pineraies des plaines du Centre et du Nord Ouest_47_</v>
      </c>
      <c r="BL618" s="319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97" t="str">
        <f>+VLOOKUP(G618,Liste!$A$7:$H$69,8,FALSE)</f>
        <v>Résineux</v>
      </c>
      <c r="BU618" s="297">
        <f t="shared" si="188"/>
        <v>0</v>
      </c>
      <c r="BV618" s="299">
        <f t="shared" si="189"/>
        <v>1</v>
      </c>
      <c r="BW618" s="318">
        <v>0</v>
      </c>
      <c r="BX618" s="297">
        <f t="shared" si="190"/>
        <v>0.43</v>
      </c>
      <c r="BY618">
        <f t="shared" si="191"/>
        <v>0</v>
      </c>
      <c r="BZ618" s="303">
        <f t="shared" si="192"/>
        <v>0</v>
      </c>
      <c r="CB618" s="298">
        <v>0.6</v>
      </c>
      <c r="CC618" s="298">
        <v>0.4</v>
      </c>
      <c r="CD618">
        <f t="shared" si="193"/>
        <v>0</v>
      </c>
      <c r="CE618">
        <f t="shared" si="194"/>
        <v>0</v>
      </c>
      <c r="CF618">
        <f t="shared" si="195"/>
        <v>0</v>
      </c>
      <c r="CG618">
        <f t="shared" si="196"/>
        <v>0</v>
      </c>
      <c r="CH618">
        <f t="shared" si="197"/>
        <v>0</v>
      </c>
      <c r="CI618">
        <f t="shared" si="198"/>
        <v>0</v>
      </c>
      <c r="CJ618">
        <f t="shared" si="199"/>
        <v>0</v>
      </c>
      <c r="CK618">
        <f t="shared" si="200"/>
        <v>0</v>
      </c>
      <c r="CL618">
        <f t="shared" si="201"/>
        <v>0</v>
      </c>
      <c r="CM618">
        <f t="shared" si="203"/>
        <v>0</v>
      </c>
      <c r="CN618">
        <f t="shared" si="202"/>
        <v>0</v>
      </c>
      <c r="CO618">
        <f t="shared" si="186"/>
        <v>0</v>
      </c>
    </row>
    <row r="619" spans="1:93" s="12" customFormat="1" ht="14.45" hidden="1" customHeight="1" x14ac:dyDescent="0.25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+VLOOKUP(G619,Liste!$A$7:$G$69,3,FALSE)</f>
        <v>Pin Laricio</v>
      </c>
      <c r="BI619" s="96" t="str">
        <f>+VLOOKUP(H619,Liste!$B$7:$G$69,5,FALSE)</f>
        <v>GS Pineraies des plaines du Centre et du Nord Ouest</v>
      </c>
      <c r="BJ619" s="135">
        <f t="shared" si="185"/>
        <v>48</v>
      </c>
      <c r="BK619" s="135" t="str">
        <f t="shared" si="187"/>
        <v>Pin Laricio_F1_Classique_GS Pineraies des plaines du Centre et du Nord Ouest_48_</v>
      </c>
      <c r="BL619" s="319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97" t="str">
        <f>+VLOOKUP(G619,Liste!$A$7:$H$69,8,FALSE)</f>
        <v>Résineux</v>
      </c>
      <c r="BU619" s="297">
        <f t="shared" si="188"/>
        <v>0</v>
      </c>
      <c r="BV619" s="299">
        <f t="shared" si="189"/>
        <v>1</v>
      </c>
      <c r="BW619" s="318">
        <v>0</v>
      </c>
      <c r="BX619" s="297">
        <f t="shared" si="190"/>
        <v>0.43</v>
      </c>
      <c r="BY619">
        <f t="shared" si="191"/>
        <v>0</v>
      </c>
      <c r="BZ619" s="303">
        <f t="shared" si="192"/>
        <v>0</v>
      </c>
      <c r="CB619" s="298">
        <v>0.6</v>
      </c>
      <c r="CC619" s="298">
        <v>0.4</v>
      </c>
      <c r="CD619">
        <f t="shared" si="193"/>
        <v>0</v>
      </c>
      <c r="CE619">
        <f t="shared" si="194"/>
        <v>0</v>
      </c>
      <c r="CF619">
        <f t="shared" si="195"/>
        <v>0</v>
      </c>
      <c r="CG619">
        <f t="shared" si="196"/>
        <v>0</v>
      </c>
      <c r="CH619">
        <f t="shared" si="197"/>
        <v>0</v>
      </c>
      <c r="CI619">
        <f t="shared" si="198"/>
        <v>0</v>
      </c>
      <c r="CJ619">
        <f t="shared" si="199"/>
        <v>0</v>
      </c>
      <c r="CK619">
        <f t="shared" si="200"/>
        <v>0</v>
      </c>
      <c r="CL619">
        <f t="shared" si="201"/>
        <v>0</v>
      </c>
      <c r="CM619">
        <f t="shared" si="203"/>
        <v>0</v>
      </c>
      <c r="CN619">
        <f t="shared" si="202"/>
        <v>0</v>
      </c>
      <c r="CO619">
        <f t="shared" si="186"/>
        <v>0</v>
      </c>
    </row>
    <row r="620" spans="1:93" s="12" customFormat="1" ht="14.45" hidden="1" customHeight="1" x14ac:dyDescent="0.25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+VLOOKUP(G620,Liste!$A$7:$G$69,3,FALSE)</f>
        <v>Pin Laricio</v>
      </c>
      <c r="BI620" s="96" t="str">
        <f>+VLOOKUP(H620,Liste!$B$7:$G$69,5,FALSE)</f>
        <v>GS Pineraies des plaines du Centre et du Nord Ouest</v>
      </c>
      <c r="BJ620" s="135">
        <f t="shared" si="185"/>
        <v>49</v>
      </c>
      <c r="BK620" s="135" t="str">
        <f t="shared" si="187"/>
        <v>Pin Laricio_F1_Classique_GS Pineraies des plaines du Centre et du Nord Ouest_49_</v>
      </c>
      <c r="BL620" s="319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97" t="str">
        <f>+VLOOKUP(G620,Liste!$A$7:$H$69,8,FALSE)</f>
        <v>Résineux</v>
      </c>
      <c r="BU620" s="297">
        <f t="shared" si="188"/>
        <v>0</v>
      </c>
      <c r="BV620" s="299">
        <f t="shared" si="189"/>
        <v>1</v>
      </c>
      <c r="BW620" s="318">
        <v>0</v>
      </c>
      <c r="BX620" s="297">
        <f t="shared" si="190"/>
        <v>0.43</v>
      </c>
      <c r="BY620">
        <f t="shared" si="191"/>
        <v>0</v>
      </c>
      <c r="BZ620" s="303">
        <f t="shared" si="192"/>
        <v>0</v>
      </c>
      <c r="CB620" s="298">
        <v>0.6</v>
      </c>
      <c r="CC620" s="298">
        <v>0.4</v>
      </c>
      <c r="CD620">
        <f t="shared" si="193"/>
        <v>0</v>
      </c>
      <c r="CE620">
        <f t="shared" si="194"/>
        <v>0</v>
      </c>
      <c r="CF620">
        <f t="shared" si="195"/>
        <v>0</v>
      </c>
      <c r="CG620">
        <f t="shared" si="196"/>
        <v>0</v>
      </c>
      <c r="CH620">
        <f t="shared" si="197"/>
        <v>0</v>
      </c>
      <c r="CI620">
        <f t="shared" si="198"/>
        <v>0</v>
      </c>
      <c r="CJ620">
        <f t="shared" si="199"/>
        <v>0</v>
      </c>
      <c r="CK620">
        <f t="shared" si="200"/>
        <v>0</v>
      </c>
      <c r="CL620">
        <f t="shared" si="201"/>
        <v>0</v>
      </c>
      <c r="CM620">
        <f t="shared" si="203"/>
        <v>0</v>
      </c>
      <c r="CN620">
        <f t="shared" si="202"/>
        <v>0</v>
      </c>
      <c r="CO620">
        <f t="shared" si="186"/>
        <v>0</v>
      </c>
    </row>
    <row r="621" spans="1:93" s="12" customFormat="1" ht="14.45" hidden="1" customHeight="1" x14ac:dyDescent="0.25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+VLOOKUP(G621,Liste!$A$7:$G$69,3,FALSE)</f>
        <v>Pin Laricio</v>
      </c>
      <c r="BI621" s="96" t="str">
        <f>+VLOOKUP(H621,Liste!$B$7:$G$69,5,FALSE)</f>
        <v>GS Pineraies des plaines du Centre et du Nord Ouest</v>
      </c>
      <c r="BJ621" s="135">
        <f t="shared" si="185"/>
        <v>50</v>
      </c>
      <c r="BK621" s="135" t="str">
        <f t="shared" si="187"/>
        <v>Pin Laricio_F1_Classique_GS Pineraies des plaines du Centre et du Nord Ouest_50_</v>
      </c>
      <c r="BL621" s="319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97" t="str">
        <f>+VLOOKUP(G621,Liste!$A$7:$H$69,8,FALSE)</f>
        <v>Résineux</v>
      </c>
      <c r="BU621" s="297">
        <f t="shared" si="188"/>
        <v>0</v>
      </c>
      <c r="BV621" s="299">
        <f t="shared" si="189"/>
        <v>1</v>
      </c>
      <c r="BW621" s="318">
        <v>0</v>
      </c>
      <c r="BX621" s="297">
        <f t="shared" si="190"/>
        <v>0.43</v>
      </c>
      <c r="BY621">
        <f t="shared" si="191"/>
        <v>0</v>
      </c>
      <c r="BZ621" s="303">
        <f t="shared" si="192"/>
        <v>0</v>
      </c>
      <c r="CB621" s="298">
        <v>0.6</v>
      </c>
      <c r="CC621" s="298">
        <v>0.4</v>
      </c>
      <c r="CD621">
        <f t="shared" si="193"/>
        <v>0</v>
      </c>
      <c r="CE621">
        <f t="shared" si="194"/>
        <v>0</v>
      </c>
      <c r="CF621">
        <f t="shared" si="195"/>
        <v>0</v>
      </c>
      <c r="CG621">
        <f t="shared" si="196"/>
        <v>0</v>
      </c>
      <c r="CH621">
        <f t="shared" si="197"/>
        <v>0</v>
      </c>
      <c r="CI621">
        <f t="shared" si="198"/>
        <v>0</v>
      </c>
      <c r="CJ621">
        <f t="shared" si="199"/>
        <v>0</v>
      </c>
      <c r="CK621">
        <f t="shared" si="200"/>
        <v>0</v>
      </c>
      <c r="CL621">
        <f t="shared" si="201"/>
        <v>0</v>
      </c>
      <c r="CM621">
        <f t="shared" si="203"/>
        <v>0</v>
      </c>
      <c r="CN621">
        <f t="shared" si="202"/>
        <v>0</v>
      </c>
      <c r="CO621">
        <f t="shared" si="186"/>
        <v>0</v>
      </c>
    </row>
    <row r="622" spans="1:93" s="12" customFormat="1" ht="14.45" hidden="1" customHeight="1" x14ac:dyDescent="0.25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+VLOOKUP(G622,Liste!$A$7:$G$69,3,FALSE)</f>
        <v>Pin Laricio</v>
      </c>
      <c r="BI622" s="96" t="str">
        <f>+VLOOKUP(H622,Liste!$B$7:$G$69,5,FALSE)</f>
        <v>GS Pineraies des plaines du Centre et du Nord Ouest</v>
      </c>
      <c r="BJ622" s="135">
        <f t="shared" si="185"/>
        <v>51</v>
      </c>
      <c r="BK622" s="135" t="str">
        <f t="shared" si="187"/>
        <v>Pin Laricio_F1_Classique_GS Pineraies des plaines du Centre et du Nord Ouest_51_</v>
      </c>
      <c r="BL622" s="319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97" t="str">
        <f>+VLOOKUP(G622,Liste!$A$7:$H$69,8,FALSE)</f>
        <v>Résineux</v>
      </c>
      <c r="BU622" s="297">
        <f t="shared" si="188"/>
        <v>0</v>
      </c>
      <c r="BV622" s="299">
        <f t="shared" si="189"/>
        <v>1</v>
      </c>
      <c r="BW622" s="318">
        <v>0</v>
      </c>
      <c r="BX622" s="297">
        <f t="shared" si="190"/>
        <v>0.43</v>
      </c>
      <c r="BY622">
        <f t="shared" si="191"/>
        <v>0</v>
      </c>
      <c r="BZ622" s="303">
        <f t="shared" si="192"/>
        <v>0</v>
      </c>
      <c r="CB622" s="298">
        <v>0.6</v>
      </c>
      <c r="CC622" s="298">
        <v>0.4</v>
      </c>
      <c r="CD622">
        <f t="shared" si="193"/>
        <v>0</v>
      </c>
      <c r="CE622">
        <f t="shared" si="194"/>
        <v>0</v>
      </c>
      <c r="CF622">
        <f t="shared" si="195"/>
        <v>0</v>
      </c>
      <c r="CG622">
        <f t="shared" si="196"/>
        <v>0</v>
      </c>
      <c r="CH622">
        <f t="shared" si="197"/>
        <v>0</v>
      </c>
      <c r="CI622">
        <f t="shared" si="198"/>
        <v>0</v>
      </c>
      <c r="CJ622">
        <f t="shared" si="199"/>
        <v>0</v>
      </c>
      <c r="CK622">
        <f t="shared" si="200"/>
        <v>0</v>
      </c>
      <c r="CL622">
        <f t="shared" si="201"/>
        <v>0</v>
      </c>
      <c r="CM622">
        <f t="shared" si="203"/>
        <v>0</v>
      </c>
      <c r="CN622">
        <f t="shared" si="202"/>
        <v>0</v>
      </c>
      <c r="CO622">
        <f t="shared" si="186"/>
        <v>0</v>
      </c>
    </row>
    <row r="623" spans="1:93" s="12" customFormat="1" ht="14.45" hidden="1" customHeight="1" x14ac:dyDescent="0.25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+VLOOKUP(G623,Liste!$A$7:$G$69,3,FALSE)</f>
        <v>Pin Laricio</v>
      </c>
      <c r="BI623" s="96" t="str">
        <f>+VLOOKUP(H623,Liste!$B$7:$G$69,5,FALSE)</f>
        <v>GS Pineraies des plaines du Centre et du Nord Ouest</v>
      </c>
      <c r="BJ623" s="135">
        <f t="shared" si="185"/>
        <v>52</v>
      </c>
      <c r="BK623" s="135" t="str">
        <f t="shared" si="187"/>
        <v>Pin Laricio_F1_Classique_GS Pineraies des plaines du Centre et du Nord Ouest_52_</v>
      </c>
      <c r="BL623" s="319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97" t="str">
        <f>+VLOOKUP(G623,Liste!$A$7:$H$69,8,FALSE)</f>
        <v>Résineux</v>
      </c>
      <c r="BU623" s="297">
        <f t="shared" si="188"/>
        <v>0</v>
      </c>
      <c r="BV623" s="299">
        <f t="shared" si="189"/>
        <v>1</v>
      </c>
      <c r="BW623" s="318">
        <v>0</v>
      </c>
      <c r="BX623" s="297">
        <f t="shared" si="190"/>
        <v>0.43</v>
      </c>
      <c r="BY623">
        <f t="shared" si="191"/>
        <v>0</v>
      </c>
      <c r="BZ623" s="303">
        <f t="shared" si="192"/>
        <v>0</v>
      </c>
      <c r="CB623" s="298">
        <v>0.6</v>
      </c>
      <c r="CC623" s="298">
        <v>0.4</v>
      </c>
      <c r="CD623">
        <f t="shared" si="193"/>
        <v>0</v>
      </c>
      <c r="CE623">
        <f t="shared" si="194"/>
        <v>0</v>
      </c>
      <c r="CF623">
        <f t="shared" si="195"/>
        <v>0</v>
      </c>
      <c r="CG623">
        <f t="shared" si="196"/>
        <v>0</v>
      </c>
      <c r="CH623">
        <f t="shared" si="197"/>
        <v>0</v>
      </c>
      <c r="CI623">
        <f t="shared" si="198"/>
        <v>0</v>
      </c>
      <c r="CJ623">
        <f t="shared" si="199"/>
        <v>0</v>
      </c>
      <c r="CK623">
        <f t="shared" si="200"/>
        <v>0</v>
      </c>
      <c r="CL623">
        <f t="shared" si="201"/>
        <v>0</v>
      </c>
      <c r="CM623">
        <f t="shared" si="203"/>
        <v>0</v>
      </c>
      <c r="CN623">
        <f t="shared" si="202"/>
        <v>0</v>
      </c>
      <c r="CO623">
        <f t="shared" si="186"/>
        <v>0</v>
      </c>
    </row>
    <row r="624" spans="1:93" s="12" customFormat="1" ht="14.45" hidden="1" customHeight="1" x14ac:dyDescent="0.25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+VLOOKUP(G624,Liste!$A$7:$G$69,3,FALSE)</f>
        <v>Pin Laricio</v>
      </c>
      <c r="BI624" s="96" t="str">
        <f>+VLOOKUP(H624,Liste!$B$7:$G$69,5,FALSE)</f>
        <v>GS Pineraies des plaines du Centre et du Nord Ouest</v>
      </c>
      <c r="BJ624" s="135">
        <f t="shared" si="185"/>
        <v>53</v>
      </c>
      <c r="BK624" s="135" t="str">
        <f t="shared" si="187"/>
        <v>Pin Laricio_F1_Classique_GS Pineraies des plaines du Centre et du Nord Ouest_53_</v>
      </c>
      <c r="BL624" s="319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97" t="str">
        <f>+VLOOKUP(G624,Liste!$A$7:$H$69,8,FALSE)</f>
        <v>Résineux</v>
      </c>
      <c r="BU624" s="297">
        <f t="shared" si="188"/>
        <v>0</v>
      </c>
      <c r="BV624" s="299">
        <f t="shared" si="189"/>
        <v>1</v>
      </c>
      <c r="BW624" s="318">
        <v>0</v>
      </c>
      <c r="BX624" s="297">
        <f t="shared" si="190"/>
        <v>0.43</v>
      </c>
      <c r="BY624">
        <f t="shared" si="191"/>
        <v>0</v>
      </c>
      <c r="BZ624" s="303">
        <f t="shared" si="192"/>
        <v>0</v>
      </c>
      <c r="CB624" s="298">
        <v>0.6</v>
      </c>
      <c r="CC624" s="298">
        <v>0.4</v>
      </c>
      <c r="CD624">
        <f t="shared" si="193"/>
        <v>0</v>
      </c>
      <c r="CE624">
        <f t="shared" si="194"/>
        <v>0</v>
      </c>
      <c r="CF624">
        <f t="shared" si="195"/>
        <v>0</v>
      </c>
      <c r="CG624">
        <f t="shared" si="196"/>
        <v>0</v>
      </c>
      <c r="CH624">
        <f t="shared" si="197"/>
        <v>0</v>
      </c>
      <c r="CI624">
        <f t="shared" si="198"/>
        <v>0</v>
      </c>
      <c r="CJ624">
        <f t="shared" si="199"/>
        <v>0</v>
      </c>
      <c r="CK624">
        <f t="shared" si="200"/>
        <v>0</v>
      </c>
      <c r="CL624">
        <f t="shared" si="201"/>
        <v>0</v>
      </c>
      <c r="CM624">
        <f t="shared" si="203"/>
        <v>0</v>
      </c>
      <c r="CN624">
        <f t="shared" si="202"/>
        <v>0</v>
      </c>
      <c r="CO624">
        <f t="shared" si="186"/>
        <v>0</v>
      </c>
    </row>
    <row r="625" spans="1:93" s="12" customFormat="1" ht="14.45" hidden="1" customHeight="1" x14ac:dyDescent="0.25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+VLOOKUP(G625,Liste!$A$7:$G$69,3,FALSE)</f>
        <v>Pin Laricio</v>
      </c>
      <c r="BI625" s="96" t="str">
        <f>+VLOOKUP(H625,Liste!$B$7:$G$69,5,FALSE)</f>
        <v>GS Pineraies des plaines du Centre et du Nord Ouest</v>
      </c>
      <c r="BJ625" s="135">
        <f t="shared" si="185"/>
        <v>54</v>
      </c>
      <c r="BK625" s="135" t="str">
        <f t="shared" si="187"/>
        <v>Pin Laricio_F1_Classique_GS Pineraies des plaines du Centre et du Nord Ouest_54_</v>
      </c>
      <c r="BL625" s="319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97" t="str">
        <f>+VLOOKUP(G625,Liste!$A$7:$H$69,8,FALSE)</f>
        <v>Résineux</v>
      </c>
      <c r="BU625" s="297">
        <f t="shared" si="188"/>
        <v>0</v>
      </c>
      <c r="BV625" s="299">
        <f t="shared" si="189"/>
        <v>1</v>
      </c>
      <c r="BW625" s="318">
        <v>0</v>
      </c>
      <c r="BX625" s="297">
        <f t="shared" si="190"/>
        <v>0.43</v>
      </c>
      <c r="BY625">
        <f t="shared" si="191"/>
        <v>0</v>
      </c>
      <c r="BZ625" s="303">
        <f t="shared" si="192"/>
        <v>0</v>
      </c>
      <c r="CB625" s="298">
        <v>0.6</v>
      </c>
      <c r="CC625" s="298">
        <v>0.4</v>
      </c>
      <c r="CD625">
        <f t="shared" si="193"/>
        <v>0</v>
      </c>
      <c r="CE625">
        <f t="shared" si="194"/>
        <v>0</v>
      </c>
      <c r="CF625">
        <f t="shared" si="195"/>
        <v>0</v>
      </c>
      <c r="CG625">
        <f t="shared" si="196"/>
        <v>0</v>
      </c>
      <c r="CH625">
        <f t="shared" si="197"/>
        <v>0</v>
      </c>
      <c r="CI625">
        <f t="shared" si="198"/>
        <v>0</v>
      </c>
      <c r="CJ625">
        <f t="shared" si="199"/>
        <v>0</v>
      </c>
      <c r="CK625">
        <f t="shared" si="200"/>
        <v>0</v>
      </c>
      <c r="CL625">
        <f t="shared" si="201"/>
        <v>0</v>
      </c>
      <c r="CM625">
        <f t="shared" si="203"/>
        <v>0</v>
      </c>
      <c r="CN625">
        <f t="shared" si="202"/>
        <v>0</v>
      </c>
      <c r="CO625">
        <f t="shared" si="186"/>
        <v>0</v>
      </c>
    </row>
    <row r="626" spans="1:93" s="12" customFormat="1" ht="14.45" hidden="1" customHeight="1" x14ac:dyDescent="0.25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+VLOOKUP(G626,Liste!$A$7:$G$69,3,FALSE)</f>
        <v>Pin Laricio</v>
      </c>
      <c r="BI626" s="96" t="str">
        <f>+VLOOKUP(H626,Liste!$B$7:$G$69,5,FALSE)</f>
        <v>GS Pineraies des plaines du Centre et du Nord Ouest</v>
      </c>
      <c r="BJ626" s="135">
        <f t="shared" si="185"/>
        <v>55</v>
      </c>
      <c r="BK626" s="135" t="str">
        <f t="shared" si="187"/>
        <v>Pin Laricio_F1_Classique_GS Pineraies des plaines du Centre et du Nord Ouest_55_</v>
      </c>
      <c r="BL626" s="319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97" t="str">
        <f>+VLOOKUP(G626,Liste!$A$7:$H$69,8,FALSE)</f>
        <v>Résineux</v>
      </c>
      <c r="BU626" s="297">
        <f t="shared" si="188"/>
        <v>0</v>
      </c>
      <c r="BV626" s="299">
        <f t="shared" si="189"/>
        <v>1</v>
      </c>
      <c r="BW626" s="318">
        <v>0</v>
      </c>
      <c r="BX626" s="297">
        <f t="shared" si="190"/>
        <v>0.43</v>
      </c>
      <c r="BY626">
        <f t="shared" si="191"/>
        <v>0</v>
      </c>
      <c r="BZ626" s="303">
        <f t="shared" si="192"/>
        <v>0</v>
      </c>
      <c r="CB626" s="298">
        <v>0.6</v>
      </c>
      <c r="CC626" s="298">
        <v>0.4</v>
      </c>
      <c r="CD626">
        <f t="shared" si="193"/>
        <v>0</v>
      </c>
      <c r="CE626">
        <f t="shared" si="194"/>
        <v>0</v>
      </c>
      <c r="CF626">
        <f t="shared" si="195"/>
        <v>0</v>
      </c>
      <c r="CG626">
        <f t="shared" si="196"/>
        <v>0</v>
      </c>
      <c r="CH626">
        <f t="shared" si="197"/>
        <v>0</v>
      </c>
      <c r="CI626">
        <f t="shared" si="198"/>
        <v>0</v>
      </c>
      <c r="CJ626">
        <f t="shared" si="199"/>
        <v>0</v>
      </c>
      <c r="CK626">
        <f t="shared" si="200"/>
        <v>0</v>
      </c>
      <c r="CL626">
        <f t="shared" si="201"/>
        <v>0</v>
      </c>
      <c r="CM626">
        <f t="shared" si="203"/>
        <v>0</v>
      </c>
      <c r="CN626">
        <f t="shared" si="202"/>
        <v>0</v>
      </c>
      <c r="CO626">
        <f t="shared" si="186"/>
        <v>0</v>
      </c>
    </row>
    <row r="627" spans="1:93" s="12" customFormat="1" ht="14.45" hidden="1" customHeight="1" x14ac:dyDescent="0.25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+VLOOKUP(G627,Liste!$A$7:$G$69,3,FALSE)</f>
        <v>Pin Laricio</v>
      </c>
      <c r="BI627" s="96" t="str">
        <f>+VLOOKUP(H627,Liste!$B$7:$G$69,5,FALSE)</f>
        <v>GS Pineraies des plaines du Centre et du Nord Ouest</v>
      </c>
      <c r="BJ627" s="135">
        <f t="shared" si="185"/>
        <v>56</v>
      </c>
      <c r="BK627" s="135" t="str">
        <f t="shared" si="187"/>
        <v>Pin Laricio_F1_Classique_GS Pineraies des plaines du Centre et du Nord Ouest_56_</v>
      </c>
      <c r="BL627" s="319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97" t="str">
        <f>+VLOOKUP(G627,Liste!$A$7:$H$69,8,FALSE)</f>
        <v>Résineux</v>
      </c>
      <c r="BU627" s="297">
        <f t="shared" si="188"/>
        <v>0</v>
      </c>
      <c r="BV627" s="299">
        <f t="shared" si="189"/>
        <v>1</v>
      </c>
      <c r="BW627" s="318">
        <v>0</v>
      </c>
      <c r="BX627" s="297">
        <f t="shared" si="190"/>
        <v>0.43</v>
      </c>
      <c r="BY627">
        <f t="shared" si="191"/>
        <v>0</v>
      </c>
      <c r="BZ627" s="303">
        <f t="shared" si="192"/>
        <v>0</v>
      </c>
      <c r="CB627" s="298">
        <v>0.6</v>
      </c>
      <c r="CC627" s="298">
        <v>0.4</v>
      </c>
      <c r="CD627">
        <f t="shared" si="193"/>
        <v>0</v>
      </c>
      <c r="CE627">
        <f t="shared" si="194"/>
        <v>0</v>
      </c>
      <c r="CF627">
        <f t="shared" si="195"/>
        <v>0</v>
      </c>
      <c r="CG627">
        <f t="shared" si="196"/>
        <v>0</v>
      </c>
      <c r="CH627">
        <f t="shared" si="197"/>
        <v>0</v>
      </c>
      <c r="CI627">
        <f t="shared" si="198"/>
        <v>0</v>
      </c>
      <c r="CJ627">
        <f t="shared" si="199"/>
        <v>0</v>
      </c>
      <c r="CK627">
        <f t="shared" si="200"/>
        <v>0</v>
      </c>
      <c r="CL627">
        <f t="shared" si="201"/>
        <v>0</v>
      </c>
      <c r="CM627">
        <f t="shared" si="203"/>
        <v>0</v>
      </c>
      <c r="CN627">
        <f t="shared" si="202"/>
        <v>0</v>
      </c>
      <c r="CO627">
        <f t="shared" si="186"/>
        <v>0</v>
      </c>
    </row>
    <row r="628" spans="1:93" s="12" customFormat="1" ht="14.45" hidden="1" customHeight="1" x14ac:dyDescent="0.25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+VLOOKUP(G628,Liste!$A$7:$G$69,3,FALSE)</f>
        <v>Pin Laricio</v>
      </c>
      <c r="BI628" s="96" t="str">
        <f>+VLOOKUP(H628,Liste!$B$7:$G$69,5,FALSE)</f>
        <v>GS Pineraies des plaines du Centre et du Nord Ouest</v>
      </c>
      <c r="BJ628" s="135">
        <f t="shared" si="185"/>
        <v>56</v>
      </c>
      <c r="BK628" s="135" t="str">
        <f t="shared" si="187"/>
        <v>Pin Laricio_F1_Classique_GS Pineraies des plaines du Centre et du Nord Ouest_56_</v>
      </c>
      <c r="BL628" s="319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97" t="str">
        <f>+VLOOKUP(G628,Liste!$A$7:$H$69,8,FALSE)</f>
        <v>Résineux</v>
      </c>
      <c r="BU628" s="297">
        <f t="shared" si="188"/>
        <v>0</v>
      </c>
      <c r="BV628" s="299">
        <f t="shared" si="189"/>
        <v>1</v>
      </c>
      <c r="BW628" s="318">
        <v>0</v>
      </c>
      <c r="BX628" s="297">
        <f t="shared" si="190"/>
        <v>0.43</v>
      </c>
      <c r="BY628">
        <f t="shared" si="191"/>
        <v>0</v>
      </c>
      <c r="BZ628" s="303">
        <f t="shared" si="192"/>
        <v>0</v>
      </c>
      <c r="CB628" s="298">
        <v>0.6</v>
      </c>
      <c r="CC628" s="298">
        <v>0.4</v>
      </c>
      <c r="CD628">
        <f t="shared" si="193"/>
        <v>0</v>
      </c>
      <c r="CE628">
        <f t="shared" si="194"/>
        <v>0</v>
      </c>
      <c r="CF628">
        <f t="shared" si="195"/>
        <v>0</v>
      </c>
      <c r="CG628">
        <f t="shared" si="196"/>
        <v>0</v>
      </c>
      <c r="CH628">
        <f t="shared" si="197"/>
        <v>0</v>
      </c>
      <c r="CI628">
        <f t="shared" si="198"/>
        <v>0</v>
      </c>
      <c r="CJ628">
        <f t="shared" si="199"/>
        <v>0</v>
      </c>
      <c r="CK628">
        <f t="shared" si="200"/>
        <v>0</v>
      </c>
      <c r="CL628">
        <f t="shared" si="201"/>
        <v>0</v>
      </c>
      <c r="CM628">
        <f t="shared" si="203"/>
        <v>0</v>
      </c>
      <c r="CN628">
        <f t="shared" si="202"/>
        <v>0</v>
      </c>
      <c r="CO628">
        <f t="shared" si="186"/>
        <v>0</v>
      </c>
    </row>
    <row r="629" spans="1:93" s="12" customFormat="1" ht="14.45" hidden="1" customHeight="1" x14ac:dyDescent="0.25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+VLOOKUP(G629,Liste!$A$7:$G$69,3,FALSE)</f>
        <v>Pin Laricio</v>
      </c>
      <c r="BI629" s="96" t="str">
        <f>+VLOOKUP(H629,Liste!$B$7:$G$69,5,FALSE)</f>
        <v>GS Pineraies des plaines du Centre et du Nord Ouest</v>
      </c>
      <c r="BJ629" s="135">
        <f t="shared" si="185"/>
        <v>57</v>
      </c>
      <c r="BK629" s="135" t="str">
        <f t="shared" si="187"/>
        <v>Pin Laricio_F1_Classique_GS Pineraies des plaines du Centre et du Nord Ouest_57_</v>
      </c>
      <c r="BL629" s="319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97" t="str">
        <f>+VLOOKUP(G629,Liste!$A$7:$H$69,8,FALSE)</f>
        <v>Résineux</v>
      </c>
      <c r="BU629" s="297">
        <f t="shared" si="188"/>
        <v>0</v>
      </c>
      <c r="BV629" s="299">
        <f t="shared" si="189"/>
        <v>1</v>
      </c>
      <c r="BW629" s="318">
        <v>0</v>
      </c>
      <c r="BX629" s="297">
        <f t="shared" si="190"/>
        <v>0.43</v>
      </c>
      <c r="BY629">
        <f t="shared" si="191"/>
        <v>0</v>
      </c>
      <c r="BZ629" s="303">
        <f t="shared" si="192"/>
        <v>0</v>
      </c>
      <c r="CB629" s="298">
        <v>0.6</v>
      </c>
      <c r="CC629" s="298">
        <v>0.4</v>
      </c>
      <c r="CD629">
        <f t="shared" si="193"/>
        <v>0</v>
      </c>
      <c r="CE629">
        <f t="shared" si="194"/>
        <v>0</v>
      </c>
      <c r="CF629">
        <f t="shared" si="195"/>
        <v>0</v>
      </c>
      <c r="CG629">
        <f t="shared" si="196"/>
        <v>0</v>
      </c>
      <c r="CH629">
        <f t="shared" si="197"/>
        <v>0</v>
      </c>
      <c r="CI629">
        <f t="shared" si="198"/>
        <v>0</v>
      </c>
      <c r="CJ629">
        <f t="shared" si="199"/>
        <v>0</v>
      </c>
      <c r="CK629">
        <f t="shared" si="200"/>
        <v>0</v>
      </c>
      <c r="CL629">
        <f t="shared" si="201"/>
        <v>0</v>
      </c>
      <c r="CM629">
        <f t="shared" si="203"/>
        <v>0</v>
      </c>
      <c r="CN629">
        <f t="shared" si="202"/>
        <v>0</v>
      </c>
      <c r="CO629">
        <f t="shared" si="186"/>
        <v>0</v>
      </c>
    </row>
    <row r="630" spans="1:93" s="12" customFormat="1" ht="14.45" hidden="1" customHeight="1" x14ac:dyDescent="0.25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+VLOOKUP(G630,Liste!$A$7:$G$69,3,FALSE)</f>
        <v>Pin Laricio</v>
      </c>
      <c r="BI630" s="96" t="str">
        <f>+VLOOKUP(H630,Liste!$B$7:$G$69,5,FALSE)</f>
        <v>GS Pineraies des plaines du Centre et du Nord Ouest</v>
      </c>
      <c r="BJ630" s="135">
        <f t="shared" si="185"/>
        <v>58</v>
      </c>
      <c r="BK630" s="135" t="str">
        <f t="shared" si="187"/>
        <v>Pin Laricio_F1_Classique_GS Pineraies des plaines du Centre et du Nord Ouest_58_</v>
      </c>
      <c r="BL630" s="319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97" t="str">
        <f>+VLOOKUP(G630,Liste!$A$7:$H$69,8,FALSE)</f>
        <v>Résineux</v>
      </c>
      <c r="BU630" s="297">
        <f t="shared" si="188"/>
        <v>0</v>
      </c>
      <c r="BV630" s="299">
        <f t="shared" si="189"/>
        <v>1</v>
      </c>
      <c r="BW630" s="318">
        <v>0</v>
      </c>
      <c r="BX630" s="297">
        <f t="shared" si="190"/>
        <v>0.43</v>
      </c>
      <c r="BY630">
        <f t="shared" si="191"/>
        <v>0</v>
      </c>
      <c r="BZ630" s="303">
        <f t="shared" si="192"/>
        <v>0</v>
      </c>
      <c r="CB630" s="298">
        <v>0.6</v>
      </c>
      <c r="CC630" s="298">
        <v>0.4</v>
      </c>
      <c r="CD630">
        <f t="shared" si="193"/>
        <v>0</v>
      </c>
      <c r="CE630">
        <f t="shared" si="194"/>
        <v>0</v>
      </c>
      <c r="CF630">
        <f t="shared" si="195"/>
        <v>0</v>
      </c>
      <c r="CG630">
        <f t="shared" si="196"/>
        <v>0</v>
      </c>
      <c r="CH630">
        <f t="shared" si="197"/>
        <v>0</v>
      </c>
      <c r="CI630">
        <f t="shared" si="198"/>
        <v>0</v>
      </c>
      <c r="CJ630">
        <f t="shared" si="199"/>
        <v>0</v>
      </c>
      <c r="CK630">
        <f t="shared" si="200"/>
        <v>0</v>
      </c>
      <c r="CL630">
        <f t="shared" si="201"/>
        <v>0</v>
      </c>
      <c r="CM630">
        <f t="shared" si="203"/>
        <v>0</v>
      </c>
      <c r="CN630">
        <f t="shared" si="202"/>
        <v>0</v>
      </c>
      <c r="CO630">
        <f t="shared" si="186"/>
        <v>0</v>
      </c>
    </row>
    <row r="631" spans="1:93" s="12" customFormat="1" ht="14.45" hidden="1" customHeight="1" x14ac:dyDescent="0.25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+VLOOKUP(G631,Liste!$A$7:$G$69,3,FALSE)</f>
        <v>Pin Laricio</v>
      </c>
      <c r="BI631" s="96" t="str">
        <f>+VLOOKUP(H631,Liste!$B$7:$G$69,5,FALSE)</f>
        <v>GS Pineraies des plaines du Centre et du Nord Ouest</v>
      </c>
      <c r="BJ631" s="135">
        <f t="shared" si="185"/>
        <v>59</v>
      </c>
      <c r="BK631" s="135" t="str">
        <f t="shared" si="187"/>
        <v>Pin Laricio_F1_Classique_GS Pineraies des plaines du Centre et du Nord Ouest_59_</v>
      </c>
      <c r="BL631" s="319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97" t="str">
        <f>+VLOOKUP(G631,Liste!$A$7:$H$69,8,FALSE)</f>
        <v>Résineux</v>
      </c>
      <c r="BU631" s="297">
        <f t="shared" si="188"/>
        <v>0</v>
      </c>
      <c r="BV631" s="299">
        <f t="shared" si="189"/>
        <v>1</v>
      </c>
      <c r="BW631" s="318">
        <v>0</v>
      </c>
      <c r="BX631" s="297">
        <f t="shared" si="190"/>
        <v>0.43</v>
      </c>
      <c r="BY631">
        <f t="shared" si="191"/>
        <v>0</v>
      </c>
      <c r="BZ631" s="303">
        <f t="shared" si="192"/>
        <v>0</v>
      </c>
      <c r="CB631" s="298">
        <v>0.6</v>
      </c>
      <c r="CC631" s="298">
        <v>0.4</v>
      </c>
      <c r="CD631">
        <f t="shared" si="193"/>
        <v>0</v>
      </c>
      <c r="CE631">
        <f t="shared" si="194"/>
        <v>0</v>
      </c>
      <c r="CF631">
        <f t="shared" si="195"/>
        <v>0</v>
      </c>
      <c r="CG631">
        <f t="shared" si="196"/>
        <v>0</v>
      </c>
      <c r="CH631">
        <f t="shared" si="197"/>
        <v>0</v>
      </c>
      <c r="CI631">
        <f t="shared" si="198"/>
        <v>0</v>
      </c>
      <c r="CJ631">
        <f t="shared" si="199"/>
        <v>0</v>
      </c>
      <c r="CK631">
        <f t="shared" si="200"/>
        <v>0</v>
      </c>
      <c r="CL631">
        <f t="shared" si="201"/>
        <v>0</v>
      </c>
      <c r="CM631">
        <f t="shared" si="203"/>
        <v>0</v>
      </c>
      <c r="CN631">
        <f t="shared" si="202"/>
        <v>0</v>
      </c>
      <c r="CO631">
        <f t="shared" si="186"/>
        <v>0</v>
      </c>
    </row>
    <row r="632" spans="1:93" s="12" customFormat="1" ht="14.45" hidden="1" customHeight="1" x14ac:dyDescent="0.25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+VLOOKUP(G632,Liste!$A$7:$G$69,3,FALSE)</f>
        <v>Pin Laricio</v>
      </c>
      <c r="BI632" s="96" t="str">
        <f>+VLOOKUP(H632,Liste!$B$7:$G$69,5,FALSE)</f>
        <v>GS Pineraies des plaines du Centre et du Nord Ouest</v>
      </c>
      <c r="BJ632" s="135">
        <f t="shared" si="185"/>
        <v>60</v>
      </c>
      <c r="BK632" s="135" t="str">
        <f t="shared" si="187"/>
        <v>Pin Laricio_F1_Classique_GS Pineraies des plaines du Centre et du Nord Ouest_60_</v>
      </c>
      <c r="BL632" s="319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97" t="str">
        <f>+VLOOKUP(G632,Liste!$A$7:$H$69,8,FALSE)</f>
        <v>Résineux</v>
      </c>
      <c r="BU632" s="297">
        <f t="shared" si="188"/>
        <v>0</v>
      </c>
      <c r="BV632" s="299">
        <f t="shared" si="189"/>
        <v>1</v>
      </c>
      <c r="BW632" s="318">
        <v>0</v>
      </c>
      <c r="BX632" s="297">
        <f t="shared" si="190"/>
        <v>0.43</v>
      </c>
      <c r="BY632">
        <f t="shared" si="191"/>
        <v>0</v>
      </c>
      <c r="BZ632" s="303">
        <f t="shared" si="192"/>
        <v>0</v>
      </c>
      <c r="CB632" s="298">
        <v>0.6</v>
      </c>
      <c r="CC632" s="298">
        <v>0.4</v>
      </c>
      <c r="CD632">
        <f t="shared" si="193"/>
        <v>0</v>
      </c>
      <c r="CE632">
        <f t="shared" si="194"/>
        <v>0</v>
      </c>
      <c r="CF632">
        <f t="shared" si="195"/>
        <v>0</v>
      </c>
      <c r="CG632">
        <f t="shared" si="196"/>
        <v>0</v>
      </c>
      <c r="CH632">
        <f t="shared" si="197"/>
        <v>0</v>
      </c>
      <c r="CI632">
        <f t="shared" si="198"/>
        <v>0</v>
      </c>
      <c r="CJ632">
        <f t="shared" si="199"/>
        <v>0</v>
      </c>
      <c r="CK632">
        <f t="shared" si="200"/>
        <v>0</v>
      </c>
      <c r="CL632">
        <f t="shared" si="201"/>
        <v>0</v>
      </c>
      <c r="CM632">
        <f t="shared" si="203"/>
        <v>0</v>
      </c>
      <c r="CN632">
        <f t="shared" si="202"/>
        <v>0</v>
      </c>
      <c r="CO632">
        <f t="shared" si="186"/>
        <v>0</v>
      </c>
    </row>
    <row r="633" spans="1:93" s="12" customFormat="1" ht="14.45" hidden="1" customHeight="1" x14ac:dyDescent="0.25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+VLOOKUP(G633,Liste!$A$7:$G$69,3,FALSE)</f>
        <v>Pin Laricio</v>
      </c>
      <c r="BI633" s="96" t="str">
        <f>+VLOOKUP(H633,Liste!$B$7:$G$69,5,FALSE)</f>
        <v>GS Pineraies des plaines du Centre et du Nord Ouest</v>
      </c>
      <c r="BJ633" s="135">
        <f t="shared" si="185"/>
        <v>61</v>
      </c>
      <c r="BK633" s="135" t="str">
        <f t="shared" si="187"/>
        <v>Pin Laricio_F1_Classique_GS Pineraies des plaines du Centre et du Nord Ouest_61_</v>
      </c>
      <c r="BL633" s="319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97" t="str">
        <f>+VLOOKUP(G633,Liste!$A$7:$H$69,8,FALSE)</f>
        <v>Résineux</v>
      </c>
      <c r="BU633" s="297">
        <f t="shared" si="188"/>
        <v>0</v>
      </c>
      <c r="BV633" s="299">
        <f t="shared" si="189"/>
        <v>1</v>
      </c>
      <c r="BW633" s="318">
        <v>0</v>
      </c>
      <c r="BX633" s="297">
        <f t="shared" si="190"/>
        <v>0.43</v>
      </c>
      <c r="BY633">
        <f t="shared" si="191"/>
        <v>0</v>
      </c>
      <c r="BZ633" s="303">
        <f t="shared" si="192"/>
        <v>0</v>
      </c>
      <c r="CB633" s="298">
        <v>0.6</v>
      </c>
      <c r="CC633" s="298">
        <v>0.4</v>
      </c>
      <c r="CD633">
        <f t="shared" si="193"/>
        <v>0</v>
      </c>
      <c r="CE633">
        <f t="shared" si="194"/>
        <v>0</v>
      </c>
      <c r="CF633">
        <f t="shared" si="195"/>
        <v>0</v>
      </c>
      <c r="CG633">
        <f t="shared" si="196"/>
        <v>0</v>
      </c>
      <c r="CH633">
        <f t="shared" si="197"/>
        <v>0</v>
      </c>
      <c r="CI633">
        <f t="shared" si="198"/>
        <v>0</v>
      </c>
      <c r="CJ633">
        <f t="shared" si="199"/>
        <v>0</v>
      </c>
      <c r="CK633">
        <f t="shared" si="200"/>
        <v>0</v>
      </c>
      <c r="CL633">
        <f t="shared" si="201"/>
        <v>0</v>
      </c>
      <c r="CM633">
        <f t="shared" si="203"/>
        <v>0</v>
      </c>
      <c r="CN633">
        <f t="shared" si="202"/>
        <v>0</v>
      </c>
      <c r="CO633">
        <f t="shared" si="186"/>
        <v>0</v>
      </c>
    </row>
    <row r="634" spans="1:93" s="12" customFormat="1" ht="14.45" hidden="1" customHeight="1" x14ac:dyDescent="0.25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+VLOOKUP(G634,Liste!$A$7:$G$69,3,FALSE)</f>
        <v>Pin Laricio</v>
      </c>
      <c r="BI634" s="96" t="str">
        <f>+VLOOKUP(H634,Liste!$B$7:$G$69,5,FALSE)</f>
        <v>GS Pineraies des plaines du Centre et du Nord Ouest</v>
      </c>
      <c r="BJ634" s="135">
        <f t="shared" si="185"/>
        <v>62</v>
      </c>
      <c r="BK634" s="135" t="str">
        <f t="shared" si="187"/>
        <v>Pin Laricio_F1_Classique_GS Pineraies des plaines du Centre et du Nord Ouest_62_</v>
      </c>
      <c r="BL634" s="319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97" t="str">
        <f>+VLOOKUP(G634,Liste!$A$7:$H$69,8,FALSE)</f>
        <v>Résineux</v>
      </c>
      <c r="BU634" s="297">
        <f t="shared" si="188"/>
        <v>0</v>
      </c>
      <c r="BV634" s="299">
        <f t="shared" si="189"/>
        <v>1</v>
      </c>
      <c r="BW634" s="318">
        <v>0</v>
      </c>
      <c r="BX634" s="297">
        <f t="shared" si="190"/>
        <v>0.43</v>
      </c>
      <c r="BY634">
        <f t="shared" si="191"/>
        <v>0</v>
      </c>
      <c r="BZ634" s="303">
        <f t="shared" si="192"/>
        <v>0</v>
      </c>
      <c r="CB634" s="298">
        <v>0.6</v>
      </c>
      <c r="CC634" s="298">
        <v>0.4</v>
      </c>
      <c r="CD634">
        <f t="shared" si="193"/>
        <v>0</v>
      </c>
      <c r="CE634">
        <f t="shared" si="194"/>
        <v>0</v>
      </c>
      <c r="CF634">
        <f t="shared" si="195"/>
        <v>0</v>
      </c>
      <c r="CG634">
        <f t="shared" si="196"/>
        <v>0</v>
      </c>
      <c r="CH634">
        <f t="shared" si="197"/>
        <v>0</v>
      </c>
      <c r="CI634">
        <f t="shared" si="198"/>
        <v>0</v>
      </c>
      <c r="CJ634">
        <f t="shared" si="199"/>
        <v>0</v>
      </c>
      <c r="CK634">
        <f t="shared" si="200"/>
        <v>0</v>
      </c>
      <c r="CL634">
        <f t="shared" si="201"/>
        <v>0</v>
      </c>
      <c r="CM634">
        <f t="shared" si="203"/>
        <v>0</v>
      </c>
      <c r="CN634">
        <f t="shared" si="202"/>
        <v>0</v>
      </c>
      <c r="CO634">
        <f t="shared" si="186"/>
        <v>0</v>
      </c>
    </row>
    <row r="635" spans="1:93" s="12" customFormat="1" ht="14.45" hidden="1" customHeight="1" x14ac:dyDescent="0.25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+VLOOKUP(G635,Liste!$A$7:$G$69,3,FALSE)</f>
        <v>Pin Laricio</v>
      </c>
      <c r="BI635" s="96" t="str">
        <f>+VLOOKUP(H635,Liste!$B$7:$G$69,5,FALSE)</f>
        <v>GS Pineraies des plaines du Centre et du Nord Ouest</v>
      </c>
      <c r="BJ635" s="135">
        <f t="shared" si="185"/>
        <v>63</v>
      </c>
      <c r="BK635" s="135" t="str">
        <f t="shared" si="187"/>
        <v>Pin Laricio_F1_Classique_GS Pineraies des plaines du Centre et du Nord Ouest_63_</v>
      </c>
      <c r="BL635" s="319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97" t="str">
        <f>+VLOOKUP(G635,Liste!$A$7:$H$69,8,FALSE)</f>
        <v>Résineux</v>
      </c>
      <c r="BU635" s="297">
        <f t="shared" si="188"/>
        <v>0</v>
      </c>
      <c r="BV635" s="299">
        <f t="shared" si="189"/>
        <v>1</v>
      </c>
      <c r="BW635" s="318">
        <v>0</v>
      </c>
      <c r="BX635" s="297">
        <f t="shared" si="190"/>
        <v>0.43</v>
      </c>
      <c r="BY635">
        <f t="shared" si="191"/>
        <v>0</v>
      </c>
      <c r="BZ635" s="303">
        <f t="shared" si="192"/>
        <v>0</v>
      </c>
      <c r="CB635" s="298">
        <v>0.6</v>
      </c>
      <c r="CC635" s="298">
        <v>0.4</v>
      </c>
      <c r="CD635">
        <f t="shared" si="193"/>
        <v>0</v>
      </c>
      <c r="CE635">
        <f t="shared" si="194"/>
        <v>0</v>
      </c>
      <c r="CF635">
        <f t="shared" si="195"/>
        <v>0</v>
      </c>
      <c r="CG635">
        <f t="shared" si="196"/>
        <v>0</v>
      </c>
      <c r="CH635">
        <f t="shared" si="197"/>
        <v>0</v>
      </c>
      <c r="CI635">
        <f t="shared" si="198"/>
        <v>0</v>
      </c>
      <c r="CJ635">
        <f t="shared" si="199"/>
        <v>0</v>
      </c>
      <c r="CK635">
        <f t="shared" si="200"/>
        <v>0</v>
      </c>
      <c r="CL635">
        <f t="shared" si="201"/>
        <v>0</v>
      </c>
      <c r="CM635">
        <f t="shared" si="203"/>
        <v>0</v>
      </c>
      <c r="CN635">
        <f t="shared" si="202"/>
        <v>0</v>
      </c>
      <c r="CO635">
        <f t="shared" si="186"/>
        <v>0</v>
      </c>
    </row>
    <row r="636" spans="1:93" s="12" customFormat="1" ht="14.45" hidden="1" customHeight="1" x14ac:dyDescent="0.25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+VLOOKUP(G636,Liste!$A$7:$G$69,3,FALSE)</f>
        <v>Pin Laricio</v>
      </c>
      <c r="BI636" s="96" t="str">
        <f>+VLOOKUP(H636,Liste!$B$7:$G$69,5,FALSE)</f>
        <v>GS Pineraies des plaines du Centre et du Nord Ouest</v>
      </c>
      <c r="BJ636" s="135">
        <f t="shared" si="185"/>
        <v>64</v>
      </c>
      <c r="BK636" s="135" t="str">
        <f t="shared" si="187"/>
        <v>Pin Laricio_F1_Classique_GS Pineraies des plaines du Centre et du Nord Ouest_64_</v>
      </c>
      <c r="BL636" s="319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97" t="str">
        <f>+VLOOKUP(G636,Liste!$A$7:$H$69,8,FALSE)</f>
        <v>Résineux</v>
      </c>
      <c r="BU636" s="297">
        <f t="shared" si="188"/>
        <v>0</v>
      </c>
      <c r="BV636" s="299">
        <f t="shared" si="189"/>
        <v>1</v>
      </c>
      <c r="BW636" s="318">
        <v>0</v>
      </c>
      <c r="BX636" s="297">
        <f t="shared" si="190"/>
        <v>0.43</v>
      </c>
      <c r="BY636">
        <f t="shared" si="191"/>
        <v>0</v>
      </c>
      <c r="BZ636" s="303">
        <f t="shared" si="192"/>
        <v>0</v>
      </c>
      <c r="CB636" s="298">
        <v>0.6</v>
      </c>
      <c r="CC636" s="298">
        <v>0.4</v>
      </c>
      <c r="CD636">
        <f t="shared" si="193"/>
        <v>0</v>
      </c>
      <c r="CE636">
        <f t="shared" si="194"/>
        <v>0</v>
      </c>
      <c r="CF636">
        <f t="shared" si="195"/>
        <v>0</v>
      </c>
      <c r="CG636">
        <f t="shared" si="196"/>
        <v>0</v>
      </c>
      <c r="CH636">
        <f t="shared" si="197"/>
        <v>0</v>
      </c>
      <c r="CI636">
        <f t="shared" si="198"/>
        <v>0</v>
      </c>
      <c r="CJ636">
        <f t="shared" si="199"/>
        <v>0</v>
      </c>
      <c r="CK636">
        <f t="shared" si="200"/>
        <v>0</v>
      </c>
      <c r="CL636">
        <f t="shared" si="201"/>
        <v>0</v>
      </c>
      <c r="CM636">
        <f t="shared" si="203"/>
        <v>0</v>
      </c>
      <c r="CN636">
        <f t="shared" si="202"/>
        <v>0</v>
      </c>
      <c r="CO636">
        <f t="shared" si="186"/>
        <v>0</v>
      </c>
    </row>
    <row r="637" spans="1:93" s="12" customFormat="1" ht="14.45" hidden="1" customHeight="1" x14ac:dyDescent="0.25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+VLOOKUP(G637,Liste!$A$7:$G$69,3,FALSE)</f>
        <v>Pin Laricio</v>
      </c>
      <c r="BI637" s="96" t="str">
        <f>+VLOOKUP(H637,Liste!$B$7:$G$69,5,FALSE)</f>
        <v>GS Pineraies des plaines du Centre et du Nord Ouest</v>
      </c>
      <c r="BJ637" s="135">
        <f t="shared" si="185"/>
        <v>65</v>
      </c>
      <c r="BK637" s="135" t="str">
        <f t="shared" si="187"/>
        <v>Pin Laricio_F1_Classique_GS Pineraies des plaines du Centre et du Nord Ouest_65_</v>
      </c>
      <c r="BL637" s="319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97" t="str">
        <f>+VLOOKUP(G637,Liste!$A$7:$H$69,8,FALSE)</f>
        <v>Résineux</v>
      </c>
      <c r="BU637" s="297">
        <f t="shared" si="188"/>
        <v>0</v>
      </c>
      <c r="BV637" s="299">
        <f t="shared" si="189"/>
        <v>1</v>
      </c>
      <c r="BW637" s="318">
        <v>0</v>
      </c>
      <c r="BX637" s="297">
        <f t="shared" si="190"/>
        <v>0.43</v>
      </c>
      <c r="BY637">
        <f t="shared" si="191"/>
        <v>0</v>
      </c>
      <c r="BZ637" s="303">
        <f t="shared" si="192"/>
        <v>0</v>
      </c>
      <c r="CB637" s="298">
        <v>0.6</v>
      </c>
      <c r="CC637" s="298">
        <v>0.4</v>
      </c>
      <c r="CD637">
        <f t="shared" si="193"/>
        <v>0</v>
      </c>
      <c r="CE637">
        <f t="shared" si="194"/>
        <v>0</v>
      </c>
      <c r="CF637">
        <f t="shared" si="195"/>
        <v>0</v>
      </c>
      <c r="CG637">
        <f t="shared" si="196"/>
        <v>0</v>
      </c>
      <c r="CH637">
        <f t="shared" si="197"/>
        <v>0</v>
      </c>
      <c r="CI637">
        <f t="shared" si="198"/>
        <v>0</v>
      </c>
      <c r="CJ637">
        <f t="shared" si="199"/>
        <v>0</v>
      </c>
      <c r="CK637">
        <f t="shared" si="200"/>
        <v>0</v>
      </c>
      <c r="CL637">
        <f t="shared" si="201"/>
        <v>0</v>
      </c>
      <c r="CM637">
        <f t="shared" si="203"/>
        <v>0</v>
      </c>
      <c r="CN637">
        <f t="shared" si="202"/>
        <v>0</v>
      </c>
      <c r="CO637">
        <f t="shared" si="186"/>
        <v>0</v>
      </c>
    </row>
    <row r="638" spans="1:93" s="12" customFormat="1" ht="14.45" hidden="1" customHeight="1" x14ac:dyDescent="0.25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+VLOOKUP(G638,Liste!$A$7:$G$69,3,FALSE)</f>
        <v>Pin Laricio</v>
      </c>
      <c r="BI638" s="96" t="str">
        <f>+VLOOKUP(H638,Liste!$B$7:$G$69,5,FALSE)</f>
        <v>GS Pineraies des plaines du Centre et du Nord Ouest</v>
      </c>
      <c r="BJ638" s="135">
        <f t="shared" si="185"/>
        <v>66</v>
      </c>
      <c r="BK638" s="135" t="str">
        <f t="shared" si="187"/>
        <v>Pin Laricio_F1_Classique_GS Pineraies des plaines du Centre et du Nord Ouest_66_</v>
      </c>
      <c r="BL638" s="319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97" t="str">
        <f>+VLOOKUP(G638,Liste!$A$7:$H$69,8,FALSE)</f>
        <v>Résineux</v>
      </c>
      <c r="BU638" s="297">
        <f t="shared" si="188"/>
        <v>0</v>
      </c>
      <c r="BV638" s="299">
        <f t="shared" si="189"/>
        <v>1</v>
      </c>
      <c r="BW638" s="318">
        <v>0</v>
      </c>
      <c r="BX638" s="297">
        <f t="shared" si="190"/>
        <v>0.43</v>
      </c>
      <c r="BY638">
        <f t="shared" si="191"/>
        <v>0</v>
      </c>
      <c r="BZ638" s="303">
        <f t="shared" si="192"/>
        <v>0</v>
      </c>
      <c r="CB638" s="298">
        <v>0.6</v>
      </c>
      <c r="CC638" s="298">
        <v>0.4</v>
      </c>
      <c r="CD638">
        <f t="shared" si="193"/>
        <v>0</v>
      </c>
      <c r="CE638">
        <f t="shared" si="194"/>
        <v>0</v>
      </c>
      <c r="CF638">
        <f t="shared" si="195"/>
        <v>0</v>
      </c>
      <c r="CG638">
        <f t="shared" si="196"/>
        <v>0</v>
      </c>
      <c r="CH638">
        <f t="shared" si="197"/>
        <v>0</v>
      </c>
      <c r="CI638">
        <f t="shared" si="198"/>
        <v>0</v>
      </c>
      <c r="CJ638">
        <f t="shared" si="199"/>
        <v>0</v>
      </c>
      <c r="CK638">
        <f t="shared" si="200"/>
        <v>0</v>
      </c>
      <c r="CL638">
        <f t="shared" si="201"/>
        <v>0</v>
      </c>
      <c r="CM638">
        <f t="shared" si="203"/>
        <v>0</v>
      </c>
      <c r="CN638">
        <f t="shared" si="202"/>
        <v>0</v>
      </c>
      <c r="CO638">
        <f t="shared" si="186"/>
        <v>0</v>
      </c>
    </row>
    <row r="639" spans="1:93" s="12" customFormat="1" ht="14.45" hidden="1" customHeight="1" x14ac:dyDescent="0.25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+VLOOKUP(G639,Liste!$A$7:$G$69,3,FALSE)</f>
        <v>Pin Laricio</v>
      </c>
      <c r="BI639" s="96" t="str">
        <f>+VLOOKUP(H639,Liste!$B$7:$G$69,5,FALSE)</f>
        <v>GS Pineraies des plaines du Centre et du Nord Ouest</v>
      </c>
      <c r="BJ639" s="135">
        <f t="shared" si="185"/>
        <v>66</v>
      </c>
      <c r="BK639" s="135" t="str">
        <f t="shared" si="187"/>
        <v>Pin Laricio_F1_Classique_GS Pineraies des plaines du Centre et du Nord Ouest_66_</v>
      </c>
      <c r="BL639" s="319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97" t="str">
        <f>+VLOOKUP(G639,Liste!$A$7:$H$69,8,FALSE)</f>
        <v>Résineux</v>
      </c>
      <c r="BU639" s="297">
        <f t="shared" si="188"/>
        <v>0</v>
      </c>
      <c r="BV639" s="299">
        <f t="shared" si="189"/>
        <v>1</v>
      </c>
      <c r="BW639" s="318">
        <v>0</v>
      </c>
      <c r="BX639" s="297">
        <f t="shared" si="190"/>
        <v>0.43</v>
      </c>
      <c r="BY639">
        <f t="shared" si="191"/>
        <v>0</v>
      </c>
      <c r="BZ639" s="303">
        <f t="shared" si="192"/>
        <v>0</v>
      </c>
      <c r="CB639" s="298">
        <v>0.6</v>
      </c>
      <c r="CC639" s="298">
        <v>0.4</v>
      </c>
      <c r="CD639">
        <f t="shared" si="193"/>
        <v>0</v>
      </c>
      <c r="CE639">
        <f t="shared" si="194"/>
        <v>0</v>
      </c>
      <c r="CF639">
        <f t="shared" si="195"/>
        <v>0</v>
      </c>
      <c r="CG639">
        <f t="shared" si="196"/>
        <v>0</v>
      </c>
      <c r="CH639">
        <f t="shared" si="197"/>
        <v>0</v>
      </c>
      <c r="CI639">
        <f t="shared" si="198"/>
        <v>0</v>
      </c>
      <c r="CJ639">
        <f t="shared" si="199"/>
        <v>0</v>
      </c>
      <c r="CK639">
        <f t="shared" si="200"/>
        <v>0</v>
      </c>
      <c r="CL639">
        <f t="shared" si="201"/>
        <v>0</v>
      </c>
      <c r="CM639">
        <f t="shared" si="203"/>
        <v>0</v>
      </c>
      <c r="CN639">
        <f t="shared" si="202"/>
        <v>0</v>
      </c>
      <c r="CO639">
        <f t="shared" si="186"/>
        <v>0</v>
      </c>
    </row>
    <row r="640" spans="1:93" s="12" customFormat="1" ht="14.45" hidden="1" customHeight="1" x14ac:dyDescent="0.25">
      <c r="A640" s="4">
        <v>2021</v>
      </c>
      <c r="B640" s="315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426</v>
      </c>
      <c r="H640" s="5" t="s">
        <v>427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428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+VLOOKUP(G640,Liste!$A$7:$G$69,3,FALSE)</f>
        <v>Hêtre commun</v>
      </c>
      <c r="BI640" s="96" t="str">
        <f>+VLOOKUP(H640,Liste!$B$7:$G$69,5,FALSE)</f>
        <v>GS Hêtraies et hêtraies sapinières des Pyrénées</v>
      </c>
      <c r="BJ640" s="135">
        <f t="shared" si="185"/>
        <v>30</v>
      </c>
      <c r="BK640" s="135" t="str">
        <f t="shared" si="187"/>
        <v>Hêtre commun_F2_Entree 19-20m_GS Hêtraies et hêtraies sapinières des Pyrénées_30_</v>
      </c>
      <c r="BL640" s="319"/>
      <c r="BM640" s="13">
        <v>43.548404644400001</v>
      </c>
      <c r="BN640" s="13">
        <v>203.46980352883301</v>
      </c>
      <c r="BP640" s="13">
        <v>300.22307244627501</v>
      </c>
      <c r="BQ640" s="13"/>
      <c r="BT640" s="297" t="str">
        <f>+VLOOKUP(G640,Liste!$A$7:$H$69,8,FALSE)</f>
        <v>Feuillus</v>
      </c>
      <c r="BU640" s="297">
        <f t="shared" si="188"/>
        <v>1</v>
      </c>
      <c r="BV640" s="299">
        <f t="shared" si="189"/>
        <v>0</v>
      </c>
      <c r="BW640" s="318">
        <v>0</v>
      </c>
      <c r="BX640" s="297">
        <f t="shared" si="190"/>
        <v>0.25</v>
      </c>
      <c r="BY640">
        <f t="shared" si="191"/>
        <v>0</v>
      </c>
      <c r="BZ640" s="303">
        <f t="shared" si="192"/>
        <v>0</v>
      </c>
      <c r="CB640" s="298">
        <v>0.6</v>
      </c>
      <c r="CC640" s="298">
        <v>0.4</v>
      </c>
      <c r="CD640">
        <f t="shared" si="193"/>
        <v>0</v>
      </c>
      <c r="CE640">
        <f t="shared" si="194"/>
        <v>0</v>
      </c>
      <c r="CF640">
        <f t="shared" si="195"/>
        <v>0</v>
      </c>
      <c r="CG640">
        <f t="shared" si="196"/>
        <v>0</v>
      </c>
      <c r="CH640">
        <f t="shared" si="197"/>
        <v>0</v>
      </c>
      <c r="CI640">
        <f t="shared" si="198"/>
        <v>0</v>
      </c>
      <c r="CJ640">
        <f t="shared" si="199"/>
        <v>0</v>
      </c>
      <c r="CK640">
        <f t="shared" si="200"/>
        <v>0</v>
      </c>
      <c r="CL640">
        <f t="shared" si="201"/>
        <v>0</v>
      </c>
      <c r="CM640">
        <f t="shared" si="203"/>
        <v>0</v>
      </c>
      <c r="CN640">
        <f t="shared" si="202"/>
        <v>0</v>
      </c>
      <c r="CO640">
        <f t="shared" si="186"/>
        <v>0</v>
      </c>
    </row>
    <row r="641" spans="1:93" s="12" customFormat="1" ht="14.45" hidden="1" customHeight="1" x14ac:dyDescent="0.25">
      <c r="A641" s="4">
        <v>2021</v>
      </c>
      <c r="B641" s="315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426</v>
      </c>
      <c r="H641" s="5" t="s">
        <v>427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428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>IF($AD641="ap",AG640-AG641,"")</f>
        <v/>
      </c>
      <c r="AU641" s="8" t="str">
        <f>IF($AD641="ap",AH640-AH641,"")</f>
        <v/>
      </c>
      <c r="AV641" s="10">
        <v>0</v>
      </c>
      <c r="AW641" s="8" t="str">
        <f>IF($AD641="ap",AJ640-AJ641,"")</f>
        <v/>
      </c>
      <c r="AX641" s="8" t="str">
        <f>IF($AD641="ap",AK640-AK641,"")</f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+VLOOKUP(G641,Liste!$A$7:$G$69,3,FALSE)</f>
        <v>Hêtre commun</v>
      </c>
      <c r="BI641" s="96" t="str">
        <f>+VLOOKUP(H641,Liste!$B$7:$G$69,5,FALSE)</f>
        <v>GS Hêtraies et hêtraies sapinières des Pyrénées</v>
      </c>
      <c r="BJ641" s="135">
        <f t="shared" si="185"/>
        <v>57</v>
      </c>
      <c r="BK641" s="135" t="str">
        <f t="shared" si="187"/>
        <v>Hêtre commun_F2_Entree 19-20m_GS Hêtraies et hêtraies sapinières des Pyrénées_57_</v>
      </c>
      <c r="BL641" s="319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97" t="str">
        <f>+VLOOKUP(G641,Liste!$A$7:$H$69,8,FALSE)</f>
        <v>Feuillus</v>
      </c>
      <c r="BU641" s="297">
        <f t="shared" si="188"/>
        <v>1</v>
      </c>
      <c r="BV641" s="299">
        <f t="shared" si="189"/>
        <v>0</v>
      </c>
      <c r="BW641" s="318">
        <v>0</v>
      </c>
      <c r="BX641" s="297">
        <f t="shared" si="190"/>
        <v>0.25</v>
      </c>
      <c r="BY641">
        <f t="shared" si="191"/>
        <v>0</v>
      </c>
      <c r="BZ641" s="303">
        <f t="shared" si="192"/>
        <v>0</v>
      </c>
      <c r="CB641" s="298">
        <v>0.6</v>
      </c>
      <c r="CC641" s="298">
        <v>0.4</v>
      </c>
      <c r="CD641">
        <f t="shared" si="193"/>
        <v>0</v>
      </c>
      <c r="CE641">
        <f t="shared" si="194"/>
        <v>0</v>
      </c>
      <c r="CF641">
        <f t="shared" si="195"/>
        <v>0</v>
      </c>
      <c r="CG641">
        <f t="shared" si="196"/>
        <v>0</v>
      </c>
      <c r="CH641">
        <f t="shared" si="197"/>
        <v>0</v>
      </c>
      <c r="CI641">
        <f t="shared" si="198"/>
        <v>0</v>
      </c>
      <c r="CJ641">
        <f t="shared" si="199"/>
        <v>0</v>
      </c>
      <c r="CK641">
        <f t="shared" si="200"/>
        <v>0</v>
      </c>
      <c r="CL641">
        <f t="shared" si="201"/>
        <v>0</v>
      </c>
      <c r="CM641">
        <f t="shared" si="203"/>
        <v>0</v>
      </c>
      <c r="CN641">
        <f t="shared" si="202"/>
        <v>0</v>
      </c>
      <c r="CO641">
        <f t="shared" si="186"/>
        <v>0</v>
      </c>
    </row>
    <row r="642" spans="1:93" s="12" customFormat="1" ht="14.45" hidden="1" customHeight="1" x14ac:dyDescent="0.25">
      <c r="A642" s="4">
        <v>2021</v>
      </c>
      <c r="B642" s="315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426</v>
      </c>
      <c r="H642" s="5" t="s">
        <v>427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428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+VLOOKUP(G642,Liste!$A$7:$G$69,3,FALSE)</f>
        <v>Hêtre commun</v>
      </c>
      <c r="BI642" s="96" t="str">
        <f>+VLOOKUP(H642,Liste!$B$7:$G$69,5,FALSE)</f>
        <v>GS Hêtraies et hêtraies sapinières des Pyrénées</v>
      </c>
      <c r="BJ642" s="135">
        <f t="shared" si="185"/>
        <v>57</v>
      </c>
      <c r="BK642" s="135" t="str">
        <f t="shared" si="187"/>
        <v>Hêtre commun_F2_Entree 19-20m_GS Hêtraies et hêtraies sapinières des Pyrénées_57_</v>
      </c>
      <c r="BL642" s="319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97" t="str">
        <f>+VLOOKUP(G642,Liste!$A$7:$H$69,8,FALSE)</f>
        <v>Feuillus</v>
      </c>
      <c r="BU642" s="297">
        <f t="shared" si="188"/>
        <v>1</v>
      </c>
      <c r="BV642" s="299">
        <f t="shared" si="189"/>
        <v>0</v>
      </c>
      <c r="BW642" s="318">
        <v>0</v>
      </c>
      <c r="BX642" s="297">
        <f t="shared" si="190"/>
        <v>0.25</v>
      </c>
      <c r="BY642">
        <f t="shared" si="191"/>
        <v>0</v>
      </c>
      <c r="BZ642" s="303">
        <f t="shared" si="192"/>
        <v>0</v>
      </c>
      <c r="CB642" s="298">
        <v>0.6</v>
      </c>
      <c r="CC642" s="298">
        <v>0.4</v>
      </c>
      <c r="CD642">
        <f t="shared" si="193"/>
        <v>0</v>
      </c>
      <c r="CE642">
        <f t="shared" si="194"/>
        <v>0</v>
      </c>
      <c r="CF642">
        <f t="shared" si="195"/>
        <v>0</v>
      </c>
      <c r="CG642">
        <f t="shared" si="196"/>
        <v>0</v>
      </c>
      <c r="CH642">
        <f t="shared" si="197"/>
        <v>0</v>
      </c>
      <c r="CI642">
        <f t="shared" si="198"/>
        <v>0</v>
      </c>
      <c r="CJ642">
        <f t="shared" si="199"/>
        <v>0</v>
      </c>
      <c r="CK642">
        <f t="shared" si="200"/>
        <v>0</v>
      </c>
      <c r="CL642">
        <f t="shared" si="201"/>
        <v>0</v>
      </c>
      <c r="CM642">
        <f t="shared" si="203"/>
        <v>0</v>
      </c>
      <c r="CN642">
        <f t="shared" si="202"/>
        <v>0</v>
      </c>
      <c r="CO642">
        <f t="shared" si="186"/>
        <v>0</v>
      </c>
    </row>
    <row r="643" spans="1:93" s="12" customFormat="1" ht="14.45" hidden="1" customHeight="1" x14ac:dyDescent="0.25">
      <c r="A643" s="4">
        <v>2021</v>
      </c>
      <c r="B643" s="315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426</v>
      </c>
      <c r="H643" s="5" t="s">
        <v>427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428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+VLOOKUP(G643,Liste!$A$7:$G$69,3,FALSE)</f>
        <v>Hêtre commun</v>
      </c>
      <c r="BI643" s="96" t="str">
        <f>+VLOOKUP(H643,Liste!$B$7:$G$69,5,FALSE)</f>
        <v>GS Hêtraies et hêtraies sapinières des Pyrénées</v>
      </c>
      <c r="BJ643" s="135">
        <f t="shared" ref="BJ643:BJ706" si="204">+AC643</f>
        <v>60</v>
      </c>
      <c r="BK643" s="135" t="str">
        <f t="shared" si="187"/>
        <v>Hêtre commun_F2_Entree 19-20m_GS Hêtraies et hêtraies sapinières des Pyrénées_60_</v>
      </c>
      <c r="BL643" s="319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97" t="str">
        <f>+VLOOKUP(G643,Liste!$A$7:$H$69,8,FALSE)</f>
        <v>Feuillus</v>
      </c>
      <c r="BU643" s="297">
        <f t="shared" si="188"/>
        <v>1</v>
      </c>
      <c r="BV643" s="299">
        <f t="shared" si="189"/>
        <v>0</v>
      </c>
      <c r="BW643" s="318">
        <v>0</v>
      </c>
      <c r="BX643" s="297">
        <f t="shared" si="190"/>
        <v>0.25</v>
      </c>
      <c r="BY643">
        <f t="shared" si="191"/>
        <v>0</v>
      </c>
      <c r="BZ643" s="303">
        <f t="shared" si="192"/>
        <v>0</v>
      </c>
      <c r="CB643" s="298">
        <v>0.6</v>
      </c>
      <c r="CC643" s="298">
        <v>0.4</v>
      </c>
      <c r="CD643">
        <f t="shared" si="193"/>
        <v>0</v>
      </c>
      <c r="CE643">
        <f t="shared" si="194"/>
        <v>0</v>
      </c>
      <c r="CF643">
        <f t="shared" si="195"/>
        <v>0</v>
      </c>
      <c r="CG643">
        <f t="shared" si="196"/>
        <v>0</v>
      </c>
      <c r="CH643">
        <f t="shared" si="197"/>
        <v>0</v>
      </c>
      <c r="CI643">
        <f t="shared" si="198"/>
        <v>0</v>
      </c>
      <c r="CJ643">
        <f t="shared" si="199"/>
        <v>0</v>
      </c>
      <c r="CK643">
        <f t="shared" si="200"/>
        <v>0</v>
      </c>
      <c r="CL643">
        <f t="shared" si="201"/>
        <v>0</v>
      </c>
      <c r="CM643">
        <f t="shared" si="203"/>
        <v>0</v>
      </c>
      <c r="CN643">
        <f t="shared" si="202"/>
        <v>0</v>
      </c>
      <c r="CO643">
        <f t="shared" ref="CO643:CO706" si="205">+IF(BJ643=30,CN643/30,0)</f>
        <v>0</v>
      </c>
    </row>
    <row r="644" spans="1:93" s="12" customFormat="1" ht="14.45" hidden="1" customHeight="1" x14ac:dyDescent="0.25">
      <c r="A644" s="4">
        <v>2021</v>
      </c>
      <c r="B644" s="315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426</v>
      </c>
      <c r="H644" s="5" t="s">
        <v>427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428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+VLOOKUP(G644,Liste!$A$7:$G$69,3,FALSE)</f>
        <v>Hêtre commun</v>
      </c>
      <c r="BI644" s="96" t="str">
        <f>+VLOOKUP(H644,Liste!$B$7:$G$69,5,FALSE)</f>
        <v>GS Hêtraies et hêtraies sapinières des Pyrénées</v>
      </c>
      <c r="BJ644" s="135">
        <f t="shared" si="204"/>
        <v>63</v>
      </c>
      <c r="BK644" s="135" t="str">
        <f t="shared" ref="BK644:BK707" si="206">+_xlfn.CONCAT(BH644,"_",J644,"_",I644,"_",BI644,"_",BJ644,"_")</f>
        <v>Hêtre commun_F2_Entree 19-20m_GS Hêtraies et hêtraies sapinières des Pyrénées_63_</v>
      </c>
      <c r="BL644" s="319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97" t="str">
        <f>+VLOOKUP(G644,Liste!$A$7:$H$69,8,FALSE)</f>
        <v>Feuillus</v>
      </c>
      <c r="BU644" s="297">
        <f t="shared" ref="BU644:BU707" si="207">IF(BT644="Résineux",0%,100%)</f>
        <v>1</v>
      </c>
      <c r="BV644" s="299">
        <f t="shared" ref="BV644:BV707" si="208">+IF(BT644="Résineux",100%,0%)</f>
        <v>0</v>
      </c>
      <c r="BW644" s="318">
        <v>0</v>
      </c>
      <c r="BX644" s="297">
        <f t="shared" ref="BX644:BX707" si="209">+IF(BV644&lt;&gt;0,0.43,0.25)</f>
        <v>0.25</v>
      </c>
      <c r="BY644">
        <f t="shared" ref="BY644:BY707" si="210">+IF(BJ644&lt;=30,AV644*BX644,0)</f>
        <v>0</v>
      </c>
      <c r="BZ644" s="303">
        <f t="shared" ref="BZ644:BZ707" si="211">+IF(BJ644&gt;=31,0,BY644+BZ643)</f>
        <v>0</v>
      </c>
      <c r="CB644" s="298">
        <v>0.6</v>
      </c>
      <c r="CC644" s="298">
        <v>0.4</v>
      </c>
      <c r="CD644">
        <f t="shared" ref="CD644:CD707" si="212">+IF(BJ644&lt;=31,AV644*CA644*0.5,0)</f>
        <v>0</v>
      </c>
      <c r="CE644">
        <f t="shared" ref="CE644:CE707" si="213">IF(BJ644&lt;=31,AV644*CB644,0)</f>
        <v>0</v>
      </c>
      <c r="CF644">
        <f t="shared" ref="CF644:CF707" si="214">IF(BJ644&lt;=31,AV644*CC644,0)</f>
        <v>0</v>
      </c>
      <c r="CG644">
        <f t="shared" ref="CG644:CG707" si="215">CD644*44/12*0.475*BF644</f>
        <v>0</v>
      </c>
      <c r="CH644">
        <f t="shared" ref="CH644:CH707" si="216">CE644*44/12*0.475*BF644</f>
        <v>0</v>
      </c>
      <c r="CI644">
        <f t="shared" ref="CI644:CI707" si="217">CF644*44/12*0.475*BF644</f>
        <v>0</v>
      </c>
      <c r="CJ644">
        <f t="shared" ref="CJ644:CJ707" si="218">+IF(BJ644&lt;=31,CJ643*EXP(-$CJ$1)+CG643*(1-EXP(-$CJ$1))/$CJ$1,0)</f>
        <v>0</v>
      </c>
      <c r="CK644">
        <f t="shared" ref="CK644:CK707" si="219">+IF(BJ644&lt;=31,CK643*EXP(-$CK$1)+CH643*(1-EXP(-$CK$1))/$CK$1,0)</f>
        <v>0</v>
      </c>
      <c r="CL644">
        <f t="shared" ref="CL644:CL707" si="220">+IF(BJ644&lt;=31,CL643*EXP(-$CL$1)+CI643*(1-EXP(-$CL$1))/$CL$1,0)</f>
        <v>0</v>
      </c>
      <c r="CM644">
        <f t="shared" si="203"/>
        <v>0</v>
      </c>
      <c r="CN644">
        <f t="shared" ref="CN644:CN707" si="221">+IF(BJ644&lt;=31,CM644+CN643,0)</f>
        <v>0</v>
      </c>
      <c r="CO644">
        <f t="shared" si="205"/>
        <v>0</v>
      </c>
    </row>
    <row r="645" spans="1:93" s="12" customFormat="1" ht="14.45" hidden="1" customHeight="1" x14ac:dyDescent="0.25">
      <c r="A645" s="4">
        <v>2021</v>
      </c>
      <c r="B645" s="315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426</v>
      </c>
      <c r="H645" s="5" t="s">
        <v>427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428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+VLOOKUP(G645,Liste!$A$7:$G$69,3,FALSE)</f>
        <v>Hêtre commun</v>
      </c>
      <c r="BI645" s="96" t="str">
        <f>+VLOOKUP(H645,Liste!$B$7:$G$69,5,FALSE)</f>
        <v>GS Hêtraies et hêtraies sapinières des Pyrénées</v>
      </c>
      <c r="BJ645" s="135">
        <f t="shared" si="204"/>
        <v>66</v>
      </c>
      <c r="BK645" s="135" t="str">
        <f t="shared" si="206"/>
        <v>Hêtre commun_F2_Entree 19-20m_GS Hêtraies et hêtraies sapinières des Pyrénées_66_</v>
      </c>
      <c r="BL645" s="319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97" t="str">
        <f>+VLOOKUP(G645,Liste!$A$7:$H$69,8,FALSE)</f>
        <v>Feuillus</v>
      </c>
      <c r="BU645" s="297">
        <f t="shared" si="207"/>
        <v>1</v>
      </c>
      <c r="BV645" s="299">
        <f t="shared" si="208"/>
        <v>0</v>
      </c>
      <c r="BW645" s="318">
        <v>0</v>
      </c>
      <c r="BX645" s="297">
        <f t="shared" si="209"/>
        <v>0.25</v>
      </c>
      <c r="BY645">
        <f t="shared" si="210"/>
        <v>0</v>
      </c>
      <c r="BZ645" s="303">
        <f t="shared" si="211"/>
        <v>0</v>
      </c>
      <c r="CB645" s="298">
        <v>0.6</v>
      </c>
      <c r="CC645" s="298">
        <v>0.4</v>
      </c>
      <c r="CD645">
        <f t="shared" si="212"/>
        <v>0</v>
      </c>
      <c r="CE645">
        <f t="shared" si="213"/>
        <v>0</v>
      </c>
      <c r="CF645">
        <f t="shared" si="214"/>
        <v>0</v>
      </c>
      <c r="CG645">
        <f t="shared" si="215"/>
        <v>0</v>
      </c>
      <c r="CH645">
        <f t="shared" si="216"/>
        <v>0</v>
      </c>
      <c r="CI645">
        <f t="shared" si="217"/>
        <v>0</v>
      </c>
      <c r="CJ645">
        <f t="shared" si="218"/>
        <v>0</v>
      </c>
      <c r="CK645">
        <f t="shared" si="219"/>
        <v>0</v>
      </c>
      <c r="CL645">
        <f t="shared" si="220"/>
        <v>0</v>
      </c>
      <c r="CM645">
        <f t="shared" ref="CM645:CM708" si="222">+CJ645+CK645+CL645</f>
        <v>0</v>
      </c>
      <c r="CN645">
        <f t="shared" si="221"/>
        <v>0</v>
      </c>
      <c r="CO645">
        <f t="shared" si="205"/>
        <v>0</v>
      </c>
    </row>
    <row r="646" spans="1:93" s="12" customFormat="1" ht="14.45" hidden="1" customHeight="1" x14ac:dyDescent="0.25">
      <c r="A646" s="4">
        <v>2021</v>
      </c>
      <c r="B646" s="315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426</v>
      </c>
      <c r="H646" s="5" t="s">
        <v>427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428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+VLOOKUP(G646,Liste!$A$7:$G$69,3,FALSE)</f>
        <v>Hêtre commun</v>
      </c>
      <c r="BI646" s="96" t="str">
        <f>+VLOOKUP(H646,Liste!$B$7:$G$69,5,FALSE)</f>
        <v>GS Hêtraies et hêtraies sapinières des Pyrénées</v>
      </c>
      <c r="BJ646" s="135">
        <f t="shared" si="204"/>
        <v>66</v>
      </c>
      <c r="BK646" s="135" t="str">
        <f t="shared" si="206"/>
        <v>Hêtre commun_F2_Entree 19-20m_GS Hêtraies et hêtraies sapinières des Pyrénées_66_</v>
      </c>
      <c r="BL646" s="319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97" t="str">
        <f>+VLOOKUP(G646,Liste!$A$7:$H$69,8,FALSE)</f>
        <v>Feuillus</v>
      </c>
      <c r="BU646" s="297">
        <f t="shared" si="207"/>
        <v>1</v>
      </c>
      <c r="BV646" s="299">
        <f t="shared" si="208"/>
        <v>0</v>
      </c>
      <c r="BW646" s="318">
        <v>0</v>
      </c>
      <c r="BX646" s="297">
        <f t="shared" si="209"/>
        <v>0.25</v>
      </c>
      <c r="BY646">
        <f t="shared" si="210"/>
        <v>0</v>
      </c>
      <c r="BZ646" s="303">
        <f t="shared" si="211"/>
        <v>0</v>
      </c>
      <c r="CB646" s="298">
        <v>0.6</v>
      </c>
      <c r="CC646" s="298">
        <v>0.4</v>
      </c>
      <c r="CD646">
        <f t="shared" si="212"/>
        <v>0</v>
      </c>
      <c r="CE646">
        <f t="shared" si="213"/>
        <v>0</v>
      </c>
      <c r="CF646">
        <f t="shared" si="214"/>
        <v>0</v>
      </c>
      <c r="CG646">
        <f t="shared" si="215"/>
        <v>0</v>
      </c>
      <c r="CH646">
        <f t="shared" si="216"/>
        <v>0</v>
      </c>
      <c r="CI646">
        <f t="shared" si="217"/>
        <v>0</v>
      </c>
      <c r="CJ646">
        <f t="shared" si="218"/>
        <v>0</v>
      </c>
      <c r="CK646">
        <f t="shared" si="219"/>
        <v>0</v>
      </c>
      <c r="CL646">
        <f t="shared" si="220"/>
        <v>0</v>
      </c>
      <c r="CM646">
        <f t="shared" si="222"/>
        <v>0</v>
      </c>
      <c r="CN646">
        <f t="shared" si="221"/>
        <v>0</v>
      </c>
      <c r="CO646">
        <f t="shared" si="205"/>
        <v>0</v>
      </c>
    </row>
    <row r="647" spans="1:93" s="12" customFormat="1" ht="14.45" hidden="1" customHeight="1" x14ac:dyDescent="0.25">
      <c r="A647" s="4">
        <v>2021</v>
      </c>
      <c r="B647" s="315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426</v>
      </c>
      <c r="H647" s="5" t="s">
        <v>427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428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+VLOOKUP(G647,Liste!$A$7:$G$69,3,FALSE)</f>
        <v>Hêtre commun</v>
      </c>
      <c r="BI647" s="96" t="str">
        <f>+VLOOKUP(H647,Liste!$B$7:$G$69,5,FALSE)</f>
        <v>GS Hêtraies et hêtraies sapinières des Pyrénées</v>
      </c>
      <c r="BJ647" s="135">
        <f t="shared" si="204"/>
        <v>69</v>
      </c>
      <c r="BK647" s="135" t="str">
        <f t="shared" si="206"/>
        <v>Hêtre commun_F2_Entree 19-20m_GS Hêtraies et hêtraies sapinières des Pyrénées_69_</v>
      </c>
      <c r="BL647" s="319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97" t="str">
        <f>+VLOOKUP(G647,Liste!$A$7:$H$69,8,FALSE)</f>
        <v>Feuillus</v>
      </c>
      <c r="BU647" s="297">
        <f t="shared" si="207"/>
        <v>1</v>
      </c>
      <c r="BV647" s="299">
        <f t="shared" si="208"/>
        <v>0</v>
      </c>
      <c r="BW647" s="318">
        <v>0</v>
      </c>
      <c r="BX647" s="297">
        <f t="shared" si="209"/>
        <v>0.25</v>
      </c>
      <c r="BY647">
        <f t="shared" si="210"/>
        <v>0</v>
      </c>
      <c r="BZ647" s="303">
        <f t="shared" si="211"/>
        <v>0</v>
      </c>
      <c r="CB647" s="298">
        <v>0.6</v>
      </c>
      <c r="CC647" s="298">
        <v>0.4</v>
      </c>
      <c r="CD647">
        <f t="shared" si="212"/>
        <v>0</v>
      </c>
      <c r="CE647">
        <f t="shared" si="213"/>
        <v>0</v>
      </c>
      <c r="CF647">
        <f t="shared" si="214"/>
        <v>0</v>
      </c>
      <c r="CG647">
        <f t="shared" si="215"/>
        <v>0</v>
      </c>
      <c r="CH647">
        <f t="shared" si="216"/>
        <v>0</v>
      </c>
      <c r="CI647">
        <f t="shared" si="217"/>
        <v>0</v>
      </c>
      <c r="CJ647">
        <f t="shared" si="218"/>
        <v>0</v>
      </c>
      <c r="CK647">
        <f t="shared" si="219"/>
        <v>0</v>
      </c>
      <c r="CL647">
        <f t="shared" si="220"/>
        <v>0</v>
      </c>
      <c r="CM647">
        <f t="shared" si="222"/>
        <v>0</v>
      </c>
      <c r="CN647">
        <f t="shared" si="221"/>
        <v>0</v>
      </c>
      <c r="CO647">
        <f t="shared" si="205"/>
        <v>0</v>
      </c>
    </row>
    <row r="648" spans="1:93" s="12" customFormat="1" ht="14.45" hidden="1" customHeight="1" x14ac:dyDescent="0.25">
      <c r="A648" s="4">
        <v>2021</v>
      </c>
      <c r="B648" s="315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426</v>
      </c>
      <c r="H648" s="5" t="s">
        <v>427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428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+VLOOKUP(G648,Liste!$A$7:$G$69,3,FALSE)</f>
        <v>Hêtre commun</v>
      </c>
      <c r="BI648" s="96" t="str">
        <f>+VLOOKUP(H648,Liste!$B$7:$G$69,5,FALSE)</f>
        <v>GS Hêtraies et hêtraies sapinières des Pyrénées</v>
      </c>
      <c r="BJ648" s="135">
        <f t="shared" si="204"/>
        <v>72</v>
      </c>
      <c r="BK648" s="135" t="str">
        <f t="shared" si="206"/>
        <v>Hêtre commun_F2_Entree 19-20m_GS Hêtraies et hêtraies sapinières des Pyrénées_72_</v>
      </c>
      <c r="BL648" s="319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97" t="str">
        <f>+VLOOKUP(G648,Liste!$A$7:$H$69,8,FALSE)</f>
        <v>Feuillus</v>
      </c>
      <c r="BU648" s="297">
        <f t="shared" si="207"/>
        <v>1</v>
      </c>
      <c r="BV648" s="299">
        <f t="shared" si="208"/>
        <v>0</v>
      </c>
      <c r="BW648" s="318">
        <v>0</v>
      </c>
      <c r="BX648" s="297">
        <f t="shared" si="209"/>
        <v>0.25</v>
      </c>
      <c r="BY648">
        <f t="shared" si="210"/>
        <v>0</v>
      </c>
      <c r="BZ648" s="303">
        <f t="shared" si="211"/>
        <v>0</v>
      </c>
      <c r="CB648" s="298">
        <v>0.6</v>
      </c>
      <c r="CC648" s="298">
        <v>0.4</v>
      </c>
      <c r="CD648">
        <f t="shared" si="212"/>
        <v>0</v>
      </c>
      <c r="CE648">
        <f t="shared" si="213"/>
        <v>0</v>
      </c>
      <c r="CF648">
        <f t="shared" si="214"/>
        <v>0</v>
      </c>
      <c r="CG648">
        <f t="shared" si="215"/>
        <v>0</v>
      </c>
      <c r="CH648">
        <f t="shared" si="216"/>
        <v>0</v>
      </c>
      <c r="CI648">
        <f t="shared" si="217"/>
        <v>0</v>
      </c>
      <c r="CJ648">
        <f t="shared" si="218"/>
        <v>0</v>
      </c>
      <c r="CK648">
        <f t="shared" si="219"/>
        <v>0</v>
      </c>
      <c r="CL648">
        <f t="shared" si="220"/>
        <v>0</v>
      </c>
      <c r="CM648">
        <f t="shared" si="222"/>
        <v>0</v>
      </c>
      <c r="CN648">
        <f t="shared" si="221"/>
        <v>0</v>
      </c>
      <c r="CO648">
        <f t="shared" si="205"/>
        <v>0</v>
      </c>
    </row>
    <row r="649" spans="1:93" s="12" customFormat="1" ht="14.45" hidden="1" customHeight="1" x14ac:dyDescent="0.25">
      <c r="A649" s="4">
        <v>2021</v>
      </c>
      <c r="B649" s="315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426</v>
      </c>
      <c r="H649" s="5" t="s">
        <v>427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428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+VLOOKUP(G649,Liste!$A$7:$G$69,3,FALSE)</f>
        <v>Hêtre commun</v>
      </c>
      <c r="BI649" s="96" t="str">
        <f>+VLOOKUP(H649,Liste!$B$7:$G$69,5,FALSE)</f>
        <v>GS Hêtraies et hêtraies sapinières des Pyrénées</v>
      </c>
      <c r="BJ649" s="135">
        <f t="shared" si="204"/>
        <v>75</v>
      </c>
      <c r="BK649" s="135" t="str">
        <f t="shared" si="206"/>
        <v>Hêtre commun_F2_Entree 19-20m_GS Hêtraies et hêtraies sapinières des Pyrénées_75_</v>
      </c>
      <c r="BL649" s="319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97" t="str">
        <f>+VLOOKUP(G649,Liste!$A$7:$H$69,8,FALSE)</f>
        <v>Feuillus</v>
      </c>
      <c r="BU649" s="297">
        <f t="shared" si="207"/>
        <v>1</v>
      </c>
      <c r="BV649" s="299">
        <f t="shared" si="208"/>
        <v>0</v>
      </c>
      <c r="BW649" s="318">
        <v>0</v>
      </c>
      <c r="BX649" s="297">
        <f t="shared" si="209"/>
        <v>0.25</v>
      </c>
      <c r="BY649">
        <f t="shared" si="210"/>
        <v>0</v>
      </c>
      <c r="BZ649" s="303">
        <f t="shared" si="211"/>
        <v>0</v>
      </c>
      <c r="CB649" s="298">
        <v>0.6</v>
      </c>
      <c r="CC649" s="298">
        <v>0.4</v>
      </c>
      <c r="CD649">
        <f t="shared" si="212"/>
        <v>0</v>
      </c>
      <c r="CE649">
        <f t="shared" si="213"/>
        <v>0</v>
      </c>
      <c r="CF649">
        <f t="shared" si="214"/>
        <v>0</v>
      </c>
      <c r="CG649">
        <f t="shared" si="215"/>
        <v>0</v>
      </c>
      <c r="CH649">
        <f t="shared" si="216"/>
        <v>0</v>
      </c>
      <c r="CI649">
        <f t="shared" si="217"/>
        <v>0</v>
      </c>
      <c r="CJ649">
        <f t="shared" si="218"/>
        <v>0</v>
      </c>
      <c r="CK649">
        <f t="shared" si="219"/>
        <v>0</v>
      </c>
      <c r="CL649">
        <f t="shared" si="220"/>
        <v>0</v>
      </c>
      <c r="CM649">
        <f t="shared" si="222"/>
        <v>0</v>
      </c>
      <c r="CN649">
        <f t="shared" si="221"/>
        <v>0</v>
      </c>
      <c r="CO649">
        <f t="shared" si="205"/>
        <v>0</v>
      </c>
    </row>
    <row r="650" spans="1:93" s="12" customFormat="1" ht="14.45" hidden="1" customHeight="1" x14ac:dyDescent="0.25">
      <c r="A650" s="4">
        <v>2021</v>
      </c>
      <c r="B650" s="315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426</v>
      </c>
      <c r="H650" s="5" t="s">
        <v>427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428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+VLOOKUP(G650,Liste!$A$7:$G$69,3,FALSE)</f>
        <v>Hêtre commun</v>
      </c>
      <c r="BI650" s="96" t="str">
        <f>+VLOOKUP(H650,Liste!$B$7:$G$69,5,FALSE)</f>
        <v>GS Hêtraies et hêtraies sapinières des Pyrénées</v>
      </c>
      <c r="BJ650" s="135">
        <f t="shared" si="204"/>
        <v>75</v>
      </c>
      <c r="BK650" s="135" t="str">
        <f t="shared" si="206"/>
        <v>Hêtre commun_F2_Entree 19-20m_GS Hêtraies et hêtraies sapinières des Pyrénées_75_</v>
      </c>
      <c r="BL650" s="319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97" t="str">
        <f>+VLOOKUP(G650,Liste!$A$7:$H$69,8,FALSE)</f>
        <v>Feuillus</v>
      </c>
      <c r="BU650" s="297">
        <f t="shared" si="207"/>
        <v>1</v>
      </c>
      <c r="BV650" s="299">
        <f t="shared" si="208"/>
        <v>0</v>
      </c>
      <c r="BW650" s="318">
        <v>0</v>
      </c>
      <c r="BX650" s="297">
        <f t="shared" si="209"/>
        <v>0.25</v>
      </c>
      <c r="BY650">
        <f t="shared" si="210"/>
        <v>0</v>
      </c>
      <c r="BZ650" s="303">
        <f t="shared" si="211"/>
        <v>0</v>
      </c>
      <c r="CB650" s="298">
        <v>0.6</v>
      </c>
      <c r="CC650" s="298">
        <v>0.4</v>
      </c>
      <c r="CD650">
        <f t="shared" si="212"/>
        <v>0</v>
      </c>
      <c r="CE650">
        <f t="shared" si="213"/>
        <v>0</v>
      </c>
      <c r="CF650">
        <f t="shared" si="214"/>
        <v>0</v>
      </c>
      <c r="CG650">
        <f t="shared" si="215"/>
        <v>0</v>
      </c>
      <c r="CH650">
        <f t="shared" si="216"/>
        <v>0</v>
      </c>
      <c r="CI650">
        <f t="shared" si="217"/>
        <v>0</v>
      </c>
      <c r="CJ650">
        <f t="shared" si="218"/>
        <v>0</v>
      </c>
      <c r="CK650">
        <f t="shared" si="219"/>
        <v>0</v>
      </c>
      <c r="CL650">
        <f t="shared" si="220"/>
        <v>0</v>
      </c>
      <c r="CM650">
        <f t="shared" si="222"/>
        <v>0</v>
      </c>
      <c r="CN650">
        <f t="shared" si="221"/>
        <v>0</v>
      </c>
      <c r="CO650">
        <f t="shared" si="205"/>
        <v>0</v>
      </c>
    </row>
    <row r="651" spans="1:93" s="12" customFormat="1" ht="14.45" hidden="1" customHeight="1" x14ac:dyDescent="0.25">
      <c r="A651" s="4">
        <v>2021</v>
      </c>
      <c r="B651" s="315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426</v>
      </c>
      <c r="H651" s="5" t="s">
        <v>427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428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+VLOOKUP(G651,Liste!$A$7:$G$69,3,FALSE)</f>
        <v>Hêtre commun</v>
      </c>
      <c r="BI651" s="96" t="str">
        <f>+VLOOKUP(H651,Liste!$B$7:$G$69,5,FALSE)</f>
        <v>GS Hêtraies et hêtraies sapinières des Pyrénées</v>
      </c>
      <c r="BJ651" s="135">
        <f t="shared" si="204"/>
        <v>78</v>
      </c>
      <c r="BK651" s="135" t="str">
        <f t="shared" si="206"/>
        <v>Hêtre commun_F2_Entree 19-20m_GS Hêtraies et hêtraies sapinières des Pyrénées_78_</v>
      </c>
      <c r="BL651" s="319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97" t="str">
        <f>+VLOOKUP(G651,Liste!$A$7:$H$69,8,FALSE)</f>
        <v>Feuillus</v>
      </c>
      <c r="BU651" s="297">
        <f t="shared" si="207"/>
        <v>1</v>
      </c>
      <c r="BV651" s="299">
        <f t="shared" si="208"/>
        <v>0</v>
      </c>
      <c r="BW651" s="318">
        <v>0</v>
      </c>
      <c r="BX651" s="297">
        <f t="shared" si="209"/>
        <v>0.25</v>
      </c>
      <c r="BY651">
        <f t="shared" si="210"/>
        <v>0</v>
      </c>
      <c r="BZ651" s="303">
        <f t="shared" si="211"/>
        <v>0</v>
      </c>
      <c r="CB651" s="298">
        <v>0.6</v>
      </c>
      <c r="CC651" s="298">
        <v>0.4</v>
      </c>
      <c r="CD651">
        <f t="shared" si="212"/>
        <v>0</v>
      </c>
      <c r="CE651">
        <f t="shared" si="213"/>
        <v>0</v>
      </c>
      <c r="CF651">
        <f t="shared" si="214"/>
        <v>0</v>
      </c>
      <c r="CG651">
        <f t="shared" si="215"/>
        <v>0</v>
      </c>
      <c r="CH651">
        <f t="shared" si="216"/>
        <v>0</v>
      </c>
      <c r="CI651">
        <f t="shared" si="217"/>
        <v>0</v>
      </c>
      <c r="CJ651">
        <f t="shared" si="218"/>
        <v>0</v>
      </c>
      <c r="CK651">
        <f t="shared" si="219"/>
        <v>0</v>
      </c>
      <c r="CL651">
        <f t="shared" si="220"/>
        <v>0</v>
      </c>
      <c r="CM651">
        <f t="shared" si="222"/>
        <v>0</v>
      </c>
      <c r="CN651">
        <f t="shared" si="221"/>
        <v>0</v>
      </c>
      <c r="CO651">
        <f t="shared" si="205"/>
        <v>0</v>
      </c>
    </row>
    <row r="652" spans="1:93" s="12" customFormat="1" ht="14.45" hidden="1" customHeight="1" x14ac:dyDescent="0.25">
      <c r="A652" s="4">
        <v>2021</v>
      </c>
      <c r="B652" s="315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426</v>
      </c>
      <c r="H652" s="5" t="s">
        <v>427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428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+VLOOKUP(G652,Liste!$A$7:$G$69,3,FALSE)</f>
        <v>Hêtre commun</v>
      </c>
      <c r="BI652" s="96" t="str">
        <f>+VLOOKUP(H652,Liste!$B$7:$G$69,5,FALSE)</f>
        <v>GS Hêtraies et hêtraies sapinières des Pyrénées</v>
      </c>
      <c r="BJ652" s="135">
        <f t="shared" si="204"/>
        <v>81</v>
      </c>
      <c r="BK652" s="135" t="str">
        <f t="shared" si="206"/>
        <v>Hêtre commun_F2_Entree 19-20m_GS Hêtraies et hêtraies sapinières des Pyrénées_81_</v>
      </c>
      <c r="BL652" s="319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97" t="str">
        <f>+VLOOKUP(G652,Liste!$A$7:$H$69,8,FALSE)</f>
        <v>Feuillus</v>
      </c>
      <c r="BU652" s="297">
        <f t="shared" si="207"/>
        <v>1</v>
      </c>
      <c r="BV652" s="299">
        <f t="shared" si="208"/>
        <v>0</v>
      </c>
      <c r="BW652" s="318">
        <v>0</v>
      </c>
      <c r="BX652" s="297">
        <f t="shared" si="209"/>
        <v>0.25</v>
      </c>
      <c r="BY652">
        <f t="shared" si="210"/>
        <v>0</v>
      </c>
      <c r="BZ652" s="303">
        <f t="shared" si="211"/>
        <v>0</v>
      </c>
      <c r="CB652" s="298">
        <v>0.6</v>
      </c>
      <c r="CC652" s="298">
        <v>0.4</v>
      </c>
      <c r="CD652">
        <f t="shared" si="212"/>
        <v>0</v>
      </c>
      <c r="CE652">
        <f t="shared" si="213"/>
        <v>0</v>
      </c>
      <c r="CF652">
        <f t="shared" si="214"/>
        <v>0</v>
      </c>
      <c r="CG652">
        <f t="shared" si="215"/>
        <v>0</v>
      </c>
      <c r="CH652">
        <f t="shared" si="216"/>
        <v>0</v>
      </c>
      <c r="CI652">
        <f t="shared" si="217"/>
        <v>0</v>
      </c>
      <c r="CJ652">
        <f t="shared" si="218"/>
        <v>0</v>
      </c>
      <c r="CK652">
        <f t="shared" si="219"/>
        <v>0</v>
      </c>
      <c r="CL652">
        <f t="shared" si="220"/>
        <v>0</v>
      </c>
      <c r="CM652">
        <f t="shared" si="222"/>
        <v>0</v>
      </c>
      <c r="CN652">
        <f t="shared" si="221"/>
        <v>0</v>
      </c>
      <c r="CO652">
        <f t="shared" si="205"/>
        <v>0</v>
      </c>
    </row>
    <row r="653" spans="1:93" s="12" customFormat="1" ht="14.45" hidden="1" customHeight="1" x14ac:dyDescent="0.25">
      <c r="A653" s="4">
        <v>2021</v>
      </c>
      <c r="B653" s="315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426</v>
      </c>
      <c r="H653" s="5" t="s">
        <v>427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428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+VLOOKUP(G653,Liste!$A$7:$G$69,3,FALSE)</f>
        <v>Hêtre commun</v>
      </c>
      <c r="BI653" s="96" t="str">
        <f>+VLOOKUP(H653,Liste!$B$7:$G$69,5,FALSE)</f>
        <v>GS Hêtraies et hêtraies sapinières des Pyrénées</v>
      </c>
      <c r="BJ653" s="135">
        <f t="shared" si="204"/>
        <v>84</v>
      </c>
      <c r="BK653" s="135" t="str">
        <f t="shared" si="206"/>
        <v>Hêtre commun_F2_Entree 19-20m_GS Hêtraies et hêtraies sapinières des Pyrénées_84_</v>
      </c>
      <c r="BL653" s="319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97" t="str">
        <f>+VLOOKUP(G653,Liste!$A$7:$H$69,8,FALSE)</f>
        <v>Feuillus</v>
      </c>
      <c r="BU653" s="297">
        <f t="shared" si="207"/>
        <v>1</v>
      </c>
      <c r="BV653" s="299">
        <f t="shared" si="208"/>
        <v>0</v>
      </c>
      <c r="BW653" s="318">
        <v>0</v>
      </c>
      <c r="BX653" s="297">
        <f t="shared" si="209"/>
        <v>0.25</v>
      </c>
      <c r="BY653">
        <f t="shared" si="210"/>
        <v>0</v>
      </c>
      <c r="BZ653" s="303">
        <f t="shared" si="211"/>
        <v>0</v>
      </c>
      <c r="CB653" s="298">
        <v>0.6</v>
      </c>
      <c r="CC653" s="298">
        <v>0.4</v>
      </c>
      <c r="CD653">
        <f t="shared" si="212"/>
        <v>0</v>
      </c>
      <c r="CE653">
        <f t="shared" si="213"/>
        <v>0</v>
      </c>
      <c r="CF653">
        <f t="shared" si="214"/>
        <v>0</v>
      </c>
      <c r="CG653">
        <f t="shared" si="215"/>
        <v>0</v>
      </c>
      <c r="CH653">
        <f t="shared" si="216"/>
        <v>0</v>
      </c>
      <c r="CI653">
        <f t="shared" si="217"/>
        <v>0</v>
      </c>
      <c r="CJ653">
        <f t="shared" si="218"/>
        <v>0</v>
      </c>
      <c r="CK653">
        <f t="shared" si="219"/>
        <v>0</v>
      </c>
      <c r="CL653">
        <f t="shared" si="220"/>
        <v>0</v>
      </c>
      <c r="CM653">
        <f t="shared" si="222"/>
        <v>0</v>
      </c>
      <c r="CN653">
        <f t="shared" si="221"/>
        <v>0</v>
      </c>
      <c r="CO653">
        <f t="shared" si="205"/>
        <v>0</v>
      </c>
    </row>
    <row r="654" spans="1:93" s="12" customFormat="1" ht="14.45" hidden="1" customHeight="1" x14ac:dyDescent="0.25">
      <c r="A654" s="4">
        <v>2021</v>
      </c>
      <c r="B654" s="315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426</v>
      </c>
      <c r="H654" s="5" t="s">
        <v>427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428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+VLOOKUP(G654,Liste!$A$7:$G$69,3,FALSE)</f>
        <v>Hêtre commun</v>
      </c>
      <c r="BI654" s="96" t="str">
        <f>+VLOOKUP(H654,Liste!$B$7:$G$69,5,FALSE)</f>
        <v>GS Hêtraies et hêtraies sapinières des Pyrénées</v>
      </c>
      <c r="BJ654" s="135">
        <f t="shared" si="204"/>
        <v>84</v>
      </c>
      <c r="BK654" s="135" t="str">
        <f t="shared" si="206"/>
        <v>Hêtre commun_F2_Entree 19-20m_GS Hêtraies et hêtraies sapinières des Pyrénées_84_</v>
      </c>
      <c r="BL654" s="319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97" t="str">
        <f>+VLOOKUP(G654,Liste!$A$7:$H$69,8,FALSE)</f>
        <v>Feuillus</v>
      </c>
      <c r="BU654" s="297">
        <f t="shared" si="207"/>
        <v>1</v>
      </c>
      <c r="BV654" s="299">
        <f t="shared" si="208"/>
        <v>0</v>
      </c>
      <c r="BW654" s="318">
        <v>0</v>
      </c>
      <c r="BX654" s="297">
        <f t="shared" si="209"/>
        <v>0.25</v>
      </c>
      <c r="BY654">
        <f t="shared" si="210"/>
        <v>0</v>
      </c>
      <c r="BZ654" s="303">
        <f t="shared" si="211"/>
        <v>0</v>
      </c>
      <c r="CB654" s="298">
        <v>0.6</v>
      </c>
      <c r="CC654" s="298">
        <v>0.4</v>
      </c>
      <c r="CD654">
        <f t="shared" si="212"/>
        <v>0</v>
      </c>
      <c r="CE654">
        <f t="shared" si="213"/>
        <v>0</v>
      </c>
      <c r="CF654">
        <f t="shared" si="214"/>
        <v>0</v>
      </c>
      <c r="CG654">
        <f t="shared" si="215"/>
        <v>0</v>
      </c>
      <c r="CH654">
        <f t="shared" si="216"/>
        <v>0</v>
      </c>
      <c r="CI654">
        <f t="shared" si="217"/>
        <v>0</v>
      </c>
      <c r="CJ654">
        <f t="shared" si="218"/>
        <v>0</v>
      </c>
      <c r="CK654">
        <f t="shared" si="219"/>
        <v>0</v>
      </c>
      <c r="CL654">
        <f t="shared" si="220"/>
        <v>0</v>
      </c>
      <c r="CM654">
        <f t="shared" si="222"/>
        <v>0</v>
      </c>
      <c r="CN654">
        <f t="shared" si="221"/>
        <v>0</v>
      </c>
      <c r="CO654">
        <f t="shared" si="205"/>
        <v>0</v>
      </c>
    </row>
    <row r="655" spans="1:93" s="12" customFormat="1" ht="14.45" hidden="1" customHeight="1" x14ac:dyDescent="0.25">
      <c r="A655" s="4">
        <v>2021</v>
      </c>
      <c r="B655" s="315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426</v>
      </c>
      <c r="H655" s="5" t="s">
        <v>427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428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+VLOOKUP(G655,Liste!$A$7:$G$69,3,FALSE)</f>
        <v>Hêtre commun</v>
      </c>
      <c r="BI655" s="96" t="str">
        <f>+VLOOKUP(H655,Liste!$B$7:$G$69,5,FALSE)</f>
        <v>GS Hêtraies et hêtraies sapinières des Pyrénées</v>
      </c>
      <c r="BJ655" s="135">
        <f t="shared" si="204"/>
        <v>87</v>
      </c>
      <c r="BK655" s="135" t="str">
        <f t="shared" si="206"/>
        <v>Hêtre commun_F2_Entree 19-20m_GS Hêtraies et hêtraies sapinières des Pyrénées_87_</v>
      </c>
      <c r="BL655" s="319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97" t="str">
        <f>+VLOOKUP(G655,Liste!$A$7:$H$69,8,FALSE)</f>
        <v>Feuillus</v>
      </c>
      <c r="BU655" s="297">
        <f t="shared" si="207"/>
        <v>1</v>
      </c>
      <c r="BV655" s="299">
        <f t="shared" si="208"/>
        <v>0</v>
      </c>
      <c r="BW655" s="318">
        <v>0</v>
      </c>
      <c r="BX655" s="297">
        <f t="shared" si="209"/>
        <v>0.25</v>
      </c>
      <c r="BY655">
        <f t="shared" si="210"/>
        <v>0</v>
      </c>
      <c r="BZ655" s="303">
        <f t="shared" si="211"/>
        <v>0</v>
      </c>
      <c r="CB655" s="298">
        <v>0.6</v>
      </c>
      <c r="CC655" s="298">
        <v>0.4</v>
      </c>
      <c r="CD655">
        <f t="shared" si="212"/>
        <v>0</v>
      </c>
      <c r="CE655">
        <f t="shared" si="213"/>
        <v>0</v>
      </c>
      <c r="CF655">
        <f t="shared" si="214"/>
        <v>0</v>
      </c>
      <c r="CG655">
        <f t="shared" si="215"/>
        <v>0</v>
      </c>
      <c r="CH655">
        <f t="shared" si="216"/>
        <v>0</v>
      </c>
      <c r="CI655">
        <f t="shared" si="217"/>
        <v>0</v>
      </c>
      <c r="CJ655">
        <f t="shared" si="218"/>
        <v>0</v>
      </c>
      <c r="CK655">
        <f t="shared" si="219"/>
        <v>0</v>
      </c>
      <c r="CL655">
        <f t="shared" si="220"/>
        <v>0</v>
      </c>
      <c r="CM655">
        <f t="shared" si="222"/>
        <v>0</v>
      </c>
      <c r="CN655">
        <f t="shared" si="221"/>
        <v>0</v>
      </c>
      <c r="CO655">
        <f t="shared" si="205"/>
        <v>0</v>
      </c>
    </row>
    <row r="656" spans="1:93" s="12" customFormat="1" ht="14.45" hidden="1" customHeight="1" x14ac:dyDescent="0.25">
      <c r="A656" s="4">
        <v>2021</v>
      </c>
      <c r="B656" s="315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426</v>
      </c>
      <c r="H656" s="5" t="s">
        <v>427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428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+VLOOKUP(G656,Liste!$A$7:$G$69,3,FALSE)</f>
        <v>Hêtre commun</v>
      </c>
      <c r="BI656" s="96" t="str">
        <f>+VLOOKUP(H656,Liste!$B$7:$G$69,5,FALSE)</f>
        <v>GS Hêtraies et hêtraies sapinières des Pyrénées</v>
      </c>
      <c r="BJ656" s="135">
        <f t="shared" si="204"/>
        <v>90</v>
      </c>
      <c r="BK656" s="135" t="str">
        <f t="shared" si="206"/>
        <v>Hêtre commun_F2_Entree 19-20m_GS Hêtraies et hêtraies sapinières des Pyrénées_90_</v>
      </c>
      <c r="BL656" s="319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97" t="str">
        <f>+VLOOKUP(G656,Liste!$A$7:$H$69,8,FALSE)</f>
        <v>Feuillus</v>
      </c>
      <c r="BU656" s="297">
        <f t="shared" si="207"/>
        <v>1</v>
      </c>
      <c r="BV656" s="299">
        <f t="shared" si="208"/>
        <v>0</v>
      </c>
      <c r="BW656" s="318">
        <v>0</v>
      </c>
      <c r="BX656" s="297">
        <f t="shared" si="209"/>
        <v>0.25</v>
      </c>
      <c r="BY656">
        <f t="shared" si="210"/>
        <v>0</v>
      </c>
      <c r="BZ656" s="303">
        <f t="shared" si="211"/>
        <v>0</v>
      </c>
      <c r="CB656" s="298">
        <v>0.6</v>
      </c>
      <c r="CC656" s="298">
        <v>0.4</v>
      </c>
      <c r="CD656">
        <f t="shared" si="212"/>
        <v>0</v>
      </c>
      <c r="CE656">
        <f t="shared" si="213"/>
        <v>0</v>
      </c>
      <c r="CF656">
        <f t="shared" si="214"/>
        <v>0</v>
      </c>
      <c r="CG656">
        <f t="shared" si="215"/>
        <v>0</v>
      </c>
      <c r="CH656">
        <f t="shared" si="216"/>
        <v>0</v>
      </c>
      <c r="CI656">
        <f t="shared" si="217"/>
        <v>0</v>
      </c>
      <c r="CJ656">
        <f t="shared" si="218"/>
        <v>0</v>
      </c>
      <c r="CK656">
        <f t="shared" si="219"/>
        <v>0</v>
      </c>
      <c r="CL656">
        <f t="shared" si="220"/>
        <v>0</v>
      </c>
      <c r="CM656">
        <f t="shared" si="222"/>
        <v>0</v>
      </c>
      <c r="CN656">
        <f t="shared" si="221"/>
        <v>0</v>
      </c>
      <c r="CO656">
        <f t="shared" si="205"/>
        <v>0</v>
      </c>
    </row>
    <row r="657" spans="1:93" s="12" customFormat="1" ht="14.45" hidden="1" customHeight="1" x14ac:dyDescent="0.25">
      <c r="A657" s="4">
        <v>2021</v>
      </c>
      <c r="B657" s="315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426</v>
      </c>
      <c r="H657" s="5" t="s">
        <v>427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428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+VLOOKUP(G657,Liste!$A$7:$G$69,3,FALSE)</f>
        <v>Hêtre commun</v>
      </c>
      <c r="BI657" s="96" t="str">
        <f>+VLOOKUP(H657,Liste!$B$7:$G$69,5,FALSE)</f>
        <v>GS Hêtraies et hêtraies sapinières des Pyrénées</v>
      </c>
      <c r="BJ657" s="135">
        <f t="shared" si="204"/>
        <v>93</v>
      </c>
      <c r="BK657" s="135" t="str">
        <f t="shared" si="206"/>
        <v>Hêtre commun_F2_Entree 19-20m_GS Hêtraies et hêtraies sapinières des Pyrénées_93_</v>
      </c>
      <c r="BL657" s="319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97" t="str">
        <f>+VLOOKUP(G657,Liste!$A$7:$H$69,8,FALSE)</f>
        <v>Feuillus</v>
      </c>
      <c r="BU657" s="297">
        <f t="shared" si="207"/>
        <v>1</v>
      </c>
      <c r="BV657" s="299">
        <f t="shared" si="208"/>
        <v>0</v>
      </c>
      <c r="BW657" s="318">
        <v>0</v>
      </c>
      <c r="BX657" s="297">
        <f t="shared" si="209"/>
        <v>0.25</v>
      </c>
      <c r="BY657">
        <f t="shared" si="210"/>
        <v>0</v>
      </c>
      <c r="BZ657" s="303">
        <f t="shared" si="211"/>
        <v>0</v>
      </c>
      <c r="CB657" s="298">
        <v>0.6</v>
      </c>
      <c r="CC657" s="298">
        <v>0.4</v>
      </c>
      <c r="CD657">
        <f t="shared" si="212"/>
        <v>0</v>
      </c>
      <c r="CE657">
        <f t="shared" si="213"/>
        <v>0</v>
      </c>
      <c r="CF657">
        <f t="shared" si="214"/>
        <v>0</v>
      </c>
      <c r="CG657">
        <f t="shared" si="215"/>
        <v>0</v>
      </c>
      <c r="CH657">
        <f t="shared" si="216"/>
        <v>0</v>
      </c>
      <c r="CI657">
        <f t="shared" si="217"/>
        <v>0</v>
      </c>
      <c r="CJ657">
        <f t="shared" si="218"/>
        <v>0</v>
      </c>
      <c r="CK657">
        <f t="shared" si="219"/>
        <v>0</v>
      </c>
      <c r="CL657">
        <f t="shared" si="220"/>
        <v>0</v>
      </c>
      <c r="CM657">
        <f t="shared" si="222"/>
        <v>0</v>
      </c>
      <c r="CN657">
        <f t="shared" si="221"/>
        <v>0</v>
      </c>
      <c r="CO657">
        <f t="shared" si="205"/>
        <v>0</v>
      </c>
    </row>
    <row r="658" spans="1:93" s="12" customFormat="1" ht="14.45" hidden="1" customHeight="1" x14ac:dyDescent="0.25">
      <c r="A658" s="4">
        <v>2021</v>
      </c>
      <c r="B658" s="315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426</v>
      </c>
      <c r="H658" s="5" t="s">
        <v>427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428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+VLOOKUP(G658,Liste!$A$7:$G$69,3,FALSE)</f>
        <v>Hêtre commun</v>
      </c>
      <c r="BI658" s="96" t="str">
        <f>+VLOOKUP(H658,Liste!$B$7:$G$69,5,FALSE)</f>
        <v>GS Hêtraies et hêtraies sapinières des Pyrénées</v>
      </c>
      <c r="BJ658" s="135">
        <f t="shared" si="204"/>
        <v>93</v>
      </c>
      <c r="BK658" s="135" t="str">
        <f t="shared" si="206"/>
        <v>Hêtre commun_F2_Entree 19-20m_GS Hêtraies et hêtraies sapinières des Pyrénées_93_</v>
      </c>
      <c r="BL658" s="319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97" t="str">
        <f>+VLOOKUP(G658,Liste!$A$7:$H$69,8,FALSE)</f>
        <v>Feuillus</v>
      </c>
      <c r="BU658" s="297">
        <f t="shared" si="207"/>
        <v>1</v>
      </c>
      <c r="BV658" s="299">
        <f t="shared" si="208"/>
        <v>0</v>
      </c>
      <c r="BW658" s="318">
        <v>0</v>
      </c>
      <c r="BX658" s="297">
        <f t="shared" si="209"/>
        <v>0.25</v>
      </c>
      <c r="BY658">
        <f t="shared" si="210"/>
        <v>0</v>
      </c>
      <c r="BZ658" s="303">
        <f t="shared" si="211"/>
        <v>0</v>
      </c>
      <c r="CB658" s="298">
        <v>0.6</v>
      </c>
      <c r="CC658" s="298">
        <v>0.4</v>
      </c>
      <c r="CD658">
        <f t="shared" si="212"/>
        <v>0</v>
      </c>
      <c r="CE658">
        <f t="shared" si="213"/>
        <v>0</v>
      </c>
      <c r="CF658">
        <f t="shared" si="214"/>
        <v>0</v>
      </c>
      <c r="CG658">
        <f t="shared" si="215"/>
        <v>0</v>
      </c>
      <c r="CH658">
        <f t="shared" si="216"/>
        <v>0</v>
      </c>
      <c r="CI658">
        <f t="shared" si="217"/>
        <v>0</v>
      </c>
      <c r="CJ658">
        <f t="shared" si="218"/>
        <v>0</v>
      </c>
      <c r="CK658">
        <f t="shared" si="219"/>
        <v>0</v>
      </c>
      <c r="CL658">
        <f t="shared" si="220"/>
        <v>0</v>
      </c>
      <c r="CM658">
        <f t="shared" si="222"/>
        <v>0</v>
      </c>
      <c r="CN658">
        <f t="shared" si="221"/>
        <v>0</v>
      </c>
      <c r="CO658">
        <f t="shared" si="205"/>
        <v>0</v>
      </c>
    </row>
    <row r="659" spans="1:93" s="12" customFormat="1" ht="14.45" hidden="1" customHeight="1" x14ac:dyDescent="0.25">
      <c r="A659" s="4">
        <v>2021</v>
      </c>
      <c r="B659" s="315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426</v>
      </c>
      <c r="H659" s="5" t="s">
        <v>427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428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+VLOOKUP(G659,Liste!$A$7:$G$69,3,FALSE)</f>
        <v>Hêtre commun</v>
      </c>
      <c r="BI659" s="96" t="str">
        <f>+VLOOKUP(H659,Liste!$B$7:$G$69,5,FALSE)</f>
        <v>GS Hêtraies et hêtraies sapinières des Pyrénées</v>
      </c>
      <c r="BJ659" s="135">
        <f t="shared" si="204"/>
        <v>96</v>
      </c>
      <c r="BK659" s="135" t="str">
        <f t="shared" si="206"/>
        <v>Hêtre commun_F2_Entree 19-20m_GS Hêtraies et hêtraies sapinières des Pyrénées_96_</v>
      </c>
      <c r="BL659" s="319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97" t="str">
        <f>+VLOOKUP(G659,Liste!$A$7:$H$69,8,FALSE)</f>
        <v>Feuillus</v>
      </c>
      <c r="BU659" s="297">
        <f t="shared" si="207"/>
        <v>1</v>
      </c>
      <c r="BV659" s="299">
        <f t="shared" si="208"/>
        <v>0</v>
      </c>
      <c r="BW659" s="318">
        <v>0</v>
      </c>
      <c r="BX659" s="297">
        <f t="shared" si="209"/>
        <v>0.25</v>
      </c>
      <c r="BY659">
        <f t="shared" si="210"/>
        <v>0</v>
      </c>
      <c r="BZ659" s="303">
        <f t="shared" si="211"/>
        <v>0</v>
      </c>
      <c r="CB659" s="298">
        <v>0.6</v>
      </c>
      <c r="CC659" s="298">
        <v>0.4</v>
      </c>
      <c r="CD659">
        <f t="shared" si="212"/>
        <v>0</v>
      </c>
      <c r="CE659">
        <f t="shared" si="213"/>
        <v>0</v>
      </c>
      <c r="CF659">
        <f t="shared" si="214"/>
        <v>0</v>
      </c>
      <c r="CG659">
        <f t="shared" si="215"/>
        <v>0</v>
      </c>
      <c r="CH659">
        <f t="shared" si="216"/>
        <v>0</v>
      </c>
      <c r="CI659">
        <f t="shared" si="217"/>
        <v>0</v>
      </c>
      <c r="CJ659">
        <f t="shared" si="218"/>
        <v>0</v>
      </c>
      <c r="CK659">
        <f t="shared" si="219"/>
        <v>0</v>
      </c>
      <c r="CL659">
        <f t="shared" si="220"/>
        <v>0</v>
      </c>
      <c r="CM659">
        <f t="shared" si="222"/>
        <v>0</v>
      </c>
      <c r="CN659">
        <f t="shared" si="221"/>
        <v>0</v>
      </c>
      <c r="CO659">
        <f t="shared" si="205"/>
        <v>0</v>
      </c>
    </row>
    <row r="660" spans="1:93" s="12" customFormat="1" ht="14.45" hidden="1" customHeight="1" x14ac:dyDescent="0.25">
      <c r="A660" s="4">
        <v>2021</v>
      </c>
      <c r="B660" s="315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426</v>
      </c>
      <c r="H660" s="5" t="s">
        <v>427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428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+VLOOKUP(G660,Liste!$A$7:$G$69,3,FALSE)</f>
        <v>Hêtre commun</v>
      </c>
      <c r="BI660" s="96" t="str">
        <f>+VLOOKUP(H660,Liste!$B$7:$G$69,5,FALSE)</f>
        <v>GS Hêtraies et hêtraies sapinières des Pyrénées</v>
      </c>
      <c r="BJ660" s="135">
        <f t="shared" si="204"/>
        <v>99</v>
      </c>
      <c r="BK660" s="135" t="str">
        <f t="shared" si="206"/>
        <v>Hêtre commun_F2_Entree 19-20m_GS Hêtraies et hêtraies sapinières des Pyrénées_99_</v>
      </c>
      <c r="BL660" s="319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97" t="str">
        <f>+VLOOKUP(G660,Liste!$A$7:$H$69,8,FALSE)</f>
        <v>Feuillus</v>
      </c>
      <c r="BU660" s="297">
        <f t="shared" si="207"/>
        <v>1</v>
      </c>
      <c r="BV660" s="299">
        <f t="shared" si="208"/>
        <v>0</v>
      </c>
      <c r="BW660" s="318">
        <v>0</v>
      </c>
      <c r="BX660" s="297">
        <f t="shared" si="209"/>
        <v>0.25</v>
      </c>
      <c r="BY660">
        <f t="shared" si="210"/>
        <v>0</v>
      </c>
      <c r="BZ660" s="303">
        <f t="shared" si="211"/>
        <v>0</v>
      </c>
      <c r="CB660" s="298">
        <v>0.6</v>
      </c>
      <c r="CC660" s="298">
        <v>0.4</v>
      </c>
      <c r="CD660">
        <f t="shared" si="212"/>
        <v>0</v>
      </c>
      <c r="CE660">
        <f t="shared" si="213"/>
        <v>0</v>
      </c>
      <c r="CF660">
        <f t="shared" si="214"/>
        <v>0</v>
      </c>
      <c r="CG660">
        <f t="shared" si="215"/>
        <v>0</v>
      </c>
      <c r="CH660">
        <f t="shared" si="216"/>
        <v>0</v>
      </c>
      <c r="CI660">
        <f t="shared" si="217"/>
        <v>0</v>
      </c>
      <c r="CJ660">
        <f t="shared" si="218"/>
        <v>0</v>
      </c>
      <c r="CK660">
        <f t="shared" si="219"/>
        <v>0</v>
      </c>
      <c r="CL660">
        <f t="shared" si="220"/>
        <v>0</v>
      </c>
      <c r="CM660">
        <f t="shared" si="222"/>
        <v>0</v>
      </c>
      <c r="CN660">
        <f t="shared" si="221"/>
        <v>0</v>
      </c>
      <c r="CO660">
        <f t="shared" si="205"/>
        <v>0</v>
      </c>
    </row>
    <row r="661" spans="1:93" s="12" customFormat="1" ht="14.45" hidden="1" customHeight="1" x14ac:dyDescent="0.25">
      <c r="A661" s="4">
        <v>2021</v>
      </c>
      <c r="B661" s="315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426</v>
      </c>
      <c r="H661" s="5" t="s">
        <v>427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428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+VLOOKUP(G661,Liste!$A$7:$G$69,3,FALSE)</f>
        <v>Hêtre commun</v>
      </c>
      <c r="BI661" s="96" t="str">
        <f>+VLOOKUP(H661,Liste!$B$7:$G$69,5,FALSE)</f>
        <v>GS Hêtraies et hêtraies sapinières des Pyrénées</v>
      </c>
      <c r="BJ661" s="135">
        <f t="shared" si="204"/>
        <v>102</v>
      </c>
      <c r="BK661" s="135" t="str">
        <f t="shared" si="206"/>
        <v>Hêtre commun_F2_Entree 19-20m_GS Hêtraies et hêtraies sapinières des Pyrénées_102_</v>
      </c>
      <c r="BL661" s="319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97" t="str">
        <f>+VLOOKUP(G661,Liste!$A$7:$H$69,8,FALSE)</f>
        <v>Feuillus</v>
      </c>
      <c r="BU661" s="297">
        <f t="shared" si="207"/>
        <v>1</v>
      </c>
      <c r="BV661" s="299">
        <f t="shared" si="208"/>
        <v>0</v>
      </c>
      <c r="BW661" s="318">
        <v>0</v>
      </c>
      <c r="BX661" s="297">
        <f t="shared" si="209"/>
        <v>0.25</v>
      </c>
      <c r="BY661">
        <f t="shared" si="210"/>
        <v>0</v>
      </c>
      <c r="BZ661" s="303">
        <f t="shared" si="211"/>
        <v>0</v>
      </c>
      <c r="CB661" s="298">
        <v>0.6</v>
      </c>
      <c r="CC661" s="298">
        <v>0.4</v>
      </c>
      <c r="CD661">
        <f t="shared" si="212"/>
        <v>0</v>
      </c>
      <c r="CE661">
        <f t="shared" si="213"/>
        <v>0</v>
      </c>
      <c r="CF661">
        <f t="shared" si="214"/>
        <v>0</v>
      </c>
      <c r="CG661">
        <f t="shared" si="215"/>
        <v>0</v>
      </c>
      <c r="CH661">
        <f t="shared" si="216"/>
        <v>0</v>
      </c>
      <c r="CI661">
        <f t="shared" si="217"/>
        <v>0</v>
      </c>
      <c r="CJ661">
        <f t="shared" si="218"/>
        <v>0</v>
      </c>
      <c r="CK661">
        <f t="shared" si="219"/>
        <v>0</v>
      </c>
      <c r="CL661">
        <f t="shared" si="220"/>
        <v>0</v>
      </c>
      <c r="CM661">
        <f t="shared" si="222"/>
        <v>0</v>
      </c>
      <c r="CN661">
        <f t="shared" si="221"/>
        <v>0</v>
      </c>
      <c r="CO661">
        <f t="shared" si="205"/>
        <v>0</v>
      </c>
    </row>
    <row r="662" spans="1:93" s="12" customFormat="1" ht="14.45" hidden="1" customHeight="1" x14ac:dyDescent="0.25">
      <c r="A662" s="4">
        <v>2021</v>
      </c>
      <c r="B662" s="315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426</v>
      </c>
      <c r="H662" s="5" t="s">
        <v>427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428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+VLOOKUP(G662,Liste!$A$7:$G$69,3,FALSE)</f>
        <v>Hêtre commun</v>
      </c>
      <c r="BI662" s="96" t="str">
        <f>+VLOOKUP(H662,Liste!$B$7:$G$69,5,FALSE)</f>
        <v>GS Hêtraies et hêtraies sapinières des Pyrénées</v>
      </c>
      <c r="BJ662" s="135">
        <f t="shared" si="204"/>
        <v>105</v>
      </c>
      <c r="BK662" s="135" t="str">
        <f t="shared" si="206"/>
        <v>Hêtre commun_F2_Entree 19-20m_GS Hêtraies et hêtraies sapinières des Pyrénées_105_</v>
      </c>
      <c r="BL662" s="319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97" t="str">
        <f>+VLOOKUP(G662,Liste!$A$7:$H$69,8,FALSE)</f>
        <v>Feuillus</v>
      </c>
      <c r="BU662" s="297">
        <f t="shared" si="207"/>
        <v>1</v>
      </c>
      <c r="BV662" s="299">
        <f t="shared" si="208"/>
        <v>0</v>
      </c>
      <c r="BW662" s="318">
        <v>0</v>
      </c>
      <c r="BX662" s="297">
        <f t="shared" si="209"/>
        <v>0.25</v>
      </c>
      <c r="BY662">
        <f t="shared" si="210"/>
        <v>0</v>
      </c>
      <c r="BZ662" s="303">
        <f t="shared" si="211"/>
        <v>0</v>
      </c>
      <c r="CB662" s="298">
        <v>0.6</v>
      </c>
      <c r="CC662" s="298">
        <v>0.4</v>
      </c>
      <c r="CD662">
        <f t="shared" si="212"/>
        <v>0</v>
      </c>
      <c r="CE662">
        <f t="shared" si="213"/>
        <v>0</v>
      </c>
      <c r="CF662">
        <f t="shared" si="214"/>
        <v>0</v>
      </c>
      <c r="CG662">
        <f t="shared" si="215"/>
        <v>0</v>
      </c>
      <c r="CH662">
        <f t="shared" si="216"/>
        <v>0</v>
      </c>
      <c r="CI662">
        <f t="shared" si="217"/>
        <v>0</v>
      </c>
      <c r="CJ662">
        <f t="shared" si="218"/>
        <v>0</v>
      </c>
      <c r="CK662">
        <f t="shared" si="219"/>
        <v>0</v>
      </c>
      <c r="CL662">
        <f t="shared" si="220"/>
        <v>0</v>
      </c>
      <c r="CM662">
        <f t="shared" si="222"/>
        <v>0</v>
      </c>
      <c r="CN662">
        <f t="shared" si="221"/>
        <v>0</v>
      </c>
      <c r="CO662">
        <f t="shared" si="205"/>
        <v>0</v>
      </c>
    </row>
    <row r="663" spans="1:93" s="12" customFormat="1" ht="14.45" hidden="1" customHeight="1" x14ac:dyDescent="0.25">
      <c r="A663" s="4">
        <v>2021</v>
      </c>
      <c r="B663" s="315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426</v>
      </c>
      <c r="H663" s="5" t="s">
        <v>427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428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+VLOOKUP(G663,Liste!$A$7:$G$69,3,FALSE)</f>
        <v>Hêtre commun</v>
      </c>
      <c r="BI663" s="96" t="str">
        <f>+VLOOKUP(H663,Liste!$B$7:$G$69,5,FALSE)</f>
        <v>GS Hêtraies et hêtraies sapinières des Pyrénées</v>
      </c>
      <c r="BJ663" s="135">
        <f t="shared" si="204"/>
        <v>105</v>
      </c>
      <c r="BK663" s="135" t="str">
        <f t="shared" si="206"/>
        <v>Hêtre commun_F2_Entree 19-20m_GS Hêtraies et hêtraies sapinières des Pyrénées_105_</v>
      </c>
      <c r="BL663" s="319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97" t="str">
        <f>+VLOOKUP(G663,Liste!$A$7:$H$69,8,FALSE)</f>
        <v>Feuillus</v>
      </c>
      <c r="BU663" s="297">
        <f t="shared" si="207"/>
        <v>1</v>
      </c>
      <c r="BV663" s="299">
        <f t="shared" si="208"/>
        <v>0</v>
      </c>
      <c r="BW663" s="318">
        <v>0</v>
      </c>
      <c r="BX663" s="297">
        <f t="shared" si="209"/>
        <v>0.25</v>
      </c>
      <c r="BY663">
        <f t="shared" si="210"/>
        <v>0</v>
      </c>
      <c r="BZ663" s="303">
        <f t="shared" si="211"/>
        <v>0</v>
      </c>
      <c r="CB663" s="298">
        <v>0.6</v>
      </c>
      <c r="CC663" s="298">
        <v>0.4</v>
      </c>
      <c r="CD663">
        <f t="shared" si="212"/>
        <v>0</v>
      </c>
      <c r="CE663">
        <f t="shared" si="213"/>
        <v>0</v>
      </c>
      <c r="CF663">
        <f t="shared" si="214"/>
        <v>0</v>
      </c>
      <c r="CG663">
        <f t="shared" si="215"/>
        <v>0</v>
      </c>
      <c r="CH663">
        <f t="shared" si="216"/>
        <v>0</v>
      </c>
      <c r="CI663">
        <f t="shared" si="217"/>
        <v>0</v>
      </c>
      <c r="CJ663">
        <f t="shared" si="218"/>
        <v>0</v>
      </c>
      <c r="CK663">
        <f t="shared" si="219"/>
        <v>0</v>
      </c>
      <c r="CL663">
        <f t="shared" si="220"/>
        <v>0</v>
      </c>
      <c r="CM663">
        <f t="shared" si="222"/>
        <v>0</v>
      </c>
      <c r="CN663">
        <f t="shared" si="221"/>
        <v>0</v>
      </c>
      <c r="CO663">
        <f t="shared" si="205"/>
        <v>0</v>
      </c>
    </row>
    <row r="664" spans="1:93" s="12" customFormat="1" ht="14.45" hidden="1" customHeight="1" x14ac:dyDescent="0.25">
      <c r="A664" s="4">
        <v>2021</v>
      </c>
      <c r="B664" s="315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426</v>
      </c>
      <c r="H664" s="5" t="s">
        <v>427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428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+VLOOKUP(G664,Liste!$A$7:$G$69,3,FALSE)</f>
        <v>Hêtre commun</v>
      </c>
      <c r="BI664" s="96" t="str">
        <f>+VLOOKUP(H664,Liste!$B$7:$G$69,5,FALSE)</f>
        <v>GS Hêtraies et hêtraies sapinières des Pyrénées</v>
      </c>
      <c r="BJ664" s="135">
        <f t="shared" si="204"/>
        <v>108</v>
      </c>
      <c r="BK664" s="135" t="str">
        <f t="shared" si="206"/>
        <v>Hêtre commun_F2_Entree 19-20m_GS Hêtraies et hêtraies sapinières des Pyrénées_108_</v>
      </c>
      <c r="BL664" s="319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97" t="str">
        <f>+VLOOKUP(G664,Liste!$A$7:$H$69,8,FALSE)</f>
        <v>Feuillus</v>
      </c>
      <c r="BU664" s="297">
        <f t="shared" si="207"/>
        <v>1</v>
      </c>
      <c r="BV664" s="299">
        <f t="shared" si="208"/>
        <v>0</v>
      </c>
      <c r="BW664" s="318">
        <v>0</v>
      </c>
      <c r="BX664" s="297">
        <f t="shared" si="209"/>
        <v>0.25</v>
      </c>
      <c r="BY664">
        <f t="shared" si="210"/>
        <v>0</v>
      </c>
      <c r="BZ664" s="303">
        <f t="shared" si="211"/>
        <v>0</v>
      </c>
      <c r="CB664" s="298">
        <v>0.6</v>
      </c>
      <c r="CC664" s="298">
        <v>0.4</v>
      </c>
      <c r="CD664">
        <f t="shared" si="212"/>
        <v>0</v>
      </c>
      <c r="CE664">
        <f t="shared" si="213"/>
        <v>0</v>
      </c>
      <c r="CF664">
        <f t="shared" si="214"/>
        <v>0</v>
      </c>
      <c r="CG664">
        <f t="shared" si="215"/>
        <v>0</v>
      </c>
      <c r="CH664">
        <f t="shared" si="216"/>
        <v>0</v>
      </c>
      <c r="CI664">
        <f t="shared" si="217"/>
        <v>0</v>
      </c>
      <c r="CJ664">
        <f t="shared" si="218"/>
        <v>0</v>
      </c>
      <c r="CK664">
        <f t="shared" si="219"/>
        <v>0</v>
      </c>
      <c r="CL664">
        <f t="shared" si="220"/>
        <v>0</v>
      </c>
      <c r="CM664">
        <f t="shared" si="222"/>
        <v>0</v>
      </c>
      <c r="CN664">
        <f t="shared" si="221"/>
        <v>0</v>
      </c>
      <c r="CO664">
        <f t="shared" si="205"/>
        <v>0</v>
      </c>
    </row>
    <row r="665" spans="1:93" s="12" customFormat="1" ht="14.45" hidden="1" customHeight="1" x14ac:dyDescent="0.25">
      <c r="A665" s="4">
        <v>2021</v>
      </c>
      <c r="B665" s="315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426</v>
      </c>
      <c r="H665" s="5" t="s">
        <v>427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428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+VLOOKUP(G665,Liste!$A$7:$G$69,3,FALSE)</f>
        <v>Hêtre commun</v>
      </c>
      <c r="BI665" s="96" t="str">
        <f>+VLOOKUP(H665,Liste!$B$7:$G$69,5,FALSE)</f>
        <v>GS Hêtraies et hêtraies sapinières des Pyrénées</v>
      </c>
      <c r="BJ665" s="135">
        <f t="shared" si="204"/>
        <v>111</v>
      </c>
      <c r="BK665" s="135" t="str">
        <f t="shared" si="206"/>
        <v>Hêtre commun_F2_Entree 19-20m_GS Hêtraies et hêtraies sapinières des Pyrénées_111_</v>
      </c>
      <c r="BL665" s="319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97" t="str">
        <f>+VLOOKUP(G665,Liste!$A$7:$H$69,8,FALSE)</f>
        <v>Feuillus</v>
      </c>
      <c r="BU665" s="297">
        <f t="shared" si="207"/>
        <v>1</v>
      </c>
      <c r="BV665" s="299">
        <f t="shared" si="208"/>
        <v>0</v>
      </c>
      <c r="BW665" s="318">
        <v>0</v>
      </c>
      <c r="BX665" s="297">
        <f t="shared" si="209"/>
        <v>0.25</v>
      </c>
      <c r="BY665">
        <f t="shared" si="210"/>
        <v>0</v>
      </c>
      <c r="BZ665" s="303">
        <f t="shared" si="211"/>
        <v>0</v>
      </c>
      <c r="CB665" s="298">
        <v>0.6</v>
      </c>
      <c r="CC665" s="298">
        <v>0.4</v>
      </c>
      <c r="CD665">
        <f t="shared" si="212"/>
        <v>0</v>
      </c>
      <c r="CE665">
        <f t="shared" si="213"/>
        <v>0</v>
      </c>
      <c r="CF665">
        <f t="shared" si="214"/>
        <v>0</v>
      </c>
      <c r="CG665">
        <f t="shared" si="215"/>
        <v>0</v>
      </c>
      <c r="CH665">
        <f t="shared" si="216"/>
        <v>0</v>
      </c>
      <c r="CI665">
        <f t="shared" si="217"/>
        <v>0</v>
      </c>
      <c r="CJ665">
        <f t="shared" si="218"/>
        <v>0</v>
      </c>
      <c r="CK665">
        <f t="shared" si="219"/>
        <v>0</v>
      </c>
      <c r="CL665">
        <f t="shared" si="220"/>
        <v>0</v>
      </c>
      <c r="CM665">
        <f t="shared" si="222"/>
        <v>0</v>
      </c>
      <c r="CN665">
        <f t="shared" si="221"/>
        <v>0</v>
      </c>
      <c r="CO665">
        <f t="shared" si="205"/>
        <v>0</v>
      </c>
    </row>
    <row r="666" spans="1:93" s="12" customFormat="1" ht="14.45" hidden="1" customHeight="1" x14ac:dyDescent="0.25">
      <c r="A666" s="4">
        <v>2021</v>
      </c>
      <c r="B666" s="315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426</v>
      </c>
      <c r="H666" s="5" t="s">
        <v>427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428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+VLOOKUP(G666,Liste!$A$7:$G$69,3,FALSE)</f>
        <v>Hêtre commun</v>
      </c>
      <c r="BI666" s="96" t="str">
        <f>+VLOOKUP(H666,Liste!$B$7:$G$69,5,FALSE)</f>
        <v>GS Hêtraies et hêtraies sapinières des Pyrénées</v>
      </c>
      <c r="BJ666" s="135">
        <f t="shared" si="204"/>
        <v>114</v>
      </c>
      <c r="BK666" s="135" t="str">
        <f t="shared" si="206"/>
        <v>Hêtre commun_F2_Entree 19-20m_GS Hêtraies et hêtraies sapinières des Pyrénées_114_</v>
      </c>
      <c r="BL666" s="319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97" t="str">
        <f>+VLOOKUP(G666,Liste!$A$7:$H$69,8,FALSE)</f>
        <v>Feuillus</v>
      </c>
      <c r="BU666" s="297">
        <f t="shared" si="207"/>
        <v>1</v>
      </c>
      <c r="BV666" s="299">
        <f t="shared" si="208"/>
        <v>0</v>
      </c>
      <c r="BW666" s="318">
        <v>0</v>
      </c>
      <c r="BX666" s="297">
        <f t="shared" si="209"/>
        <v>0.25</v>
      </c>
      <c r="BY666">
        <f t="shared" si="210"/>
        <v>0</v>
      </c>
      <c r="BZ666" s="303">
        <f t="shared" si="211"/>
        <v>0</v>
      </c>
      <c r="CB666" s="298">
        <v>0.6</v>
      </c>
      <c r="CC666" s="298">
        <v>0.4</v>
      </c>
      <c r="CD666">
        <f t="shared" si="212"/>
        <v>0</v>
      </c>
      <c r="CE666">
        <f t="shared" si="213"/>
        <v>0</v>
      </c>
      <c r="CF666">
        <f t="shared" si="214"/>
        <v>0</v>
      </c>
      <c r="CG666">
        <f t="shared" si="215"/>
        <v>0</v>
      </c>
      <c r="CH666">
        <f t="shared" si="216"/>
        <v>0</v>
      </c>
      <c r="CI666">
        <f t="shared" si="217"/>
        <v>0</v>
      </c>
      <c r="CJ666">
        <f t="shared" si="218"/>
        <v>0</v>
      </c>
      <c r="CK666">
        <f t="shared" si="219"/>
        <v>0</v>
      </c>
      <c r="CL666">
        <f t="shared" si="220"/>
        <v>0</v>
      </c>
      <c r="CM666">
        <f t="shared" si="222"/>
        <v>0</v>
      </c>
      <c r="CN666">
        <f t="shared" si="221"/>
        <v>0</v>
      </c>
      <c r="CO666">
        <f t="shared" si="205"/>
        <v>0</v>
      </c>
    </row>
    <row r="667" spans="1:93" s="12" customFormat="1" ht="14.45" hidden="1" customHeight="1" x14ac:dyDescent="0.25">
      <c r="A667" s="4">
        <v>2021</v>
      </c>
      <c r="B667" s="315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426</v>
      </c>
      <c r="H667" s="5" t="s">
        <v>427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428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+VLOOKUP(G667,Liste!$A$7:$G$69,3,FALSE)</f>
        <v>Hêtre commun</v>
      </c>
      <c r="BI667" s="96" t="str">
        <f>+VLOOKUP(H667,Liste!$B$7:$G$69,5,FALSE)</f>
        <v>GS Hêtraies et hêtraies sapinières des Pyrénées</v>
      </c>
      <c r="BJ667" s="135">
        <f t="shared" si="204"/>
        <v>117</v>
      </c>
      <c r="BK667" s="135" t="str">
        <f t="shared" si="206"/>
        <v>Hêtre commun_F2_Entree 19-20m_GS Hêtraies et hêtraies sapinières des Pyrénées_117_</v>
      </c>
      <c r="BL667" s="319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97" t="str">
        <f>+VLOOKUP(G667,Liste!$A$7:$H$69,8,FALSE)</f>
        <v>Feuillus</v>
      </c>
      <c r="BU667" s="297">
        <f t="shared" si="207"/>
        <v>1</v>
      </c>
      <c r="BV667" s="299">
        <f t="shared" si="208"/>
        <v>0</v>
      </c>
      <c r="BW667" s="318">
        <v>0</v>
      </c>
      <c r="BX667" s="297">
        <f t="shared" si="209"/>
        <v>0.25</v>
      </c>
      <c r="BY667">
        <f t="shared" si="210"/>
        <v>0</v>
      </c>
      <c r="BZ667" s="303">
        <f t="shared" si="211"/>
        <v>0</v>
      </c>
      <c r="CB667" s="298">
        <v>0.6</v>
      </c>
      <c r="CC667" s="298">
        <v>0.4</v>
      </c>
      <c r="CD667">
        <f t="shared" si="212"/>
        <v>0</v>
      </c>
      <c r="CE667">
        <f t="shared" si="213"/>
        <v>0</v>
      </c>
      <c r="CF667">
        <f t="shared" si="214"/>
        <v>0</v>
      </c>
      <c r="CG667">
        <f t="shared" si="215"/>
        <v>0</v>
      </c>
      <c r="CH667">
        <f t="shared" si="216"/>
        <v>0</v>
      </c>
      <c r="CI667">
        <f t="shared" si="217"/>
        <v>0</v>
      </c>
      <c r="CJ667">
        <f t="shared" si="218"/>
        <v>0</v>
      </c>
      <c r="CK667">
        <f t="shared" si="219"/>
        <v>0</v>
      </c>
      <c r="CL667">
        <f t="shared" si="220"/>
        <v>0</v>
      </c>
      <c r="CM667">
        <f t="shared" si="222"/>
        <v>0</v>
      </c>
      <c r="CN667">
        <f t="shared" si="221"/>
        <v>0</v>
      </c>
      <c r="CO667">
        <f t="shared" si="205"/>
        <v>0</v>
      </c>
    </row>
    <row r="668" spans="1:93" s="12" customFormat="1" ht="14.45" hidden="1" customHeight="1" x14ac:dyDescent="0.25">
      <c r="A668" s="4">
        <v>2021</v>
      </c>
      <c r="B668" s="315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426</v>
      </c>
      <c r="H668" s="5" t="s">
        <v>427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428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+VLOOKUP(G668,Liste!$A$7:$G$69,3,FALSE)</f>
        <v>Hêtre commun</v>
      </c>
      <c r="BI668" s="96" t="str">
        <f>+VLOOKUP(H668,Liste!$B$7:$G$69,5,FALSE)</f>
        <v>GS Hêtraies et hêtraies sapinières des Pyrénées</v>
      </c>
      <c r="BJ668" s="135">
        <f t="shared" si="204"/>
        <v>117</v>
      </c>
      <c r="BK668" s="135" t="str">
        <f t="shared" si="206"/>
        <v>Hêtre commun_F2_Entree 19-20m_GS Hêtraies et hêtraies sapinières des Pyrénées_117_</v>
      </c>
      <c r="BL668" s="319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97" t="str">
        <f>+VLOOKUP(G668,Liste!$A$7:$H$69,8,FALSE)</f>
        <v>Feuillus</v>
      </c>
      <c r="BU668" s="297">
        <f t="shared" si="207"/>
        <v>1</v>
      </c>
      <c r="BV668" s="299">
        <f t="shared" si="208"/>
        <v>0</v>
      </c>
      <c r="BW668" s="318">
        <v>0</v>
      </c>
      <c r="BX668" s="297">
        <f t="shared" si="209"/>
        <v>0.25</v>
      </c>
      <c r="BY668">
        <f t="shared" si="210"/>
        <v>0</v>
      </c>
      <c r="BZ668" s="303">
        <f t="shared" si="211"/>
        <v>0</v>
      </c>
      <c r="CB668" s="298">
        <v>0.6</v>
      </c>
      <c r="CC668" s="298">
        <v>0.4</v>
      </c>
      <c r="CD668">
        <f t="shared" si="212"/>
        <v>0</v>
      </c>
      <c r="CE668">
        <f t="shared" si="213"/>
        <v>0</v>
      </c>
      <c r="CF668">
        <f t="shared" si="214"/>
        <v>0</v>
      </c>
      <c r="CG668">
        <f t="shared" si="215"/>
        <v>0</v>
      </c>
      <c r="CH668">
        <f t="shared" si="216"/>
        <v>0</v>
      </c>
      <c r="CI668">
        <f t="shared" si="217"/>
        <v>0</v>
      </c>
      <c r="CJ668">
        <f t="shared" si="218"/>
        <v>0</v>
      </c>
      <c r="CK668">
        <f t="shared" si="219"/>
        <v>0</v>
      </c>
      <c r="CL668">
        <f t="shared" si="220"/>
        <v>0</v>
      </c>
      <c r="CM668">
        <f t="shared" si="222"/>
        <v>0</v>
      </c>
      <c r="CN668">
        <f t="shared" si="221"/>
        <v>0</v>
      </c>
      <c r="CO668">
        <f t="shared" si="205"/>
        <v>0</v>
      </c>
    </row>
    <row r="669" spans="1:93" s="12" customFormat="1" ht="14.45" hidden="1" customHeight="1" x14ac:dyDescent="0.25">
      <c r="A669" s="4">
        <v>2021</v>
      </c>
      <c r="B669" s="315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426</v>
      </c>
      <c r="H669" s="5" t="s">
        <v>427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428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+VLOOKUP(G669,Liste!$A$7:$G$69,3,FALSE)</f>
        <v>Hêtre commun</v>
      </c>
      <c r="BI669" s="96" t="str">
        <f>+VLOOKUP(H669,Liste!$B$7:$G$69,5,FALSE)</f>
        <v>GS Hêtraies et hêtraies sapinières des Pyrénées</v>
      </c>
      <c r="BJ669" s="135">
        <f t="shared" si="204"/>
        <v>120</v>
      </c>
      <c r="BK669" s="135" t="str">
        <f t="shared" si="206"/>
        <v>Hêtre commun_F2_Entree 19-20m_GS Hêtraies et hêtraies sapinières des Pyrénées_120_</v>
      </c>
      <c r="BL669" s="319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97" t="str">
        <f>+VLOOKUP(G669,Liste!$A$7:$H$69,8,FALSE)</f>
        <v>Feuillus</v>
      </c>
      <c r="BU669" s="297">
        <f t="shared" si="207"/>
        <v>1</v>
      </c>
      <c r="BV669" s="299">
        <f t="shared" si="208"/>
        <v>0</v>
      </c>
      <c r="BW669" s="318">
        <v>0</v>
      </c>
      <c r="BX669" s="297">
        <f t="shared" si="209"/>
        <v>0.25</v>
      </c>
      <c r="BY669">
        <f t="shared" si="210"/>
        <v>0</v>
      </c>
      <c r="BZ669" s="303">
        <f t="shared" si="211"/>
        <v>0</v>
      </c>
      <c r="CB669" s="298">
        <v>0.6</v>
      </c>
      <c r="CC669" s="298">
        <v>0.4</v>
      </c>
      <c r="CD669">
        <f t="shared" si="212"/>
        <v>0</v>
      </c>
      <c r="CE669">
        <f t="shared" si="213"/>
        <v>0</v>
      </c>
      <c r="CF669">
        <f t="shared" si="214"/>
        <v>0</v>
      </c>
      <c r="CG669">
        <f t="shared" si="215"/>
        <v>0</v>
      </c>
      <c r="CH669">
        <f t="shared" si="216"/>
        <v>0</v>
      </c>
      <c r="CI669">
        <f t="shared" si="217"/>
        <v>0</v>
      </c>
      <c r="CJ669">
        <f t="shared" si="218"/>
        <v>0</v>
      </c>
      <c r="CK669">
        <f t="shared" si="219"/>
        <v>0</v>
      </c>
      <c r="CL669">
        <f t="shared" si="220"/>
        <v>0</v>
      </c>
      <c r="CM669">
        <f t="shared" si="222"/>
        <v>0</v>
      </c>
      <c r="CN669">
        <f t="shared" si="221"/>
        <v>0</v>
      </c>
      <c r="CO669">
        <f t="shared" si="205"/>
        <v>0</v>
      </c>
    </row>
    <row r="670" spans="1:93" s="12" customFormat="1" ht="14.45" hidden="1" customHeight="1" x14ac:dyDescent="0.25">
      <c r="A670" s="4">
        <v>2021</v>
      </c>
      <c r="B670" s="315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426</v>
      </c>
      <c r="H670" s="5" t="s">
        <v>427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428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+VLOOKUP(G670,Liste!$A$7:$G$69,3,FALSE)</f>
        <v>Hêtre commun</v>
      </c>
      <c r="BI670" s="96" t="str">
        <f>+VLOOKUP(H670,Liste!$B$7:$G$69,5,FALSE)</f>
        <v>GS Hêtraies et hêtraies sapinières des Pyrénées</v>
      </c>
      <c r="BJ670" s="135">
        <f t="shared" si="204"/>
        <v>123</v>
      </c>
      <c r="BK670" s="135" t="str">
        <f t="shared" si="206"/>
        <v>Hêtre commun_F2_Entree 19-20m_GS Hêtraies et hêtraies sapinières des Pyrénées_123_</v>
      </c>
      <c r="BL670" s="319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97" t="str">
        <f>+VLOOKUP(G670,Liste!$A$7:$H$69,8,FALSE)</f>
        <v>Feuillus</v>
      </c>
      <c r="BU670" s="297">
        <f t="shared" si="207"/>
        <v>1</v>
      </c>
      <c r="BV670" s="299">
        <f t="shared" si="208"/>
        <v>0</v>
      </c>
      <c r="BW670" s="318">
        <v>0</v>
      </c>
      <c r="BX670" s="297">
        <f t="shared" si="209"/>
        <v>0.25</v>
      </c>
      <c r="BY670">
        <f t="shared" si="210"/>
        <v>0</v>
      </c>
      <c r="BZ670" s="303">
        <f t="shared" si="211"/>
        <v>0</v>
      </c>
      <c r="CB670" s="298">
        <v>0.6</v>
      </c>
      <c r="CC670" s="298">
        <v>0.4</v>
      </c>
      <c r="CD670">
        <f t="shared" si="212"/>
        <v>0</v>
      </c>
      <c r="CE670">
        <f t="shared" si="213"/>
        <v>0</v>
      </c>
      <c r="CF670">
        <f t="shared" si="214"/>
        <v>0</v>
      </c>
      <c r="CG670">
        <f t="shared" si="215"/>
        <v>0</v>
      </c>
      <c r="CH670">
        <f t="shared" si="216"/>
        <v>0</v>
      </c>
      <c r="CI670">
        <f t="shared" si="217"/>
        <v>0</v>
      </c>
      <c r="CJ670">
        <f t="shared" si="218"/>
        <v>0</v>
      </c>
      <c r="CK670">
        <f t="shared" si="219"/>
        <v>0</v>
      </c>
      <c r="CL670">
        <f t="shared" si="220"/>
        <v>0</v>
      </c>
      <c r="CM670">
        <f t="shared" si="222"/>
        <v>0</v>
      </c>
      <c r="CN670">
        <f t="shared" si="221"/>
        <v>0</v>
      </c>
      <c r="CO670">
        <f t="shared" si="205"/>
        <v>0</v>
      </c>
    </row>
    <row r="671" spans="1:93" s="12" customFormat="1" ht="14.45" hidden="1" customHeight="1" x14ac:dyDescent="0.25">
      <c r="A671" s="4">
        <v>2021</v>
      </c>
      <c r="B671" s="315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426</v>
      </c>
      <c r="H671" s="5" t="s">
        <v>427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428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+VLOOKUP(G671,Liste!$A$7:$G$69,3,FALSE)</f>
        <v>Hêtre commun</v>
      </c>
      <c r="BI671" s="96" t="str">
        <f>+VLOOKUP(H671,Liste!$B$7:$G$69,5,FALSE)</f>
        <v>GS Hêtraies et hêtraies sapinières des Pyrénées</v>
      </c>
      <c r="BJ671" s="135">
        <f t="shared" si="204"/>
        <v>126</v>
      </c>
      <c r="BK671" s="135" t="str">
        <f t="shared" si="206"/>
        <v>Hêtre commun_F2_Entree 19-20m_GS Hêtraies et hêtraies sapinières des Pyrénées_126_</v>
      </c>
      <c r="BL671" s="319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97" t="str">
        <f>+VLOOKUP(G671,Liste!$A$7:$H$69,8,FALSE)</f>
        <v>Feuillus</v>
      </c>
      <c r="BU671" s="297">
        <f t="shared" si="207"/>
        <v>1</v>
      </c>
      <c r="BV671" s="299">
        <f t="shared" si="208"/>
        <v>0</v>
      </c>
      <c r="BW671" s="318">
        <v>0</v>
      </c>
      <c r="BX671" s="297">
        <f t="shared" si="209"/>
        <v>0.25</v>
      </c>
      <c r="BY671">
        <f t="shared" si="210"/>
        <v>0</v>
      </c>
      <c r="BZ671" s="303">
        <f t="shared" si="211"/>
        <v>0</v>
      </c>
      <c r="CB671" s="298">
        <v>0.6</v>
      </c>
      <c r="CC671" s="298">
        <v>0.4</v>
      </c>
      <c r="CD671">
        <f t="shared" si="212"/>
        <v>0</v>
      </c>
      <c r="CE671">
        <f t="shared" si="213"/>
        <v>0</v>
      </c>
      <c r="CF671">
        <f t="shared" si="214"/>
        <v>0</v>
      </c>
      <c r="CG671">
        <f t="shared" si="215"/>
        <v>0</v>
      </c>
      <c r="CH671">
        <f t="shared" si="216"/>
        <v>0</v>
      </c>
      <c r="CI671">
        <f t="shared" si="217"/>
        <v>0</v>
      </c>
      <c r="CJ671">
        <f t="shared" si="218"/>
        <v>0</v>
      </c>
      <c r="CK671">
        <f t="shared" si="219"/>
        <v>0</v>
      </c>
      <c r="CL671">
        <f t="shared" si="220"/>
        <v>0</v>
      </c>
      <c r="CM671">
        <f t="shared" si="222"/>
        <v>0</v>
      </c>
      <c r="CN671">
        <f t="shared" si="221"/>
        <v>0</v>
      </c>
      <c r="CO671">
        <f t="shared" si="205"/>
        <v>0</v>
      </c>
    </row>
    <row r="672" spans="1:93" s="12" customFormat="1" ht="14.45" hidden="1" customHeight="1" x14ac:dyDescent="0.25">
      <c r="A672" s="4">
        <v>2021</v>
      </c>
      <c r="B672" s="315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426</v>
      </c>
      <c r="H672" s="5" t="s">
        <v>427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428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+VLOOKUP(G672,Liste!$A$7:$G$69,3,FALSE)</f>
        <v>Hêtre commun</v>
      </c>
      <c r="BI672" s="96" t="str">
        <f>+VLOOKUP(H672,Liste!$B$7:$G$69,5,FALSE)</f>
        <v>GS Hêtraies et hêtraies sapinières des Pyrénées</v>
      </c>
      <c r="BJ672" s="135">
        <f t="shared" si="204"/>
        <v>129</v>
      </c>
      <c r="BK672" s="135" t="str">
        <f t="shared" si="206"/>
        <v>Hêtre commun_F2_Entree 19-20m_GS Hêtraies et hêtraies sapinières des Pyrénées_129_</v>
      </c>
      <c r="BL672" s="319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97" t="str">
        <f>+VLOOKUP(G672,Liste!$A$7:$H$69,8,FALSE)</f>
        <v>Feuillus</v>
      </c>
      <c r="BU672" s="297">
        <f t="shared" si="207"/>
        <v>1</v>
      </c>
      <c r="BV672" s="299">
        <f t="shared" si="208"/>
        <v>0</v>
      </c>
      <c r="BW672" s="318">
        <v>0</v>
      </c>
      <c r="BX672" s="297">
        <f t="shared" si="209"/>
        <v>0.25</v>
      </c>
      <c r="BY672">
        <f t="shared" si="210"/>
        <v>0</v>
      </c>
      <c r="BZ672" s="303">
        <f t="shared" si="211"/>
        <v>0</v>
      </c>
      <c r="CB672" s="298">
        <v>0.6</v>
      </c>
      <c r="CC672" s="298">
        <v>0.4</v>
      </c>
      <c r="CD672">
        <f t="shared" si="212"/>
        <v>0</v>
      </c>
      <c r="CE672">
        <f t="shared" si="213"/>
        <v>0</v>
      </c>
      <c r="CF672">
        <f t="shared" si="214"/>
        <v>0</v>
      </c>
      <c r="CG672">
        <f t="shared" si="215"/>
        <v>0</v>
      </c>
      <c r="CH672">
        <f t="shared" si="216"/>
        <v>0</v>
      </c>
      <c r="CI672">
        <f t="shared" si="217"/>
        <v>0</v>
      </c>
      <c r="CJ672">
        <f t="shared" si="218"/>
        <v>0</v>
      </c>
      <c r="CK672">
        <f t="shared" si="219"/>
        <v>0</v>
      </c>
      <c r="CL672">
        <f t="shared" si="220"/>
        <v>0</v>
      </c>
      <c r="CM672">
        <f t="shared" si="222"/>
        <v>0</v>
      </c>
      <c r="CN672">
        <f t="shared" si="221"/>
        <v>0</v>
      </c>
      <c r="CO672">
        <f t="shared" si="205"/>
        <v>0</v>
      </c>
    </row>
    <row r="673" spans="1:93" s="12" customFormat="1" ht="14.45" hidden="1" customHeight="1" x14ac:dyDescent="0.25">
      <c r="A673" s="4">
        <v>2021</v>
      </c>
      <c r="B673" s="315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426</v>
      </c>
      <c r="H673" s="5" t="s">
        <v>427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428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+VLOOKUP(G673,Liste!$A$7:$G$69,3,FALSE)</f>
        <v>Hêtre commun</v>
      </c>
      <c r="BI673" s="96" t="str">
        <f>+VLOOKUP(H673,Liste!$B$7:$G$69,5,FALSE)</f>
        <v>GS Hêtraies et hêtraies sapinières des Pyrénées</v>
      </c>
      <c r="BJ673" s="135">
        <f t="shared" si="204"/>
        <v>129</v>
      </c>
      <c r="BK673" s="135" t="str">
        <f t="shared" si="206"/>
        <v>Hêtre commun_F2_Entree 19-20m_GS Hêtraies et hêtraies sapinières des Pyrénées_129_</v>
      </c>
      <c r="BL673" s="319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97" t="str">
        <f>+VLOOKUP(G673,Liste!$A$7:$H$69,8,FALSE)</f>
        <v>Feuillus</v>
      </c>
      <c r="BU673" s="297">
        <f t="shared" si="207"/>
        <v>1</v>
      </c>
      <c r="BV673" s="299">
        <f t="shared" si="208"/>
        <v>0</v>
      </c>
      <c r="BW673" s="318">
        <v>0</v>
      </c>
      <c r="BX673" s="297">
        <f t="shared" si="209"/>
        <v>0.25</v>
      </c>
      <c r="BY673">
        <f t="shared" si="210"/>
        <v>0</v>
      </c>
      <c r="BZ673" s="303">
        <f t="shared" si="211"/>
        <v>0</v>
      </c>
      <c r="CB673" s="298">
        <v>0.6</v>
      </c>
      <c r="CC673" s="298">
        <v>0.4</v>
      </c>
      <c r="CD673">
        <f t="shared" si="212"/>
        <v>0</v>
      </c>
      <c r="CE673">
        <f t="shared" si="213"/>
        <v>0</v>
      </c>
      <c r="CF673">
        <f t="shared" si="214"/>
        <v>0</v>
      </c>
      <c r="CG673">
        <f t="shared" si="215"/>
        <v>0</v>
      </c>
      <c r="CH673">
        <f t="shared" si="216"/>
        <v>0</v>
      </c>
      <c r="CI673">
        <f t="shared" si="217"/>
        <v>0</v>
      </c>
      <c r="CJ673">
        <f t="shared" si="218"/>
        <v>0</v>
      </c>
      <c r="CK673">
        <f t="shared" si="219"/>
        <v>0</v>
      </c>
      <c r="CL673">
        <f t="shared" si="220"/>
        <v>0</v>
      </c>
      <c r="CM673">
        <f t="shared" si="222"/>
        <v>0</v>
      </c>
      <c r="CN673">
        <f t="shared" si="221"/>
        <v>0</v>
      </c>
      <c r="CO673">
        <f t="shared" si="205"/>
        <v>0</v>
      </c>
    </row>
    <row r="674" spans="1:93" s="12" customFormat="1" ht="14.45" hidden="1" customHeight="1" x14ac:dyDescent="0.25">
      <c r="A674" s="4">
        <v>2021</v>
      </c>
      <c r="B674" s="315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426</v>
      </c>
      <c r="H674" s="5" t="s">
        <v>427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428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+VLOOKUP(G674,Liste!$A$7:$G$69,3,FALSE)</f>
        <v>Hêtre commun</v>
      </c>
      <c r="BI674" s="96" t="str">
        <f>+VLOOKUP(H674,Liste!$B$7:$G$69,5,FALSE)</f>
        <v>GS Hêtraies et hêtraies sapinières des Pyrénées</v>
      </c>
      <c r="BJ674" s="135">
        <f t="shared" si="204"/>
        <v>132</v>
      </c>
      <c r="BK674" s="135" t="str">
        <f t="shared" si="206"/>
        <v>Hêtre commun_F2_Entree 19-20m_GS Hêtraies et hêtraies sapinières des Pyrénées_132_</v>
      </c>
      <c r="BL674" s="319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97" t="str">
        <f>+VLOOKUP(G674,Liste!$A$7:$H$69,8,FALSE)</f>
        <v>Feuillus</v>
      </c>
      <c r="BU674" s="297">
        <f t="shared" si="207"/>
        <v>1</v>
      </c>
      <c r="BV674" s="299">
        <f t="shared" si="208"/>
        <v>0</v>
      </c>
      <c r="BW674" s="318">
        <v>0</v>
      </c>
      <c r="BX674" s="297">
        <f t="shared" si="209"/>
        <v>0.25</v>
      </c>
      <c r="BY674">
        <f t="shared" si="210"/>
        <v>0</v>
      </c>
      <c r="BZ674" s="303">
        <f t="shared" si="211"/>
        <v>0</v>
      </c>
      <c r="CB674" s="298">
        <v>0.6</v>
      </c>
      <c r="CC674" s="298">
        <v>0.4</v>
      </c>
      <c r="CD674">
        <f t="shared" si="212"/>
        <v>0</v>
      </c>
      <c r="CE674">
        <f t="shared" si="213"/>
        <v>0</v>
      </c>
      <c r="CF674">
        <f t="shared" si="214"/>
        <v>0</v>
      </c>
      <c r="CG674">
        <f t="shared" si="215"/>
        <v>0</v>
      </c>
      <c r="CH674">
        <f t="shared" si="216"/>
        <v>0</v>
      </c>
      <c r="CI674">
        <f t="shared" si="217"/>
        <v>0</v>
      </c>
      <c r="CJ674">
        <f t="shared" si="218"/>
        <v>0</v>
      </c>
      <c r="CK674">
        <f t="shared" si="219"/>
        <v>0</v>
      </c>
      <c r="CL674">
        <f t="shared" si="220"/>
        <v>0</v>
      </c>
      <c r="CM674">
        <f t="shared" si="222"/>
        <v>0</v>
      </c>
      <c r="CN674">
        <f t="shared" si="221"/>
        <v>0</v>
      </c>
      <c r="CO674">
        <f t="shared" si="205"/>
        <v>0</v>
      </c>
    </row>
    <row r="675" spans="1:93" s="12" customFormat="1" ht="14.45" hidden="1" customHeight="1" x14ac:dyDescent="0.25">
      <c r="A675" s="4">
        <v>2021</v>
      </c>
      <c r="B675" s="315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426</v>
      </c>
      <c r="H675" s="5" t="s">
        <v>427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428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+VLOOKUP(G675,Liste!$A$7:$G$69,3,FALSE)</f>
        <v>Hêtre commun</v>
      </c>
      <c r="BI675" s="96" t="str">
        <f>+VLOOKUP(H675,Liste!$B$7:$G$69,5,FALSE)</f>
        <v>GS Hêtraies et hêtraies sapinières des Pyrénées</v>
      </c>
      <c r="BJ675" s="135">
        <f t="shared" si="204"/>
        <v>134</v>
      </c>
      <c r="BK675" s="135" t="str">
        <f t="shared" si="206"/>
        <v>Hêtre commun_F2_Entree 19-20m_GS Hêtraies et hêtraies sapinières des Pyrénées_134_</v>
      </c>
      <c r="BL675" s="319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97" t="str">
        <f>+VLOOKUP(G675,Liste!$A$7:$H$69,8,FALSE)</f>
        <v>Feuillus</v>
      </c>
      <c r="BU675" s="297">
        <f t="shared" si="207"/>
        <v>1</v>
      </c>
      <c r="BV675" s="299">
        <f t="shared" si="208"/>
        <v>0</v>
      </c>
      <c r="BW675" s="318">
        <v>0</v>
      </c>
      <c r="BX675" s="297">
        <f t="shared" si="209"/>
        <v>0.25</v>
      </c>
      <c r="BY675">
        <f t="shared" si="210"/>
        <v>0</v>
      </c>
      <c r="BZ675" s="303">
        <f t="shared" si="211"/>
        <v>0</v>
      </c>
      <c r="CB675" s="298">
        <v>0.6</v>
      </c>
      <c r="CC675" s="298">
        <v>0.4</v>
      </c>
      <c r="CD675">
        <f t="shared" si="212"/>
        <v>0</v>
      </c>
      <c r="CE675">
        <f t="shared" si="213"/>
        <v>0</v>
      </c>
      <c r="CF675">
        <f t="shared" si="214"/>
        <v>0</v>
      </c>
      <c r="CG675">
        <f t="shared" si="215"/>
        <v>0</v>
      </c>
      <c r="CH675">
        <f t="shared" si="216"/>
        <v>0</v>
      </c>
      <c r="CI675">
        <f t="shared" si="217"/>
        <v>0</v>
      </c>
      <c r="CJ675">
        <f t="shared" si="218"/>
        <v>0</v>
      </c>
      <c r="CK675">
        <f t="shared" si="219"/>
        <v>0</v>
      </c>
      <c r="CL675">
        <f t="shared" si="220"/>
        <v>0</v>
      </c>
      <c r="CM675">
        <f t="shared" si="222"/>
        <v>0</v>
      </c>
      <c r="CN675">
        <f t="shared" si="221"/>
        <v>0</v>
      </c>
      <c r="CO675">
        <f t="shared" si="205"/>
        <v>0</v>
      </c>
    </row>
    <row r="676" spans="1:93" s="12" customFormat="1" ht="14.45" hidden="1" customHeight="1" x14ac:dyDescent="0.25">
      <c r="A676" s="4">
        <v>2021</v>
      </c>
      <c r="B676" s="315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426</v>
      </c>
      <c r="H676" s="5" t="s">
        <v>427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428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+VLOOKUP(G676,Liste!$A$7:$G$69,3,FALSE)</f>
        <v>Hêtre commun</v>
      </c>
      <c r="BI676" s="96" t="str">
        <f>+VLOOKUP(H676,Liste!$B$7:$G$69,5,FALSE)</f>
        <v>GS Hêtraies et hêtraies sapinières des Pyrénées</v>
      </c>
      <c r="BJ676" s="135">
        <f t="shared" si="204"/>
        <v>134</v>
      </c>
      <c r="BK676" s="135" t="str">
        <f t="shared" si="206"/>
        <v>Hêtre commun_F2_Entree 19-20m_GS Hêtraies et hêtraies sapinières des Pyrénées_134_</v>
      </c>
      <c r="BL676" s="319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97" t="str">
        <f>+VLOOKUP(G676,Liste!$A$7:$H$69,8,FALSE)</f>
        <v>Feuillus</v>
      </c>
      <c r="BU676" s="297">
        <f t="shared" si="207"/>
        <v>1</v>
      </c>
      <c r="BV676" s="299">
        <f t="shared" si="208"/>
        <v>0</v>
      </c>
      <c r="BW676" s="318">
        <v>0</v>
      </c>
      <c r="BX676" s="297">
        <f t="shared" si="209"/>
        <v>0.25</v>
      </c>
      <c r="BY676">
        <f t="shared" si="210"/>
        <v>0</v>
      </c>
      <c r="BZ676" s="303">
        <f t="shared" si="211"/>
        <v>0</v>
      </c>
      <c r="CB676" s="298">
        <v>0.6</v>
      </c>
      <c r="CC676" s="298">
        <v>0.4</v>
      </c>
      <c r="CD676">
        <f t="shared" si="212"/>
        <v>0</v>
      </c>
      <c r="CE676">
        <f t="shared" si="213"/>
        <v>0</v>
      </c>
      <c r="CF676">
        <f t="shared" si="214"/>
        <v>0</v>
      </c>
      <c r="CG676">
        <f t="shared" si="215"/>
        <v>0</v>
      </c>
      <c r="CH676">
        <f t="shared" si="216"/>
        <v>0</v>
      </c>
      <c r="CI676">
        <f t="shared" si="217"/>
        <v>0</v>
      </c>
      <c r="CJ676">
        <f t="shared" si="218"/>
        <v>0</v>
      </c>
      <c r="CK676">
        <f t="shared" si="219"/>
        <v>0</v>
      </c>
      <c r="CL676">
        <f t="shared" si="220"/>
        <v>0</v>
      </c>
      <c r="CM676">
        <f t="shared" si="222"/>
        <v>0</v>
      </c>
      <c r="CN676">
        <f t="shared" si="221"/>
        <v>0</v>
      </c>
      <c r="CO676">
        <f t="shared" si="205"/>
        <v>0</v>
      </c>
    </row>
    <row r="677" spans="1:93" s="12" customFormat="1" ht="14.45" hidden="1" customHeight="1" x14ac:dyDescent="0.25">
      <c r="A677" s="4">
        <v>2021</v>
      </c>
      <c r="B677" s="315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426</v>
      </c>
      <c r="H677" s="5" t="s">
        <v>427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428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+VLOOKUP(G677,Liste!$A$7:$G$69,3,FALSE)</f>
        <v>Hêtre commun</v>
      </c>
      <c r="BI677" s="96" t="str">
        <f>+VLOOKUP(H677,Liste!$B$7:$G$69,5,FALSE)</f>
        <v>GS Hêtraies et hêtraies sapinières des Pyrénées</v>
      </c>
      <c r="BJ677" s="135">
        <f t="shared" si="204"/>
        <v>137</v>
      </c>
      <c r="BK677" s="135" t="str">
        <f t="shared" si="206"/>
        <v>Hêtre commun_F2_Entree 19-20m_GS Hêtraies et hêtraies sapinières des Pyrénées_137_</v>
      </c>
      <c r="BL677" s="319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97" t="str">
        <f>+VLOOKUP(G677,Liste!$A$7:$H$69,8,FALSE)</f>
        <v>Feuillus</v>
      </c>
      <c r="BU677" s="297">
        <f t="shared" si="207"/>
        <v>1</v>
      </c>
      <c r="BV677" s="299">
        <f t="shared" si="208"/>
        <v>0</v>
      </c>
      <c r="BW677" s="318">
        <v>0</v>
      </c>
      <c r="BX677" s="297">
        <f t="shared" si="209"/>
        <v>0.25</v>
      </c>
      <c r="BY677">
        <f t="shared" si="210"/>
        <v>0</v>
      </c>
      <c r="BZ677" s="303">
        <f t="shared" si="211"/>
        <v>0</v>
      </c>
      <c r="CB677" s="298">
        <v>0.6</v>
      </c>
      <c r="CC677" s="298">
        <v>0.4</v>
      </c>
      <c r="CD677">
        <f t="shared" si="212"/>
        <v>0</v>
      </c>
      <c r="CE677">
        <f t="shared" si="213"/>
        <v>0</v>
      </c>
      <c r="CF677">
        <f t="shared" si="214"/>
        <v>0</v>
      </c>
      <c r="CG677">
        <f t="shared" si="215"/>
        <v>0</v>
      </c>
      <c r="CH677">
        <f t="shared" si="216"/>
        <v>0</v>
      </c>
      <c r="CI677">
        <f t="shared" si="217"/>
        <v>0</v>
      </c>
      <c r="CJ677">
        <f t="shared" si="218"/>
        <v>0</v>
      </c>
      <c r="CK677">
        <f t="shared" si="219"/>
        <v>0</v>
      </c>
      <c r="CL677">
        <f t="shared" si="220"/>
        <v>0</v>
      </c>
      <c r="CM677">
        <f t="shared" si="222"/>
        <v>0</v>
      </c>
      <c r="CN677">
        <f t="shared" si="221"/>
        <v>0</v>
      </c>
      <c r="CO677">
        <f t="shared" si="205"/>
        <v>0</v>
      </c>
    </row>
    <row r="678" spans="1:93" s="12" customFormat="1" ht="14.45" hidden="1" customHeight="1" x14ac:dyDescent="0.25">
      <c r="A678" s="4">
        <v>2021</v>
      </c>
      <c r="B678" s="315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426</v>
      </c>
      <c r="H678" s="5" t="s">
        <v>427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428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+VLOOKUP(G678,Liste!$A$7:$G$69,3,FALSE)</f>
        <v>Hêtre commun</v>
      </c>
      <c r="BI678" s="96" t="str">
        <f>+VLOOKUP(H678,Liste!$B$7:$G$69,5,FALSE)</f>
        <v>GS Hêtraies et hêtraies sapinières des Pyrénées</v>
      </c>
      <c r="BJ678" s="135">
        <f t="shared" si="204"/>
        <v>139</v>
      </c>
      <c r="BK678" s="135" t="str">
        <f t="shared" si="206"/>
        <v>Hêtre commun_F2_Entree 19-20m_GS Hêtraies et hêtraies sapinières des Pyrénées_139_</v>
      </c>
      <c r="BL678" s="319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97" t="str">
        <f>+VLOOKUP(G678,Liste!$A$7:$H$69,8,FALSE)</f>
        <v>Feuillus</v>
      </c>
      <c r="BU678" s="297">
        <f t="shared" si="207"/>
        <v>1</v>
      </c>
      <c r="BV678" s="299">
        <f t="shared" si="208"/>
        <v>0</v>
      </c>
      <c r="BW678" s="318">
        <v>0</v>
      </c>
      <c r="BX678" s="297">
        <f t="shared" si="209"/>
        <v>0.25</v>
      </c>
      <c r="BY678">
        <f t="shared" si="210"/>
        <v>0</v>
      </c>
      <c r="BZ678" s="303">
        <f t="shared" si="211"/>
        <v>0</v>
      </c>
      <c r="CB678" s="298">
        <v>0.6</v>
      </c>
      <c r="CC678" s="298">
        <v>0.4</v>
      </c>
      <c r="CD678">
        <f t="shared" si="212"/>
        <v>0</v>
      </c>
      <c r="CE678">
        <f t="shared" si="213"/>
        <v>0</v>
      </c>
      <c r="CF678">
        <f t="shared" si="214"/>
        <v>0</v>
      </c>
      <c r="CG678">
        <f t="shared" si="215"/>
        <v>0</v>
      </c>
      <c r="CH678">
        <f t="shared" si="216"/>
        <v>0</v>
      </c>
      <c r="CI678">
        <f t="shared" si="217"/>
        <v>0</v>
      </c>
      <c r="CJ678">
        <f t="shared" si="218"/>
        <v>0</v>
      </c>
      <c r="CK678">
        <f t="shared" si="219"/>
        <v>0</v>
      </c>
      <c r="CL678">
        <f t="shared" si="220"/>
        <v>0</v>
      </c>
      <c r="CM678">
        <f t="shared" si="222"/>
        <v>0</v>
      </c>
      <c r="CN678">
        <f t="shared" si="221"/>
        <v>0</v>
      </c>
      <c r="CO678">
        <f t="shared" si="205"/>
        <v>0</v>
      </c>
    </row>
    <row r="679" spans="1:93" s="12" customFormat="1" ht="14.45" hidden="1" customHeight="1" x14ac:dyDescent="0.25">
      <c r="A679" s="4">
        <v>2021</v>
      </c>
      <c r="B679" s="315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426</v>
      </c>
      <c r="H679" s="5" t="s">
        <v>427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428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+VLOOKUP(G679,Liste!$A$7:$G$69,3,FALSE)</f>
        <v>Hêtre commun</v>
      </c>
      <c r="BI679" s="96" t="str">
        <f>+VLOOKUP(H679,Liste!$B$7:$G$69,5,FALSE)</f>
        <v>GS Hêtraies et hêtraies sapinières des Pyrénées</v>
      </c>
      <c r="BJ679" s="135">
        <f t="shared" si="204"/>
        <v>139</v>
      </c>
      <c r="BK679" s="135" t="str">
        <f t="shared" si="206"/>
        <v>Hêtre commun_F2_Entree 19-20m_GS Hêtraies et hêtraies sapinières des Pyrénées_139_</v>
      </c>
      <c r="BL679" s="319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97" t="str">
        <f>+VLOOKUP(G679,Liste!$A$7:$H$69,8,FALSE)</f>
        <v>Feuillus</v>
      </c>
      <c r="BU679" s="297">
        <f t="shared" si="207"/>
        <v>1</v>
      </c>
      <c r="BV679" s="299">
        <f t="shared" si="208"/>
        <v>0</v>
      </c>
      <c r="BW679" s="318">
        <v>0</v>
      </c>
      <c r="BX679" s="297">
        <f t="shared" si="209"/>
        <v>0.25</v>
      </c>
      <c r="BY679">
        <f t="shared" si="210"/>
        <v>0</v>
      </c>
      <c r="BZ679" s="303">
        <f t="shared" si="211"/>
        <v>0</v>
      </c>
      <c r="CB679" s="298">
        <v>0.6</v>
      </c>
      <c r="CC679" s="298">
        <v>0.4</v>
      </c>
      <c r="CD679">
        <f t="shared" si="212"/>
        <v>0</v>
      </c>
      <c r="CE679">
        <f t="shared" si="213"/>
        <v>0</v>
      </c>
      <c r="CF679">
        <f t="shared" si="214"/>
        <v>0</v>
      </c>
      <c r="CG679">
        <f t="shared" si="215"/>
        <v>0</v>
      </c>
      <c r="CH679">
        <f t="shared" si="216"/>
        <v>0</v>
      </c>
      <c r="CI679">
        <f t="shared" si="217"/>
        <v>0</v>
      </c>
      <c r="CJ679">
        <f t="shared" si="218"/>
        <v>0</v>
      </c>
      <c r="CK679">
        <f t="shared" si="219"/>
        <v>0</v>
      </c>
      <c r="CL679">
        <f t="shared" si="220"/>
        <v>0</v>
      </c>
      <c r="CM679">
        <f t="shared" si="222"/>
        <v>0</v>
      </c>
      <c r="CN679">
        <f t="shared" si="221"/>
        <v>0</v>
      </c>
      <c r="CO679">
        <f t="shared" si="205"/>
        <v>0</v>
      </c>
    </row>
    <row r="680" spans="1:93" s="12" customFormat="1" ht="14.45" hidden="1" customHeight="1" x14ac:dyDescent="0.25">
      <c r="A680" s="4">
        <v>2021</v>
      </c>
      <c r="B680" s="315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426</v>
      </c>
      <c r="H680" s="5" t="s">
        <v>427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428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+VLOOKUP(G680,Liste!$A$7:$G$69,3,FALSE)</f>
        <v>Hêtre commun</v>
      </c>
      <c r="BI680" s="96" t="str">
        <f>+VLOOKUP(H680,Liste!$B$7:$G$69,5,FALSE)</f>
        <v>GS Hêtraies et hêtraies sapinières des Pyrénées</v>
      </c>
      <c r="BJ680" s="135">
        <f t="shared" si="204"/>
        <v>143</v>
      </c>
      <c r="BK680" s="135" t="str">
        <f t="shared" si="206"/>
        <v>Hêtre commun_F2_Entree 19-20m_GS Hêtraies et hêtraies sapinières des Pyrénées_143_</v>
      </c>
      <c r="BL680" s="319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97" t="str">
        <f>+VLOOKUP(G680,Liste!$A$7:$H$69,8,FALSE)</f>
        <v>Feuillus</v>
      </c>
      <c r="BU680" s="297">
        <f t="shared" si="207"/>
        <v>1</v>
      </c>
      <c r="BV680" s="299">
        <f t="shared" si="208"/>
        <v>0</v>
      </c>
      <c r="BW680" s="318">
        <v>0</v>
      </c>
      <c r="BX680" s="297">
        <f t="shared" si="209"/>
        <v>0.25</v>
      </c>
      <c r="BY680">
        <f t="shared" si="210"/>
        <v>0</v>
      </c>
      <c r="BZ680" s="303">
        <f t="shared" si="211"/>
        <v>0</v>
      </c>
      <c r="CB680" s="298">
        <v>0.6</v>
      </c>
      <c r="CC680" s="298">
        <v>0.4</v>
      </c>
      <c r="CD680">
        <f t="shared" si="212"/>
        <v>0</v>
      </c>
      <c r="CE680">
        <f t="shared" si="213"/>
        <v>0</v>
      </c>
      <c r="CF680">
        <f t="shared" si="214"/>
        <v>0</v>
      </c>
      <c r="CG680">
        <f t="shared" si="215"/>
        <v>0</v>
      </c>
      <c r="CH680">
        <f t="shared" si="216"/>
        <v>0</v>
      </c>
      <c r="CI680">
        <f t="shared" si="217"/>
        <v>0</v>
      </c>
      <c r="CJ680">
        <f t="shared" si="218"/>
        <v>0</v>
      </c>
      <c r="CK680">
        <f t="shared" si="219"/>
        <v>0</v>
      </c>
      <c r="CL680">
        <f t="shared" si="220"/>
        <v>0</v>
      </c>
      <c r="CM680">
        <f t="shared" si="222"/>
        <v>0</v>
      </c>
      <c r="CN680">
        <f t="shared" si="221"/>
        <v>0</v>
      </c>
      <c r="CO680">
        <f t="shared" si="205"/>
        <v>0</v>
      </c>
    </row>
    <row r="681" spans="1:93" s="12" customFormat="1" ht="14.45" hidden="1" customHeight="1" x14ac:dyDescent="0.25">
      <c r="A681" s="4">
        <v>2021</v>
      </c>
      <c r="B681" s="315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426</v>
      </c>
      <c r="H681" s="5" t="s">
        <v>427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428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+VLOOKUP(G681,Liste!$A$7:$G$69,3,FALSE)</f>
        <v>Hêtre commun</v>
      </c>
      <c r="BI681" s="96" t="str">
        <f>+VLOOKUP(H681,Liste!$B$7:$G$69,5,FALSE)</f>
        <v>GS Hêtraies et hêtraies sapinières des Pyrénées</v>
      </c>
      <c r="BJ681" s="135">
        <f t="shared" si="204"/>
        <v>143</v>
      </c>
      <c r="BK681" s="135" t="str">
        <f t="shared" si="206"/>
        <v>Hêtre commun_F2_Entree 19-20m_GS Hêtraies et hêtraies sapinières des Pyrénées_143_</v>
      </c>
      <c r="BL681" s="319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97" t="str">
        <f>+VLOOKUP(G681,Liste!$A$7:$H$69,8,FALSE)</f>
        <v>Feuillus</v>
      </c>
      <c r="BU681" s="297">
        <f t="shared" si="207"/>
        <v>1</v>
      </c>
      <c r="BV681" s="299">
        <f t="shared" si="208"/>
        <v>0</v>
      </c>
      <c r="BW681" s="318">
        <v>0</v>
      </c>
      <c r="BX681" s="297">
        <f t="shared" si="209"/>
        <v>0.25</v>
      </c>
      <c r="BY681">
        <f t="shared" si="210"/>
        <v>0</v>
      </c>
      <c r="BZ681" s="303">
        <f t="shared" si="211"/>
        <v>0</v>
      </c>
      <c r="CB681" s="298">
        <v>0.6</v>
      </c>
      <c r="CC681" s="298">
        <v>0.4</v>
      </c>
      <c r="CD681">
        <f t="shared" si="212"/>
        <v>0</v>
      </c>
      <c r="CE681">
        <f t="shared" si="213"/>
        <v>0</v>
      </c>
      <c r="CF681">
        <f t="shared" si="214"/>
        <v>0</v>
      </c>
      <c r="CG681">
        <f t="shared" si="215"/>
        <v>0</v>
      </c>
      <c r="CH681">
        <f t="shared" si="216"/>
        <v>0</v>
      </c>
      <c r="CI681">
        <f t="shared" si="217"/>
        <v>0</v>
      </c>
      <c r="CJ681">
        <f t="shared" si="218"/>
        <v>0</v>
      </c>
      <c r="CK681">
        <f t="shared" si="219"/>
        <v>0</v>
      </c>
      <c r="CL681">
        <f t="shared" si="220"/>
        <v>0</v>
      </c>
      <c r="CM681">
        <f t="shared" si="222"/>
        <v>0</v>
      </c>
      <c r="CN681">
        <f t="shared" si="221"/>
        <v>0</v>
      </c>
      <c r="CO681">
        <f t="shared" si="205"/>
        <v>0</v>
      </c>
    </row>
    <row r="682" spans="1:93" s="12" customFormat="1" ht="14.45" hidden="1" customHeight="1" x14ac:dyDescent="0.25">
      <c r="A682" s="4">
        <v>2021</v>
      </c>
      <c r="B682" s="315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426</v>
      </c>
      <c r="H682" s="5" t="s">
        <v>427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428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+VLOOKUP(G682,Liste!$A$7:$G$69,3,FALSE)</f>
        <v>Hêtre commun</v>
      </c>
      <c r="BI682" s="96" t="str">
        <f>+VLOOKUP(H682,Liste!$B$7:$G$69,5,FALSE)</f>
        <v>GS Hêtraies et hêtraies sapinières des Pyrénées</v>
      </c>
      <c r="BJ682" s="135">
        <f t="shared" si="204"/>
        <v>30</v>
      </c>
      <c r="BK682" s="135" t="str">
        <f t="shared" si="206"/>
        <v>Hêtre commun_F1_Entree 19-20m_GS Hêtraies et hêtraies sapinières des Pyrénées_30_</v>
      </c>
      <c r="BL682" s="319"/>
      <c r="BM682" s="13">
        <v>56.356110888956302</v>
      </c>
      <c r="BN682" s="13">
        <v>270.460424951275</v>
      </c>
      <c r="BP682" s="13">
        <v>328.524705421715</v>
      </c>
      <c r="BQ682" s="13"/>
      <c r="BT682" s="297" t="str">
        <f>+VLOOKUP(G682,Liste!$A$7:$H$69,8,FALSE)</f>
        <v>Feuillus</v>
      </c>
      <c r="BU682" s="297">
        <f t="shared" si="207"/>
        <v>1</v>
      </c>
      <c r="BV682" s="299">
        <f t="shared" si="208"/>
        <v>0</v>
      </c>
      <c r="BW682" s="318">
        <v>0</v>
      </c>
      <c r="BX682" s="297">
        <f t="shared" si="209"/>
        <v>0.25</v>
      </c>
      <c r="BY682">
        <f t="shared" si="210"/>
        <v>0</v>
      </c>
      <c r="BZ682" s="303">
        <f t="shared" si="211"/>
        <v>0</v>
      </c>
      <c r="CB682" s="298">
        <v>0.6</v>
      </c>
      <c r="CC682" s="298">
        <v>0.4</v>
      </c>
      <c r="CD682">
        <f t="shared" si="212"/>
        <v>0</v>
      </c>
      <c r="CE682">
        <f t="shared" si="213"/>
        <v>0</v>
      </c>
      <c r="CF682">
        <f t="shared" si="214"/>
        <v>0</v>
      </c>
      <c r="CG682">
        <f t="shared" si="215"/>
        <v>0</v>
      </c>
      <c r="CH682">
        <f t="shared" si="216"/>
        <v>0</v>
      </c>
      <c r="CI682">
        <f t="shared" si="217"/>
        <v>0</v>
      </c>
      <c r="CJ682">
        <f t="shared" si="218"/>
        <v>0</v>
      </c>
      <c r="CK682">
        <f t="shared" si="219"/>
        <v>0</v>
      </c>
      <c r="CL682">
        <f t="shared" si="220"/>
        <v>0</v>
      </c>
      <c r="CM682">
        <f t="shared" si="222"/>
        <v>0</v>
      </c>
      <c r="CN682">
        <f t="shared" si="221"/>
        <v>0</v>
      </c>
      <c r="CO682">
        <f t="shared" si="205"/>
        <v>0</v>
      </c>
    </row>
    <row r="683" spans="1:93" s="12" customFormat="1" ht="14.45" hidden="1" customHeight="1" x14ac:dyDescent="0.25">
      <c r="A683" s="4">
        <v>2021</v>
      </c>
      <c r="B683" s="315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426</v>
      </c>
      <c r="H683" s="5" t="s">
        <v>427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428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+VLOOKUP(G683,Liste!$A$7:$G$69,3,FALSE)</f>
        <v>Hêtre commun</v>
      </c>
      <c r="BI683" s="96" t="str">
        <f>+VLOOKUP(H683,Liste!$B$7:$G$69,5,FALSE)</f>
        <v>GS Hêtraies et hêtraies sapinières des Pyrénées</v>
      </c>
      <c r="BJ683" s="135">
        <f t="shared" si="204"/>
        <v>42</v>
      </c>
      <c r="BK683" s="135" t="str">
        <f t="shared" si="206"/>
        <v>Hêtre commun_F1_Entree 19-20m_GS Hêtraies et hêtraies sapinières des Pyrénées_42_</v>
      </c>
      <c r="BL683" s="319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97" t="str">
        <f>+VLOOKUP(G683,Liste!$A$7:$H$69,8,FALSE)</f>
        <v>Feuillus</v>
      </c>
      <c r="BU683" s="297">
        <f t="shared" si="207"/>
        <v>1</v>
      </c>
      <c r="BV683" s="299">
        <f t="shared" si="208"/>
        <v>0</v>
      </c>
      <c r="BW683" s="318">
        <v>0</v>
      </c>
      <c r="BX683" s="297">
        <f t="shared" si="209"/>
        <v>0.25</v>
      </c>
      <c r="BY683">
        <f t="shared" si="210"/>
        <v>0</v>
      </c>
      <c r="BZ683" s="303">
        <f t="shared" si="211"/>
        <v>0</v>
      </c>
      <c r="CB683" s="298">
        <v>0.6</v>
      </c>
      <c r="CC683" s="298">
        <v>0.4</v>
      </c>
      <c r="CD683">
        <f t="shared" si="212"/>
        <v>0</v>
      </c>
      <c r="CE683">
        <f t="shared" si="213"/>
        <v>0</v>
      </c>
      <c r="CF683">
        <f t="shared" si="214"/>
        <v>0</v>
      </c>
      <c r="CG683">
        <f t="shared" si="215"/>
        <v>0</v>
      </c>
      <c r="CH683">
        <f t="shared" si="216"/>
        <v>0</v>
      </c>
      <c r="CI683">
        <f t="shared" si="217"/>
        <v>0</v>
      </c>
      <c r="CJ683">
        <f t="shared" si="218"/>
        <v>0</v>
      </c>
      <c r="CK683">
        <f t="shared" si="219"/>
        <v>0</v>
      </c>
      <c r="CL683">
        <f t="shared" si="220"/>
        <v>0</v>
      </c>
      <c r="CM683">
        <f t="shared" si="222"/>
        <v>0</v>
      </c>
      <c r="CN683">
        <f t="shared" si="221"/>
        <v>0</v>
      </c>
      <c r="CO683">
        <f t="shared" si="205"/>
        <v>0</v>
      </c>
    </row>
    <row r="684" spans="1:93" s="12" customFormat="1" ht="14.45" hidden="1" customHeight="1" x14ac:dyDescent="0.25">
      <c r="A684" s="4">
        <v>2021</v>
      </c>
      <c r="B684" s="315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426</v>
      </c>
      <c r="H684" s="5" t="s">
        <v>427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428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+VLOOKUP(G684,Liste!$A$7:$G$69,3,FALSE)</f>
        <v>Hêtre commun</v>
      </c>
      <c r="BI684" s="96" t="str">
        <f>+VLOOKUP(H684,Liste!$B$7:$G$69,5,FALSE)</f>
        <v>GS Hêtraies et hêtraies sapinières des Pyrénées</v>
      </c>
      <c r="BJ684" s="135">
        <f t="shared" si="204"/>
        <v>42</v>
      </c>
      <c r="BK684" s="135" t="str">
        <f t="shared" si="206"/>
        <v>Hêtre commun_F1_Entree 19-20m_GS Hêtraies et hêtraies sapinières des Pyrénées_42_</v>
      </c>
      <c r="BL684" s="319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97" t="str">
        <f>+VLOOKUP(G684,Liste!$A$7:$H$69,8,FALSE)</f>
        <v>Feuillus</v>
      </c>
      <c r="BU684" s="297">
        <f t="shared" si="207"/>
        <v>1</v>
      </c>
      <c r="BV684" s="299">
        <f t="shared" si="208"/>
        <v>0</v>
      </c>
      <c r="BW684" s="318">
        <v>0</v>
      </c>
      <c r="BX684" s="297">
        <f t="shared" si="209"/>
        <v>0.25</v>
      </c>
      <c r="BY684">
        <f t="shared" si="210"/>
        <v>0</v>
      </c>
      <c r="BZ684" s="303">
        <f t="shared" si="211"/>
        <v>0</v>
      </c>
      <c r="CB684" s="298">
        <v>0.6</v>
      </c>
      <c r="CC684" s="298">
        <v>0.4</v>
      </c>
      <c r="CD684">
        <f t="shared" si="212"/>
        <v>0</v>
      </c>
      <c r="CE684">
        <f t="shared" si="213"/>
        <v>0</v>
      </c>
      <c r="CF684">
        <f t="shared" si="214"/>
        <v>0</v>
      </c>
      <c r="CG684">
        <f t="shared" si="215"/>
        <v>0</v>
      </c>
      <c r="CH684">
        <f t="shared" si="216"/>
        <v>0</v>
      </c>
      <c r="CI684">
        <f t="shared" si="217"/>
        <v>0</v>
      </c>
      <c r="CJ684">
        <f t="shared" si="218"/>
        <v>0</v>
      </c>
      <c r="CK684">
        <f t="shared" si="219"/>
        <v>0</v>
      </c>
      <c r="CL684">
        <f t="shared" si="220"/>
        <v>0</v>
      </c>
      <c r="CM684">
        <f t="shared" si="222"/>
        <v>0</v>
      </c>
      <c r="CN684">
        <f t="shared" si="221"/>
        <v>0</v>
      </c>
      <c r="CO684">
        <f t="shared" si="205"/>
        <v>0</v>
      </c>
    </row>
    <row r="685" spans="1:93" s="12" customFormat="1" ht="14.45" hidden="1" customHeight="1" x14ac:dyDescent="0.25">
      <c r="A685" s="4">
        <v>2021</v>
      </c>
      <c r="B685" s="315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426</v>
      </c>
      <c r="H685" s="5" t="s">
        <v>427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428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+VLOOKUP(G685,Liste!$A$7:$G$69,3,FALSE)</f>
        <v>Hêtre commun</v>
      </c>
      <c r="BI685" s="96" t="str">
        <f>+VLOOKUP(H685,Liste!$B$7:$G$69,5,FALSE)</f>
        <v>GS Hêtraies et hêtraies sapinières des Pyrénées</v>
      </c>
      <c r="BJ685" s="135">
        <f t="shared" si="204"/>
        <v>45</v>
      </c>
      <c r="BK685" s="135" t="str">
        <f t="shared" si="206"/>
        <v>Hêtre commun_F1_Entree 19-20m_GS Hêtraies et hêtraies sapinières des Pyrénées_45_</v>
      </c>
      <c r="BL685" s="319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97" t="str">
        <f>+VLOOKUP(G685,Liste!$A$7:$H$69,8,FALSE)</f>
        <v>Feuillus</v>
      </c>
      <c r="BU685" s="297">
        <f t="shared" si="207"/>
        <v>1</v>
      </c>
      <c r="BV685" s="299">
        <f t="shared" si="208"/>
        <v>0</v>
      </c>
      <c r="BW685" s="318">
        <v>0</v>
      </c>
      <c r="BX685" s="297">
        <f t="shared" si="209"/>
        <v>0.25</v>
      </c>
      <c r="BY685">
        <f t="shared" si="210"/>
        <v>0</v>
      </c>
      <c r="BZ685" s="303">
        <f t="shared" si="211"/>
        <v>0</v>
      </c>
      <c r="CB685" s="298">
        <v>0.6</v>
      </c>
      <c r="CC685" s="298">
        <v>0.4</v>
      </c>
      <c r="CD685">
        <f t="shared" si="212"/>
        <v>0</v>
      </c>
      <c r="CE685">
        <f t="shared" si="213"/>
        <v>0</v>
      </c>
      <c r="CF685">
        <f t="shared" si="214"/>
        <v>0</v>
      </c>
      <c r="CG685">
        <f t="shared" si="215"/>
        <v>0</v>
      </c>
      <c r="CH685">
        <f t="shared" si="216"/>
        <v>0</v>
      </c>
      <c r="CI685">
        <f t="shared" si="217"/>
        <v>0</v>
      </c>
      <c r="CJ685">
        <f t="shared" si="218"/>
        <v>0</v>
      </c>
      <c r="CK685">
        <f t="shared" si="219"/>
        <v>0</v>
      </c>
      <c r="CL685">
        <f t="shared" si="220"/>
        <v>0</v>
      </c>
      <c r="CM685">
        <f t="shared" si="222"/>
        <v>0</v>
      </c>
      <c r="CN685">
        <f t="shared" si="221"/>
        <v>0</v>
      </c>
      <c r="CO685">
        <f t="shared" si="205"/>
        <v>0</v>
      </c>
    </row>
    <row r="686" spans="1:93" s="12" customFormat="1" ht="14.45" hidden="1" customHeight="1" x14ac:dyDescent="0.25">
      <c r="A686" s="4">
        <v>2021</v>
      </c>
      <c r="B686" s="315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426</v>
      </c>
      <c r="H686" s="5" t="s">
        <v>427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428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+VLOOKUP(G686,Liste!$A$7:$G$69,3,FALSE)</f>
        <v>Hêtre commun</v>
      </c>
      <c r="BI686" s="96" t="str">
        <f>+VLOOKUP(H686,Liste!$B$7:$G$69,5,FALSE)</f>
        <v>GS Hêtraies et hêtraies sapinières des Pyrénées</v>
      </c>
      <c r="BJ686" s="135">
        <f t="shared" si="204"/>
        <v>48</v>
      </c>
      <c r="BK686" s="135" t="str">
        <f t="shared" si="206"/>
        <v>Hêtre commun_F1_Entree 19-20m_GS Hêtraies et hêtraies sapinières des Pyrénées_48_</v>
      </c>
      <c r="BL686" s="319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97" t="str">
        <f>+VLOOKUP(G686,Liste!$A$7:$H$69,8,FALSE)</f>
        <v>Feuillus</v>
      </c>
      <c r="BU686" s="297">
        <f t="shared" si="207"/>
        <v>1</v>
      </c>
      <c r="BV686" s="299">
        <f t="shared" si="208"/>
        <v>0</v>
      </c>
      <c r="BW686" s="318">
        <v>0</v>
      </c>
      <c r="BX686" s="297">
        <f t="shared" si="209"/>
        <v>0.25</v>
      </c>
      <c r="BY686">
        <f t="shared" si="210"/>
        <v>0</v>
      </c>
      <c r="BZ686" s="303">
        <f t="shared" si="211"/>
        <v>0</v>
      </c>
      <c r="CB686" s="298">
        <v>0.6</v>
      </c>
      <c r="CC686" s="298">
        <v>0.4</v>
      </c>
      <c r="CD686">
        <f t="shared" si="212"/>
        <v>0</v>
      </c>
      <c r="CE686">
        <f t="shared" si="213"/>
        <v>0</v>
      </c>
      <c r="CF686">
        <f t="shared" si="214"/>
        <v>0</v>
      </c>
      <c r="CG686">
        <f t="shared" si="215"/>
        <v>0</v>
      </c>
      <c r="CH686">
        <f t="shared" si="216"/>
        <v>0</v>
      </c>
      <c r="CI686">
        <f t="shared" si="217"/>
        <v>0</v>
      </c>
      <c r="CJ686">
        <f t="shared" si="218"/>
        <v>0</v>
      </c>
      <c r="CK686">
        <f t="shared" si="219"/>
        <v>0</v>
      </c>
      <c r="CL686">
        <f t="shared" si="220"/>
        <v>0</v>
      </c>
      <c r="CM686">
        <f t="shared" si="222"/>
        <v>0</v>
      </c>
      <c r="CN686">
        <f t="shared" si="221"/>
        <v>0</v>
      </c>
      <c r="CO686">
        <f t="shared" si="205"/>
        <v>0</v>
      </c>
    </row>
    <row r="687" spans="1:93" s="12" customFormat="1" ht="14.45" hidden="1" customHeight="1" x14ac:dyDescent="0.25">
      <c r="A687" s="4">
        <v>2021</v>
      </c>
      <c r="B687" s="315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426</v>
      </c>
      <c r="H687" s="5" t="s">
        <v>427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428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+VLOOKUP(G687,Liste!$A$7:$G$69,3,FALSE)</f>
        <v>Hêtre commun</v>
      </c>
      <c r="BI687" s="96" t="str">
        <f>+VLOOKUP(H687,Liste!$B$7:$G$69,5,FALSE)</f>
        <v>GS Hêtraies et hêtraies sapinières des Pyrénées</v>
      </c>
      <c r="BJ687" s="135">
        <f t="shared" si="204"/>
        <v>48</v>
      </c>
      <c r="BK687" s="135" t="str">
        <f t="shared" si="206"/>
        <v>Hêtre commun_F1_Entree 19-20m_GS Hêtraies et hêtraies sapinières des Pyrénées_48_</v>
      </c>
      <c r="BL687" s="319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97" t="str">
        <f>+VLOOKUP(G687,Liste!$A$7:$H$69,8,FALSE)</f>
        <v>Feuillus</v>
      </c>
      <c r="BU687" s="297">
        <f t="shared" si="207"/>
        <v>1</v>
      </c>
      <c r="BV687" s="299">
        <f t="shared" si="208"/>
        <v>0</v>
      </c>
      <c r="BW687" s="318">
        <v>0</v>
      </c>
      <c r="BX687" s="297">
        <f t="shared" si="209"/>
        <v>0.25</v>
      </c>
      <c r="BY687">
        <f t="shared" si="210"/>
        <v>0</v>
      </c>
      <c r="BZ687" s="303">
        <f t="shared" si="211"/>
        <v>0</v>
      </c>
      <c r="CB687" s="298">
        <v>0.6</v>
      </c>
      <c r="CC687" s="298">
        <v>0.4</v>
      </c>
      <c r="CD687">
        <f t="shared" si="212"/>
        <v>0</v>
      </c>
      <c r="CE687">
        <f t="shared" si="213"/>
        <v>0</v>
      </c>
      <c r="CF687">
        <f t="shared" si="214"/>
        <v>0</v>
      </c>
      <c r="CG687">
        <f t="shared" si="215"/>
        <v>0</v>
      </c>
      <c r="CH687">
        <f t="shared" si="216"/>
        <v>0</v>
      </c>
      <c r="CI687">
        <f t="shared" si="217"/>
        <v>0</v>
      </c>
      <c r="CJ687">
        <f t="shared" si="218"/>
        <v>0</v>
      </c>
      <c r="CK687">
        <f t="shared" si="219"/>
        <v>0</v>
      </c>
      <c r="CL687">
        <f t="shared" si="220"/>
        <v>0</v>
      </c>
      <c r="CM687">
        <f t="shared" si="222"/>
        <v>0</v>
      </c>
      <c r="CN687">
        <f t="shared" si="221"/>
        <v>0</v>
      </c>
      <c r="CO687">
        <f t="shared" si="205"/>
        <v>0</v>
      </c>
    </row>
    <row r="688" spans="1:93" s="12" customFormat="1" ht="14.45" hidden="1" customHeight="1" x14ac:dyDescent="0.25">
      <c r="A688" s="4">
        <v>2021</v>
      </c>
      <c r="B688" s="315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426</v>
      </c>
      <c r="H688" s="5" t="s">
        <v>427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428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+VLOOKUP(G688,Liste!$A$7:$G$69,3,FALSE)</f>
        <v>Hêtre commun</v>
      </c>
      <c r="BI688" s="96" t="str">
        <f>+VLOOKUP(H688,Liste!$B$7:$G$69,5,FALSE)</f>
        <v>GS Hêtraies et hêtraies sapinières des Pyrénées</v>
      </c>
      <c r="BJ688" s="135">
        <f t="shared" si="204"/>
        <v>51</v>
      </c>
      <c r="BK688" s="135" t="str">
        <f t="shared" si="206"/>
        <v>Hêtre commun_F1_Entree 19-20m_GS Hêtraies et hêtraies sapinières des Pyrénées_51_</v>
      </c>
      <c r="BL688" s="319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97" t="str">
        <f>+VLOOKUP(G688,Liste!$A$7:$H$69,8,FALSE)</f>
        <v>Feuillus</v>
      </c>
      <c r="BU688" s="297">
        <f t="shared" si="207"/>
        <v>1</v>
      </c>
      <c r="BV688" s="299">
        <f t="shared" si="208"/>
        <v>0</v>
      </c>
      <c r="BW688" s="318">
        <v>0</v>
      </c>
      <c r="BX688" s="297">
        <f t="shared" si="209"/>
        <v>0.25</v>
      </c>
      <c r="BY688">
        <f t="shared" si="210"/>
        <v>0</v>
      </c>
      <c r="BZ688" s="303">
        <f t="shared" si="211"/>
        <v>0</v>
      </c>
      <c r="CB688" s="298">
        <v>0.6</v>
      </c>
      <c r="CC688" s="298">
        <v>0.4</v>
      </c>
      <c r="CD688">
        <f t="shared" si="212"/>
        <v>0</v>
      </c>
      <c r="CE688">
        <f t="shared" si="213"/>
        <v>0</v>
      </c>
      <c r="CF688">
        <f t="shared" si="214"/>
        <v>0</v>
      </c>
      <c r="CG688">
        <f t="shared" si="215"/>
        <v>0</v>
      </c>
      <c r="CH688">
        <f t="shared" si="216"/>
        <v>0</v>
      </c>
      <c r="CI688">
        <f t="shared" si="217"/>
        <v>0</v>
      </c>
      <c r="CJ688">
        <f t="shared" si="218"/>
        <v>0</v>
      </c>
      <c r="CK688">
        <f t="shared" si="219"/>
        <v>0</v>
      </c>
      <c r="CL688">
        <f t="shared" si="220"/>
        <v>0</v>
      </c>
      <c r="CM688">
        <f t="shared" si="222"/>
        <v>0</v>
      </c>
      <c r="CN688">
        <f t="shared" si="221"/>
        <v>0</v>
      </c>
      <c r="CO688">
        <f t="shared" si="205"/>
        <v>0</v>
      </c>
    </row>
    <row r="689" spans="1:93" s="12" customFormat="1" hidden="1" x14ac:dyDescent="0.25">
      <c r="A689" s="4">
        <v>2021</v>
      </c>
      <c r="B689" s="315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426</v>
      </c>
      <c r="H689" s="5" t="s">
        <v>427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428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+VLOOKUP(G689,Liste!$A$7:$G$69,3,FALSE)</f>
        <v>Hêtre commun</v>
      </c>
      <c r="BI689" s="96" t="str">
        <f>+VLOOKUP(H689,Liste!$B$7:$G$69,5,FALSE)</f>
        <v>GS Hêtraies et hêtraies sapinières des Pyrénées</v>
      </c>
      <c r="BJ689" s="135">
        <f t="shared" si="204"/>
        <v>54</v>
      </c>
      <c r="BK689" s="135" t="str">
        <f t="shared" si="206"/>
        <v>Hêtre commun_F1_Entree 19-20m_GS Hêtraies et hêtraies sapinières des Pyrénées_54_</v>
      </c>
      <c r="BL689" s="319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97" t="str">
        <f>+VLOOKUP(G689,Liste!$A$7:$H$69,8,FALSE)</f>
        <v>Feuillus</v>
      </c>
      <c r="BU689" s="297">
        <f t="shared" si="207"/>
        <v>1</v>
      </c>
      <c r="BV689" s="299">
        <f t="shared" si="208"/>
        <v>0</v>
      </c>
      <c r="BW689" s="318">
        <v>0</v>
      </c>
      <c r="BX689" s="297">
        <f t="shared" si="209"/>
        <v>0.25</v>
      </c>
      <c r="BY689">
        <f t="shared" si="210"/>
        <v>0</v>
      </c>
      <c r="BZ689" s="303">
        <f t="shared" si="211"/>
        <v>0</v>
      </c>
      <c r="CB689" s="298">
        <v>0.6</v>
      </c>
      <c r="CC689" s="298">
        <v>0.4</v>
      </c>
      <c r="CD689">
        <f t="shared" si="212"/>
        <v>0</v>
      </c>
      <c r="CE689">
        <f t="shared" si="213"/>
        <v>0</v>
      </c>
      <c r="CF689">
        <f t="shared" si="214"/>
        <v>0</v>
      </c>
      <c r="CG689">
        <f t="shared" si="215"/>
        <v>0</v>
      </c>
      <c r="CH689">
        <f t="shared" si="216"/>
        <v>0</v>
      </c>
      <c r="CI689">
        <f t="shared" si="217"/>
        <v>0</v>
      </c>
      <c r="CJ689">
        <f t="shared" si="218"/>
        <v>0</v>
      </c>
      <c r="CK689">
        <f t="shared" si="219"/>
        <v>0</v>
      </c>
      <c r="CL689">
        <f t="shared" si="220"/>
        <v>0</v>
      </c>
      <c r="CM689">
        <f t="shared" si="222"/>
        <v>0</v>
      </c>
      <c r="CN689">
        <f t="shared" si="221"/>
        <v>0</v>
      </c>
      <c r="CO689">
        <f t="shared" si="205"/>
        <v>0</v>
      </c>
    </row>
    <row r="690" spans="1:93" s="12" customFormat="1" hidden="1" x14ac:dyDescent="0.25">
      <c r="A690" s="4">
        <v>2021</v>
      </c>
      <c r="B690" s="315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426</v>
      </c>
      <c r="H690" s="5" t="s">
        <v>427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428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+VLOOKUP(G690,Liste!$A$7:$G$69,3,FALSE)</f>
        <v>Hêtre commun</v>
      </c>
      <c r="BI690" s="96" t="str">
        <f>+VLOOKUP(H690,Liste!$B$7:$G$69,5,FALSE)</f>
        <v>GS Hêtraies et hêtraies sapinières des Pyrénées</v>
      </c>
      <c r="BJ690" s="135">
        <f t="shared" si="204"/>
        <v>54</v>
      </c>
      <c r="BK690" s="135" t="str">
        <f t="shared" si="206"/>
        <v>Hêtre commun_F1_Entree 19-20m_GS Hêtraies et hêtraies sapinières des Pyrénées_54_</v>
      </c>
      <c r="BL690" s="319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97" t="str">
        <f>+VLOOKUP(G690,Liste!$A$7:$H$69,8,FALSE)</f>
        <v>Feuillus</v>
      </c>
      <c r="BU690" s="297">
        <f t="shared" si="207"/>
        <v>1</v>
      </c>
      <c r="BV690" s="299">
        <f t="shared" si="208"/>
        <v>0</v>
      </c>
      <c r="BW690" s="318">
        <v>0</v>
      </c>
      <c r="BX690" s="297">
        <f t="shared" si="209"/>
        <v>0.25</v>
      </c>
      <c r="BY690">
        <f t="shared" si="210"/>
        <v>0</v>
      </c>
      <c r="BZ690" s="303">
        <f t="shared" si="211"/>
        <v>0</v>
      </c>
      <c r="CB690" s="298">
        <v>0.6</v>
      </c>
      <c r="CC690" s="298">
        <v>0.4</v>
      </c>
      <c r="CD690">
        <f t="shared" si="212"/>
        <v>0</v>
      </c>
      <c r="CE690">
        <f t="shared" si="213"/>
        <v>0</v>
      </c>
      <c r="CF690">
        <f t="shared" si="214"/>
        <v>0</v>
      </c>
      <c r="CG690">
        <f t="shared" si="215"/>
        <v>0</v>
      </c>
      <c r="CH690">
        <f t="shared" si="216"/>
        <v>0</v>
      </c>
      <c r="CI690">
        <f t="shared" si="217"/>
        <v>0</v>
      </c>
      <c r="CJ690">
        <f t="shared" si="218"/>
        <v>0</v>
      </c>
      <c r="CK690">
        <f t="shared" si="219"/>
        <v>0</v>
      </c>
      <c r="CL690">
        <f t="shared" si="220"/>
        <v>0</v>
      </c>
      <c r="CM690">
        <f t="shared" si="222"/>
        <v>0</v>
      </c>
      <c r="CN690">
        <f t="shared" si="221"/>
        <v>0</v>
      </c>
      <c r="CO690">
        <f t="shared" si="205"/>
        <v>0</v>
      </c>
    </row>
    <row r="691" spans="1:93" s="12" customFormat="1" hidden="1" x14ac:dyDescent="0.25">
      <c r="A691" s="4">
        <v>2021</v>
      </c>
      <c r="B691" s="315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426</v>
      </c>
      <c r="H691" s="5" t="s">
        <v>427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428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+VLOOKUP(G691,Liste!$A$7:$G$69,3,FALSE)</f>
        <v>Hêtre commun</v>
      </c>
      <c r="BI691" s="96" t="str">
        <f>+VLOOKUP(H691,Liste!$B$7:$G$69,5,FALSE)</f>
        <v>GS Hêtraies et hêtraies sapinières des Pyrénées</v>
      </c>
      <c r="BJ691" s="135">
        <f t="shared" si="204"/>
        <v>57</v>
      </c>
      <c r="BK691" s="135" t="str">
        <f t="shared" si="206"/>
        <v>Hêtre commun_F1_Entree 19-20m_GS Hêtraies et hêtraies sapinières des Pyrénées_57_</v>
      </c>
      <c r="BL691" s="319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97" t="str">
        <f>+VLOOKUP(G691,Liste!$A$7:$H$69,8,FALSE)</f>
        <v>Feuillus</v>
      </c>
      <c r="BU691" s="297">
        <f t="shared" si="207"/>
        <v>1</v>
      </c>
      <c r="BV691" s="299">
        <f t="shared" si="208"/>
        <v>0</v>
      </c>
      <c r="BW691" s="318">
        <v>0</v>
      </c>
      <c r="BX691" s="297">
        <f t="shared" si="209"/>
        <v>0.25</v>
      </c>
      <c r="BY691">
        <f t="shared" si="210"/>
        <v>0</v>
      </c>
      <c r="BZ691" s="303">
        <f t="shared" si="211"/>
        <v>0</v>
      </c>
      <c r="CB691" s="298">
        <v>0.6</v>
      </c>
      <c r="CC691" s="298">
        <v>0.4</v>
      </c>
      <c r="CD691">
        <f t="shared" si="212"/>
        <v>0</v>
      </c>
      <c r="CE691">
        <f t="shared" si="213"/>
        <v>0</v>
      </c>
      <c r="CF691">
        <f t="shared" si="214"/>
        <v>0</v>
      </c>
      <c r="CG691">
        <f t="shared" si="215"/>
        <v>0</v>
      </c>
      <c r="CH691">
        <f t="shared" si="216"/>
        <v>0</v>
      </c>
      <c r="CI691">
        <f t="shared" si="217"/>
        <v>0</v>
      </c>
      <c r="CJ691">
        <f t="shared" si="218"/>
        <v>0</v>
      </c>
      <c r="CK691">
        <f t="shared" si="219"/>
        <v>0</v>
      </c>
      <c r="CL691">
        <f t="shared" si="220"/>
        <v>0</v>
      </c>
      <c r="CM691">
        <f t="shared" si="222"/>
        <v>0</v>
      </c>
      <c r="CN691">
        <f t="shared" si="221"/>
        <v>0</v>
      </c>
      <c r="CO691">
        <f t="shared" si="205"/>
        <v>0</v>
      </c>
    </row>
    <row r="692" spans="1:93" s="12" customFormat="1" hidden="1" x14ac:dyDescent="0.25">
      <c r="A692" s="4">
        <v>2021</v>
      </c>
      <c r="B692" s="315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426</v>
      </c>
      <c r="H692" s="5" t="s">
        <v>427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428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+VLOOKUP(G692,Liste!$A$7:$G$69,3,FALSE)</f>
        <v>Hêtre commun</v>
      </c>
      <c r="BI692" s="96" t="str">
        <f>+VLOOKUP(H692,Liste!$B$7:$G$69,5,FALSE)</f>
        <v>GS Hêtraies et hêtraies sapinières des Pyrénées</v>
      </c>
      <c r="BJ692" s="135">
        <f t="shared" si="204"/>
        <v>60</v>
      </c>
      <c r="BK692" s="135" t="str">
        <f t="shared" si="206"/>
        <v>Hêtre commun_F1_Entree 19-20m_GS Hêtraies et hêtraies sapinières des Pyrénées_60_</v>
      </c>
      <c r="BL692" s="319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97" t="str">
        <f>+VLOOKUP(G692,Liste!$A$7:$H$69,8,FALSE)</f>
        <v>Feuillus</v>
      </c>
      <c r="BU692" s="297">
        <f t="shared" si="207"/>
        <v>1</v>
      </c>
      <c r="BV692" s="299">
        <f t="shared" si="208"/>
        <v>0</v>
      </c>
      <c r="BW692" s="318">
        <v>0</v>
      </c>
      <c r="BX692" s="297">
        <f t="shared" si="209"/>
        <v>0.25</v>
      </c>
      <c r="BY692">
        <f t="shared" si="210"/>
        <v>0</v>
      </c>
      <c r="BZ692" s="303">
        <f t="shared" si="211"/>
        <v>0</v>
      </c>
      <c r="CB692" s="298">
        <v>0.6</v>
      </c>
      <c r="CC692" s="298">
        <v>0.4</v>
      </c>
      <c r="CD692">
        <f t="shared" si="212"/>
        <v>0</v>
      </c>
      <c r="CE692">
        <f t="shared" si="213"/>
        <v>0</v>
      </c>
      <c r="CF692">
        <f t="shared" si="214"/>
        <v>0</v>
      </c>
      <c r="CG692">
        <f t="shared" si="215"/>
        <v>0</v>
      </c>
      <c r="CH692">
        <f t="shared" si="216"/>
        <v>0</v>
      </c>
      <c r="CI692">
        <f t="shared" si="217"/>
        <v>0</v>
      </c>
      <c r="CJ692">
        <f t="shared" si="218"/>
        <v>0</v>
      </c>
      <c r="CK692">
        <f t="shared" si="219"/>
        <v>0</v>
      </c>
      <c r="CL692">
        <f t="shared" si="220"/>
        <v>0</v>
      </c>
      <c r="CM692">
        <f t="shared" si="222"/>
        <v>0</v>
      </c>
      <c r="CN692">
        <f t="shared" si="221"/>
        <v>0</v>
      </c>
      <c r="CO692">
        <f t="shared" si="205"/>
        <v>0</v>
      </c>
    </row>
    <row r="693" spans="1:93" s="12" customFormat="1" hidden="1" x14ac:dyDescent="0.25">
      <c r="A693" s="4">
        <v>2021</v>
      </c>
      <c r="B693" s="315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426</v>
      </c>
      <c r="H693" s="5" t="s">
        <v>427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428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+VLOOKUP(G693,Liste!$A$7:$G$69,3,FALSE)</f>
        <v>Hêtre commun</v>
      </c>
      <c r="BI693" s="96" t="str">
        <f>+VLOOKUP(H693,Liste!$B$7:$G$69,5,FALSE)</f>
        <v>GS Hêtraies et hêtraies sapinières des Pyrénées</v>
      </c>
      <c r="BJ693" s="135">
        <f t="shared" si="204"/>
        <v>63</v>
      </c>
      <c r="BK693" s="135" t="str">
        <f t="shared" si="206"/>
        <v>Hêtre commun_F1_Entree 19-20m_GS Hêtraies et hêtraies sapinières des Pyrénées_63_</v>
      </c>
      <c r="BL693" s="319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97" t="str">
        <f>+VLOOKUP(G693,Liste!$A$7:$H$69,8,FALSE)</f>
        <v>Feuillus</v>
      </c>
      <c r="BU693" s="297">
        <f t="shared" si="207"/>
        <v>1</v>
      </c>
      <c r="BV693" s="299">
        <f t="shared" si="208"/>
        <v>0</v>
      </c>
      <c r="BW693" s="318">
        <v>0</v>
      </c>
      <c r="BX693" s="297">
        <f t="shared" si="209"/>
        <v>0.25</v>
      </c>
      <c r="BY693">
        <f t="shared" si="210"/>
        <v>0</v>
      </c>
      <c r="BZ693" s="303">
        <f t="shared" si="211"/>
        <v>0</v>
      </c>
      <c r="CB693" s="298">
        <v>0.6</v>
      </c>
      <c r="CC693" s="298">
        <v>0.4</v>
      </c>
      <c r="CD693">
        <f t="shared" si="212"/>
        <v>0</v>
      </c>
      <c r="CE693">
        <f t="shared" si="213"/>
        <v>0</v>
      </c>
      <c r="CF693">
        <f t="shared" si="214"/>
        <v>0</v>
      </c>
      <c r="CG693">
        <f t="shared" si="215"/>
        <v>0</v>
      </c>
      <c r="CH693">
        <f t="shared" si="216"/>
        <v>0</v>
      </c>
      <c r="CI693">
        <f t="shared" si="217"/>
        <v>0</v>
      </c>
      <c r="CJ693">
        <f t="shared" si="218"/>
        <v>0</v>
      </c>
      <c r="CK693">
        <f t="shared" si="219"/>
        <v>0</v>
      </c>
      <c r="CL693">
        <f t="shared" si="220"/>
        <v>0</v>
      </c>
      <c r="CM693">
        <f t="shared" si="222"/>
        <v>0</v>
      </c>
      <c r="CN693">
        <f t="shared" si="221"/>
        <v>0</v>
      </c>
      <c r="CO693">
        <f t="shared" si="205"/>
        <v>0</v>
      </c>
    </row>
    <row r="694" spans="1:93" s="12" customFormat="1" hidden="1" x14ac:dyDescent="0.25">
      <c r="A694" s="4">
        <v>2021</v>
      </c>
      <c r="B694" s="315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426</v>
      </c>
      <c r="H694" s="5" t="s">
        <v>427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428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+VLOOKUP(G694,Liste!$A$7:$G$69,3,FALSE)</f>
        <v>Hêtre commun</v>
      </c>
      <c r="BI694" s="96" t="str">
        <f>+VLOOKUP(H694,Liste!$B$7:$G$69,5,FALSE)</f>
        <v>GS Hêtraies et hêtraies sapinières des Pyrénées</v>
      </c>
      <c r="BJ694" s="135">
        <f t="shared" si="204"/>
        <v>63</v>
      </c>
      <c r="BK694" s="135" t="str">
        <f t="shared" si="206"/>
        <v>Hêtre commun_F1_Entree 19-20m_GS Hêtraies et hêtraies sapinières des Pyrénées_63_</v>
      </c>
      <c r="BL694" s="319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97" t="str">
        <f>+VLOOKUP(G694,Liste!$A$7:$H$69,8,FALSE)</f>
        <v>Feuillus</v>
      </c>
      <c r="BU694" s="297">
        <f t="shared" si="207"/>
        <v>1</v>
      </c>
      <c r="BV694" s="299">
        <f t="shared" si="208"/>
        <v>0</v>
      </c>
      <c r="BW694" s="318">
        <v>0</v>
      </c>
      <c r="BX694" s="297">
        <f t="shared" si="209"/>
        <v>0.25</v>
      </c>
      <c r="BY694">
        <f t="shared" si="210"/>
        <v>0</v>
      </c>
      <c r="BZ694" s="303">
        <f t="shared" si="211"/>
        <v>0</v>
      </c>
      <c r="CB694" s="298">
        <v>0.6</v>
      </c>
      <c r="CC694" s="298">
        <v>0.4</v>
      </c>
      <c r="CD694">
        <f t="shared" si="212"/>
        <v>0</v>
      </c>
      <c r="CE694">
        <f t="shared" si="213"/>
        <v>0</v>
      </c>
      <c r="CF694">
        <f t="shared" si="214"/>
        <v>0</v>
      </c>
      <c r="CG694">
        <f t="shared" si="215"/>
        <v>0</v>
      </c>
      <c r="CH694">
        <f t="shared" si="216"/>
        <v>0</v>
      </c>
      <c r="CI694">
        <f t="shared" si="217"/>
        <v>0</v>
      </c>
      <c r="CJ694">
        <f t="shared" si="218"/>
        <v>0</v>
      </c>
      <c r="CK694">
        <f t="shared" si="219"/>
        <v>0</v>
      </c>
      <c r="CL694">
        <f t="shared" si="220"/>
        <v>0</v>
      </c>
      <c r="CM694">
        <f t="shared" si="222"/>
        <v>0</v>
      </c>
      <c r="CN694">
        <f t="shared" si="221"/>
        <v>0</v>
      </c>
      <c r="CO694">
        <f t="shared" si="205"/>
        <v>0</v>
      </c>
    </row>
    <row r="695" spans="1:93" s="12" customFormat="1" hidden="1" x14ac:dyDescent="0.25">
      <c r="A695" s="4">
        <v>2021</v>
      </c>
      <c r="B695" s="315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426</v>
      </c>
      <c r="H695" s="5" t="s">
        <v>427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428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+VLOOKUP(G695,Liste!$A$7:$G$69,3,FALSE)</f>
        <v>Hêtre commun</v>
      </c>
      <c r="BI695" s="96" t="str">
        <f>+VLOOKUP(H695,Liste!$B$7:$G$69,5,FALSE)</f>
        <v>GS Hêtraies et hêtraies sapinières des Pyrénées</v>
      </c>
      <c r="BJ695" s="135">
        <f t="shared" si="204"/>
        <v>66</v>
      </c>
      <c r="BK695" s="135" t="str">
        <f t="shared" si="206"/>
        <v>Hêtre commun_F1_Entree 19-20m_GS Hêtraies et hêtraies sapinières des Pyrénées_66_</v>
      </c>
      <c r="BL695" s="319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97" t="str">
        <f>+VLOOKUP(G695,Liste!$A$7:$H$69,8,FALSE)</f>
        <v>Feuillus</v>
      </c>
      <c r="BU695" s="297">
        <f t="shared" si="207"/>
        <v>1</v>
      </c>
      <c r="BV695" s="299">
        <f t="shared" si="208"/>
        <v>0</v>
      </c>
      <c r="BW695" s="318">
        <v>0</v>
      </c>
      <c r="BX695" s="297">
        <f t="shared" si="209"/>
        <v>0.25</v>
      </c>
      <c r="BY695">
        <f t="shared" si="210"/>
        <v>0</v>
      </c>
      <c r="BZ695" s="303">
        <f t="shared" si="211"/>
        <v>0</v>
      </c>
      <c r="CB695" s="298">
        <v>0.6</v>
      </c>
      <c r="CC695" s="298">
        <v>0.4</v>
      </c>
      <c r="CD695">
        <f t="shared" si="212"/>
        <v>0</v>
      </c>
      <c r="CE695">
        <f t="shared" si="213"/>
        <v>0</v>
      </c>
      <c r="CF695">
        <f t="shared" si="214"/>
        <v>0</v>
      </c>
      <c r="CG695">
        <f t="shared" si="215"/>
        <v>0</v>
      </c>
      <c r="CH695">
        <f t="shared" si="216"/>
        <v>0</v>
      </c>
      <c r="CI695">
        <f t="shared" si="217"/>
        <v>0</v>
      </c>
      <c r="CJ695">
        <f t="shared" si="218"/>
        <v>0</v>
      </c>
      <c r="CK695">
        <f t="shared" si="219"/>
        <v>0</v>
      </c>
      <c r="CL695">
        <f t="shared" si="220"/>
        <v>0</v>
      </c>
      <c r="CM695">
        <f t="shared" si="222"/>
        <v>0</v>
      </c>
      <c r="CN695">
        <f t="shared" si="221"/>
        <v>0</v>
      </c>
      <c r="CO695">
        <f t="shared" si="205"/>
        <v>0</v>
      </c>
    </row>
    <row r="696" spans="1:93" s="12" customFormat="1" hidden="1" x14ac:dyDescent="0.25">
      <c r="A696" s="4">
        <v>2021</v>
      </c>
      <c r="B696" s="315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426</v>
      </c>
      <c r="H696" s="5" t="s">
        <v>427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428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+VLOOKUP(G696,Liste!$A$7:$G$69,3,FALSE)</f>
        <v>Hêtre commun</v>
      </c>
      <c r="BI696" s="96" t="str">
        <f>+VLOOKUP(H696,Liste!$B$7:$G$69,5,FALSE)</f>
        <v>GS Hêtraies et hêtraies sapinières des Pyrénées</v>
      </c>
      <c r="BJ696" s="135">
        <f t="shared" si="204"/>
        <v>69</v>
      </c>
      <c r="BK696" s="135" t="str">
        <f t="shared" si="206"/>
        <v>Hêtre commun_F1_Entree 19-20m_GS Hêtraies et hêtraies sapinières des Pyrénées_69_</v>
      </c>
      <c r="BL696" s="319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97" t="str">
        <f>+VLOOKUP(G696,Liste!$A$7:$H$69,8,FALSE)</f>
        <v>Feuillus</v>
      </c>
      <c r="BU696" s="297">
        <f t="shared" si="207"/>
        <v>1</v>
      </c>
      <c r="BV696" s="299">
        <f t="shared" si="208"/>
        <v>0</v>
      </c>
      <c r="BW696" s="318">
        <v>0</v>
      </c>
      <c r="BX696" s="297">
        <f t="shared" si="209"/>
        <v>0.25</v>
      </c>
      <c r="BY696">
        <f t="shared" si="210"/>
        <v>0</v>
      </c>
      <c r="BZ696" s="303">
        <f t="shared" si="211"/>
        <v>0</v>
      </c>
      <c r="CB696" s="298">
        <v>0.6</v>
      </c>
      <c r="CC696" s="298">
        <v>0.4</v>
      </c>
      <c r="CD696">
        <f t="shared" si="212"/>
        <v>0</v>
      </c>
      <c r="CE696">
        <f t="shared" si="213"/>
        <v>0</v>
      </c>
      <c r="CF696">
        <f t="shared" si="214"/>
        <v>0</v>
      </c>
      <c r="CG696">
        <f t="shared" si="215"/>
        <v>0</v>
      </c>
      <c r="CH696">
        <f t="shared" si="216"/>
        <v>0</v>
      </c>
      <c r="CI696">
        <f t="shared" si="217"/>
        <v>0</v>
      </c>
      <c r="CJ696">
        <f t="shared" si="218"/>
        <v>0</v>
      </c>
      <c r="CK696">
        <f t="shared" si="219"/>
        <v>0</v>
      </c>
      <c r="CL696">
        <f t="shared" si="220"/>
        <v>0</v>
      </c>
      <c r="CM696">
        <f t="shared" si="222"/>
        <v>0</v>
      </c>
      <c r="CN696">
        <f t="shared" si="221"/>
        <v>0</v>
      </c>
      <c r="CO696">
        <f t="shared" si="205"/>
        <v>0</v>
      </c>
    </row>
    <row r="697" spans="1:93" s="12" customFormat="1" hidden="1" x14ac:dyDescent="0.25">
      <c r="A697" s="4">
        <v>2021</v>
      </c>
      <c r="B697" s="315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426</v>
      </c>
      <c r="H697" s="5" t="s">
        <v>427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428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+VLOOKUP(G697,Liste!$A$7:$G$69,3,FALSE)</f>
        <v>Hêtre commun</v>
      </c>
      <c r="BI697" s="96" t="str">
        <f>+VLOOKUP(H697,Liste!$B$7:$G$69,5,FALSE)</f>
        <v>GS Hêtraies et hêtraies sapinières des Pyrénées</v>
      </c>
      <c r="BJ697" s="135">
        <f t="shared" si="204"/>
        <v>72</v>
      </c>
      <c r="BK697" s="135" t="str">
        <f t="shared" si="206"/>
        <v>Hêtre commun_F1_Entree 19-20m_GS Hêtraies et hêtraies sapinières des Pyrénées_72_</v>
      </c>
      <c r="BL697" s="319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97" t="str">
        <f>+VLOOKUP(G697,Liste!$A$7:$H$69,8,FALSE)</f>
        <v>Feuillus</v>
      </c>
      <c r="BU697" s="297">
        <f t="shared" si="207"/>
        <v>1</v>
      </c>
      <c r="BV697" s="299">
        <f t="shared" si="208"/>
        <v>0</v>
      </c>
      <c r="BW697" s="318">
        <v>0</v>
      </c>
      <c r="BX697" s="297">
        <f t="shared" si="209"/>
        <v>0.25</v>
      </c>
      <c r="BY697">
        <f t="shared" si="210"/>
        <v>0</v>
      </c>
      <c r="BZ697" s="303">
        <f t="shared" si="211"/>
        <v>0</v>
      </c>
      <c r="CB697" s="298">
        <v>0.6</v>
      </c>
      <c r="CC697" s="298">
        <v>0.4</v>
      </c>
      <c r="CD697">
        <f t="shared" si="212"/>
        <v>0</v>
      </c>
      <c r="CE697">
        <f t="shared" si="213"/>
        <v>0</v>
      </c>
      <c r="CF697">
        <f t="shared" si="214"/>
        <v>0</v>
      </c>
      <c r="CG697">
        <f t="shared" si="215"/>
        <v>0</v>
      </c>
      <c r="CH697">
        <f t="shared" si="216"/>
        <v>0</v>
      </c>
      <c r="CI697">
        <f t="shared" si="217"/>
        <v>0</v>
      </c>
      <c r="CJ697">
        <f t="shared" si="218"/>
        <v>0</v>
      </c>
      <c r="CK697">
        <f t="shared" si="219"/>
        <v>0</v>
      </c>
      <c r="CL697">
        <f t="shared" si="220"/>
        <v>0</v>
      </c>
      <c r="CM697">
        <f t="shared" si="222"/>
        <v>0</v>
      </c>
      <c r="CN697">
        <f t="shared" si="221"/>
        <v>0</v>
      </c>
      <c r="CO697">
        <f t="shared" si="205"/>
        <v>0</v>
      </c>
    </row>
    <row r="698" spans="1:93" s="12" customFormat="1" hidden="1" x14ac:dyDescent="0.25">
      <c r="A698" s="4">
        <v>2021</v>
      </c>
      <c r="B698" s="315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426</v>
      </c>
      <c r="H698" s="5" t="s">
        <v>427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428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+VLOOKUP(G698,Liste!$A$7:$G$69,3,FALSE)</f>
        <v>Hêtre commun</v>
      </c>
      <c r="BI698" s="96" t="str">
        <f>+VLOOKUP(H698,Liste!$B$7:$G$69,5,FALSE)</f>
        <v>GS Hêtraies et hêtraies sapinières des Pyrénées</v>
      </c>
      <c r="BJ698" s="135">
        <f t="shared" si="204"/>
        <v>72</v>
      </c>
      <c r="BK698" s="135" t="str">
        <f t="shared" si="206"/>
        <v>Hêtre commun_F1_Entree 19-20m_GS Hêtraies et hêtraies sapinières des Pyrénées_72_</v>
      </c>
      <c r="BL698" s="319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97" t="str">
        <f>+VLOOKUP(G698,Liste!$A$7:$H$69,8,FALSE)</f>
        <v>Feuillus</v>
      </c>
      <c r="BU698" s="297">
        <f t="shared" si="207"/>
        <v>1</v>
      </c>
      <c r="BV698" s="299">
        <f t="shared" si="208"/>
        <v>0</v>
      </c>
      <c r="BW698" s="318">
        <v>0</v>
      </c>
      <c r="BX698" s="297">
        <f t="shared" si="209"/>
        <v>0.25</v>
      </c>
      <c r="BY698">
        <f t="shared" si="210"/>
        <v>0</v>
      </c>
      <c r="BZ698" s="303">
        <f t="shared" si="211"/>
        <v>0</v>
      </c>
      <c r="CB698" s="298">
        <v>0.6</v>
      </c>
      <c r="CC698" s="298">
        <v>0.4</v>
      </c>
      <c r="CD698">
        <f t="shared" si="212"/>
        <v>0</v>
      </c>
      <c r="CE698">
        <f t="shared" si="213"/>
        <v>0</v>
      </c>
      <c r="CF698">
        <f t="shared" si="214"/>
        <v>0</v>
      </c>
      <c r="CG698">
        <f t="shared" si="215"/>
        <v>0</v>
      </c>
      <c r="CH698">
        <f t="shared" si="216"/>
        <v>0</v>
      </c>
      <c r="CI698">
        <f t="shared" si="217"/>
        <v>0</v>
      </c>
      <c r="CJ698">
        <f t="shared" si="218"/>
        <v>0</v>
      </c>
      <c r="CK698">
        <f t="shared" si="219"/>
        <v>0</v>
      </c>
      <c r="CL698">
        <f t="shared" si="220"/>
        <v>0</v>
      </c>
      <c r="CM698">
        <f t="shared" si="222"/>
        <v>0</v>
      </c>
      <c r="CN698">
        <f t="shared" si="221"/>
        <v>0</v>
      </c>
      <c r="CO698">
        <f t="shared" si="205"/>
        <v>0</v>
      </c>
    </row>
    <row r="699" spans="1:93" s="12" customFormat="1" hidden="1" x14ac:dyDescent="0.25">
      <c r="A699" s="4">
        <v>2021</v>
      </c>
      <c r="B699" s="315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426</v>
      </c>
      <c r="H699" s="5" t="s">
        <v>427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428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+VLOOKUP(G699,Liste!$A$7:$G$69,3,FALSE)</f>
        <v>Hêtre commun</v>
      </c>
      <c r="BI699" s="96" t="str">
        <f>+VLOOKUP(H699,Liste!$B$7:$G$69,5,FALSE)</f>
        <v>GS Hêtraies et hêtraies sapinières des Pyrénées</v>
      </c>
      <c r="BJ699" s="135">
        <f t="shared" si="204"/>
        <v>75</v>
      </c>
      <c r="BK699" s="135" t="str">
        <f t="shared" si="206"/>
        <v>Hêtre commun_F1_Entree 19-20m_GS Hêtraies et hêtraies sapinières des Pyrénées_75_</v>
      </c>
      <c r="BL699" s="319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97" t="str">
        <f>+VLOOKUP(G699,Liste!$A$7:$H$69,8,FALSE)</f>
        <v>Feuillus</v>
      </c>
      <c r="BU699" s="297">
        <f t="shared" si="207"/>
        <v>1</v>
      </c>
      <c r="BV699" s="299">
        <f t="shared" si="208"/>
        <v>0</v>
      </c>
      <c r="BW699" s="318">
        <v>0</v>
      </c>
      <c r="BX699" s="297">
        <f t="shared" si="209"/>
        <v>0.25</v>
      </c>
      <c r="BY699">
        <f t="shared" si="210"/>
        <v>0</v>
      </c>
      <c r="BZ699" s="303">
        <f t="shared" si="211"/>
        <v>0</v>
      </c>
      <c r="CB699" s="298">
        <v>0.6</v>
      </c>
      <c r="CC699" s="298">
        <v>0.4</v>
      </c>
      <c r="CD699">
        <f t="shared" si="212"/>
        <v>0</v>
      </c>
      <c r="CE699">
        <f t="shared" si="213"/>
        <v>0</v>
      </c>
      <c r="CF699">
        <f t="shared" si="214"/>
        <v>0</v>
      </c>
      <c r="CG699">
        <f t="shared" si="215"/>
        <v>0</v>
      </c>
      <c r="CH699">
        <f t="shared" si="216"/>
        <v>0</v>
      </c>
      <c r="CI699">
        <f t="shared" si="217"/>
        <v>0</v>
      </c>
      <c r="CJ699">
        <f t="shared" si="218"/>
        <v>0</v>
      </c>
      <c r="CK699">
        <f t="shared" si="219"/>
        <v>0</v>
      </c>
      <c r="CL699">
        <f t="shared" si="220"/>
        <v>0</v>
      </c>
      <c r="CM699">
        <f t="shared" si="222"/>
        <v>0</v>
      </c>
      <c r="CN699">
        <f t="shared" si="221"/>
        <v>0</v>
      </c>
      <c r="CO699">
        <f t="shared" si="205"/>
        <v>0</v>
      </c>
    </row>
    <row r="700" spans="1:93" s="12" customFormat="1" hidden="1" x14ac:dyDescent="0.25">
      <c r="A700" s="4">
        <v>2021</v>
      </c>
      <c r="B700" s="315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426</v>
      </c>
      <c r="H700" s="5" t="s">
        <v>427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428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+VLOOKUP(G700,Liste!$A$7:$G$69,3,FALSE)</f>
        <v>Hêtre commun</v>
      </c>
      <c r="BI700" s="96" t="str">
        <f>+VLOOKUP(H700,Liste!$B$7:$G$69,5,FALSE)</f>
        <v>GS Hêtraies et hêtraies sapinières des Pyrénées</v>
      </c>
      <c r="BJ700" s="135">
        <f t="shared" si="204"/>
        <v>78</v>
      </c>
      <c r="BK700" s="135" t="str">
        <f t="shared" si="206"/>
        <v>Hêtre commun_F1_Entree 19-20m_GS Hêtraies et hêtraies sapinières des Pyrénées_78_</v>
      </c>
      <c r="BL700" s="319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97" t="str">
        <f>+VLOOKUP(G700,Liste!$A$7:$H$69,8,FALSE)</f>
        <v>Feuillus</v>
      </c>
      <c r="BU700" s="297">
        <f t="shared" si="207"/>
        <v>1</v>
      </c>
      <c r="BV700" s="299">
        <f t="shared" si="208"/>
        <v>0</v>
      </c>
      <c r="BW700" s="318">
        <v>0</v>
      </c>
      <c r="BX700" s="297">
        <f t="shared" si="209"/>
        <v>0.25</v>
      </c>
      <c r="BY700">
        <f t="shared" si="210"/>
        <v>0</v>
      </c>
      <c r="BZ700" s="303">
        <f t="shared" si="211"/>
        <v>0</v>
      </c>
      <c r="CB700" s="298">
        <v>0.6</v>
      </c>
      <c r="CC700" s="298">
        <v>0.4</v>
      </c>
      <c r="CD700">
        <f t="shared" si="212"/>
        <v>0</v>
      </c>
      <c r="CE700">
        <f t="shared" si="213"/>
        <v>0</v>
      </c>
      <c r="CF700">
        <f t="shared" si="214"/>
        <v>0</v>
      </c>
      <c r="CG700">
        <f t="shared" si="215"/>
        <v>0</v>
      </c>
      <c r="CH700">
        <f t="shared" si="216"/>
        <v>0</v>
      </c>
      <c r="CI700">
        <f t="shared" si="217"/>
        <v>0</v>
      </c>
      <c r="CJ700">
        <f t="shared" si="218"/>
        <v>0</v>
      </c>
      <c r="CK700">
        <f t="shared" si="219"/>
        <v>0</v>
      </c>
      <c r="CL700">
        <f t="shared" si="220"/>
        <v>0</v>
      </c>
      <c r="CM700">
        <f t="shared" si="222"/>
        <v>0</v>
      </c>
      <c r="CN700">
        <f t="shared" si="221"/>
        <v>0</v>
      </c>
      <c r="CO700">
        <f t="shared" si="205"/>
        <v>0</v>
      </c>
    </row>
    <row r="701" spans="1:93" s="12" customFormat="1" hidden="1" x14ac:dyDescent="0.25">
      <c r="A701" s="4">
        <v>2021</v>
      </c>
      <c r="B701" s="315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426</v>
      </c>
      <c r="H701" s="5" t="s">
        <v>427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428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+VLOOKUP(G701,Liste!$A$7:$G$69,3,FALSE)</f>
        <v>Hêtre commun</v>
      </c>
      <c r="BI701" s="96" t="str">
        <f>+VLOOKUP(H701,Liste!$B$7:$G$69,5,FALSE)</f>
        <v>GS Hêtraies et hêtraies sapinières des Pyrénées</v>
      </c>
      <c r="BJ701" s="135">
        <f t="shared" si="204"/>
        <v>81</v>
      </c>
      <c r="BK701" s="135" t="str">
        <f t="shared" si="206"/>
        <v>Hêtre commun_F1_Entree 19-20m_GS Hêtraies et hêtraies sapinières des Pyrénées_81_</v>
      </c>
      <c r="BL701" s="319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97" t="str">
        <f>+VLOOKUP(G701,Liste!$A$7:$H$69,8,FALSE)</f>
        <v>Feuillus</v>
      </c>
      <c r="BU701" s="297">
        <f t="shared" si="207"/>
        <v>1</v>
      </c>
      <c r="BV701" s="299">
        <f t="shared" si="208"/>
        <v>0</v>
      </c>
      <c r="BW701" s="318">
        <v>0</v>
      </c>
      <c r="BX701" s="297">
        <f t="shared" si="209"/>
        <v>0.25</v>
      </c>
      <c r="BY701">
        <f t="shared" si="210"/>
        <v>0</v>
      </c>
      <c r="BZ701" s="303">
        <f t="shared" si="211"/>
        <v>0</v>
      </c>
      <c r="CB701" s="298">
        <v>0.6</v>
      </c>
      <c r="CC701" s="298">
        <v>0.4</v>
      </c>
      <c r="CD701">
        <f t="shared" si="212"/>
        <v>0</v>
      </c>
      <c r="CE701">
        <f t="shared" si="213"/>
        <v>0</v>
      </c>
      <c r="CF701">
        <f t="shared" si="214"/>
        <v>0</v>
      </c>
      <c r="CG701">
        <f t="shared" si="215"/>
        <v>0</v>
      </c>
      <c r="CH701">
        <f t="shared" si="216"/>
        <v>0</v>
      </c>
      <c r="CI701">
        <f t="shared" si="217"/>
        <v>0</v>
      </c>
      <c r="CJ701">
        <f t="shared" si="218"/>
        <v>0</v>
      </c>
      <c r="CK701">
        <f t="shared" si="219"/>
        <v>0</v>
      </c>
      <c r="CL701">
        <f t="shared" si="220"/>
        <v>0</v>
      </c>
      <c r="CM701">
        <f t="shared" si="222"/>
        <v>0</v>
      </c>
      <c r="CN701">
        <f t="shared" si="221"/>
        <v>0</v>
      </c>
      <c r="CO701">
        <f t="shared" si="205"/>
        <v>0</v>
      </c>
    </row>
    <row r="702" spans="1:93" s="12" customFormat="1" hidden="1" x14ac:dyDescent="0.25">
      <c r="A702" s="4">
        <v>2021</v>
      </c>
      <c r="B702" s="315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426</v>
      </c>
      <c r="H702" s="5" t="s">
        <v>427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428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+VLOOKUP(G702,Liste!$A$7:$G$69,3,FALSE)</f>
        <v>Hêtre commun</v>
      </c>
      <c r="BI702" s="96" t="str">
        <f>+VLOOKUP(H702,Liste!$B$7:$G$69,5,FALSE)</f>
        <v>GS Hêtraies et hêtraies sapinières des Pyrénées</v>
      </c>
      <c r="BJ702" s="135">
        <f t="shared" si="204"/>
        <v>81</v>
      </c>
      <c r="BK702" s="135" t="str">
        <f t="shared" si="206"/>
        <v>Hêtre commun_F1_Entree 19-20m_GS Hêtraies et hêtraies sapinières des Pyrénées_81_</v>
      </c>
      <c r="BL702" s="319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97" t="str">
        <f>+VLOOKUP(G702,Liste!$A$7:$H$69,8,FALSE)</f>
        <v>Feuillus</v>
      </c>
      <c r="BU702" s="297">
        <f t="shared" si="207"/>
        <v>1</v>
      </c>
      <c r="BV702" s="299">
        <f t="shared" si="208"/>
        <v>0</v>
      </c>
      <c r="BW702" s="318">
        <v>0</v>
      </c>
      <c r="BX702" s="297">
        <f t="shared" si="209"/>
        <v>0.25</v>
      </c>
      <c r="BY702">
        <f t="shared" si="210"/>
        <v>0</v>
      </c>
      <c r="BZ702" s="303">
        <f t="shared" si="211"/>
        <v>0</v>
      </c>
      <c r="CB702" s="298">
        <v>0.6</v>
      </c>
      <c r="CC702" s="298">
        <v>0.4</v>
      </c>
      <c r="CD702">
        <f t="shared" si="212"/>
        <v>0</v>
      </c>
      <c r="CE702">
        <f t="shared" si="213"/>
        <v>0</v>
      </c>
      <c r="CF702">
        <f t="shared" si="214"/>
        <v>0</v>
      </c>
      <c r="CG702">
        <f t="shared" si="215"/>
        <v>0</v>
      </c>
      <c r="CH702">
        <f t="shared" si="216"/>
        <v>0</v>
      </c>
      <c r="CI702">
        <f t="shared" si="217"/>
        <v>0</v>
      </c>
      <c r="CJ702">
        <f t="shared" si="218"/>
        <v>0</v>
      </c>
      <c r="CK702">
        <f t="shared" si="219"/>
        <v>0</v>
      </c>
      <c r="CL702">
        <f t="shared" si="220"/>
        <v>0</v>
      </c>
      <c r="CM702">
        <f t="shared" si="222"/>
        <v>0</v>
      </c>
      <c r="CN702">
        <f t="shared" si="221"/>
        <v>0</v>
      </c>
      <c r="CO702">
        <f t="shared" si="205"/>
        <v>0</v>
      </c>
    </row>
    <row r="703" spans="1:93" s="12" customFormat="1" hidden="1" x14ac:dyDescent="0.25">
      <c r="A703" s="4">
        <v>2021</v>
      </c>
      <c r="B703" s="315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426</v>
      </c>
      <c r="H703" s="5" t="s">
        <v>427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428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+VLOOKUP(G703,Liste!$A$7:$G$69,3,FALSE)</f>
        <v>Hêtre commun</v>
      </c>
      <c r="BI703" s="96" t="str">
        <f>+VLOOKUP(H703,Liste!$B$7:$G$69,5,FALSE)</f>
        <v>GS Hêtraies et hêtraies sapinières des Pyrénées</v>
      </c>
      <c r="BJ703" s="135">
        <f t="shared" si="204"/>
        <v>84</v>
      </c>
      <c r="BK703" s="135" t="str">
        <f t="shared" si="206"/>
        <v>Hêtre commun_F1_Entree 19-20m_GS Hêtraies et hêtraies sapinières des Pyrénées_84_</v>
      </c>
      <c r="BL703" s="319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97" t="str">
        <f>+VLOOKUP(G703,Liste!$A$7:$H$69,8,FALSE)</f>
        <v>Feuillus</v>
      </c>
      <c r="BU703" s="297">
        <f t="shared" si="207"/>
        <v>1</v>
      </c>
      <c r="BV703" s="299">
        <f t="shared" si="208"/>
        <v>0</v>
      </c>
      <c r="BW703" s="318">
        <v>0</v>
      </c>
      <c r="BX703" s="297">
        <f t="shared" si="209"/>
        <v>0.25</v>
      </c>
      <c r="BY703">
        <f t="shared" si="210"/>
        <v>0</v>
      </c>
      <c r="BZ703" s="303">
        <f t="shared" si="211"/>
        <v>0</v>
      </c>
      <c r="CB703" s="298">
        <v>0.6</v>
      </c>
      <c r="CC703" s="298">
        <v>0.4</v>
      </c>
      <c r="CD703">
        <f t="shared" si="212"/>
        <v>0</v>
      </c>
      <c r="CE703">
        <f t="shared" si="213"/>
        <v>0</v>
      </c>
      <c r="CF703">
        <f t="shared" si="214"/>
        <v>0</v>
      </c>
      <c r="CG703">
        <f t="shared" si="215"/>
        <v>0</v>
      </c>
      <c r="CH703">
        <f t="shared" si="216"/>
        <v>0</v>
      </c>
      <c r="CI703">
        <f t="shared" si="217"/>
        <v>0</v>
      </c>
      <c r="CJ703">
        <f t="shared" si="218"/>
        <v>0</v>
      </c>
      <c r="CK703">
        <f t="shared" si="219"/>
        <v>0</v>
      </c>
      <c r="CL703">
        <f t="shared" si="220"/>
        <v>0</v>
      </c>
      <c r="CM703">
        <f t="shared" si="222"/>
        <v>0</v>
      </c>
      <c r="CN703">
        <f t="shared" si="221"/>
        <v>0</v>
      </c>
      <c r="CO703">
        <f t="shared" si="205"/>
        <v>0</v>
      </c>
    </row>
    <row r="704" spans="1:93" s="12" customFormat="1" hidden="1" x14ac:dyDescent="0.25">
      <c r="A704" s="4">
        <v>2021</v>
      </c>
      <c r="B704" s="315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426</v>
      </c>
      <c r="H704" s="5" t="s">
        <v>427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428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+VLOOKUP(G704,Liste!$A$7:$G$69,3,FALSE)</f>
        <v>Hêtre commun</v>
      </c>
      <c r="BI704" s="96" t="str">
        <f>+VLOOKUP(H704,Liste!$B$7:$G$69,5,FALSE)</f>
        <v>GS Hêtraies et hêtraies sapinières des Pyrénées</v>
      </c>
      <c r="BJ704" s="135">
        <f t="shared" si="204"/>
        <v>87</v>
      </c>
      <c r="BK704" s="135" t="str">
        <f t="shared" si="206"/>
        <v>Hêtre commun_F1_Entree 19-20m_GS Hêtraies et hêtraies sapinières des Pyrénées_87_</v>
      </c>
      <c r="BL704" s="319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97" t="str">
        <f>+VLOOKUP(G704,Liste!$A$7:$H$69,8,FALSE)</f>
        <v>Feuillus</v>
      </c>
      <c r="BU704" s="297">
        <f t="shared" si="207"/>
        <v>1</v>
      </c>
      <c r="BV704" s="299">
        <f t="shared" si="208"/>
        <v>0</v>
      </c>
      <c r="BW704" s="318">
        <v>0</v>
      </c>
      <c r="BX704" s="297">
        <f t="shared" si="209"/>
        <v>0.25</v>
      </c>
      <c r="BY704">
        <f t="shared" si="210"/>
        <v>0</v>
      </c>
      <c r="BZ704" s="303">
        <f t="shared" si="211"/>
        <v>0</v>
      </c>
      <c r="CB704" s="298">
        <v>0.6</v>
      </c>
      <c r="CC704" s="298">
        <v>0.4</v>
      </c>
      <c r="CD704">
        <f t="shared" si="212"/>
        <v>0</v>
      </c>
      <c r="CE704">
        <f t="shared" si="213"/>
        <v>0</v>
      </c>
      <c r="CF704">
        <f t="shared" si="214"/>
        <v>0</v>
      </c>
      <c r="CG704">
        <f t="shared" si="215"/>
        <v>0</v>
      </c>
      <c r="CH704">
        <f t="shared" si="216"/>
        <v>0</v>
      </c>
      <c r="CI704">
        <f t="shared" si="217"/>
        <v>0</v>
      </c>
      <c r="CJ704">
        <f t="shared" si="218"/>
        <v>0</v>
      </c>
      <c r="CK704">
        <f t="shared" si="219"/>
        <v>0</v>
      </c>
      <c r="CL704">
        <f t="shared" si="220"/>
        <v>0</v>
      </c>
      <c r="CM704">
        <f t="shared" si="222"/>
        <v>0</v>
      </c>
      <c r="CN704">
        <f t="shared" si="221"/>
        <v>0</v>
      </c>
      <c r="CO704">
        <f t="shared" si="205"/>
        <v>0</v>
      </c>
    </row>
    <row r="705" spans="1:93" s="12" customFormat="1" hidden="1" x14ac:dyDescent="0.25">
      <c r="A705" s="4">
        <v>2021</v>
      </c>
      <c r="B705" s="315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426</v>
      </c>
      <c r="H705" s="5" t="s">
        <v>427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428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+VLOOKUP(G705,Liste!$A$7:$G$69,3,FALSE)</f>
        <v>Hêtre commun</v>
      </c>
      <c r="BI705" s="96" t="str">
        <f>+VLOOKUP(H705,Liste!$B$7:$G$69,5,FALSE)</f>
        <v>GS Hêtraies et hêtraies sapinières des Pyrénées</v>
      </c>
      <c r="BJ705" s="135">
        <f t="shared" si="204"/>
        <v>90</v>
      </c>
      <c r="BK705" s="135" t="str">
        <f t="shared" si="206"/>
        <v>Hêtre commun_F1_Entree 19-20m_GS Hêtraies et hêtraies sapinières des Pyrénées_90_</v>
      </c>
      <c r="BL705" s="319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97" t="str">
        <f>+VLOOKUP(G705,Liste!$A$7:$H$69,8,FALSE)</f>
        <v>Feuillus</v>
      </c>
      <c r="BU705" s="297">
        <f t="shared" si="207"/>
        <v>1</v>
      </c>
      <c r="BV705" s="299">
        <f t="shared" si="208"/>
        <v>0</v>
      </c>
      <c r="BW705" s="318">
        <v>0</v>
      </c>
      <c r="BX705" s="297">
        <f t="shared" si="209"/>
        <v>0.25</v>
      </c>
      <c r="BY705">
        <f t="shared" si="210"/>
        <v>0</v>
      </c>
      <c r="BZ705" s="303">
        <f t="shared" si="211"/>
        <v>0</v>
      </c>
      <c r="CB705" s="298">
        <v>0.6</v>
      </c>
      <c r="CC705" s="298">
        <v>0.4</v>
      </c>
      <c r="CD705">
        <f t="shared" si="212"/>
        <v>0</v>
      </c>
      <c r="CE705">
        <f t="shared" si="213"/>
        <v>0</v>
      </c>
      <c r="CF705">
        <f t="shared" si="214"/>
        <v>0</v>
      </c>
      <c r="CG705">
        <f t="shared" si="215"/>
        <v>0</v>
      </c>
      <c r="CH705">
        <f t="shared" si="216"/>
        <v>0</v>
      </c>
      <c r="CI705">
        <f t="shared" si="217"/>
        <v>0</v>
      </c>
      <c r="CJ705">
        <f t="shared" si="218"/>
        <v>0</v>
      </c>
      <c r="CK705">
        <f t="shared" si="219"/>
        <v>0</v>
      </c>
      <c r="CL705">
        <f t="shared" si="220"/>
        <v>0</v>
      </c>
      <c r="CM705">
        <f t="shared" si="222"/>
        <v>0</v>
      </c>
      <c r="CN705">
        <f t="shared" si="221"/>
        <v>0</v>
      </c>
      <c r="CO705">
        <f t="shared" si="205"/>
        <v>0</v>
      </c>
    </row>
    <row r="706" spans="1:93" s="12" customFormat="1" hidden="1" x14ac:dyDescent="0.25">
      <c r="A706" s="4">
        <v>2021</v>
      </c>
      <c r="B706" s="315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426</v>
      </c>
      <c r="H706" s="5" t="s">
        <v>427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428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+VLOOKUP(G706,Liste!$A$7:$G$69,3,FALSE)</f>
        <v>Hêtre commun</v>
      </c>
      <c r="BI706" s="96" t="str">
        <f>+VLOOKUP(H706,Liste!$B$7:$G$69,5,FALSE)</f>
        <v>GS Hêtraies et hêtraies sapinières des Pyrénées</v>
      </c>
      <c r="BJ706" s="135">
        <f t="shared" si="204"/>
        <v>90</v>
      </c>
      <c r="BK706" s="135" t="str">
        <f t="shared" si="206"/>
        <v>Hêtre commun_F1_Entree 19-20m_GS Hêtraies et hêtraies sapinières des Pyrénées_90_</v>
      </c>
      <c r="BL706" s="319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97" t="str">
        <f>+VLOOKUP(G706,Liste!$A$7:$H$69,8,FALSE)</f>
        <v>Feuillus</v>
      </c>
      <c r="BU706" s="297">
        <f t="shared" si="207"/>
        <v>1</v>
      </c>
      <c r="BV706" s="299">
        <f t="shared" si="208"/>
        <v>0</v>
      </c>
      <c r="BW706" s="318">
        <v>0</v>
      </c>
      <c r="BX706" s="297">
        <f t="shared" si="209"/>
        <v>0.25</v>
      </c>
      <c r="BY706">
        <f t="shared" si="210"/>
        <v>0</v>
      </c>
      <c r="BZ706" s="303">
        <f t="shared" si="211"/>
        <v>0</v>
      </c>
      <c r="CB706" s="298">
        <v>0.6</v>
      </c>
      <c r="CC706" s="298">
        <v>0.4</v>
      </c>
      <c r="CD706">
        <f t="shared" si="212"/>
        <v>0</v>
      </c>
      <c r="CE706">
        <f t="shared" si="213"/>
        <v>0</v>
      </c>
      <c r="CF706">
        <f t="shared" si="214"/>
        <v>0</v>
      </c>
      <c r="CG706">
        <f t="shared" si="215"/>
        <v>0</v>
      </c>
      <c r="CH706">
        <f t="shared" si="216"/>
        <v>0</v>
      </c>
      <c r="CI706">
        <f t="shared" si="217"/>
        <v>0</v>
      </c>
      <c r="CJ706">
        <f t="shared" si="218"/>
        <v>0</v>
      </c>
      <c r="CK706">
        <f t="shared" si="219"/>
        <v>0</v>
      </c>
      <c r="CL706">
        <f t="shared" si="220"/>
        <v>0</v>
      </c>
      <c r="CM706">
        <f t="shared" si="222"/>
        <v>0</v>
      </c>
      <c r="CN706">
        <f t="shared" si="221"/>
        <v>0</v>
      </c>
      <c r="CO706">
        <f t="shared" si="205"/>
        <v>0</v>
      </c>
    </row>
    <row r="707" spans="1:93" s="12" customFormat="1" hidden="1" x14ac:dyDescent="0.25">
      <c r="A707" s="4">
        <v>2021</v>
      </c>
      <c r="B707" s="315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426</v>
      </c>
      <c r="H707" s="5" t="s">
        <v>427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428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+VLOOKUP(G707,Liste!$A$7:$G$69,3,FALSE)</f>
        <v>Hêtre commun</v>
      </c>
      <c r="BI707" s="96" t="str">
        <f>+VLOOKUP(H707,Liste!$B$7:$G$69,5,FALSE)</f>
        <v>GS Hêtraies et hêtraies sapinières des Pyrénées</v>
      </c>
      <c r="BJ707" s="135">
        <f t="shared" ref="BJ707:BJ770" si="223">+AC707</f>
        <v>93</v>
      </c>
      <c r="BK707" s="135" t="str">
        <f t="shared" si="206"/>
        <v>Hêtre commun_F1_Entree 19-20m_GS Hêtraies et hêtraies sapinières des Pyrénées_93_</v>
      </c>
      <c r="BL707" s="319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97" t="str">
        <f>+VLOOKUP(G707,Liste!$A$7:$H$69,8,FALSE)</f>
        <v>Feuillus</v>
      </c>
      <c r="BU707" s="297">
        <f t="shared" si="207"/>
        <v>1</v>
      </c>
      <c r="BV707" s="299">
        <f t="shared" si="208"/>
        <v>0</v>
      </c>
      <c r="BW707" s="318">
        <v>0</v>
      </c>
      <c r="BX707" s="297">
        <f t="shared" si="209"/>
        <v>0.25</v>
      </c>
      <c r="BY707">
        <f t="shared" si="210"/>
        <v>0</v>
      </c>
      <c r="BZ707" s="303">
        <f t="shared" si="211"/>
        <v>0</v>
      </c>
      <c r="CB707" s="298">
        <v>0.6</v>
      </c>
      <c r="CC707" s="298">
        <v>0.4</v>
      </c>
      <c r="CD707">
        <f t="shared" si="212"/>
        <v>0</v>
      </c>
      <c r="CE707">
        <f t="shared" si="213"/>
        <v>0</v>
      </c>
      <c r="CF707">
        <f t="shared" si="214"/>
        <v>0</v>
      </c>
      <c r="CG707">
        <f t="shared" si="215"/>
        <v>0</v>
      </c>
      <c r="CH707">
        <f t="shared" si="216"/>
        <v>0</v>
      </c>
      <c r="CI707">
        <f t="shared" si="217"/>
        <v>0</v>
      </c>
      <c r="CJ707">
        <f t="shared" si="218"/>
        <v>0</v>
      </c>
      <c r="CK707">
        <f t="shared" si="219"/>
        <v>0</v>
      </c>
      <c r="CL707">
        <f t="shared" si="220"/>
        <v>0</v>
      </c>
      <c r="CM707">
        <f t="shared" si="222"/>
        <v>0</v>
      </c>
      <c r="CN707">
        <f t="shared" si="221"/>
        <v>0</v>
      </c>
      <c r="CO707">
        <f t="shared" ref="CO707:CO770" si="224">+IF(BJ707=30,CN707/30,0)</f>
        <v>0</v>
      </c>
    </row>
    <row r="708" spans="1:93" s="12" customFormat="1" hidden="1" x14ac:dyDescent="0.25">
      <c r="A708" s="4">
        <v>2021</v>
      </c>
      <c r="B708" s="315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426</v>
      </c>
      <c r="H708" s="5" t="s">
        <v>427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428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+VLOOKUP(G708,Liste!$A$7:$G$69,3,FALSE)</f>
        <v>Hêtre commun</v>
      </c>
      <c r="BI708" s="96" t="str">
        <f>+VLOOKUP(H708,Liste!$B$7:$G$69,5,FALSE)</f>
        <v>GS Hêtraies et hêtraies sapinières des Pyrénées</v>
      </c>
      <c r="BJ708" s="135">
        <f t="shared" si="223"/>
        <v>96</v>
      </c>
      <c r="BK708" s="135" t="str">
        <f t="shared" ref="BK708:BK771" si="225">+_xlfn.CONCAT(BH708,"_",J708,"_",I708,"_",BI708,"_",BJ708,"_")</f>
        <v>Hêtre commun_F1_Entree 19-20m_GS Hêtraies et hêtraies sapinières des Pyrénées_96_</v>
      </c>
      <c r="BL708" s="319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97" t="str">
        <f>+VLOOKUP(G708,Liste!$A$7:$H$69,8,FALSE)</f>
        <v>Feuillus</v>
      </c>
      <c r="BU708" s="297">
        <f t="shared" ref="BU708:BU771" si="226">IF(BT708="Résineux",0%,100%)</f>
        <v>1</v>
      </c>
      <c r="BV708" s="299">
        <f t="shared" ref="BV708:BV771" si="227">+IF(BT708="Résineux",100%,0%)</f>
        <v>0</v>
      </c>
      <c r="BW708" s="318">
        <v>0</v>
      </c>
      <c r="BX708" s="297">
        <f t="shared" ref="BX708:BX771" si="228">+IF(BV708&lt;&gt;0,0.43,0.25)</f>
        <v>0.25</v>
      </c>
      <c r="BY708">
        <f t="shared" ref="BY708:BY771" si="229">+IF(BJ708&lt;=30,AV708*BX708,0)</f>
        <v>0</v>
      </c>
      <c r="BZ708" s="303">
        <f t="shared" ref="BZ708:BZ771" si="230">+IF(BJ708&gt;=31,0,BY708+BZ707)</f>
        <v>0</v>
      </c>
      <c r="CB708" s="298">
        <v>0.6</v>
      </c>
      <c r="CC708" s="298">
        <v>0.4</v>
      </c>
      <c r="CD708">
        <f t="shared" ref="CD708:CD771" si="231">+IF(BJ708&lt;=31,AV708*CA708*0.5,0)</f>
        <v>0</v>
      </c>
      <c r="CE708">
        <f t="shared" ref="CE708:CE771" si="232">IF(BJ708&lt;=31,AV708*CB708,0)</f>
        <v>0</v>
      </c>
      <c r="CF708">
        <f t="shared" ref="CF708:CF771" si="233">IF(BJ708&lt;=31,AV708*CC708,0)</f>
        <v>0</v>
      </c>
      <c r="CG708">
        <f t="shared" ref="CG708:CG771" si="234">CD708*44/12*0.475*BF708</f>
        <v>0</v>
      </c>
      <c r="CH708">
        <f t="shared" ref="CH708:CH771" si="235">CE708*44/12*0.475*BF708</f>
        <v>0</v>
      </c>
      <c r="CI708">
        <f t="shared" ref="CI708:CI771" si="236">CF708*44/12*0.475*BF708</f>
        <v>0</v>
      </c>
      <c r="CJ708">
        <f t="shared" ref="CJ708:CJ771" si="237">+IF(BJ708&lt;=31,CJ707*EXP(-$CJ$1)+CG707*(1-EXP(-$CJ$1))/$CJ$1,0)</f>
        <v>0</v>
      </c>
      <c r="CK708">
        <f t="shared" ref="CK708:CK771" si="238">+IF(BJ708&lt;=31,CK707*EXP(-$CK$1)+CH707*(1-EXP(-$CK$1))/$CK$1,0)</f>
        <v>0</v>
      </c>
      <c r="CL708">
        <f t="shared" ref="CL708:CL771" si="239">+IF(BJ708&lt;=31,CL707*EXP(-$CL$1)+CI707*(1-EXP(-$CL$1))/$CL$1,0)</f>
        <v>0</v>
      </c>
      <c r="CM708">
        <f t="shared" si="222"/>
        <v>0</v>
      </c>
      <c r="CN708">
        <f t="shared" ref="CN708:CN771" si="240">+IF(BJ708&lt;=31,CM708+CN707,0)</f>
        <v>0</v>
      </c>
      <c r="CO708">
        <f t="shared" si="224"/>
        <v>0</v>
      </c>
    </row>
    <row r="709" spans="1:93" s="12" customFormat="1" hidden="1" x14ac:dyDescent="0.25">
      <c r="A709" s="4">
        <v>2021</v>
      </c>
      <c r="B709" s="315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426</v>
      </c>
      <c r="H709" s="5" t="s">
        <v>427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428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+VLOOKUP(G709,Liste!$A$7:$G$69,3,FALSE)</f>
        <v>Hêtre commun</v>
      </c>
      <c r="BI709" s="96" t="str">
        <f>+VLOOKUP(H709,Liste!$B$7:$G$69,5,FALSE)</f>
        <v>GS Hêtraies et hêtraies sapinières des Pyrénées</v>
      </c>
      <c r="BJ709" s="135">
        <f t="shared" si="223"/>
        <v>99</v>
      </c>
      <c r="BK709" s="135" t="str">
        <f t="shared" si="225"/>
        <v>Hêtre commun_F1_Entree 19-20m_GS Hêtraies et hêtraies sapinières des Pyrénées_99_</v>
      </c>
      <c r="BL709" s="319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97" t="str">
        <f>+VLOOKUP(G709,Liste!$A$7:$H$69,8,FALSE)</f>
        <v>Feuillus</v>
      </c>
      <c r="BU709" s="297">
        <f t="shared" si="226"/>
        <v>1</v>
      </c>
      <c r="BV709" s="299">
        <f t="shared" si="227"/>
        <v>0</v>
      </c>
      <c r="BW709" s="318">
        <v>0</v>
      </c>
      <c r="BX709" s="297">
        <f t="shared" si="228"/>
        <v>0.25</v>
      </c>
      <c r="BY709">
        <f t="shared" si="229"/>
        <v>0</v>
      </c>
      <c r="BZ709" s="303">
        <f t="shared" si="230"/>
        <v>0</v>
      </c>
      <c r="CB709" s="298">
        <v>0.6</v>
      </c>
      <c r="CC709" s="298">
        <v>0.4</v>
      </c>
      <c r="CD709">
        <f t="shared" si="231"/>
        <v>0</v>
      </c>
      <c r="CE709">
        <f t="shared" si="232"/>
        <v>0</v>
      </c>
      <c r="CF709">
        <f t="shared" si="233"/>
        <v>0</v>
      </c>
      <c r="CG709">
        <f t="shared" si="234"/>
        <v>0</v>
      </c>
      <c r="CH709">
        <f t="shared" si="235"/>
        <v>0</v>
      </c>
      <c r="CI709">
        <f t="shared" si="236"/>
        <v>0</v>
      </c>
      <c r="CJ709">
        <f t="shared" si="237"/>
        <v>0</v>
      </c>
      <c r="CK709">
        <f t="shared" si="238"/>
        <v>0</v>
      </c>
      <c r="CL709">
        <f t="shared" si="239"/>
        <v>0</v>
      </c>
      <c r="CM709">
        <f t="shared" ref="CM709:CM772" si="241">+CJ709+CK709+CL709</f>
        <v>0</v>
      </c>
      <c r="CN709">
        <f t="shared" si="240"/>
        <v>0</v>
      </c>
      <c r="CO709">
        <f t="shared" si="224"/>
        <v>0</v>
      </c>
    </row>
    <row r="710" spans="1:93" s="12" customFormat="1" hidden="1" x14ac:dyDescent="0.25">
      <c r="A710" s="4">
        <v>2021</v>
      </c>
      <c r="B710" s="315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426</v>
      </c>
      <c r="H710" s="5" t="s">
        <v>427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428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+VLOOKUP(G710,Liste!$A$7:$G$69,3,FALSE)</f>
        <v>Hêtre commun</v>
      </c>
      <c r="BI710" s="96" t="str">
        <f>+VLOOKUP(H710,Liste!$B$7:$G$69,5,FALSE)</f>
        <v>GS Hêtraies et hêtraies sapinières des Pyrénées</v>
      </c>
      <c r="BJ710" s="135">
        <f t="shared" si="223"/>
        <v>99</v>
      </c>
      <c r="BK710" s="135" t="str">
        <f t="shared" si="225"/>
        <v>Hêtre commun_F1_Entree 19-20m_GS Hêtraies et hêtraies sapinières des Pyrénées_99_</v>
      </c>
      <c r="BL710" s="319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97" t="str">
        <f>+VLOOKUP(G710,Liste!$A$7:$H$69,8,FALSE)</f>
        <v>Feuillus</v>
      </c>
      <c r="BU710" s="297">
        <f t="shared" si="226"/>
        <v>1</v>
      </c>
      <c r="BV710" s="299">
        <f t="shared" si="227"/>
        <v>0</v>
      </c>
      <c r="BW710" s="318">
        <v>0</v>
      </c>
      <c r="BX710" s="297">
        <f t="shared" si="228"/>
        <v>0.25</v>
      </c>
      <c r="BY710">
        <f t="shared" si="229"/>
        <v>0</v>
      </c>
      <c r="BZ710" s="303">
        <f t="shared" si="230"/>
        <v>0</v>
      </c>
      <c r="CB710" s="298">
        <v>0.6</v>
      </c>
      <c r="CC710" s="298">
        <v>0.4</v>
      </c>
      <c r="CD710">
        <f t="shared" si="231"/>
        <v>0</v>
      </c>
      <c r="CE710">
        <f t="shared" si="232"/>
        <v>0</v>
      </c>
      <c r="CF710">
        <f t="shared" si="233"/>
        <v>0</v>
      </c>
      <c r="CG710">
        <f t="shared" si="234"/>
        <v>0</v>
      </c>
      <c r="CH710">
        <f t="shared" si="235"/>
        <v>0</v>
      </c>
      <c r="CI710">
        <f t="shared" si="236"/>
        <v>0</v>
      </c>
      <c r="CJ710">
        <f t="shared" si="237"/>
        <v>0</v>
      </c>
      <c r="CK710">
        <f t="shared" si="238"/>
        <v>0</v>
      </c>
      <c r="CL710">
        <f t="shared" si="239"/>
        <v>0</v>
      </c>
      <c r="CM710">
        <f t="shared" si="241"/>
        <v>0</v>
      </c>
      <c r="CN710">
        <f t="shared" si="240"/>
        <v>0</v>
      </c>
      <c r="CO710">
        <f t="shared" si="224"/>
        <v>0</v>
      </c>
    </row>
    <row r="711" spans="1:93" s="12" customFormat="1" hidden="1" x14ac:dyDescent="0.25">
      <c r="A711" s="4">
        <v>2021</v>
      </c>
      <c r="B711" s="315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426</v>
      </c>
      <c r="H711" s="5" t="s">
        <v>427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428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+VLOOKUP(G711,Liste!$A$7:$G$69,3,FALSE)</f>
        <v>Hêtre commun</v>
      </c>
      <c r="BI711" s="96" t="str">
        <f>+VLOOKUP(H711,Liste!$B$7:$G$69,5,FALSE)</f>
        <v>GS Hêtraies et hêtraies sapinières des Pyrénées</v>
      </c>
      <c r="BJ711" s="135">
        <f t="shared" si="223"/>
        <v>102</v>
      </c>
      <c r="BK711" s="135" t="str">
        <f t="shared" si="225"/>
        <v>Hêtre commun_F1_Entree 19-20m_GS Hêtraies et hêtraies sapinières des Pyrénées_102_</v>
      </c>
      <c r="BL711" s="319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97" t="str">
        <f>+VLOOKUP(G711,Liste!$A$7:$H$69,8,FALSE)</f>
        <v>Feuillus</v>
      </c>
      <c r="BU711" s="297">
        <f t="shared" si="226"/>
        <v>1</v>
      </c>
      <c r="BV711" s="299">
        <f t="shared" si="227"/>
        <v>0</v>
      </c>
      <c r="BW711" s="318">
        <v>0</v>
      </c>
      <c r="BX711" s="297">
        <f t="shared" si="228"/>
        <v>0.25</v>
      </c>
      <c r="BY711">
        <f t="shared" si="229"/>
        <v>0</v>
      </c>
      <c r="BZ711" s="303">
        <f t="shared" si="230"/>
        <v>0</v>
      </c>
      <c r="CB711" s="298">
        <v>0.6</v>
      </c>
      <c r="CC711" s="298">
        <v>0.4</v>
      </c>
      <c r="CD711">
        <f t="shared" si="231"/>
        <v>0</v>
      </c>
      <c r="CE711">
        <f t="shared" si="232"/>
        <v>0</v>
      </c>
      <c r="CF711">
        <f t="shared" si="233"/>
        <v>0</v>
      </c>
      <c r="CG711">
        <f t="shared" si="234"/>
        <v>0</v>
      </c>
      <c r="CH711">
        <f t="shared" si="235"/>
        <v>0</v>
      </c>
      <c r="CI711">
        <f t="shared" si="236"/>
        <v>0</v>
      </c>
      <c r="CJ711">
        <f t="shared" si="237"/>
        <v>0</v>
      </c>
      <c r="CK711">
        <f t="shared" si="238"/>
        <v>0</v>
      </c>
      <c r="CL711">
        <f t="shared" si="239"/>
        <v>0</v>
      </c>
      <c r="CM711">
        <f t="shared" si="241"/>
        <v>0</v>
      </c>
      <c r="CN711">
        <f t="shared" si="240"/>
        <v>0</v>
      </c>
      <c r="CO711">
        <f t="shared" si="224"/>
        <v>0</v>
      </c>
    </row>
    <row r="712" spans="1:93" s="12" customFormat="1" hidden="1" x14ac:dyDescent="0.25">
      <c r="A712" s="4">
        <v>2021</v>
      </c>
      <c r="B712" s="315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426</v>
      </c>
      <c r="H712" s="5" t="s">
        <v>427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428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+VLOOKUP(G712,Liste!$A$7:$G$69,3,FALSE)</f>
        <v>Hêtre commun</v>
      </c>
      <c r="BI712" s="96" t="str">
        <f>+VLOOKUP(H712,Liste!$B$7:$G$69,5,FALSE)</f>
        <v>GS Hêtraies et hêtraies sapinières des Pyrénées</v>
      </c>
      <c r="BJ712" s="135">
        <f t="shared" si="223"/>
        <v>105</v>
      </c>
      <c r="BK712" s="135" t="str">
        <f t="shared" si="225"/>
        <v>Hêtre commun_F1_Entree 19-20m_GS Hêtraies et hêtraies sapinières des Pyrénées_105_</v>
      </c>
      <c r="BL712" s="319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97" t="str">
        <f>+VLOOKUP(G712,Liste!$A$7:$H$69,8,FALSE)</f>
        <v>Feuillus</v>
      </c>
      <c r="BU712" s="297">
        <f t="shared" si="226"/>
        <v>1</v>
      </c>
      <c r="BV712" s="299">
        <f t="shared" si="227"/>
        <v>0</v>
      </c>
      <c r="BW712" s="318">
        <v>0</v>
      </c>
      <c r="BX712" s="297">
        <f t="shared" si="228"/>
        <v>0.25</v>
      </c>
      <c r="BY712">
        <f t="shared" si="229"/>
        <v>0</v>
      </c>
      <c r="BZ712" s="303">
        <f t="shared" si="230"/>
        <v>0</v>
      </c>
      <c r="CB712" s="298">
        <v>0.6</v>
      </c>
      <c r="CC712" s="298">
        <v>0.4</v>
      </c>
      <c r="CD712">
        <f t="shared" si="231"/>
        <v>0</v>
      </c>
      <c r="CE712">
        <f t="shared" si="232"/>
        <v>0</v>
      </c>
      <c r="CF712">
        <f t="shared" si="233"/>
        <v>0</v>
      </c>
      <c r="CG712">
        <f t="shared" si="234"/>
        <v>0</v>
      </c>
      <c r="CH712">
        <f t="shared" si="235"/>
        <v>0</v>
      </c>
      <c r="CI712">
        <f t="shared" si="236"/>
        <v>0</v>
      </c>
      <c r="CJ712">
        <f t="shared" si="237"/>
        <v>0</v>
      </c>
      <c r="CK712">
        <f t="shared" si="238"/>
        <v>0</v>
      </c>
      <c r="CL712">
        <f t="shared" si="239"/>
        <v>0</v>
      </c>
      <c r="CM712">
        <f t="shared" si="241"/>
        <v>0</v>
      </c>
      <c r="CN712">
        <f t="shared" si="240"/>
        <v>0</v>
      </c>
      <c r="CO712">
        <f t="shared" si="224"/>
        <v>0</v>
      </c>
    </row>
    <row r="713" spans="1:93" s="12" customFormat="1" hidden="1" x14ac:dyDescent="0.25">
      <c r="A713" s="4">
        <v>2021</v>
      </c>
      <c r="B713" s="315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426</v>
      </c>
      <c r="H713" s="5" t="s">
        <v>427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428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+VLOOKUP(G713,Liste!$A$7:$G$69,3,FALSE)</f>
        <v>Hêtre commun</v>
      </c>
      <c r="BI713" s="96" t="str">
        <f>+VLOOKUP(H713,Liste!$B$7:$G$69,5,FALSE)</f>
        <v>GS Hêtraies et hêtraies sapinières des Pyrénées</v>
      </c>
      <c r="BJ713" s="135">
        <f t="shared" si="223"/>
        <v>108</v>
      </c>
      <c r="BK713" s="135" t="str">
        <f t="shared" si="225"/>
        <v>Hêtre commun_F1_Entree 19-20m_GS Hêtraies et hêtraies sapinières des Pyrénées_108_</v>
      </c>
      <c r="BL713" s="319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97" t="str">
        <f>+VLOOKUP(G713,Liste!$A$7:$H$69,8,FALSE)</f>
        <v>Feuillus</v>
      </c>
      <c r="BU713" s="297">
        <f t="shared" si="226"/>
        <v>1</v>
      </c>
      <c r="BV713" s="299">
        <f t="shared" si="227"/>
        <v>0</v>
      </c>
      <c r="BW713" s="318">
        <v>0</v>
      </c>
      <c r="BX713" s="297">
        <f t="shared" si="228"/>
        <v>0.25</v>
      </c>
      <c r="BY713">
        <f t="shared" si="229"/>
        <v>0</v>
      </c>
      <c r="BZ713" s="303">
        <f t="shared" si="230"/>
        <v>0</v>
      </c>
      <c r="CB713" s="298">
        <v>0.6</v>
      </c>
      <c r="CC713" s="298">
        <v>0.4</v>
      </c>
      <c r="CD713">
        <f t="shared" si="231"/>
        <v>0</v>
      </c>
      <c r="CE713">
        <f t="shared" si="232"/>
        <v>0</v>
      </c>
      <c r="CF713">
        <f t="shared" si="233"/>
        <v>0</v>
      </c>
      <c r="CG713">
        <f t="shared" si="234"/>
        <v>0</v>
      </c>
      <c r="CH713">
        <f t="shared" si="235"/>
        <v>0</v>
      </c>
      <c r="CI713">
        <f t="shared" si="236"/>
        <v>0</v>
      </c>
      <c r="CJ713">
        <f t="shared" si="237"/>
        <v>0</v>
      </c>
      <c r="CK713">
        <f t="shared" si="238"/>
        <v>0</v>
      </c>
      <c r="CL713">
        <f t="shared" si="239"/>
        <v>0</v>
      </c>
      <c r="CM713">
        <f t="shared" si="241"/>
        <v>0</v>
      </c>
      <c r="CN713">
        <f t="shared" si="240"/>
        <v>0</v>
      </c>
      <c r="CO713">
        <f t="shared" si="224"/>
        <v>0</v>
      </c>
    </row>
    <row r="714" spans="1:93" s="12" customFormat="1" hidden="1" x14ac:dyDescent="0.25">
      <c r="A714" s="4">
        <v>2021</v>
      </c>
      <c r="B714" s="315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426</v>
      </c>
      <c r="H714" s="5" t="s">
        <v>427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428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+VLOOKUP(G714,Liste!$A$7:$G$69,3,FALSE)</f>
        <v>Hêtre commun</v>
      </c>
      <c r="BI714" s="96" t="str">
        <f>+VLOOKUP(H714,Liste!$B$7:$G$69,5,FALSE)</f>
        <v>GS Hêtraies et hêtraies sapinières des Pyrénées</v>
      </c>
      <c r="BJ714" s="135">
        <f t="shared" si="223"/>
        <v>111</v>
      </c>
      <c r="BK714" s="135" t="str">
        <f t="shared" si="225"/>
        <v>Hêtre commun_F1_Entree 19-20m_GS Hêtraies et hêtraies sapinières des Pyrénées_111_</v>
      </c>
      <c r="BL714" s="319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97" t="str">
        <f>+VLOOKUP(G714,Liste!$A$7:$H$69,8,FALSE)</f>
        <v>Feuillus</v>
      </c>
      <c r="BU714" s="297">
        <f t="shared" si="226"/>
        <v>1</v>
      </c>
      <c r="BV714" s="299">
        <f t="shared" si="227"/>
        <v>0</v>
      </c>
      <c r="BW714" s="318">
        <v>0</v>
      </c>
      <c r="BX714" s="297">
        <f t="shared" si="228"/>
        <v>0.25</v>
      </c>
      <c r="BY714">
        <f t="shared" si="229"/>
        <v>0</v>
      </c>
      <c r="BZ714" s="303">
        <f t="shared" si="230"/>
        <v>0</v>
      </c>
      <c r="CB714" s="298">
        <v>0.6</v>
      </c>
      <c r="CC714" s="298">
        <v>0.4</v>
      </c>
      <c r="CD714">
        <f t="shared" si="231"/>
        <v>0</v>
      </c>
      <c r="CE714">
        <f t="shared" si="232"/>
        <v>0</v>
      </c>
      <c r="CF714">
        <f t="shared" si="233"/>
        <v>0</v>
      </c>
      <c r="CG714">
        <f t="shared" si="234"/>
        <v>0</v>
      </c>
      <c r="CH714">
        <f t="shared" si="235"/>
        <v>0</v>
      </c>
      <c r="CI714">
        <f t="shared" si="236"/>
        <v>0</v>
      </c>
      <c r="CJ714">
        <f t="shared" si="237"/>
        <v>0</v>
      </c>
      <c r="CK714">
        <f t="shared" si="238"/>
        <v>0</v>
      </c>
      <c r="CL714">
        <f t="shared" si="239"/>
        <v>0</v>
      </c>
      <c r="CM714">
        <f t="shared" si="241"/>
        <v>0</v>
      </c>
      <c r="CN714">
        <f t="shared" si="240"/>
        <v>0</v>
      </c>
      <c r="CO714">
        <f t="shared" si="224"/>
        <v>0</v>
      </c>
    </row>
    <row r="715" spans="1:93" s="12" customFormat="1" hidden="1" x14ac:dyDescent="0.25">
      <c r="A715" s="4">
        <v>2021</v>
      </c>
      <c r="B715" s="315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426</v>
      </c>
      <c r="H715" s="5" t="s">
        <v>427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428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+VLOOKUP(G715,Liste!$A$7:$G$69,3,FALSE)</f>
        <v>Hêtre commun</v>
      </c>
      <c r="BI715" s="96" t="str">
        <f>+VLOOKUP(H715,Liste!$B$7:$G$69,5,FALSE)</f>
        <v>GS Hêtraies et hêtraies sapinières des Pyrénées</v>
      </c>
      <c r="BJ715" s="135">
        <f t="shared" si="223"/>
        <v>111</v>
      </c>
      <c r="BK715" s="135" t="str">
        <f t="shared" si="225"/>
        <v>Hêtre commun_F1_Entree 19-20m_GS Hêtraies et hêtraies sapinières des Pyrénées_111_</v>
      </c>
      <c r="BL715" s="319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97" t="str">
        <f>+VLOOKUP(G715,Liste!$A$7:$H$69,8,FALSE)</f>
        <v>Feuillus</v>
      </c>
      <c r="BU715" s="297">
        <f t="shared" si="226"/>
        <v>1</v>
      </c>
      <c r="BV715" s="299">
        <f t="shared" si="227"/>
        <v>0</v>
      </c>
      <c r="BW715" s="318">
        <v>0</v>
      </c>
      <c r="BX715" s="297">
        <f t="shared" si="228"/>
        <v>0.25</v>
      </c>
      <c r="BY715">
        <f t="shared" si="229"/>
        <v>0</v>
      </c>
      <c r="BZ715" s="303">
        <f t="shared" si="230"/>
        <v>0</v>
      </c>
      <c r="CB715" s="298">
        <v>0.6</v>
      </c>
      <c r="CC715" s="298">
        <v>0.4</v>
      </c>
      <c r="CD715">
        <f t="shared" si="231"/>
        <v>0</v>
      </c>
      <c r="CE715">
        <f t="shared" si="232"/>
        <v>0</v>
      </c>
      <c r="CF715">
        <f t="shared" si="233"/>
        <v>0</v>
      </c>
      <c r="CG715">
        <f t="shared" si="234"/>
        <v>0</v>
      </c>
      <c r="CH715">
        <f t="shared" si="235"/>
        <v>0</v>
      </c>
      <c r="CI715">
        <f t="shared" si="236"/>
        <v>0</v>
      </c>
      <c r="CJ715">
        <f t="shared" si="237"/>
        <v>0</v>
      </c>
      <c r="CK715">
        <f t="shared" si="238"/>
        <v>0</v>
      </c>
      <c r="CL715">
        <f t="shared" si="239"/>
        <v>0</v>
      </c>
      <c r="CM715">
        <f t="shared" si="241"/>
        <v>0</v>
      </c>
      <c r="CN715">
        <f t="shared" si="240"/>
        <v>0</v>
      </c>
      <c r="CO715">
        <f t="shared" si="224"/>
        <v>0</v>
      </c>
    </row>
    <row r="716" spans="1:93" s="12" customFormat="1" hidden="1" x14ac:dyDescent="0.25">
      <c r="A716" s="4">
        <v>2021</v>
      </c>
      <c r="B716" s="315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426</v>
      </c>
      <c r="H716" s="5" t="s">
        <v>427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428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+VLOOKUP(G716,Liste!$A$7:$G$69,3,FALSE)</f>
        <v>Hêtre commun</v>
      </c>
      <c r="BI716" s="96" t="str">
        <f>+VLOOKUP(H716,Liste!$B$7:$G$69,5,FALSE)</f>
        <v>GS Hêtraies et hêtraies sapinières des Pyrénées</v>
      </c>
      <c r="BJ716" s="135">
        <f t="shared" si="223"/>
        <v>114</v>
      </c>
      <c r="BK716" s="135" t="str">
        <f t="shared" si="225"/>
        <v>Hêtre commun_F1_Entree 19-20m_GS Hêtraies et hêtraies sapinières des Pyrénées_114_</v>
      </c>
      <c r="BL716" s="319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97" t="str">
        <f>+VLOOKUP(G716,Liste!$A$7:$H$69,8,FALSE)</f>
        <v>Feuillus</v>
      </c>
      <c r="BU716" s="297">
        <f t="shared" si="226"/>
        <v>1</v>
      </c>
      <c r="BV716" s="299">
        <f t="shared" si="227"/>
        <v>0</v>
      </c>
      <c r="BW716" s="318">
        <v>0</v>
      </c>
      <c r="BX716" s="297">
        <f t="shared" si="228"/>
        <v>0.25</v>
      </c>
      <c r="BY716">
        <f t="shared" si="229"/>
        <v>0</v>
      </c>
      <c r="BZ716" s="303">
        <f t="shared" si="230"/>
        <v>0</v>
      </c>
      <c r="CB716" s="298">
        <v>0.6</v>
      </c>
      <c r="CC716" s="298">
        <v>0.4</v>
      </c>
      <c r="CD716">
        <f t="shared" si="231"/>
        <v>0</v>
      </c>
      <c r="CE716">
        <f t="shared" si="232"/>
        <v>0</v>
      </c>
      <c r="CF716">
        <f t="shared" si="233"/>
        <v>0</v>
      </c>
      <c r="CG716">
        <f t="shared" si="234"/>
        <v>0</v>
      </c>
      <c r="CH716">
        <f t="shared" si="235"/>
        <v>0</v>
      </c>
      <c r="CI716">
        <f t="shared" si="236"/>
        <v>0</v>
      </c>
      <c r="CJ716">
        <f t="shared" si="237"/>
        <v>0</v>
      </c>
      <c r="CK716">
        <f t="shared" si="238"/>
        <v>0</v>
      </c>
      <c r="CL716">
        <f t="shared" si="239"/>
        <v>0</v>
      </c>
      <c r="CM716">
        <f t="shared" si="241"/>
        <v>0</v>
      </c>
      <c r="CN716">
        <f t="shared" si="240"/>
        <v>0</v>
      </c>
      <c r="CO716">
        <f t="shared" si="224"/>
        <v>0</v>
      </c>
    </row>
    <row r="717" spans="1:93" s="12" customFormat="1" hidden="1" x14ac:dyDescent="0.25">
      <c r="A717" s="4">
        <v>2021</v>
      </c>
      <c r="B717" s="315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426</v>
      </c>
      <c r="H717" s="5" t="s">
        <v>427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428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+VLOOKUP(G717,Liste!$A$7:$G$69,3,FALSE)</f>
        <v>Hêtre commun</v>
      </c>
      <c r="BI717" s="96" t="str">
        <f>+VLOOKUP(H717,Liste!$B$7:$G$69,5,FALSE)</f>
        <v>GS Hêtraies et hêtraies sapinières des Pyrénées</v>
      </c>
      <c r="BJ717" s="135">
        <f t="shared" si="223"/>
        <v>116</v>
      </c>
      <c r="BK717" s="135" t="str">
        <f t="shared" si="225"/>
        <v>Hêtre commun_F1_Entree 19-20m_GS Hêtraies et hêtraies sapinières des Pyrénées_116_</v>
      </c>
      <c r="BL717" s="319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97" t="str">
        <f>+VLOOKUP(G717,Liste!$A$7:$H$69,8,FALSE)</f>
        <v>Feuillus</v>
      </c>
      <c r="BU717" s="297">
        <f t="shared" si="226"/>
        <v>1</v>
      </c>
      <c r="BV717" s="299">
        <f t="shared" si="227"/>
        <v>0</v>
      </c>
      <c r="BW717" s="318">
        <v>0</v>
      </c>
      <c r="BX717" s="297">
        <f t="shared" si="228"/>
        <v>0.25</v>
      </c>
      <c r="BY717">
        <f t="shared" si="229"/>
        <v>0</v>
      </c>
      <c r="BZ717" s="303">
        <f t="shared" si="230"/>
        <v>0</v>
      </c>
      <c r="CB717" s="298">
        <v>0.6</v>
      </c>
      <c r="CC717" s="298">
        <v>0.4</v>
      </c>
      <c r="CD717">
        <f t="shared" si="231"/>
        <v>0</v>
      </c>
      <c r="CE717">
        <f t="shared" si="232"/>
        <v>0</v>
      </c>
      <c r="CF717">
        <f t="shared" si="233"/>
        <v>0</v>
      </c>
      <c r="CG717">
        <f t="shared" si="234"/>
        <v>0</v>
      </c>
      <c r="CH717">
        <f t="shared" si="235"/>
        <v>0</v>
      </c>
      <c r="CI717">
        <f t="shared" si="236"/>
        <v>0</v>
      </c>
      <c r="CJ717">
        <f t="shared" si="237"/>
        <v>0</v>
      </c>
      <c r="CK717">
        <f t="shared" si="238"/>
        <v>0</v>
      </c>
      <c r="CL717">
        <f t="shared" si="239"/>
        <v>0</v>
      </c>
      <c r="CM717">
        <f t="shared" si="241"/>
        <v>0</v>
      </c>
      <c r="CN717">
        <f t="shared" si="240"/>
        <v>0</v>
      </c>
      <c r="CO717">
        <f t="shared" si="224"/>
        <v>0</v>
      </c>
    </row>
    <row r="718" spans="1:93" s="12" customFormat="1" hidden="1" x14ac:dyDescent="0.25">
      <c r="A718" s="4">
        <v>2021</v>
      </c>
      <c r="B718" s="315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426</v>
      </c>
      <c r="H718" s="5" t="s">
        <v>427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428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+VLOOKUP(G718,Liste!$A$7:$G$69,3,FALSE)</f>
        <v>Hêtre commun</v>
      </c>
      <c r="BI718" s="96" t="str">
        <f>+VLOOKUP(H718,Liste!$B$7:$G$69,5,FALSE)</f>
        <v>GS Hêtraies et hêtraies sapinières des Pyrénées</v>
      </c>
      <c r="BJ718" s="135">
        <f t="shared" si="223"/>
        <v>116</v>
      </c>
      <c r="BK718" s="135" t="str">
        <f t="shared" si="225"/>
        <v>Hêtre commun_F1_Entree 19-20m_GS Hêtraies et hêtraies sapinières des Pyrénées_116_</v>
      </c>
      <c r="BL718" s="319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97" t="str">
        <f>+VLOOKUP(G718,Liste!$A$7:$H$69,8,FALSE)</f>
        <v>Feuillus</v>
      </c>
      <c r="BU718" s="297">
        <f t="shared" si="226"/>
        <v>1</v>
      </c>
      <c r="BV718" s="299">
        <f t="shared" si="227"/>
        <v>0</v>
      </c>
      <c r="BW718" s="318">
        <v>0</v>
      </c>
      <c r="BX718" s="297">
        <f t="shared" si="228"/>
        <v>0.25</v>
      </c>
      <c r="BY718">
        <f t="shared" si="229"/>
        <v>0</v>
      </c>
      <c r="BZ718" s="303">
        <f t="shared" si="230"/>
        <v>0</v>
      </c>
      <c r="CB718" s="298">
        <v>0.6</v>
      </c>
      <c r="CC718" s="298">
        <v>0.4</v>
      </c>
      <c r="CD718">
        <f t="shared" si="231"/>
        <v>0</v>
      </c>
      <c r="CE718">
        <f t="shared" si="232"/>
        <v>0</v>
      </c>
      <c r="CF718">
        <f t="shared" si="233"/>
        <v>0</v>
      </c>
      <c r="CG718">
        <f t="shared" si="234"/>
        <v>0</v>
      </c>
      <c r="CH718">
        <f t="shared" si="235"/>
        <v>0</v>
      </c>
      <c r="CI718">
        <f t="shared" si="236"/>
        <v>0</v>
      </c>
      <c r="CJ718">
        <f t="shared" si="237"/>
        <v>0</v>
      </c>
      <c r="CK718">
        <f t="shared" si="238"/>
        <v>0</v>
      </c>
      <c r="CL718">
        <f t="shared" si="239"/>
        <v>0</v>
      </c>
      <c r="CM718">
        <f t="shared" si="241"/>
        <v>0</v>
      </c>
      <c r="CN718">
        <f t="shared" si="240"/>
        <v>0</v>
      </c>
      <c r="CO718">
        <f t="shared" si="224"/>
        <v>0</v>
      </c>
    </row>
    <row r="719" spans="1:93" s="12" customFormat="1" hidden="1" x14ac:dyDescent="0.25">
      <c r="A719" s="4">
        <v>2021</v>
      </c>
      <c r="B719" s="315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426</v>
      </c>
      <c r="H719" s="5" t="s">
        <v>427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428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+VLOOKUP(G719,Liste!$A$7:$G$69,3,FALSE)</f>
        <v>Hêtre commun</v>
      </c>
      <c r="BI719" s="96" t="str">
        <f>+VLOOKUP(H719,Liste!$B$7:$G$69,5,FALSE)</f>
        <v>GS Hêtraies et hêtraies sapinières des Pyrénées</v>
      </c>
      <c r="BJ719" s="135">
        <f t="shared" si="223"/>
        <v>119</v>
      </c>
      <c r="BK719" s="135" t="str">
        <f t="shared" si="225"/>
        <v>Hêtre commun_F1_Entree 19-20m_GS Hêtraies et hêtraies sapinières des Pyrénées_119_</v>
      </c>
      <c r="BL719" s="319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97" t="str">
        <f>+VLOOKUP(G719,Liste!$A$7:$H$69,8,FALSE)</f>
        <v>Feuillus</v>
      </c>
      <c r="BU719" s="297">
        <f t="shared" si="226"/>
        <v>1</v>
      </c>
      <c r="BV719" s="299">
        <f t="shared" si="227"/>
        <v>0</v>
      </c>
      <c r="BW719" s="318">
        <v>0</v>
      </c>
      <c r="BX719" s="297">
        <f t="shared" si="228"/>
        <v>0.25</v>
      </c>
      <c r="BY719">
        <f t="shared" si="229"/>
        <v>0</v>
      </c>
      <c r="BZ719" s="303">
        <f t="shared" si="230"/>
        <v>0</v>
      </c>
      <c r="CB719" s="298">
        <v>0.6</v>
      </c>
      <c r="CC719" s="298">
        <v>0.4</v>
      </c>
      <c r="CD719">
        <f t="shared" si="231"/>
        <v>0</v>
      </c>
      <c r="CE719">
        <f t="shared" si="232"/>
        <v>0</v>
      </c>
      <c r="CF719">
        <f t="shared" si="233"/>
        <v>0</v>
      </c>
      <c r="CG719">
        <f t="shared" si="234"/>
        <v>0</v>
      </c>
      <c r="CH719">
        <f t="shared" si="235"/>
        <v>0</v>
      </c>
      <c r="CI719">
        <f t="shared" si="236"/>
        <v>0</v>
      </c>
      <c r="CJ719">
        <f t="shared" si="237"/>
        <v>0</v>
      </c>
      <c r="CK719">
        <f t="shared" si="238"/>
        <v>0</v>
      </c>
      <c r="CL719">
        <f t="shared" si="239"/>
        <v>0</v>
      </c>
      <c r="CM719">
        <f t="shared" si="241"/>
        <v>0</v>
      </c>
      <c r="CN719">
        <f t="shared" si="240"/>
        <v>0</v>
      </c>
      <c r="CO719">
        <f t="shared" si="224"/>
        <v>0</v>
      </c>
    </row>
    <row r="720" spans="1:93" s="12" customFormat="1" hidden="1" x14ac:dyDescent="0.25">
      <c r="A720" s="4">
        <v>2021</v>
      </c>
      <c r="B720" s="315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426</v>
      </c>
      <c r="H720" s="5" t="s">
        <v>427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428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+VLOOKUP(G720,Liste!$A$7:$G$69,3,FALSE)</f>
        <v>Hêtre commun</v>
      </c>
      <c r="BI720" s="96" t="str">
        <f>+VLOOKUP(H720,Liste!$B$7:$G$69,5,FALSE)</f>
        <v>GS Hêtraies et hêtraies sapinières des Pyrénées</v>
      </c>
      <c r="BJ720" s="135">
        <f t="shared" si="223"/>
        <v>121</v>
      </c>
      <c r="BK720" s="135" t="str">
        <f t="shared" si="225"/>
        <v>Hêtre commun_F1_Entree 19-20m_GS Hêtraies et hêtraies sapinières des Pyrénées_121_</v>
      </c>
      <c r="BL720" s="319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97" t="str">
        <f>+VLOOKUP(G720,Liste!$A$7:$H$69,8,FALSE)</f>
        <v>Feuillus</v>
      </c>
      <c r="BU720" s="297">
        <f t="shared" si="226"/>
        <v>1</v>
      </c>
      <c r="BV720" s="299">
        <f t="shared" si="227"/>
        <v>0</v>
      </c>
      <c r="BW720" s="318">
        <v>0</v>
      </c>
      <c r="BX720" s="297">
        <f t="shared" si="228"/>
        <v>0.25</v>
      </c>
      <c r="BY720">
        <f t="shared" si="229"/>
        <v>0</v>
      </c>
      <c r="BZ720" s="303">
        <f t="shared" si="230"/>
        <v>0</v>
      </c>
      <c r="CB720" s="298">
        <v>0.6</v>
      </c>
      <c r="CC720" s="298">
        <v>0.4</v>
      </c>
      <c r="CD720">
        <f t="shared" si="231"/>
        <v>0</v>
      </c>
      <c r="CE720">
        <f t="shared" si="232"/>
        <v>0</v>
      </c>
      <c r="CF720">
        <f t="shared" si="233"/>
        <v>0</v>
      </c>
      <c r="CG720">
        <f t="shared" si="234"/>
        <v>0</v>
      </c>
      <c r="CH720">
        <f t="shared" si="235"/>
        <v>0</v>
      </c>
      <c r="CI720">
        <f t="shared" si="236"/>
        <v>0</v>
      </c>
      <c r="CJ720">
        <f t="shared" si="237"/>
        <v>0</v>
      </c>
      <c r="CK720">
        <f t="shared" si="238"/>
        <v>0</v>
      </c>
      <c r="CL720">
        <f t="shared" si="239"/>
        <v>0</v>
      </c>
      <c r="CM720">
        <f t="shared" si="241"/>
        <v>0</v>
      </c>
      <c r="CN720">
        <f t="shared" si="240"/>
        <v>0</v>
      </c>
      <c r="CO720">
        <f t="shared" si="224"/>
        <v>0</v>
      </c>
    </row>
    <row r="721" spans="1:93" s="12" customFormat="1" hidden="1" x14ac:dyDescent="0.25">
      <c r="A721" s="4">
        <v>2021</v>
      </c>
      <c r="B721" s="315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426</v>
      </c>
      <c r="H721" s="5" t="s">
        <v>427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428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+VLOOKUP(G721,Liste!$A$7:$G$69,3,FALSE)</f>
        <v>Hêtre commun</v>
      </c>
      <c r="BI721" s="96" t="str">
        <f>+VLOOKUP(H721,Liste!$B$7:$G$69,5,FALSE)</f>
        <v>GS Hêtraies et hêtraies sapinières des Pyrénées</v>
      </c>
      <c r="BJ721" s="135">
        <f t="shared" si="223"/>
        <v>121</v>
      </c>
      <c r="BK721" s="135" t="str">
        <f t="shared" si="225"/>
        <v>Hêtre commun_F1_Entree 19-20m_GS Hêtraies et hêtraies sapinières des Pyrénées_121_</v>
      </c>
      <c r="BL721" s="319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97" t="str">
        <f>+VLOOKUP(G721,Liste!$A$7:$H$69,8,FALSE)</f>
        <v>Feuillus</v>
      </c>
      <c r="BU721" s="297">
        <f t="shared" si="226"/>
        <v>1</v>
      </c>
      <c r="BV721" s="299">
        <f t="shared" si="227"/>
        <v>0</v>
      </c>
      <c r="BW721" s="318">
        <v>0</v>
      </c>
      <c r="BX721" s="297">
        <f t="shared" si="228"/>
        <v>0.25</v>
      </c>
      <c r="BY721">
        <f t="shared" si="229"/>
        <v>0</v>
      </c>
      <c r="BZ721" s="303">
        <f t="shared" si="230"/>
        <v>0</v>
      </c>
      <c r="CB721" s="298">
        <v>0.6</v>
      </c>
      <c r="CC721" s="298">
        <v>0.4</v>
      </c>
      <c r="CD721">
        <f t="shared" si="231"/>
        <v>0</v>
      </c>
      <c r="CE721">
        <f t="shared" si="232"/>
        <v>0</v>
      </c>
      <c r="CF721">
        <f t="shared" si="233"/>
        <v>0</v>
      </c>
      <c r="CG721">
        <f t="shared" si="234"/>
        <v>0</v>
      </c>
      <c r="CH721">
        <f t="shared" si="235"/>
        <v>0</v>
      </c>
      <c r="CI721">
        <f t="shared" si="236"/>
        <v>0</v>
      </c>
      <c r="CJ721">
        <f t="shared" si="237"/>
        <v>0</v>
      </c>
      <c r="CK721">
        <f t="shared" si="238"/>
        <v>0</v>
      </c>
      <c r="CL721">
        <f t="shared" si="239"/>
        <v>0</v>
      </c>
      <c r="CM721">
        <f t="shared" si="241"/>
        <v>0</v>
      </c>
      <c r="CN721">
        <f t="shared" si="240"/>
        <v>0</v>
      </c>
      <c r="CO721">
        <f t="shared" si="224"/>
        <v>0</v>
      </c>
    </row>
    <row r="722" spans="1:93" s="12" customFormat="1" hidden="1" x14ac:dyDescent="0.25">
      <c r="A722" s="4">
        <v>2021</v>
      </c>
      <c r="B722" s="315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426</v>
      </c>
      <c r="H722" s="5" t="s">
        <v>427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428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+VLOOKUP(G722,Liste!$A$7:$G$69,3,FALSE)</f>
        <v>Hêtre commun</v>
      </c>
      <c r="BI722" s="96" t="str">
        <f>+VLOOKUP(H722,Liste!$B$7:$G$69,5,FALSE)</f>
        <v>GS Hêtraies et hêtraies sapinières des Pyrénées</v>
      </c>
      <c r="BJ722" s="135">
        <f t="shared" si="223"/>
        <v>125</v>
      </c>
      <c r="BK722" s="135" t="str">
        <f t="shared" si="225"/>
        <v>Hêtre commun_F1_Entree 19-20m_GS Hêtraies et hêtraies sapinières des Pyrénées_125_</v>
      </c>
      <c r="BL722" s="319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97" t="str">
        <f>+VLOOKUP(G722,Liste!$A$7:$H$69,8,FALSE)</f>
        <v>Feuillus</v>
      </c>
      <c r="BU722" s="297">
        <f t="shared" si="226"/>
        <v>1</v>
      </c>
      <c r="BV722" s="299">
        <f t="shared" si="227"/>
        <v>0</v>
      </c>
      <c r="BW722" s="318">
        <v>0</v>
      </c>
      <c r="BX722" s="297">
        <f t="shared" si="228"/>
        <v>0.25</v>
      </c>
      <c r="BY722">
        <f t="shared" si="229"/>
        <v>0</v>
      </c>
      <c r="BZ722" s="303">
        <f t="shared" si="230"/>
        <v>0</v>
      </c>
      <c r="CB722" s="298">
        <v>0.6</v>
      </c>
      <c r="CC722" s="298">
        <v>0.4</v>
      </c>
      <c r="CD722">
        <f t="shared" si="231"/>
        <v>0</v>
      </c>
      <c r="CE722">
        <f t="shared" si="232"/>
        <v>0</v>
      </c>
      <c r="CF722">
        <f t="shared" si="233"/>
        <v>0</v>
      </c>
      <c r="CG722">
        <f t="shared" si="234"/>
        <v>0</v>
      </c>
      <c r="CH722">
        <f t="shared" si="235"/>
        <v>0</v>
      </c>
      <c r="CI722">
        <f t="shared" si="236"/>
        <v>0</v>
      </c>
      <c r="CJ722">
        <f t="shared" si="237"/>
        <v>0</v>
      </c>
      <c r="CK722">
        <f t="shared" si="238"/>
        <v>0</v>
      </c>
      <c r="CL722">
        <f t="shared" si="239"/>
        <v>0</v>
      </c>
      <c r="CM722">
        <f t="shared" si="241"/>
        <v>0</v>
      </c>
      <c r="CN722">
        <f t="shared" si="240"/>
        <v>0</v>
      </c>
      <c r="CO722">
        <f t="shared" si="224"/>
        <v>0</v>
      </c>
    </row>
    <row r="723" spans="1:93" s="12" customFormat="1" hidden="1" x14ac:dyDescent="0.25">
      <c r="A723" s="4">
        <v>2021</v>
      </c>
      <c r="B723" s="315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426</v>
      </c>
      <c r="H723" s="5" t="s">
        <v>427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428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+VLOOKUP(G723,Liste!$A$7:$G$69,3,FALSE)</f>
        <v>Hêtre commun</v>
      </c>
      <c r="BI723" s="96" t="str">
        <f>+VLOOKUP(H723,Liste!$B$7:$G$69,5,FALSE)</f>
        <v>GS Hêtraies et hêtraies sapinières des Pyrénées</v>
      </c>
      <c r="BJ723" s="135">
        <f t="shared" si="223"/>
        <v>125</v>
      </c>
      <c r="BK723" s="135" t="str">
        <f t="shared" si="225"/>
        <v>Hêtre commun_F1_Entree 19-20m_GS Hêtraies et hêtraies sapinières des Pyrénées_125_</v>
      </c>
      <c r="BL723" s="319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97" t="str">
        <f>+VLOOKUP(G723,Liste!$A$7:$H$69,8,FALSE)</f>
        <v>Feuillus</v>
      </c>
      <c r="BU723" s="297">
        <f t="shared" si="226"/>
        <v>1</v>
      </c>
      <c r="BV723" s="299">
        <f t="shared" si="227"/>
        <v>0</v>
      </c>
      <c r="BW723" s="318">
        <v>0</v>
      </c>
      <c r="BX723" s="297">
        <f t="shared" si="228"/>
        <v>0.25</v>
      </c>
      <c r="BY723">
        <f t="shared" si="229"/>
        <v>0</v>
      </c>
      <c r="BZ723" s="303">
        <f t="shared" si="230"/>
        <v>0</v>
      </c>
      <c r="CB723" s="298">
        <v>0.6</v>
      </c>
      <c r="CC723" s="298">
        <v>0.4</v>
      </c>
      <c r="CD723">
        <f t="shared" si="231"/>
        <v>0</v>
      </c>
      <c r="CE723">
        <f t="shared" si="232"/>
        <v>0</v>
      </c>
      <c r="CF723">
        <f t="shared" si="233"/>
        <v>0</v>
      </c>
      <c r="CG723">
        <f t="shared" si="234"/>
        <v>0</v>
      </c>
      <c r="CH723">
        <f t="shared" si="235"/>
        <v>0</v>
      </c>
      <c r="CI723">
        <f t="shared" si="236"/>
        <v>0</v>
      </c>
      <c r="CJ723">
        <f t="shared" si="237"/>
        <v>0</v>
      </c>
      <c r="CK723">
        <f t="shared" si="238"/>
        <v>0</v>
      </c>
      <c r="CL723">
        <f t="shared" si="239"/>
        <v>0</v>
      </c>
      <c r="CM723">
        <f t="shared" si="241"/>
        <v>0</v>
      </c>
      <c r="CN723">
        <f t="shared" si="240"/>
        <v>0</v>
      </c>
      <c r="CO723">
        <f t="shared" si="224"/>
        <v>0</v>
      </c>
    </row>
    <row r="724" spans="1:93" s="12" customFormat="1" hidden="1" x14ac:dyDescent="0.25">
      <c r="A724" s="4">
        <v>2013</v>
      </c>
      <c r="B724" s="315">
        <v>44265</v>
      </c>
      <c r="C724" s="4" t="s">
        <v>429</v>
      </c>
      <c r="D724" s="4" t="s">
        <v>430</v>
      </c>
      <c r="E724" s="4"/>
      <c r="F724" s="4" t="s">
        <v>1491</v>
      </c>
      <c r="G724" s="5" t="s">
        <v>431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+VLOOKUP(G724,Liste!$A$7:$G$69,3,FALSE)</f>
        <v>Sapin pectiné</v>
      </c>
      <c r="BI724" s="96" t="str">
        <f>+VLOOKUP(H724,Liste!$B$7:$G$69,5,FALSE)</f>
        <v>GS Arc Jurassien</v>
      </c>
      <c r="BJ724" s="135">
        <f t="shared" si="223"/>
        <v>30</v>
      </c>
      <c r="BK724" s="135" t="str">
        <f t="shared" si="225"/>
        <v>Sapin pectiné_F2_Cas général_GS Arc Jurassien_30_</v>
      </c>
      <c r="BL724" s="319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97" t="str">
        <f>+VLOOKUP(G724,Liste!$A$7:$H$69,8,FALSE)</f>
        <v>Résineux</v>
      </c>
      <c r="BU724" s="297">
        <f t="shared" si="226"/>
        <v>0</v>
      </c>
      <c r="BV724" s="299">
        <f t="shared" si="227"/>
        <v>1</v>
      </c>
      <c r="BW724" s="318">
        <v>0</v>
      </c>
      <c r="BX724" s="297">
        <f t="shared" si="228"/>
        <v>0.43</v>
      </c>
      <c r="BY724">
        <f t="shared" si="229"/>
        <v>0</v>
      </c>
      <c r="BZ724" s="303">
        <f t="shared" si="230"/>
        <v>0</v>
      </c>
      <c r="CB724" s="298">
        <v>0.6</v>
      </c>
      <c r="CC724" s="298">
        <v>0.4</v>
      </c>
      <c r="CD724">
        <f t="shared" si="231"/>
        <v>0</v>
      </c>
      <c r="CE724">
        <f t="shared" si="232"/>
        <v>0</v>
      </c>
      <c r="CF724">
        <f t="shared" si="233"/>
        <v>0</v>
      </c>
      <c r="CG724">
        <f t="shared" si="234"/>
        <v>0</v>
      </c>
      <c r="CH724">
        <f t="shared" si="235"/>
        <v>0</v>
      </c>
      <c r="CI724">
        <f t="shared" si="236"/>
        <v>0</v>
      </c>
      <c r="CJ724">
        <f t="shared" si="237"/>
        <v>0</v>
      </c>
      <c r="CK724">
        <f t="shared" si="238"/>
        <v>0</v>
      </c>
      <c r="CL724">
        <f t="shared" si="239"/>
        <v>0</v>
      </c>
      <c r="CM724">
        <f t="shared" si="241"/>
        <v>0</v>
      </c>
      <c r="CN724">
        <f t="shared" si="240"/>
        <v>0</v>
      </c>
      <c r="CO724">
        <f t="shared" si="224"/>
        <v>0</v>
      </c>
    </row>
    <row r="725" spans="1:93" s="12" customFormat="1" hidden="1" x14ac:dyDescent="0.25">
      <c r="A725" s="4">
        <v>2013</v>
      </c>
      <c r="B725" s="315">
        <v>44265</v>
      </c>
      <c r="C725" s="4" t="s">
        <v>429</v>
      </c>
      <c r="D725" s="4" t="s">
        <v>430</v>
      </c>
      <c r="E725" s="4"/>
      <c r="F725" s="4" t="s">
        <v>1491</v>
      </c>
      <c r="G725" s="5" t="s">
        <v>431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+VLOOKUP(G725,Liste!$A$7:$G$69,3,FALSE)</f>
        <v>Sapin pectiné</v>
      </c>
      <c r="BI725" s="96" t="str">
        <f>+VLOOKUP(H725,Liste!$B$7:$G$69,5,FALSE)</f>
        <v>GS Arc Jurassien</v>
      </c>
      <c r="BJ725" s="135">
        <f t="shared" si="223"/>
        <v>57</v>
      </c>
      <c r="BK725" s="135" t="str">
        <f t="shared" si="225"/>
        <v>Sapin pectiné_F2_Cas général_GS Arc Jurassien_57_</v>
      </c>
      <c r="BL725" s="319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97" t="str">
        <f>+VLOOKUP(G725,Liste!$A$7:$H$69,8,FALSE)</f>
        <v>Résineux</v>
      </c>
      <c r="BU725" s="297">
        <f t="shared" si="226"/>
        <v>0</v>
      </c>
      <c r="BV725" s="299">
        <f t="shared" si="227"/>
        <v>1</v>
      </c>
      <c r="BW725" s="318">
        <v>0</v>
      </c>
      <c r="BX725" s="297">
        <f t="shared" si="228"/>
        <v>0.43</v>
      </c>
      <c r="BY725">
        <f t="shared" si="229"/>
        <v>0</v>
      </c>
      <c r="BZ725" s="303">
        <f t="shared" si="230"/>
        <v>0</v>
      </c>
      <c r="CB725" s="298">
        <v>0.6</v>
      </c>
      <c r="CC725" s="298">
        <v>0.4</v>
      </c>
      <c r="CD725">
        <f t="shared" si="231"/>
        <v>0</v>
      </c>
      <c r="CE725">
        <f t="shared" si="232"/>
        <v>0</v>
      </c>
      <c r="CF725">
        <f t="shared" si="233"/>
        <v>0</v>
      </c>
      <c r="CG725">
        <f t="shared" si="234"/>
        <v>0</v>
      </c>
      <c r="CH725">
        <f t="shared" si="235"/>
        <v>0</v>
      </c>
      <c r="CI725">
        <f t="shared" si="236"/>
        <v>0</v>
      </c>
      <c r="CJ725">
        <f t="shared" si="237"/>
        <v>0</v>
      </c>
      <c r="CK725">
        <f t="shared" si="238"/>
        <v>0</v>
      </c>
      <c r="CL725">
        <f t="shared" si="239"/>
        <v>0</v>
      </c>
      <c r="CM725">
        <f t="shared" si="241"/>
        <v>0</v>
      </c>
      <c r="CN725">
        <f t="shared" si="240"/>
        <v>0</v>
      </c>
      <c r="CO725">
        <f t="shared" si="224"/>
        <v>0</v>
      </c>
    </row>
    <row r="726" spans="1:93" s="12" customFormat="1" hidden="1" x14ac:dyDescent="0.25">
      <c r="A726" s="4">
        <v>2013</v>
      </c>
      <c r="B726" s="315">
        <v>44265</v>
      </c>
      <c r="C726" s="4" t="s">
        <v>429</v>
      </c>
      <c r="D726" s="4" t="s">
        <v>430</v>
      </c>
      <c r="E726" s="4"/>
      <c r="F726" s="4" t="s">
        <v>1491</v>
      </c>
      <c r="G726" s="5" t="s">
        <v>431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+VLOOKUP(G726,Liste!$A$7:$G$69,3,FALSE)</f>
        <v>Sapin pectiné</v>
      </c>
      <c r="BI726" s="96" t="str">
        <f>+VLOOKUP(H726,Liste!$B$7:$G$69,5,FALSE)</f>
        <v>GS Arc Jurassien</v>
      </c>
      <c r="BJ726" s="135">
        <f t="shared" si="223"/>
        <v>57</v>
      </c>
      <c r="BK726" s="135" t="str">
        <f t="shared" si="225"/>
        <v>Sapin pectiné_F2_Cas général_GS Arc Jurassien_57_</v>
      </c>
      <c r="BL726" s="319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97" t="str">
        <f>+VLOOKUP(G726,Liste!$A$7:$H$69,8,FALSE)</f>
        <v>Résineux</v>
      </c>
      <c r="BU726" s="297">
        <f t="shared" si="226"/>
        <v>0</v>
      </c>
      <c r="BV726" s="299">
        <f t="shared" si="227"/>
        <v>1</v>
      </c>
      <c r="BW726" s="318">
        <v>0</v>
      </c>
      <c r="BX726" s="297">
        <f t="shared" si="228"/>
        <v>0.43</v>
      </c>
      <c r="BY726">
        <f t="shared" si="229"/>
        <v>0</v>
      </c>
      <c r="BZ726" s="303">
        <f t="shared" si="230"/>
        <v>0</v>
      </c>
      <c r="CB726" s="298">
        <v>0.6</v>
      </c>
      <c r="CC726" s="298">
        <v>0.4</v>
      </c>
      <c r="CD726">
        <f t="shared" si="231"/>
        <v>0</v>
      </c>
      <c r="CE726">
        <f t="shared" si="232"/>
        <v>0</v>
      </c>
      <c r="CF726">
        <f t="shared" si="233"/>
        <v>0</v>
      </c>
      <c r="CG726">
        <f t="shared" si="234"/>
        <v>0</v>
      </c>
      <c r="CH726">
        <f t="shared" si="235"/>
        <v>0</v>
      </c>
      <c r="CI726">
        <f t="shared" si="236"/>
        <v>0</v>
      </c>
      <c r="CJ726">
        <f t="shared" si="237"/>
        <v>0</v>
      </c>
      <c r="CK726">
        <f t="shared" si="238"/>
        <v>0</v>
      </c>
      <c r="CL726">
        <f t="shared" si="239"/>
        <v>0</v>
      </c>
      <c r="CM726">
        <f t="shared" si="241"/>
        <v>0</v>
      </c>
      <c r="CN726">
        <f t="shared" si="240"/>
        <v>0</v>
      </c>
      <c r="CO726">
        <f t="shared" si="224"/>
        <v>0</v>
      </c>
    </row>
    <row r="727" spans="1:93" s="12" customFormat="1" hidden="1" x14ac:dyDescent="0.25">
      <c r="A727" s="4">
        <v>2013</v>
      </c>
      <c r="B727" s="315">
        <v>44265</v>
      </c>
      <c r="C727" s="4" t="s">
        <v>429</v>
      </c>
      <c r="D727" s="4" t="s">
        <v>430</v>
      </c>
      <c r="E727" s="4"/>
      <c r="F727" s="4" t="s">
        <v>1491</v>
      </c>
      <c r="G727" s="5" t="s">
        <v>431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+VLOOKUP(G727,Liste!$A$7:$G$69,3,FALSE)</f>
        <v>Sapin pectiné</v>
      </c>
      <c r="BI727" s="96" t="str">
        <f>+VLOOKUP(H727,Liste!$B$7:$G$69,5,FALSE)</f>
        <v>GS Arc Jurassien</v>
      </c>
      <c r="BJ727" s="135">
        <f t="shared" si="223"/>
        <v>58</v>
      </c>
      <c r="BK727" s="135" t="str">
        <f t="shared" si="225"/>
        <v>Sapin pectiné_F2_Cas général_GS Arc Jurassien_58_</v>
      </c>
      <c r="BL727" s="319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97" t="str">
        <f>+VLOOKUP(G727,Liste!$A$7:$H$69,8,FALSE)</f>
        <v>Résineux</v>
      </c>
      <c r="BU727" s="297">
        <f t="shared" si="226"/>
        <v>0</v>
      </c>
      <c r="BV727" s="299">
        <f t="shared" si="227"/>
        <v>1</v>
      </c>
      <c r="BW727" s="318">
        <v>0</v>
      </c>
      <c r="BX727" s="297">
        <f t="shared" si="228"/>
        <v>0.43</v>
      </c>
      <c r="BY727">
        <f t="shared" si="229"/>
        <v>0</v>
      </c>
      <c r="BZ727" s="303">
        <f t="shared" si="230"/>
        <v>0</v>
      </c>
      <c r="CB727" s="298">
        <v>0.6</v>
      </c>
      <c r="CC727" s="298">
        <v>0.4</v>
      </c>
      <c r="CD727">
        <f t="shared" si="231"/>
        <v>0</v>
      </c>
      <c r="CE727">
        <f t="shared" si="232"/>
        <v>0</v>
      </c>
      <c r="CF727">
        <f t="shared" si="233"/>
        <v>0</v>
      </c>
      <c r="CG727">
        <f t="shared" si="234"/>
        <v>0</v>
      </c>
      <c r="CH727">
        <f t="shared" si="235"/>
        <v>0</v>
      </c>
      <c r="CI727">
        <f t="shared" si="236"/>
        <v>0</v>
      </c>
      <c r="CJ727">
        <f t="shared" si="237"/>
        <v>0</v>
      </c>
      <c r="CK727">
        <f t="shared" si="238"/>
        <v>0</v>
      </c>
      <c r="CL727">
        <f t="shared" si="239"/>
        <v>0</v>
      </c>
      <c r="CM727">
        <f t="shared" si="241"/>
        <v>0</v>
      </c>
      <c r="CN727">
        <f t="shared" si="240"/>
        <v>0</v>
      </c>
      <c r="CO727">
        <f t="shared" si="224"/>
        <v>0</v>
      </c>
    </row>
    <row r="728" spans="1:93" s="12" customFormat="1" hidden="1" x14ac:dyDescent="0.25">
      <c r="A728" s="4">
        <v>2013</v>
      </c>
      <c r="B728" s="315">
        <v>44265</v>
      </c>
      <c r="C728" s="4" t="s">
        <v>429</v>
      </c>
      <c r="D728" s="4" t="s">
        <v>430</v>
      </c>
      <c r="E728" s="4"/>
      <c r="F728" s="4" t="s">
        <v>1491</v>
      </c>
      <c r="G728" s="5" t="s">
        <v>431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+VLOOKUP(G728,Liste!$A$7:$G$69,3,FALSE)</f>
        <v>Sapin pectiné</v>
      </c>
      <c r="BI728" s="96" t="str">
        <f>+VLOOKUP(H728,Liste!$B$7:$G$69,5,FALSE)</f>
        <v>GS Arc Jurassien</v>
      </c>
      <c r="BJ728" s="135">
        <f t="shared" si="223"/>
        <v>59</v>
      </c>
      <c r="BK728" s="135" t="str">
        <f t="shared" si="225"/>
        <v>Sapin pectiné_F2_Cas général_GS Arc Jurassien_59_</v>
      </c>
      <c r="BL728" s="319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97" t="str">
        <f>+VLOOKUP(G728,Liste!$A$7:$H$69,8,FALSE)</f>
        <v>Résineux</v>
      </c>
      <c r="BU728" s="297">
        <f t="shared" si="226"/>
        <v>0</v>
      </c>
      <c r="BV728" s="299">
        <f t="shared" si="227"/>
        <v>1</v>
      </c>
      <c r="BW728" s="318">
        <v>0</v>
      </c>
      <c r="BX728" s="297">
        <f t="shared" si="228"/>
        <v>0.43</v>
      </c>
      <c r="BY728">
        <f t="shared" si="229"/>
        <v>0</v>
      </c>
      <c r="BZ728" s="303">
        <f t="shared" si="230"/>
        <v>0</v>
      </c>
      <c r="CB728" s="298">
        <v>0.6</v>
      </c>
      <c r="CC728" s="298">
        <v>0.4</v>
      </c>
      <c r="CD728">
        <f t="shared" si="231"/>
        <v>0</v>
      </c>
      <c r="CE728">
        <f t="shared" si="232"/>
        <v>0</v>
      </c>
      <c r="CF728">
        <f t="shared" si="233"/>
        <v>0</v>
      </c>
      <c r="CG728">
        <f t="shared" si="234"/>
        <v>0</v>
      </c>
      <c r="CH728">
        <f t="shared" si="235"/>
        <v>0</v>
      </c>
      <c r="CI728">
        <f t="shared" si="236"/>
        <v>0</v>
      </c>
      <c r="CJ728">
        <f t="shared" si="237"/>
        <v>0</v>
      </c>
      <c r="CK728">
        <f t="shared" si="238"/>
        <v>0</v>
      </c>
      <c r="CL728">
        <f t="shared" si="239"/>
        <v>0</v>
      </c>
      <c r="CM728">
        <f t="shared" si="241"/>
        <v>0</v>
      </c>
      <c r="CN728">
        <f t="shared" si="240"/>
        <v>0</v>
      </c>
      <c r="CO728">
        <f t="shared" si="224"/>
        <v>0</v>
      </c>
    </row>
    <row r="729" spans="1:93" s="12" customFormat="1" hidden="1" x14ac:dyDescent="0.25">
      <c r="A729" s="4">
        <v>2013</v>
      </c>
      <c r="B729" s="315">
        <v>44265</v>
      </c>
      <c r="C729" s="4" t="s">
        <v>429</v>
      </c>
      <c r="D729" s="4" t="s">
        <v>430</v>
      </c>
      <c r="E729" s="4"/>
      <c r="F729" s="4" t="s">
        <v>1491</v>
      </c>
      <c r="G729" s="5" t="s">
        <v>431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+VLOOKUP(G729,Liste!$A$7:$G$69,3,FALSE)</f>
        <v>Sapin pectiné</v>
      </c>
      <c r="BI729" s="96" t="str">
        <f>+VLOOKUP(H729,Liste!$B$7:$G$69,5,FALSE)</f>
        <v>GS Arc Jurassien</v>
      </c>
      <c r="BJ729" s="135">
        <f t="shared" si="223"/>
        <v>60</v>
      </c>
      <c r="BK729" s="135" t="str">
        <f t="shared" si="225"/>
        <v>Sapin pectiné_F2_Cas général_GS Arc Jurassien_60_</v>
      </c>
      <c r="BL729" s="319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97" t="str">
        <f>+VLOOKUP(G729,Liste!$A$7:$H$69,8,FALSE)</f>
        <v>Résineux</v>
      </c>
      <c r="BU729" s="297">
        <f t="shared" si="226"/>
        <v>0</v>
      </c>
      <c r="BV729" s="299">
        <f t="shared" si="227"/>
        <v>1</v>
      </c>
      <c r="BW729" s="318">
        <v>0</v>
      </c>
      <c r="BX729" s="297">
        <f t="shared" si="228"/>
        <v>0.43</v>
      </c>
      <c r="BY729">
        <f t="shared" si="229"/>
        <v>0</v>
      </c>
      <c r="BZ729" s="303">
        <f t="shared" si="230"/>
        <v>0</v>
      </c>
      <c r="CB729" s="298">
        <v>0.6</v>
      </c>
      <c r="CC729" s="298">
        <v>0.4</v>
      </c>
      <c r="CD729">
        <f t="shared" si="231"/>
        <v>0</v>
      </c>
      <c r="CE729">
        <f t="shared" si="232"/>
        <v>0</v>
      </c>
      <c r="CF729">
        <f t="shared" si="233"/>
        <v>0</v>
      </c>
      <c r="CG729">
        <f t="shared" si="234"/>
        <v>0</v>
      </c>
      <c r="CH729">
        <f t="shared" si="235"/>
        <v>0</v>
      </c>
      <c r="CI729">
        <f t="shared" si="236"/>
        <v>0</v>
      </c>
      <c r="CJ729">
        <f t="shared" si="237"/>
        <v>0</v>
      </c>
      <c r="CK729">
        <f t="shared" si="238"/>
        <v>0</v>
      </c>
      <c r="CL729">
        <f t="shared" si="239"/>
        <v>0</v>
      </c>
      <c r="CM729">
        <f t="shared" si="241"/>
        <v>0</v>
      </c>
      <c r="CN729">
        <f t="shared" si="240"/>
        <v>0</v>
      </c>
      <c r="CO729">
        <f t="shared" si="224"/>
        <v>0</v>
      </c>
    </row>
    <row r="730" spans="1:93" s="12" customFormat="1" hidden="1" x14ac:dyDescent="0.25">
      <c r="A730" s="4">
        <v>2013</v>
      </c>
      <c r="B730" s="315">
        <v>44265</v>
      </c>
      <c r="C730" s="4" t="s">
        <v>429</v>
      </c>
      <c r="D730" s="4" t="s">
        <v>430</v>
      </c>
      <c r="E730" s="4"/>
      <c r="F730" s="4" t="s">
        <v>1491</v>
      </c>
      <c r="G730" s="5" t="s">
        <v>431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+VLOOKUP(G730,Liste!$A$7:$G$69,3,FALSE)</f>
        <v>Sapin pectiné</v>
      </c>
      <c r="BI730" s="96" t="str">
        <f>+VLOOKUP(H730,Liste!$B$7:$G$69,5,FALSE)</f>
        <v>GS Arc Jurassien</v>
      </c>
      <c r="BJ730" s="135">
        <f t="shared" si="223"/>
        <v>61</v>
      </c>
      <c r="BK730" s="135" t="str">
        <f t="shared" si="225"/>
        <v>Sapin pectiné_F2_Cas général_GS Arc Jurassien_61_</v>
      </c>
      <c r="BL730" s="319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97" t="str">
        <f>+VLOOKUP(G730,Liste!$A$7:$H$69,8,FALSE)</f>
        <v>Résineux</v>
      </c>
      <c r="BU730" s="297">
        <f t="shared" si="226"/>
        <v>0</v>
      </c>
      <c r="BV730" s="299">
        <f t="shared" si="227"/>
        <v>1</v>
      </c>
      <c r="BW730" s="318">
        <v>0</v>
      </c>
      <c r="BX730" s="297">
        <f t="shared" si="228"/>
        <v>0.43</v>
      </c>
      <c r="BY730">
        <f t="shared" si="229"/>
        <v>0</v>
      </c>
      <c r="BZ730" s="303">
        <f t="shared" si="230"/>
        <v>0</v>
      </c>
      <c r="CB730" s="298">
        <v>0.6</v>
      </c>
      <c r="CC730" s="298">
        <v>0.4</v>
      </c>
      <c r="CD730">
        <f t="shared" si="231"/>
        <v>0</v>
      </c>
      <c r="CE730">
        <f t="shared" si="232"/>
        <v>0</v>
      </c>
      <c r="CF730">
        <f t="shared" si="233"/>
        <v>0</v>
      </c>
      <c r="CG730">
        <f t="shared" si="234"/>
        <v>0</v>
      </c>
      <c r="CH730">
        <f t="shared" si="235"/>
        <v>0</v>
      </c>
      <c r="CI730">
        <f t="shared" si="236"/>
        <v>0</v>
      </c>
      <c r="CJ730">
        <f t="shared" si="237"/>
        <v>0</v>
      </c>
      <c r="CK730">
        <f t="shared" si="238"/>
        <v>0</v>
      </c>
      <c r="CL730">
        <f t="shared" si="239"/>
        <v>0</v>
      </c>
      <c r="CM730">
        <f t="shared" si="241"/>
        <v>0</v>
      </c>
      <c r="CN730">
        <f t="shared" si="240"/>
        <v>0</v>
      </c>
      <c r="CO730">
        <f t="shared" si="224"/>
        <v>0</v>
      </c>
    </row>
    <row r="731" spans="1:93" s="12" customFormat="1" hidden="1" x14ac:dyDescent="0.25">
      <c r="A731" s="4">
        <v>2013</v>
      </c>
      <c r="B731" s="315">
        <v>44265</v>
      </c>
      <c r="C731" s="4" t="s">
        <v>429</v>
      </c>
      <c r="D731" s="4" t="s">
        <v>430</v>
      </c>
      <c r="E731" s="4"/>
      <c r="F731" s="4" t="s">
        <v>1491</v>
      </c>
      <c r="G731" s="5" t="s">
        <v>431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+VLOOKUP(G731,Liste!$A$7:$G$69,3,FALSE)</f>
        <v>Sapin pectiné</v>
      </c>
      <c r="BI731" s="96" t="str">
        <f>+VLOOKUP(H731,Liste!$B$7:$G$69,5,FALSE)</f>
        <v>GS Arc Jurassien</v>
      </c>
      <c r="BJ731" s="135">
        <f t="shared" si="223"/>
        <v>62</v>
      </c>
      <c r="BK731" s="135" t="str">
        <f t="shared" si="225"/>
        <v>Sapin pectiné_F2_Cas général_GS Arc Jurassien_62_</v>
      </c>
      <c r="BL731" s="319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97" t="str">
        <f>+VLOOKUP(G731,Liste!$A$7:$H$69,8,FALSE)</f>
        <v>Résineux</v>
      </c>
      <c r="BU731" s="297">
        <f t="shared" si="226"/>
        <v>0</v>
      </c>
      <c r="BV731" s="299">
        <f t="shared" si="227"/>
        <v>1</v>
      </c>
      <c r="BW731" s="318">
        <v>0</v>
      </c>
      <c r="BX731" s="297">
        <f t="shared" si="228"/>
        <v>0.43</v>
      </c>
      <c r="BY731">
        <f t="shared" si="229"/>
        <v>0</v>
      </c>
      <c r="BZ731" s="303">
        <f t="shared" si="230"/>
        <v>0</v>
      </c>
      <c r="CB731" s="298">
        <v>0.6</v>
      </c>
      <c r="CC731" s="298">
        <v>0.4</v>
      </c>
      <c r="CD731">
        <f t="shared" si="231"/>
        <v>0</v>
      </c>
      <c r="CE731">
        <f t="shared" si="232"/>
        <v>0</v>
      </c>
      <c r="CF731">
        <f t="shared" si="233"/>
        <v>0</v>
      </c>
      <c r="CG731">
        <f t="shared" si="234"/>
        <v>0</v>
      </c>
      <c r="CH731">
        <f t="shared" si="235"/>
        <v>0</v>
      </c>
      <c r="CI731">
        <f t="shared" si="236"/>
        <v>0</v>
      </c>
      <c r="CJ731">
        <f t="shared" si="237"/>
        <v>0</v>
      </c>
      <c r="CK731">
        <f t="shared" si="238"/>
        <v>0</v>
      </c>
      <c r="CL731">
        <f t="shared" si="239"/>
        <v>0</v>
      </c>
      <c r="CM731">
        <f t="shared" si="241"/>
        <v>0</v>
      </c>
      <c r="CN731">
        <f t="shared" si="240"/>
        <v>0</v>
      </c>
      <c r="CO731">
        <f t="shared" si="224"/>
        <v>0</v>
      </c>
    </row>
    <row r="732" spans="1:93" s="12" customFormat="1" hidden="1" x14ac:dyDescent="0.25">
      <c r="A732" s="4">
        <v>2013</v>
      </c>
      <c r="B732" s="315">
        <v>44265</v>
      </c>
      <c r="C732" s="4" t="s">
        <v>429</v>
      </c>
      <c r="D732" s="4" t="s">
        <v>430</v>
      </c>
      <c r="E732" s="4"/>
      <c r="F732" s="4" t="s">
        <v>1491</v>
      </c>
      <c r="G732" s="5" t="s">
        <v>431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+VLOOKUP(G732,Liste!$A$7:$G$69,3,FALSE)</f>
        <v>Sapin pectiné</v>
      </c>
      <c r="BI732" s="96" t="str">
        <f>+VLOOKUP(H732,Liste!$B$7:$G$69,5,FALSE)</f>
        <v>GS Arc Jurassien</v>
      </c>
      <c r="BJ732" s="135">
        <f t="shared" si="223"/>
        <v>63</v>
      </c>
      <c r="BK732" s="135" t="str">
        <f t="shared" si="225"/>
        <v>Sapin pectiné_F2_Cas général_GS Arc Jurassien_63_</v>
      </c>
      <c r="BL732" s="319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97" t="str">
        <f>+VLOOKUP(G732,Liste!$A$7:$H$69,8,FALSE)</f>
        <v>Résineux</v>
      </c>
      <c r="BU732" s="297">
        <f t="shared" si="226"/>
        <v>0</v>
      </c>
      <c r="BV732" s="299">
        <f t="shared" si="227"/>
        <v>1</v>
      </c>
      <c r="BW732" s="318">
        <v>0</v>
      </c>
      <c r="BX732" s="297">
        <f t="shared" si="228"/>
        <v>0.43</v>
      </c>
      <c r="BY732">
        <f t="shared" si="229"/>
        <v>0</v>
      </c>
      <c r="BZ732" s="303">
        <f t="shared" si="230"/>
        <v>0</v>
      </c>
      <c r="CB732" s="298">
        <v>0.6</v>
      </c>
      <c r="CC732" s="298">
        <v>0.4</v>
      </c>
      <c r="CD732">
        <f t="shared" si="231"/>
        <v>0</v>
      </c>
      <c r="CE732">
        <f t="shared" si="232"/>
        <v>0</v>
      </c>
      <c r="CF732">
        <f t="shared" si="233"/>
        <v>0</v>
      </c>
      <c r="CG732">
        <f t="shared" si="234"/>
        <v>0</v>
      </c>
      <c r="CH732">
        <f t="shared" si="235"/>
        <v>0</v>
      </c>
      <c r="CI732">
        <f t="shared" si="236"/>
        <v>0</v>
      </c>
      <c r="CJ732">
        <f t="shared" si="237"/>
        <v>0</v>
      </c>
      <c r="CK732">
        <f t="shared" si="238"/>
        <v>0</v>
      </c>
      <c r="CL732">
        <f t="shared" si="239"/>
        <v>0</v>
      </c>
      <c r="CM732">
        <f t="shared" si="241"/>
        <v>0</v>
      </c>
      <c r="CN732">
        <f t="shared" si="240"/>
        <v>0</v>
      </c>
      <c r="CO732">
        <f t="shared" si="224"/>
        <v>0</v>
      </c>
    </row>
    <row r="733" spans="1:93" s="12" customFormat="1" hidden="1" x14ac:dyDescent="0.25">
      <c r="A733" s="4">
        <v>2013</v>
      </c>
      <c r="B733" s="315">
        <v>44265</v>
      </c>
      <c r="C733" s="4" t="s">
        <v>429</v>
      </c>
      <c r="D733" s="4" t="s">
        <v>430</v>
      </c>
      <c r="E733" s="4"/>
      <c r="F733" s="4" t="s">
        <v>1491</v>
      </c>
      <c r="G733" s="5" t="s">
        <v>431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+VLOOKUP(G733,Liste!$A$7:$G$69,3,FALSE)</f>
        <v>Sapin pectiné</v>
      </c>
      <c r="BI733" s="96" t="str">
        <f>+VLOOKUP(H733,Liste!$B$7:$G$69,5,FALSE)</f>
        <v>GS Arc Jurassien</v>
      </c>
      <c r="BJ733" s="135">
        <f t="shared" si="223"/>
        <v>64</v>
      </c>
      <c r="BK733" s="135" t="str">
        <f t="shared" si="225"/>
        <v>Sapin pectiné_F2_Cas général_GS Arc Jurassien_64_</v>
      </c>
      <c r="BL733" s="319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97" t="str">
        <f>+VLOOKUP(G733,Liste!$A$7:$H$69,8,FALSE)</f>
        <v>Résineux</v>
      </c>
      <c r="BU733" s="297">
        <f t="shared" si="226"/>
        <v>0</v>
      </c>
      <c r="BV733" s="299">
        <f t="shared" si="227"/>
        <v>1</v>
      </c>
      <c r="BW733" s="318">
        <v>0</v>
      </c>
      <c r="BX733" s="297">
        <f t="shared" si="228"/>
        <v>0.43</v>
      </c>
      <c r="BY733">
        <f t="shared" si="229"/>
        <v>0</v>
      </c>
      <c r="BZ733" s="303">
        <f t="shared" si="230"/>
        <v>0</v>
      </c>
      <c r="CB733" s="298">
        <v>0.6</v>
      </c>
      <c r="CC733" s="298">
        <v>0.4</v>
      </c>
      <c r="CD733">
        <f t="shared" si="231"/>
        <v>0</v>
      </c>
      <c r="CE733">
        <f t="shared" si="232"/>
        <v>0</v>
      </c>
      <c r="CF733">
        <f t="shared" si="233"/>
        <v>0</v>
      </c>
      <c r="CG733">
        <f t="shared" si="234"/>
        <v>0</v>
      </c>
      <c r="CH733">
        <f t="shared" si="235"/>
        <v>0</v>
      </c>
      <c r="CI733">
        <f t="shared" si="236"/>
        <v>0</v>
      </c>
      <c r="CJ733">
        <f t="shared" si="237"/>
        <v>0</v>
      </c>
      <c r="CK733">
        <f t="shared" si="238"/>
        <v>0</v>
      </c>
      <c r="CL733">
        <f t="shared" si="239"/>
        <v>0</v>
      </c>
      <c r="CM733">
        <f t="shared" si="241"/>
        <v>0</v>
      </c>
      <c r="CN733">
        <f t="shared" si="240"/>
        <v>0</v>
      </c>
      <c r="CO733">
        <f t="shared" si="224"/>
        <v>0</v>
      </c>
    </row>
    <row r="734" spans="1:93" s="12" customFormat="1" hidden="1" x14ac:dyDescent="0.25">
      <c r="A734" s="4">
        <v>2013</v>
      </c>
      <c r="B734" s="315">
        <v>44265</v>
      </c>
      <c r="C734" s="4" t="s">
        <v>429</v>
      </c>
      <c r="D734" s="4" t="s">
        <v>430</v>
      </c>
      <c r="E734" s="4"/>
      <c r="F734" s="4" t="s">
        <v>1491</v>
      </c>
      <c r="G734" s="5" t="s">
        <v>431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+VLOOKUP(G734,Liste!$A$7:$G$69,3,FALSE)</f>
        <v>Sapin pectiné</v>
      </c>
      <c r="BI734" s="96" t="str">
        <f>+VLOOKUP(H734,Liste!$B$7:$G$69,5,FALSE)</f>
        <v>GS Arc Jurassien</v>
      </c>
      <c r="BJ734" s="135">
        <f t="shared" si="223"/>
        <v>65</v>
      </c>
      <c r="BK734" s="135" t="str">
        <f t="shared" si="225"/>
        <v>Sapin pectiné_F2_Cas général_GS Arc Jurassien_65_</v>
      </c>
      <c r="BL734" s="319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97" t="str">
        <f>+VLOOKUP(G734,Liste!$A$7:$H$69,8,FALSE)</f>
        <v>Résineux</v>
      </c>
      <c r="BU734" s="297">
        <f t="shared" si="226"/>
        <v>0</v>
      </c>
      <c r="BV734" s="299">
        <f t="shared" si="227"/>
        <v>1</v>
      </c>
      <c r="BW734" s="318">
        <v>0</v>
      </c>
      <c r="BX734" s="297">
        <f t="shared" si="228"/>
        <v>0.43</v>
      </c>
      <c r="BY734">
        <f t="shared" si="229"/>
        <v>0</v>
      </c>
      <c r="BZ734" s="303">
        <f t="shared" si="230"/>
        <v>0</v>
      </c>
      <c r="CB734" s="298">
        <v>0.6</v>
      </c>
      <c r="CC734" s="298">
        <v>0.4</v>
      </c>
      <c r="CD734">
        <f t="shared" si="231"/>
        <v>0</v>
      </c>
      <c r="CE734">
        <f t="shared" si="232"/>
        <v>0</v>
      </c>
      <c r="CF734">
        <f t="shared" si="233"/>
        <v>0</v>
      </c>
      <c r="CG734">
        <f t="shared" si="234"/>
        <v>0</v>
      </c>
      <c r="CH734">
        <f t="shared" si="235"/>
        <v>0</v>
      </c>
      <c r="CI734">
        <f t="shared" si="236"/>
        <v>0</v>
      </c>
      <c r="CJ734">
        <f t="shared" si="237"/>
        <v>0</v>
      </c>
      <c r="CK734">
        <f t="shared" si="238"/>
        <v>0</v>
      </c>
      <c r="CL734">
        <f t="shared" si="239"/>
        <v>0</v>
      </c>
      <c r="CM734">
        <f t="shared" si="241"/>
        <v>0</v>
      </c>
      <c r="CN734">
        <f t="shared" si="240"/>
        <v>0</v>
      </c>
      <c r="CO734">
        <f t="shared" si="224"/>
        <v>0</v>
      </c>
    </row>
    <row r="735" spans="1:93" s="12" customFormat="1" hidden="1" x14ac:dyDescent="0.25">
      <c r="A735" s="4">
        <v>2013</v>
      </c>
      <c r="B735" s="315">
        <v>44265</v>
      </c>
      <c r="C735" s="4" t="s">
        <v>429</v>
      </c>
      <c r="D735" s="4" t="s">
        <v>430</v>
      </c>
      <c r="E735" s="4"/>
      <c r="F735" s="4" t="s">
        <v>1491</v>
      </c>
      <c r="G735" s="5" t="s">
        <v>431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+VLOOKUP(G735,Liste!$A$7:$G$69,3,FALSE)</f>
        <v>Sapin pectiné</v>
      </c>
      <c r="BI735" s="96" t="str">
        <f>+VLOOKUP(H735,Liste!$B$7:$G$69,5,FALSE)</f>
        <v>GS Arc Jurassien</v>
      </c>
      <c r="BJ735" s="135">
        <f t="shared" si="223"/>
        <v>65</v>
      </c>
      <c r="BK735" s="135" t="str">
        <f t="shared" si="225"/>
        <v>Sapin pectiné_F2_Cas général_GS Arc Jurassien_65_</v>
      </c>
      <c r="BL735" s="319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97" t="str">
        <f>+VLOOKUP(G735,Liste!$A$7:$H$69,8,FALSE)</f>
        <v>Résineux</v>
      </c>
      <c r="BU735" s="297">
        <f t="shared" si="226"/>
        <v>0</v>
      </c>
      <c r="BV735" s="299">
        <f t="shared" si="227"/>
        <v>1</v>
      </c>
      <c r="BW735" s="318">
        <v>0</v>
      </c>
      <c r="BX735" s="297">
        <f t="shared" si="228"/>
        <v>0.43</v>
      </c>
      <c r="BY735">
        <f t="shared" si="229"/>
        <v>0</v>
      </c>
      <c r="BZ735" s="303">
        <f t="shared" si="230"/>
        <v>0</v>
      </c>
      <c r="CB735" s="298">
        <v>0.6</v>
      </c>
      <c r="CC735" s="298">
        <v>0.4</v>
      </c>
      <c r="CD735">
        <f t="shared" si="231"/>
        <v>0</v>
      </c>
      <c r="CE735">
        <f t="shared" si="232"/>
        <v>0</v>
      </c>
      <c r="CF735">
        <f t="shared" si="233"/>
        <v>0</v>
      </c>
      <c r="CG735">
        <f t="shared" si="234"/>
        <v>0</v>
      </c>
      <c r="CH735">
        <f t="shared" si="235"/>
        <v>0</v>
      </c>
      <c r="CI735">
        <f t="shared" si="236"/>
        <v>0</v>
      </c>
      <c r="CJ735">
        <f t="shared" si="237"/>
        <v>0</v>
      </c>
      <c r="CK735">
        <f t="shared" si="238"/>
        <v>0</v>
      </c>
      <c r="CL735">
        <f t="shared" si="239"/>
        <v>0</v>
      </c>
      <c r="CM735">
        <f t="shared" si="241"/>
        <v>0</v>
      </c>
      <c r="CN735">
        <f t="shared" si="240"/>
        <v>0</v>
      </c>
      <c r="CO735">
        <f t="shared" si="224"/>
        <v>0</v>
      </c>
    </row>
    <row r="736" spans="1:93" s="12" customFormat="1" hidden="1" x14ac:dyDescent="0.25">
      <c r="A736" s="4">
        <v>2013</v>
      </c>
      <c r="B736" s="315">
        <v>44265</v>
      </c>
      <c r="C736" s="4" t="s">
        <v>429</v>
      </c>
      <c r="D736" s="4" t="s">
        <v>430</v>
      </c>
      <c r="E736" s="4"/>
      <c r="F736" s="4" t="s">
        <v>1491</v>
      </c>
      <c r="G736" s="5" t="s">
        <v>431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+VLOOKUP(G736,Liste!$A$7:$G$69,3,FALSE)</f>
        <v>Sapin pectiné</v>
      </c>
      <c r="BI736" s="96" t="str">
        <f>+VLOOKUP(H736,Liste!$B$7:$G$69,5,FALSE)</f>
        <v>GS Arc Jurassien</v>
      </c>
      <c r="BJ736" s="135">
        <f t="shared" si="223"/>
        <v>66</v>
      </c>
      <c r="BK736" s="135" t="str">
        <f t="shared" si="225"/>
        <v>Sapin pectiné_F2_Cas général_GS Arc Jurassien_66_</v>
      </c>
      <c r="BL736" s="319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97" t="str">
        <f>+VLOOKUP(G736,Liste!$A$7:$H$69,8,FALSE)</f>
        <v>Résineux</v>
      </c>
      <c r="BU736" s="297">
        <f t="shared" si="226"/>
        <v>0</v>
      </c>
      <c r="BV736" s="299">
        <f t="shared" si="227"/>
        <v>1</v>
      </c>
      <c r="BW736" s="318">
        <v>0</v>
      </c>
      <c r="BX736" s="297">
        <f t="shared" si="228"/>
        <v>0.43</v>
      </c>
      <c r="BY736">
        <f t="shared" si="229"/>
        <v>0</v>
      </c>
      <c r="BZ736" s="303">
        <f t="shared" si="230"/>
        <v>0</v>
      </c>
      <c r="CB736" s="298">
        <v>0.6</v>
      </c>
      <c r="CC736" s="298">
        <v>0.4</v>
      </c>
      <c r="CD736">
        <f t="shared" si="231"/>
        <v>0</v>
      </c>
      <c r="CE736">
        <f t="shared" si="232"/>
        <v>0</v>
      </c>
      <c r="CF736">
        <f t="shared" si="233"/>
        <v>0</v>
      </c>
      <c r="CG736">
        <f t="shared" si="234"/>
        <v>0</v>
      </c>
      <c r="CH736">
        <f t="shared" si="235"/>
        <v>0</v>
      </c>
      <c r="CI736">
        <f t="shared" si="236"/>
        <v>0</v>
      </c>
      <c r="CJ736">
        <f t="shared" si="237"/>
        <v>0</v>
      </c>
      <c r="CK736">
        <f t="shared" si="238"/>
        <v>0</v>
      </c>
      <c r="CL736">
        <f t="shared" si="239"/>
        <v>0</v>
      </c>
      <c r="CM736">
        <f t="shared" si="241"/>
        <v>0</v>
      </c>
      <c r="CN736">
        <f t="shared" si="240"/>
        <v>0</v>
      </c>
      <c r="CO736">
        <f t="shared" si="224"/>
        <v>0</v>
      </c>
    </row>
    <row r="737" spans="1:93" s="12" customFormat="1" hidden="1" x14ac:dyDescent="0.25">
      <c r="A737" s="4">
        <v>2013</v>
      </c>
      <c r="B737" s="315">
        <v>44265</v>
      </c>
      <c r="C737" s="4" t="s">
        <v>429</v>
      </c>
      <c r="D737" s="4" t="s">
        <v>430</v>
      </c>
      <c r="E737" s="4"/>
      <c r="F737" s="4" t="s">
        <v>1491</v>
      </c>
      <c r="G737" s="5" t="s">
        <v>431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+VLOOKUP(G737,Liste!$A$7:$G$69,3,FALSE)</f>
        <v>Sapin pectiné</v>
      </c>
      <c r="BI737" s="96" t="str">
        <f>+VLOOKUP(H737,Liste!$B$7:$G$69,5,FALSE)</f>
        <v>GS Arc Jurassien</v>
      </c>
      <c r="BJ737" s="135">
        <f t="shared" si="223"/>
        <v>67</v>
      </c>
      <c r="BK737" s="135" t="str">
        <f t="shared" si="225"/>
        <v>Sapin pectiné_F2_Cas général_GS Arc Jurassien_67_</v>
      </c>
      <c r="BL737" s="319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97" t="str">
        <f>+VLOOKUP(G737,Liste!$A$7:$H$69,8,FALSE)</f>
        <v>Résineux</v>
      </c>
      <c r="BU737" s="297">
        <f t="shared" si="226"/>
        <v>0</v>
      </c>
      <c r="BV737" s="299">
        <f t="shared" si="227"/>
        <v>1</v>
      </c>
      <c r="BW737" s="318">
        <v>0</v>
      </c>
      <c r="BX737" s="297">
        <f t="shared" si="228"/>
        <v>0.43</v>
      </c>
      <c r="BY737">
        <f t="shared" si="229"/>
        <v>0</v>
      </c>
      <c r="BZ737" s="303">
        <f t="shared" si="230"/>
        <v>0</v>
      </c>
      <c r="CB737" s="298">
        <v>0.6</v>
      </c>
      <c r="CC737" s="298">
        <v>0.4</v>
      </c>
      <c r="CD737">
        <f t="shared" si="231"/>
        <v>0</v>
      </c>
      <c r="CE737">
        <f t="shared" si="232"/>
        <v>0</v>
      </c>
      <c r="CF737">
        <f t="shared" si="233"/>
        <v>0</v>
      </c>
      <c r="CG737">
        <f t="shared" si="234"/>
        <v>0</v>
      </c>
      <c r="CH737">
        <f t="shared" si="235"/>
        <v>0</v>
      </c>
      <c r="CI737">
        <f t="shared" si="236"/>
        <v>0</v>
      </c>
      <c r="CJ737">
        <f t="shared" si="237"/>
        <v>0</v>
      </c>
      <c r="CK737">
        <f t="shared" si="238"/>
        <v>0</v>
      </c>
      <c r="CL737">
        <f t="shared" si="239"/>
        <v>0</v>
      </c>
      <c r="CM737">
        <f t="shared" si="241"/>
        <v>0</v>
      </c>
      <c r="CN737">
        <f t="shared" si="240"/>
        <v>0</v>
      </c>
      <c r="CO737">
        <f t="shared" si="224"/>
        <v>0</v>
      </c>
    </row>
    <row r="738" spans="1:93" s="12" customFormat="1" hidden="1" x14ac:dyDescent="0.25">
      <c r="A738" s="4">
        <v>2013</v>
      </c>
      <c r="B738" s="315">
        <v>44265</v>
      </c>
      <c r="C738" s="4" t="s">
        <v>429</v>
      </c>
      <c r="D738" s="4" t="s">
        <v>430</v>
      </c>
      <c r="E738" s="4"/>
      <c r="F738" s="4" t="s">
        <v>1491</v>
      </c>
      <c r="G738" s="5" t="s">
        <v>431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+VLOOKUP(G738,Liste!$A$7:$G$69,3,FALSE)</f>
        <v>Sapin pectiné</v>
      </c>
      <c r="BI738" s="96" t="str">
        <f>+VLOOKUP(H738,Liste!$B$7:$G$69,5,FALSE)</f>
        <v>GS Arc Jurassien</v>
      </c>
      <c r="BJ738" s="135">
        <f t="shared" si="223"/>
        <v>68</v>
      </c>
      <c r="BK738" s="135" t="str">
        <f t="shared" si="225"/>
        <v>Sapin pectiné_F2_Cas général_GS Arc Jurassien_68_</v>
      </c>
      <c r="BL738" s="319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97" t="str">
        <f>+VLOOKUP(G738,Liste!$A$7:$H$69,8,FALSE)</f>
        <v>Résineux</v>
      </c>
      <c r="BU738" s="297">
        <f t="shared" si="226"/>
        <v>0</v>
      </c>
      <c r="BV738" s="299">
        <f t="shared" si="227"/>
        <v>1</v>
      </c>
      <c r="BW738" s="318">
        <v>0</v>
      </c>
      <c r="BX738" s="297">
        <f t="shared" si="228"/>
        <v>0.43</v>
      </c>
      <c r="BY738">
        <f t="shared" si="229"/>
        <v>0</v>
      </c>
      <c r="BZ738" s="303">
        <f t="shared" si="230"/>
        <v>0</v>
      </c>
      <c r="CB738" s="298">
        <v>0.6</v>
      </c>
      <c r="CC738" s="298">
        <v>0.4</v>
      </c>
      <c r="CD738">
        <f t="shared" si="231"/>
        <v>0</v>
      </c>
      <c r="CE738">
        <f t="shared" si="232"/>
        <v>0</v>
      </c>
      <c r="CF738">
        <f t="shared" si="233"/>
        <v>0</v>
      </c>
      <c r="CG738">
        <f t="shared" si="234"/>
        <v>0</v>
      </c>
      <c r="CH738">
        <f t="shared" si="235"/>
        <v>0</v>
      </c>
      <c r="CI738">
        <f t="shared" si="236"/>
        <v>0</v>
      </c>
      <c r="CJ738">
        <f t="shared" si="237"/>
        <v>0</v>
      </c>
      <c r="CK738">
        <f t="shared" si="238"/>
        <v>0</v>
      </c>
      <c r="CL738">
        <f t="shared" si="239"/>
        <v>0</v>
      </c>
      <c r="CM738">
        <f t="shared" si="241"/>
        <v>0</v>
      </c>
      <c r="CN738">
        <f t="shared" si="240"/>
        <v>0</v>
      </c>
      <c r="CO738">
        <f t="shared" si="224"/>
        <v>0</v>
      </c>
    </row>
    <row r="739" spans="1:93" s="12" customFormat="1" hidden="1" x14ac:dyDescent="0.25">
      <c r="A739" s="4">
        <v>2013</v>
      </c>
      <c r="B739" s="315">
        <v>44265</v>
      </c>
      <c r="C739" s="4" t="s">
        <v>429</v>
      </c>
      <c r="D739" s="4" t="s">
        <v>430</v>
      </c>
      <c r="E739" s="4"/>
      <c r="F739" s="4" t="s">
        <v>1491</v>
      </c>
      <c r="G739" s="5" t="s">
        <v>431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+VLOOKUP(G739,Liste!$A$7:$G$69,3,FALSE)</f>
        <v>Sapin pectiné</v>
      </c>
      <c r="BI739" s="96" t="str">
        <f>+VLOOKUP(H739,Liste!$B$7:$G$69,5,FALSE)</f>
        <v>GS Arc Jurassien</v>
      </c>
      <c r="BJ739" s="135">
        <f t="shared" si="223"/>
        <v>69</v>
      </c>
      <c r="BK739" s="135" t="str">
        <f t="shared" si="225"/>
        <v>Sapin pectiné_F2_Cas général_GS Arc Jurassien_69_</v>
      </c>
      <c r="BL739" s="319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97" t="str">
        <f>+VLOOKUP(G739,Liste!$A$7:$H$69,8,FALSE)</f>
        <v>Résineux</v>
      </c>
      <c r="BU739" s="297">
        <f t="shared" si="226"/>
        <v>0</v>
      </c>
      <c r="BV739" s="299">
        <f t="shared" si="227"/>
        <v>1</v>
      </c>
      <c r="BW739" s="318">
        <v>0</v>
      </c>
      <c r="BX739" s="297">
        <f t="shared" si="228"/>
        <v>0.43</v>
      </c>
      <c r="BY739">
        <f t="shared" si="229"/>
        <v>0</v>
      </c>
      <c r="BZ739" s="303">
        <f t="shared" si="230"/>
        <v>0</v>
      </c>
      <c r="CB739" s="298">
        <v>0.6</v>
      </c>
      <c r="CC739" s="298">
        <v>0.4</v>
      </c>
      <c r="CD739">
        <f t="shared" si="231"/>
        <v>0</v>
      </c>
      <c r="CE739">
        <f t="shared" si="232"/>
        <v>0</v>
      </c>
      <c r="CF739">
        <f t="shared" si="233"/>
        <v>0</v>
      </c>
      <c r="CG739">
        <f t="shared" si="234"/>
        <v>0</v>
      </c>
      <c r="CH739">
        <f t="shared" si="235"/>
        <v>0</v>
      </c>
      <c r="CI739">
        <f t="shared" si="236"/>
        <v>0</v>
      </c>
      <c r="CJ739">
        <f t="shared" si="237"/>
        <v>0</v>
      </c>
      <c r="CK739">
        <f t="shared" si="238"/>
        <v>0</v>
      </c>
      <c r="CL739">
        <f t="shared" si="239"/>
        <v>0</v>
      </c>
      <c r="CM739">
        <f t="shared" si="241"/>
        <v>0</v>
      </c>
      <c r="CN739">
        <f t="shared" si="240"/>
        <v>0</v>
      </c>
      <c r="CO739">
        <f t="shared" si="224"/>
        <v>0</v>
      </c>
    </row>
    <row r="740" spans="1:93" s="12" customFormat="1" hidden="1" x14ac:dyDescent="0.25">
      <c r="A740" s="4">
        <v>2013</v>
      </c>
      <c r="B740" s="315">
        <v>44265</v>
      </c>
      <c r="C740" s="4" t="s">
        <v>429</v>
      </c>
      <c r="D740" s="4" t="s">
        <v>430</v>
      </c>
      <c r="E740" s="4"/>
      <c r="F740" s="4" t="s">
        <v>1491</v>
      </c>
      <c r="G740" s="5" t="s">
        <v>431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+VLOOKUP(G740,Liste!$A$7:$G$69,3,FALSE)</f>
        <v>Sapin pectiné</v>
      </c>
      <c r="BI740" s="96" t="str">
        <f>+VLOOKUP(H740,Liste!$B$7:$G$69,5,FALSE)</f>
        <v>GS Arc Jurassien</v>
      </c>
      <c r="BJ740" s="135">
        <f t="shared" si="223"/>
        <v>70</v>
      </c>
      <c r="BK740" s="135" t="str">
        <f t="shared" si="225"/>
        <v>Sapin pectiné_F2_Cas général_GS Arc Jurassien_70_</v>
      </c>
      <c r="BL740" s="319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97" t="str">
        <f>+VLOOKUP(G740,Liste!$A$7:$H$69,8,FALSE)</f>
        <v>Résineux</v>
      </c>
      <c r="BU740" s="297">
        <f t="shared" si="226"/>
        <v>0</v>
      </c>
      <c r="BV740" s="299">
        <f t="shared" si="227"/>
        <v>1</v>
      </c>
      <c r="BW740" s="318">
        <v>0</v>
      </c>
      <c r="BX740" s="297">
        <f t="shared" si="228"/>
        <v>0.43</v>
      </c>
      <c r="BY740">
        <f t="shared" si="229"/>
        <v>0</v>
      </c>
      <c r="BZ740" s="303">
        <f t="shared" si="230"/>
        <v>0</v>
      </c>
      <c r="CB740" s="298">
        <v>0.6</v>
      </c>
      <c r="CC740" s="298">
        <v>0.4</v>
      </c>
      <c r="CD740">
        <f t="shared" si="231"/>
        <v>0</v>
      </c>
      <c r="CE740">
        <f t="shared" si="232"/>
        <v>0</v>
      </c>
      <c r="CF740">
        <f t="shared" si="233"/>
        <v>0</v>
      </c>
      <c r="CG740">
        <f t="shared" si="234"/>
        <v>0</v>
      </c>
      <c r="CH740">
        <f t="shared" si="235"/>
        <v>0</v>
      </c>
      <c r="CI740">
        <f t="shared" si="236"/>
        <v>0</v>
      </c>
      <c r="CJ740">
        <f t="shared" si="237"/>
        <v>0</v>
      </c>
      <c r="CK740">
        <f t="shared" si="238"/>
        <v>0</v>
      </c>
      <c r="CL740">
        <f t="shared" si="239"/>
        <v>0</v>
      </c>
      <c r="CM740">
        <f t="shared" si="241"/>
        <v>0</v>
      </c>
      <c r="CN740">
        <f t="shared" si="240"/>
        <v>0</v>
      </c>
      <c r="CO740">
        <f t="shared" si="224"/>
        <v>0</v>
      </c>
    </row>
    <row r="741" spans="1:93" s="12" customFormat="1" hidden="1" x14ac:dyDescent="0.25">
      <c r="A741" s="4">
        <v>2013</v>
      </c>
      <c r="B741" s="315">
        <v>44265</v>
      </c>
      <c r="C741" s="4" t="s">
        <v>429</v>
      </c>
      <c r="D741" s="4" t="s">
        <v>430</v>
      </c>
      <c r="E741" s="4"/>
      <c r="F741" s="4" t="s">
        <v>1491</v>
      </c>
      <c r="G741" s="5" t="s">
        <v>431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+VLOOKUP(G741,Liste!$A$7:$G$69,3,FALSE)</f>
        <v>Sapin pectiné</v>
      </c>
      <c r="BI741" s="96" t="str">
        <f>+VLOOKUP(H741,Liste!$B$7:$G$69,5,FALSE)</f>
        <v>GS Arc Jurassien</v>
      </c>
      <c r="BJ741" s="135">
        <f t="shared" si="223"/>
        <v>71</v>
      </c>
      <c r="BK741" s="135" t="str">
        <f t="shared" si="225"/>
        <v>Sapin pectiné_F2_Cas général_GS Arc Jurassien_71_</v>
      </c>
      <c r="BL741" s="319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97" t="str">
        <f>+VLOOKUP(G741,Liste!$A$7:$H$69,8,FALSE)</f>
        <v>Résineux</v>
      </c>
      <c r="BU741" s="297">
        <f t="shared" si="226"/>
        <v>0</v>
      </c>
      <c r="BV741" s="299">
        <f t="shared" si="227"/>
        <v>1</v>
      </c>
      <c r="BW741" s="318">
        <v>0</v>
      </c>
      <c r="BX741" s="297">
        <f t="shared" si="228"/>
        <v>0.43</v>
      </c>
      <c r="BY741">
        <f t="shared" si="229"/>
        <v>0</v>
      </c>
      <c r="BZ741" s="303">
        <f t="shared" si="230"/>
        <v>0</v>
      </c>
      <c r="CB741" s="298">
        <v>0.6</v>
      </c>
      <c r="CC741" s="298">
        <v>0.4</v>
      </c>
      <c r="CD741">
        <f t="shared" si="231"/>
        <v>0</v>
      </c>
      <c r="CE741">
        <f t="shared" si="232"/>
        <v>0</v>
      </c>
      <c r="CF741">
        <f t="shared" si="233"/>
        <v>0</v>
      </c>
      <c r="CG741">
        <f t="shared" si="234"/>
        <v>0</v>
      </c>
      <c r="CH741">
        <f t="shared" si="235"/>
        <v>0</v>
      </c>
      <c r="CI741">
        <f t="shared" si="236"/>
        <v>0</v>
      </c>
      <c r="CJ741">
        <f t="shared" si="237"/>
        <v>0</v>
      </c>
      <c r="CK741">
        <f t="shared" si="238"/>
        <v>0</v>
      </c>
      <c r="CL741">
        <f t="shared" si="239"/>
        <v>0</v>
      </c>
      <c r="CM741">
        <f t="shared" si="241"/>
        <v>0</v>
      </c>
      <c r="CN741">
        <f t="shared" si="240"/>
        <v>0</v>
      </c>
      <c r="CO741">
        <f t="shared" si="224"/>
        <v>0</v>
      </c>
    </row>
    <row r="742" spans="1:93" s="12" customFormat="1" hidden="1" x14ac:dyDescent="0.25">
      <c r="A742" s="4">
        <v>2013</v>
      </c>
      <c r="B742" s="315">
        <v>44265</v>
      </c>
      <c r="C742" s="4" t="s">
        <v>429</v>
      </c>
      <c r="D742" s="4" t="s">
        <v>430</v>
      </c>
      <c r="E742" s="4"/>
      <c r="F742" s="4" t="s">
        <v>1491</v>
      </c>
      <c r="G742" s="5" t="s">
        <v>431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+VLOOKUP(G742,Liste!$A$7:$G$69,3,FALSE)</f>
        <v>Sapin pectiné</v>
      </c>
      <c r="BI742" s="96" t="str">
        <f>+VLOOKUP(H742,Liste!$B$7:$G$69,5,FALSE)</f>
        <v>GS Arc Jurassien</v>
      </c>
      <c r="BJ742" s="135">
        <f t="shared" si="223"/>
        <v>72</v>
      </c>
      <c r="BK742" s="135" t="str">
        <f t="shared" si="225"/>
        <v>Sapin pectiné_F2_Cas général_GS Arc Jurassien_72_</v>
      </c>
      <c r="BL742" s="319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97" t="str">
        <f>+VLOOKUP(G742,Liste!$A$7:$H$69,8,FALSE)</f>
        <v>Résineux</v>
      </c>
      <c r="BU742" s="297">
        <f t="shared" si="226"/>
        <v>0</v>
      </c>
      <c r="BV742" s="299">
        <f t="shared" si="227"/>
        <v>1</v>
      </c>
      <c r="BW742" s="318">
        <v>0</v>
      </c>
      <c r="BX742" s="297">
        <f t="shared" si="228"/>
        <v>0.43</v>
      </c>
      <c r="BY742">
        <f t="shared" si="229"/>
        <v>0</v>
      </c>
      <c r="BZ742" s="303">
        <f t="shared" si="230"/>
        <v>0</v>
      </c>
      <c r="CB742" s="298">
        <v>0.6</v>
      </c>
      <c r="CC742" s="298">
        <v>0.4</v>
      </c>
      <c r="CD742">
        <f t="shared" si="231"/>
        <v>0</v>
      </c>
      <c r="CE742">
        <f t="shared" si="232"/>
        <v>0</v>
      </c>
      <c r="CF742">
        <f t="shared" si="233"/>
        <v>0</v>
      </c>
      <c r="CG742">
        <f t="shared" si="234"/>
        <v>0</v>
      </c>
      <c r="CH742">
        <f t="shared" si="235"/>
        <v>0</v>
      </c>
      <c r="CI742">
        <f t="shared" si="236"/>
        <v>0</v>
      </c>
      <c r="CJ742">
        <f t="shared" si="237"/>
        <v>0</v>
      </c>
      <c r="CK742">
        <f t="shared" si="238"/>
        <v>0</v>
      </c>
      <c r="CL742">
        <f t="shared" si="239"/>
        <v>0</v>
      </c>
      <c r="CM742">
        <f t="shared" si="241"/>
        <v>0</v>
      </c>
      <c r="CN742">
        <f t="shared" si="240"/>
        <v>0</v>
      </c>
      <c r="CO742">
        <f t="shared" si="224"/>
        <v>0</v>
      </c>
    </row>
    <row r="743" spans="1:93" s="12" customFormat="1" hidden="1" x14ac:dyDescent="0.25">
      <c r="A743" s="4">
        <v>2013</v>
      </c>
      <c r="B743" s="315">
        <v>44265</v>
      </c>
      <c r="C743" s="4" t="s">
        <v>429</v>
      </c>
      <c r="D743" s="4" t="s">
        <v>430</v>
      </c>
      <c r="E743" s="4"/>
      <c r="F743" s="4" t="s">
        <v>1491</v>
      </c>
      <c r="G743" s="5" t="s">
        <v>431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+VLOOKUP(G743,Liste!$A$7:$G$69,3,FALSE)</f>
        <v>Sapin pectiné</v>
      </c>
      <c r="BI743" s="96" t="str">
        <f>+VLOOKUP(H743,Liste!$B$7:$G$69,5,FALSE)</f>
        <v>GS Arc Jurassien</v>
      </c>
      <c r="BJ743" s="135">
        <f t="shared" si="223"/>
        <v>73</v>
      </c>
      <c r="BK743" s="135" t="str">
        <f t="shared" si="225"/>
        <v>Sapin pectiné_F2_Cas général_GS Arc Jurassien_73_</v>
      </c>
      <c r="BL743" s="319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97" t="str">
        <f>+VLOOKUP(G743,Liste!$A$7:$H$69,8,FALSE)</f>
        <v>Résineux</v>
      </c>
      <c r="BU743" s="297">
        <f t="shared" si="226"/>
        <v>0</v>
      </c>
      <c r="BV743" s="299">
        <f t="shared" si="227"/>
        <v>1</v>
      </c>
      <c r="BW743" s="318">
        <v>0</v>
      </c>
      <c r="BX743" s="297">
        <f t="shared" si="228"/>
        <v>0.43</v>
      </c>
      <c r="BY743">
        <f t="shared" si="229"/>
        <v>0</v>
      </c>
      <c r="BZ743" s="303">
        <f t="shared" si="230"/>
        <v>0</v>
      </c>
      <c r="CB743" s="298">
        <v>0.6</v>
      </c>
      <c r="CC743" s="298">
        <v>0.4</v>
      </c>
      <c r="CD743">
        <f t="shared" si="231"/>
        <v>0</v>
      </c>
      <c r="CE743">
        <f t="shared" si="232"/>
        <v>0</v>
      </c>
      <c r="CF743">
        <f t="shared" si="233"/>
        <v>0</v>
      </c>
      <c r="CG743">
        <f t="shared" si="234"/>
        <v>0</v>
      </c>
      <c r="CH743">
        <f t="shared" si="235"/>
        <v>0</v>
      </c>
      <c r="CI743">
        <f t="shared" si="236"/>
        <v>0</v>
      </c>
      <c r="CJ743">
        <f t="shared" si="237"/>
        <v>0</v>
      </c>
      <c r="CK743">
        <f t="shared" si="238"/>
        <v>0</v>
      </c>
      <c r="CL743">
        <f t="shared" si="239"/>
        <v>0</v>
      </c>
      <c r="CM743">
        <f t="shared" si="241"/>
        <v>0</v>
      </c>
      <c r="CN743">
        <f t="shared" si="240"/>
        <v>0</v>
      </c>
      <c r="CO743">
        <f t="shared" si="224"/>
        <v>0</v>
      </c>
    </row>
    <row r="744" spans="1:93" s="12" customFormat="1" hidden="1" x14ac:dyDescent="0.25">
      <c r="A744" s="4">
        <v>2013</v>
      </c>
      <c r="B744" s="315">
        <v>44265</v>
      </c>
      <c r="C744" s="4" t="s">
        <v>429</v>
      </c>
      <c r="D744" s="4" t="s">
        <v>430</v>
      </c>
      <c r="E744" s="4"/>
      <c r="F744" s="4" t="s">
        <v>1491</v>
      </c>
      <c r="G744" s="5" t="s">
        <v>431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+VLOOKUP(G744,Liste!$A$7:$G$69,3,FALSE)</f>
        <v>Sapin pectiné</v>
      </c>
      <c r="BI744" s="96" t="str">
        <f>+VLOOKUP(H744,Liste!$B$7:$G$69,5,FALSE)</f>
        <v>GS Arc Jurassien</v>
      </c>
      <c r="BJ744" s="135">
        <f t="shared" si="223"/>
        <v>73</v>
      </c>
      <c r="BK744" s="135" t="str">
        <f t="shared" si="225"/>
        <v>Sapin pectiné_F2_Cas général_GS Arc Jurassien_73_</v>
      </c>
      <c r="BL744" s="319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97" t="str">
        <f>+VLOOKUP(G744,Liste!$A$7:$H$69,8,FALSE)</f>
        <v>Résineux</v>
      </c>
      <c r="BU744" s="297">
        <f t="shared" si="226"/>
        <v>0</v>
      </c>
      <c r="BV744" s="299">
        <f t="shared" si="227"/>
        <v>1</v>
      </c>
      <c r="BW744" s="318">
        <v>0</v>
      </c>
      <c r="BX744" s="297">
        <f t="shared" si="228"/>
        <v>0.43</v>
      </c>
      <c r="BY744">
        <f t="shared" si="229"/>
        <v>0</v>
      </c>
      <c r="BZ744" s="303">
        <f t="shared" si="230"/>
        <v>0</v>
      </c>
      <c r="CB744" s="298">
        <v>0.6</v>
      </c>
      <c r="CC744" s="298">
        <v>0.4</v>
      </c>
      <c r="CD744">
        <f t="shared" si="231"/>
        <v>0</v>
      </c>
      <c r="CE744">
        <f t="shared" si="232"/>
        <v>0</v>
      </c>
      <c r="CF744">
        <f t="shared" si="233"/>
        <v>0</v>
      </c>
      <c r="CG744">
        <f t="shared" si="234"/>
        <v>0</v>
      </c>
      <c r="CH744">
        <f t="shared" si="235"/>
        <v>0</v>
      </c>
      <c r="CI744">
        <f t="shared" si="236"/>
        <v>0</v>
      </c>
      <c r="CJ744">
        <f t="shared" si="237"/>
        <v>0</v>
      </c>
      <c r="CK744">
        <f t="shared" si="238"/>
        <v>0</v>
      </c>
      <c r="CL744">
        <f t="shared" si="239"/>
        <v>0</v>
      </c>
      <c r="CM744">
        <f t="shared" si="241"/>
        <v>0</v>
      </c>
      <c r="CN744">
        <f t="shared" si="240"/>
        <v>0</v>
      </c>
      <c r="CO744">
        <f t="shared" si="224"/>
        <v>0</v>
      </c>
    </row>
    <row r="745" spans="1:93" s="12" customFormat="1" hidden="1" x14ac:dyDescent="0.25">
      <c r="A745" s="4">
        <v>2013</v>
      </c>
      <c r="B745" s="315">
        <v>44265</v>
      </c>
      <c r="C745" s="4" t="s">
        <v>429</v>
      </c>
      <c r="D745" s="4" t="s">
        <v>430</v>
      </c>
      <c r="E745" s="4"/>
      <c r="F745" s="4" t="s">
        <v>1491</v>
      </c>
      <c r="G745" s="5" t="s">
        <v>431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+VLOOKUP(G745,Liste!$A$7:$G$69,3,FALSE)</f>
        <v>Sapin pectiné</v>
      </c>
      <c r="BI745" s="96" t="str">
        <f>+VLOOKUP(H745,Liste!$B$7:$G$69,5,FALSE)</f>
        <v>GS Arc Jurassien</v>
      </c>
      <c r="BJ745" s="135">
        <f t="shared" si="223"/>
        <v>74</v>
      </c>
      <c r="BK745" s="135" t="str">
        <f t="shared" si="225"/>
        <v>Sapin pectiné_F2_Cas général_GS Arc Jurassien_74_</v>
      </c>
      <c r="BL745" s="319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97" t="str">
        <f>+VLOOKUP(G745,Liste!$A$7:$H$69,8,FALSE)</f>
        <v>Résineux</v>
      </c>
      <c r="BU745" s="297">
        <f t="shared" si="226"/>
        <v>0</v>
      </c>
      <c r="BV745" s="299">
        <f t="shared" si="227"/>
        <v>1</v>
      </c>
      <c r="BW745" s="318">
        <v>0</v>
      </c>
      <c r="BX745" s="297">
        <f t="shared" si="228"/>
        <v>0.43</v>
      </c>
      <c r="BY745">
        <f t="shared" si="229"/>
        <v>0</v>
      </c>
      <c r="BZ745" s="303">
        <f t="shared" si="230"/>
        <v>0</v>
      </c>
      <c r="CB745" s="298">
        <v>0.6</v>
      </c>
      <c r="CC745" s="298">
        <v>0.4</v>
      </c>
      <c r="CD745">
        <f t="shared" si="231"/>
        <v>0</v>
      </c>
      <c r="CE745">
        <f t="shared" si="232"/>
        <v>0</v>
      </c>
      <c r="CF745">
        <f t="shared" si="233"/>
        <v>0</v>
      </c>
      <c r="CG745">
        <f t="shared" si="234"/>
        <v>0</v>
      </c>
      <c r="CH745">
        <f t="shared" si="235"/>
        <v>0</v>
      </c>
      <c r="CI745">
        <f t="shared" si="236"/>
        <v>0</v>
      </c>
      <c r="CJ745">
        <f t="shared" si="237"/>
        <v>0</v>
      </c>
      <c r="CK745">
        <f t="shared" si="238"/>
        <v>0</v>
      </c>
      <c r="CL745">
        <f t="shared" si="239"/>
        <v>0</v>
      </c>
      <c r="CM745">
        <f t="shared" si="241"/>
        <v>0</v>
      </c>
      <c r="CN745">
        <f t="shared" si="240"/>
        <v>0</v>
      </c>
      <c r="CO745">
        <f t="shared" si="224"/>
        <v>0</v>
      </c>
    </row>
    <row r="746" spans="1:93" s="12" customFormat="1" hidden="1" x14ac:dyDescent="0.25">
      <c r="A746" s="4">
        <v>2013</v>
      </c>
      <c r="B746" s="315">
        <v>44265</v>
      </c>
      <c r="C746" s="4" t="s">
        <v>429</v>
      </c>
      <c r="D746" s="4" t="s">
        <v>430</v>
      </c>
      <c r="E746" s="4"/>
      <c r="F746" s="4" t="s">
        <v>1491</v>
      </c>
      <c r="G746" s="5" t="s">
        <v>431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+VLOOKUP(G746,Liste!$A$7:$G$69,3,FALSE)</f>
        <v>Sapin pectiné</v>
      </c>
      <c r="BI746" s="96" t="str">
        <f>+VLOOKUP(H746,Liste!$B$7:$G$69,5,FALSE)</f>
        <v>GS Arc Jurassien</v>
      </c>
      <c r="BJ746" s="135">
        <f t="shared" si="223"/>
        <v>75</v>
      </c>
      <c r="BK746" s="135" t="str">
        <f t="shared" si="225"/>
        <v>Sapin pectiné_F2_Cas général_GS Arc Jurassien_75_</v>
      </c>
      <c r="BL746" s="319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97" t="str">
        <f>+VLOOKUP(G746,Liste!$A$7:$H$69,8,FALSE)</f>
        <v>Résineux</v>
      </c>
      <c r="BU746" s="297">
        <f t="shared" si="226"/>
        <v>0</v>
      </c>
      <c r="BV746" s="299">
        <f t="shared" si="227"/>
        <v>1</v>
      </c>
      <c r="BW746" s="318">
        <v>0</v>
      </c>
      <c r="BX746" s="297">
        <f t="shared" si="228"/>
        <v>0.43</v>
      </c>
      <c r="BY746">
        <f t="shared" si="229"/>
        <v>0</v>
      </c>
      <c r="BZ746" s="303">
        <f t="shared" si="230"/>
        <v>0</v>
      </c>
      <c r="CB746" s="298">
        <v>0.6</v>
      </c>
      <c r="CC746" s="298">
        <v>0.4</v>
      </c>
      <c r="CD746">
        <f t="shared" si="231"/>
        <v>0</v>
      </c>
      <c r="CE746">
        <f t="shared" si="232"/>
        <v>0</v>
      </c>
      <c r="CF746">
        <f t="shared" si="233"/>
        <v>0</v>
      </c>
      <c r="CG746">
        <f t="shared" si="234"/>
        <v>0</v>
      </c>
      <c r="CH746">
        <f t="shared" si="235"/>
        <v>0</v>
      </c>
      <c r="CI746">
        <f t="shared" si="236"/>
        <v>0</v>
      </c>
      <c r="CJ746">
        <f t="shared" si="237"/>
        <v>0</v>
      </c>
      <c r="CK746">
        <f t="shared" si="238"/>
        <v>0</v>
      </c>
      <c r="CL746">
        <f t="shared" si="239"/>
        <v>0</v>
      </c>
      <c r="CM746">
        <f t="shared" si="241"/>
        <v>0</v>
      </c>
      <c r="CN746">
        <f t="shared" si="240"/>
        <v>0</v>
      </c>
      <c r="CO746">
        <f t="shared" si="224"/>
        <v>0</v>
      </c>
    </row>
    <row r="747" spans="1:93" s="12" customFormat="1" hidden="1" x14ac:dyDescent="0.25">
      <c r="A747" s="4">
        <v>2013</v>
      </c>
      <c r="B747" s="315">
        <v>44265</v>
      </c>
      <c r="C747" s="4" t="s">
        <v>429</v>
      </c>
      <c r="D747" s="4" t="s">
        <v>430</v>
      </c>
      <c r="E747" s="4"/>
      <c r="F747" s="4" t="s">
        <v>1491</v>
      </c>
      <c r="G747" s="5" t="s">
        <v>431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+VLOOKUP(G747,Liste!$A$7:$G$69,3,FALSE)</f>
        <v>Sapin pectiné</v>
      </c>
      <c r="BI747" s="96" t="str">
        <f>+VLOOKUP(H747,Liste!$B$7:$G$69,5,FALSE)</f>
        <v>GS Arc Jurassien</v>
      </c>
      <c r="BJ747" s="135">
        <f t="shared" si="223"/>
        <v>76</v>
      </c>
      <c r="BK747" s="135" t="str">
        <f t="shared" si="225"/>
        <v>Sapin pectiné_F2_Cas général_GS Arc Jurassien_76_</v>
      </c>
      <c r="BL747" s="319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97" t="str">
        <f>+VLOOKUP(G747,Liste!$A$7:$H$69,8,FALSE)</f>
        <v>Résineux</v>
      </c>
      <c r="BU747" s="297">
        <f t="shared" si="226"/>
        <v>0</v>
      </c>
      <c r="BV747" s="299">
        <f t="shared" si="227"/>
        <v>1</v>
      </c>
      <c r="BW747" s="318">
        <v>0</v>
      </c>
      <c r="BX747" s="297">
        <f t="shared" si="228"/>
        <v>0.43</v>
      </c>
      <c r="BY747">
        <f t="shared" si="229"/>
        <v>0</v>
      </c>
      <c r="BZ747" s="303">
        <f t="shared" si="230"/>
        <v>0</v>
      </c>
      <c r="CB747" s="298">
        <v>0.6</v>
      </c>
      <c r="CC747" s="298">
        <v>0.4</v>
      </c>
      <c r="CD747">
        <f t="shared" si="231"/>
        <v>0</v>
      </c>
      <c r="CE747">
        <f t="shared" si="232"/>
        <v>0</v>
      </c>
      <c r="CF747">
        <f t="shared" si="233"/>
        <v>0</v>
      </c>
      <c r="CG747">
        <f t="shared" si="234"/>
        <v>0</v>
      </c>
      <c r="CH747">
        <f t="shared" si="235"/>
        <v>0</v>
      </c>
      <c r="CI747">
        <f t="shared" si="236"/>
        <v>0</v>
      </c>
      <c r="CJ747">
        <f t="shared" si="237"/>
        <v>0</v>
      </c>
      <c r="CK747">
        <f t="shared" si="238"/>
        <v>0</v>
      </c>
      <c r="CL747">
        <f t="shared" si="239"/>
        <v>0</v>
      </c>
      <c r="CM747">
        <f t="shared" si="241"/>
        <v>0</v>
      </c>
      <c r="CN747">
        <f t="shared" si="240"/>
        <v>0</v>
      </c>
      <c r="CO747">
        <f t="shared" si="224"/>
        <v>0</v>
      </c>
    </row>
    <row r="748" spans="1:93" s="12" customFormat="1" hidden="1" x14ac:dyDescent="0.25">
      <c r="A748" s="4">
        <v>2013</v>
      </c>
      <c r="B748" s="315">
        <v>44265</v>
      </c>
      <c r="C748" s="4" t="s">
        <v>429</v>
      </c>
      <c r="D748" s="4" t="s">
        <v>430</v>
      </c>
      <c r="E748" s="4"/>
      <c r="F748" s="4" t="s">
        <v>1491</v>
      </c>
      <c r="G748" s="5" t="s">
        <v>431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+VLOOKUP(G748,Liste!$A$7:$G$69,3,FALSE)</f>
        <v>Sapin pectiné</v>
      </c>
      <c r="BI748" s="96" t="str">
        <f>+VLOOKUP(H748,Liste!$B$7:$G$69,5,FALSE)</f>
        <v>GS Arc Jurassien</v>
      </c>
      <c r="BJ748" s="135">
        <f t="shared" si="223"/>
        <v>77</v>
      </c>
      <c r="BK748" s="135" t="str">
        <f t="shared" si="225"/>
        <v>Sapin pectiné_F2_Cas général_GS Arc Jurassien_77_</v>
      </c>
      <c r="BL748" s="319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97" t="str">
        <f>+VLOOKUP(G748,Liste!$A$7:$H$69,8,FALSE)</f>
        <v>Résineux</v>
      </c>
      <c r="BU748" s="297">
        <f t="shared" si="226"/>
        <v>0</v>
      </c>
      <c r="BV748" s="299">
        <f t="shared" si="227"/>
        <v>1</v>
      </c>
      <c r="BW748" s="318">
        <v>0</v>
      </c>
      <c r="BX748" s="297">
        <f t="shared" si="228"/>
        <v>0.43</v>
      </c>
      <c r="BY748">
        <f t="shared" si="229"/>
        <v>0</v>
      </c>
      <c r="BZ748" s="303">
        <f t="shared" si="230"/>
        <v>0</v>
      </c>
      <c r="CB748" s="298">
        <v>0.6</v>
      </c>
      <c r="CC748" s="298">
        <v>0.4</v>
      </c>
      <c r="CD748">
        <f t="shared" si="231"/>
        <v>0</v>
      </c>
      <c r="CE748">
        <f t="shared" si="232"/>
        <v>0</v>
      </c>
      <c r="CF748">
        <f t="shared" si="233"/>
        <v>0</v>
      </c>
      <c r="CG748">
        <f t="shared" si="234"/>
        <v>0</v>
      </c>
      <c r="CH748">
        <f t="shared" si="235"/>
        <v>0</v>
      </c>
      <c r="CI748">
        <f t="shared" si="236"/>
        <v>0</v>
      </c>
      <c r="CJ748">
        <f t="shared" si="237"/>
        <v>0</v>
      </c>
      <c r="CK748">
        <f t="shared" si="238"/>
        <v>0</v>
      </c>
      <c r="CL748">
        <f t="shared" si="239"/>
        <v>0</v>
      </c>
      <c r="CM748">
        <f t="shared" si="241"/>
        <v>0</v>
      </c>
      <c r="CN748">
        <f t="shared" si="240"/>
        <v>0</v>
      </c>
      <c r="CO748">
        <f t="shared" si="224"/>
        <v>0</v>
      </c>
    </row>
    <row r="749" spans="1:93" s="12" customFormat="1" hidden="1" x14ac:dyDescent="0.25">
      <c r="A749" s="4">
        <v>2013</v>
      </c>
      <c r="B749" s="315">
        <v>44265</v>
      </c>
      <c r="C749" s="4" t="s">
        <v>429</v>
      </c>
      <c r="D749" s="4" t="s">
        <v>430</v>
      </c>
      <c r="E749" s="4"/>
      <c r="F749" s="4" t="s">
        <v>1491</v>
      </c>
      <c r="G749" s="5" t="s">
        <v>431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+VLOOKUP(G749,Liste!$A$7:$G$69,3,FALSE)</f>
        <v>Sapin pectiné</v>
      </c>
      <c r="BI749" s="96" t="str">
        <f>+VLOOKUP(H749,Liste!$B$7:$G$69,5,FALSE)</f>
        <v>GS Arc Jurassien</v>
      </c>
      <c r="BJ749" s="135">
        <f t="shared" si="223"/>
        <v>78</v>
      </c>
      <c r="BK749" s="135" t="str">
        <f t="shared" si="225"/>
        <v>Sapin pectiné_F2_Cas général_GS Arc Jurassien_78_</v>
      </c>
      <c r="BL749" s="319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97" t="str">
        <f>+VLOOKUP(G749,Liste!$A$7:$H$69,8,FALSE)</f>
        <v>Résineux</v>
      </c>
      <c r="BU749" s="297">
        <f t="shared" si="226"/>
        <v>0</v>
      </c>
      <c r="BV749" s="299">
        <f t="shared" si="227"/>
        <v>1</v>
      </c>
      <c r="BW749" s="318">
        <v>0</v>
      </c>
      <c r="BX749" s="297">
        <f t="shared" si="228"/>
        <v>0.43</v>
      </c>
      <c r="BY749">
        <f t="shared" si="229"/>
        <v>0</v>
      </c>
      <c r="BZ749" s="303">
        <f t="shared" si="230"/>
        <v>0</v>
      </c>
      <c r="CB749" s="298">
        <v>0.6</v>
      </c>
      <c r="CC749" s="298">
        <v>0.4</v>
      </c>
      <c r="CD749">
        <f t="shared" si="231"/>
        <v>0</v>
      </c>
      <c r="CE749">
        <f t="shared" si="232"/>
        <v>0</v>
      </c>
      <c r="CF749">
        <f t="shared" si="233"/>
        <v>0</v>
      </c>
      <c r="CG749">
        <f t="shared" si="234"/>
        <v>0</v>
      </c>
      <c r="CH749">
        <f t="shared" si="235"/>
        <v>0</v>
      </c>
      <c r="CI749">
        <f t="shared" si="236"/>
        <v>0</v>
      </c>
      <c r="CJ749">
        <f t="shared" si="237"/>
        <v>0</v>
      </c>
      <c r="CK749">
        <f t="shared" si="238"/>
        <v>0</v>
      </c>
      <c r="CL749">
        <f t="shared" si="239"/>
        <v>0</v>
      </c>
      <c r="CM749">
        <f t="shared" si="241"/>
        <v>0</v>
      </c>
      <c r="CN749">
        <f t="shared" si="240"/>
        <v>0</v>
      </c>
      <c r="CO749">
        <f t="shared" si="224"/>
        <v>0</v>
      </c>
    </row>
    <row r="750" spans="1:93" s="12" customFormat="1" hidden="1" x14ac:dyDescent="0.25">
      <c r="A750" s="4">
        <v>2013</v>
      </c>
      <c r="B750" s="315">
        <v>44265</v>
      </c>
      <c r="C750" s="4" t="s">
        <v>429</v>
      </c>
      <c r="D750" s="4" t="s">
        <v>430</v>
      </c>
      <c r="E750" s="4"/>
      <c r="F750" s="4" t="s">
        <v>1491</v>
      </c>
      <c r="G750" s="5" t="s">
        <v>431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+VLOOKUP(G750,Liste!$A$7:$G$69,3,FALSE)</f>
        <v>Sapin pectiné</v>
      </c>
      <c r="BI750" s="96" t="str">
        <f>+VLOOKUP(H750,Liste!$B$7:$G$69,5,FALSE)</f>
        <v>GS Arc Jurassien</v>
      </c>
      <c r="BJ750" s="135">
        <f t="shared" si="223"/>
        <v>79</v>
      </c>
      <c r="BK750" s="135" t="str">
        <f t="shared" si="225"/>
        <v>Sapin pectiné_F2_Cas général_GS Arc Jurassien_79_</v>
      </c>
      <c r="BL750" s="319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97" t="str">
        <f>+VLOOKUP(G750,Liste!$A$7:$H$69,8,FALSE)</f>
        <v>Résineux</v>
      </c>
      <c r="BU750" s="297">
        <f t="shared" si="226"/>
        <v>0</v>
      </c>
      <c r="BV750" s="299">
        <f t="shared" si="227"/>
        <v>1</v>
      </c>
      <c r="BW750" s="318">
        <v>0</v>
      </c>
      <c r="BX750" s="297">
        <f t="shared" si="228"/>
        <v>0.43</v>
      </c>
      <c r="BY750">
        <f t="shared" si="229"/>
        <v>0</v>
      </c>
      <c r="BZ750" s="303">
        <f t="shared" si="230"/>
        <v>0</v>
      </c>
      <c r="CB750" s="298">
        <v>0.6</v>
      </c>
      <c r="CC750" s="298">
        <v>0.4</v>
      </c>
      <c r="CD750">
        <f t="shared" si="231"/>
        <v>0</v>
      </c>
      <c r="CE750">
        <f t="shared" si="232"/>
        <v>0</v>
      </c>
      <c r="CF750">
        <f t="shared" si="233"/>
        <v>0</v>
      </c>
      <c r="CG750">
        <f t="shared" si="234"/>
        <v>0</v>
      </c>
      <c r="CH750">
        <f t="shared" si="235"/>
        <v>0</v>
      </c>
      <c r="CI750">
        <f t="shared" si="236"/>
        <v>0</v>
      </c>
      <c r="CJ750">
        <f t="shared" si="237"/>
        <v>0</v>
      </c>
      <c r="CK750">
        <f t="shared" si="238"/>
        <v>0</v>
      </c>
      <c r="CL750">
        <f t="shared" si="239"/>
        <v>0</v>
      </c>
      <c r="CM750">
        <f t="shared" si="241"/>
        <v>0</v>
      </c>
      <c r="CN750">
        <f t="shared" si="240"/>
        <v>0</v>
      </c>
      <c r="CO750">
        <f t="shared" si="224"/>
        <v>0</v>
      </c>
    </row>
    <row r="751" spans="1:93" s="12" customFormat="1" hidden="1" x14ac:dyDescent="0.25">
      <c r="A751" s="4">
        <v>2013</v>
      </c>
      <c r="B751" s="315">
        <v>44265</v>
      </c>
      <c r="C751" s="4" t="s">
        <v>429</v>
      </c>
      <c r="D751" s="4" t="s">
        <v>430</v>
      </c>
      <c r="E751" s="4"/>
      <c r="F751" s="4" t="s">
        <v>1491</v>
      </c>
      <c r="G751" s="5" t="s">
        <v>431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+VLOOKUP(G751,Liste!$A$7:$G$69,3,FALSE)</f>
        <v>Sapin pectiné</v>
      </c>
      <c r="BI751" s="96" t="str">
        <f>+VLOOKUP(H751,Liste!$B$7:$G$69,5,FALSE)</f>
        <v>GS Arc Jurassien</v>
      </c>
      <c r="BJ751" s="135">
        <f t="shared" si="223"/>
        <v>80</v>
      </c>
      <c r="BK751" s="135" t="str">
        <f t="shared" si="225"/>
        <v>Sapin pectiné_F2_Cas général_GS Arc Jurassien_80_</v>
      </c>
      <c r="BL751" s="319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97" t="str">
        <f>+VLOOKUP(G751,Liste!$A$7:$H$69,8,FALSE)</f>
        <v>Résineux</v>
      </c>
      <c r="BU751" s="297">
        <f t="shared" si="226"/>
        <v>0</v>
      </c>
      <c r="BV751" s="299">
        <f t="shared" si="227"/>
        <v>1</v>
      </c>
      <c r="BW751" s="318">
        <v>0</v>
      </c>
      <c r="BX751" s="297">
        <f t="shared" si="228"/>
        <v>0.43</v>
      </c>
      <c r="BY751">
        <f t="shared" si="229"/>
        <v>0</v>
      </c>
      <c r="BZ751" s="303">
        <f t="shared" si="230"/>
        <v>0</v>
      </c>
      <c r="CB751" s="298">
        <v>0.6</v>
      </c>
      <c r="CC751" s="298">
        <v>0.4</v>
      </c>
      <c r="CD751">
        <f t="shared" si="231"/>
        <v>0</v>
      </c>
      <c r="CE751">
        <f t="shared" si="232"/>
        <v>0</v>
      </c>
      <c r="CF751">
        <f t="shared" si="233"/>
        <v>0</v>
      </c>
      <c r="CG751">
        <f t="shared" si="234"/>
        <v>0</v>
      </c>
      <c r="CH751">
        <f t="shared" si="235"/>
        <v>0</v>
      </c>
      <c r="CI751">
        <f t="shared" si="236"/>
        <v>0</v>
      </c>
      <c r="CJ751">
        <f t="shared" si="237"/>
        <v>0</v>
      </c>
      <c r="CK751">
        <f t="shared" si="238"/>
        <v>0</v>
      </c>
      <c r="CL751">
        <f t="shared" si="239"/>
        <v>0</v>
      </c>
      <c r="CM751">
        <f t="shared" si="241"/>
        <v>0</v>
      </c>
      <c r="CN751">
        <f t="shared" si="240"/>
        <v>0</v>
      </c>
      <c r="CO751">
        <f t="shared" si="224"/>
        <v>0</v>
      </c>
    </row>
    <row r="752" spans="1:93" s="12" customFormat="1" hidden="1" x14ac:dyDescent="0.25">
      <c r="A752" s="4">
        <v>2013</v>
      </c>
      <c r="B752" s="315">
        <v>44265</v>
      </c>
      <c r="C752" s="4" t="s">
        <v>429</v>
      </c>
      <c r="D752" s="4" t="s">
        <v>430</v>
      </c>
      <c r="E752" s="4"/>
      <c r="F752" s="4" t="s">
        <v>1491</v>
      </c>
      <c r="G752" s="5" t="s">
        <v>431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+VLOOKUP(G752,Liste!$A$7:$G$69,3,FALSE)</f>
        <v>Sapin pectiné</v>
      </c>
      <c r="BI752" s="96" t="str">
        <f>+VLOOKUP(H752,Liste!$B$7:$G$69,5,FALSE)</f>
        <v>GS Arc Jurassien</v>
      </c>
      <c r="BJ752" s="135">
        <f t="shared" si="223"/>
        <v>81</v>
      </c>
      <c r="BK752" s="135" t="str">
        <f t="shared" si="225"/>
        <v>Sapin pectiné_F2_Cas général_GS Arc Jurassien_81_</v>
      </c>
      <c r="BL752" s="319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97" t="str">
        <f>+VLOOKUP(G752,Liste!$A$7:$H$69,8,FALSE)</f>
        <v>Résineux</v>
      </c>
      <c r="BU752" s="297">
        <f t="shared" si="226"/>
        <v>0</v>
      </c>
      <c r="BV752" s="299">
        <f t="shared" si="227"/>
        <v>1</v>
      </c>
      <c r="BW752" s="318">
        <v>0</v>
      </c>
      <c r="BX752" s="297">
        <f t="shared" si="228"/>
        <v>0.43</v>
      </c>
      <c r="BY752">
        <f t="shared" si="229"/>
        <v>0</v>
      </c>
      <c r="BZ752" s="303">
        <f t="shared" si="230"/>
        <v>0</v>
      </c>
      <c r="CB752" s="298">
        <v>0.6</v>
      </c>
      <c r="CC752" s="298">
        <v>0.4</v>
      </c>
      <c r="CD752">
        <f t="shared" si="231"/>
        <v>0</v>
      </c>
      <c r="CE752">
        <f t="shared" si="232"/>
        <v>0</v>
      </c>
      <c r="CF752">
        <f t="shared" si="233"/>
        <v>0</v>
      </c>
      <c r="CG752">
        <f t="shared" si="234"/>
        <v>0</v>
      </c>
      <c r="CH752">
        <f t="shared" si="235"/>
        <v>0</v>
      </c>
      <c r="CI752">
        <f t="shared" si="236"/>
        <v>0</v>
      </c>
      <c r="CJ752">
        <f t="shared" si="237"/>
        <v>0</v>
      </c>
      <c r="CK752">
        <f t="shared" si="238"/>
        <v>0</v>
      </c>
      <c r="CL752">
        <f t="shared" si="239"/>
        <v>0</v>
      </c>
      <c r="CM752">
        <f t="shared" si="241"/>
        <v>0</v>
      </c>
      <c r="CN752">
        <f t="shared" si="240"/>
        <v>0</v>
      </c>
      <c r="CO752">
        <f t="shared" si="224"/>
        <v>0</v>
      </c>
    </row>
    <row r="753" spans="1:93" s="12" customFormat="1" hidden="1" x14ac:dyDescent="0.25">
      <c r="A753" s="4">
        <v>2013</v>
      </c>
      <c r="B753" s="315">
        <v>44265</v>
      </c>
      <c r="C753" s="4" t="s">
        <v>429</v>
      </c>
      <c r="D753" s="4" t="s">
        <v>430</v>
      </c>
      <c r="E753" s="4"/>
      <c r="F753" s="4" t="s">
        <v>1491</v>
      </c>
      <c r="G753" s="5" t="s">
        <v>431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+VLOOKUP(G753,Liste!$A$7:$G$69,3,FALSE)</f>
        <v>Sapin pectiné</v>
      </c>
      <c r="BI753" s="96" t="str">
        <f>+VLOOKUP(H753,Liste!$B$7:$G$69,5,FALSE)</f>
        <v>GS Arc Jurassien</v>
      </c>
      <c r="BJ753" s="135">
        <f t="shared" si="223"/>
        <v>81</v>
      </c>
      <c r="BK753" s="135" t="str">
        <f t="shared" si="225"/>
        <v>Sapin pectiné_F2_Cas général_GS Arc Jurassien_81_</v>
      </c>
      <c r="BL753" s="319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97" t="str">
        <f>+VLOOKUP(G753,Liste!$A$7:$H$69,8,FALSE)</f>
        <v>Résineux</v>
      </c>
      <c r="BU753" s="297">
        <f t="shared" si="226"/>
        <v>0</v>
      </c>
      <c r="BV753" s="299">
        <f t="shared" si="227"/>
        <v>1</v>
      </c>
      <c r="BW753" s="318">
        <v>0</v>
      </c>
      <c r="BX753" s="297">
        <f t="shared" si="228"/>
        <v>0.43</v>
      </c>
      <c r="BY753">
        <f t="shared" si="229"/>
        <v>0</v>
      </c>
      <c r="BZ753" s="303">
        <f t="shared" si="230"/>
        <v>0</v>
      </c>
      <c r="CB753" s="298">
        <v>0.6</v>
      </c>
      <c r="CC753" s="298">
        <v>0.4</v>
      </c>
      <c r="CD753">
        <f t="shared" si="231"/>
        <v>0</v>
      </c>
      <c r="CE753">
        <f t="shared" si="232"/>
        <v>0</v>
      </c>
      <c r="CF753">
        <f t="shared" si="233"/>
        <v>0</v>
      </c>
      <c r="CG753">
        <f t="shared" si="234"/>
        <v>0</v>
      </c>
      <c r="CH753">
        <f t="shared" si="235"/>
        <v>0</v>
      </c>
      <c r="CI753">
        <f t="shared" si="236"/>
        <v>0</v>
      </c>
      <c r="CJ753">
        <f t="shared" si="237"/>
        <v>0</v>
      </c>
      <c r="CK753">
        <f t="shared" si="238"/>
        <v>0</v>
      </c>
      <c r="CL753">
        <f t="shared" si="239"/>
        <v>0</v>
      </c>
      <c r="CM753">
        <f t="shared" si="241"/>
        <v>0</v>
      </c>
      <c r="CN753">
        <f t="shared" si="240"/>
        <v>0</v>
      </c>
      <c r="CO753">
        <f t="shared" si="224"/>
        <v>0</v>
      </c>
    </row>
    <row r="754" spans="1:93" s="12" customFormat="1" hidden="1" x14ac:dyDescent="0.25">
      <c r="A754" s="4">
        <v>2013</v>
      </c>
      <c r="B754" s="315">
        <v>44265</v>
      </c>
      <c r="C754" s="4" t="s">
        <v>429</v>
      </c>
      <c r="D754" s="4" t="s">
        <v>430</v>
      </c>
      <c r="E754" s="4"/>
      <c r="F754" s="4" t="s">
        <v>1491</v>
      </c>
      <c r="G754" s="5" t="s">
        <v>431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+VLOOKUP(G754,Liste!$A$7:$G$69,3,FALSE)</f>
        <v>Sapin pectiné</v>
      </c>
      <c r="BI754" s="96" t="str">
        <f>+VLOOKUP(H754,Liste!$B$7:$G$69,5,FALSE)</f>
        <v>GS Arc Jurassien</v>
      </c>
      <c r="BJ754" s="135">
        <f t="shared" si="223"/>
        <v>82</v>
      </c>
      <c r="BK754" s="135" t="str">
        <f t="shared" si="225"/>
        <v>Sapin pectiné_F2_Cas général_GS Arc Jurassien_82_</v>
      </c>
      <c r="BL754" s="319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97" t="str">
        <f>+VLOOKUP(G754,Liste!$A$7:$H$69,8,FALSE)</f>
        <v>Résineux</v>
      </c>
      <c r="BU754" s="297">
        <f t="shared" si="226"/>
        <v>0</v>
      </c>
      <c r="BV754" s="299">
        <f t="shared" si="227"/>
        <v>1</v>
      </c>
      <c r="BW754" s="318">
        <v>0</v>
      </c>
      <c r="BX754" s="297">
        <f t="shared" si="228"/>
        <v>0.43</v>
      </c>
      <c r="BY754">
        <f t="shared" si="229"/>
        <v>0</v>
      </c>
      <c r="BZ754" s="303">
        <f t="shared" si="230"/>
        <v>0</v>
      </c>
      <c r="CB754" s="298">
        <v>0.6</v>
      </c>
      <c r="CC754" s="298">
        <v>0.4</v>
      </c>
      <c r="CD754">
        <f t="shared" si="231"/>
        <v>0</v>
      </c>
      <c r="CE754">
        <f t="shared" si="232"/>
        <v>0</v>
      </c>
      <c r="CF754">
        <f t="shared" si="233"/>
        <v>0</v>
      </c>
      <c r="CG754">
        <f t="shared" si="234"/>
        <v>0</v>
      </c>
      <c r="CH754">
        <f t="shared" si="235"/>
        <v>0</v>
      </c>
      <c r="CI754">
        <f t="shared" si="236"/>
        <v>0</v>
      </c>
      <c r="CJ754">
        <f t="shared" si="237"/>
        <v>0</v>
      </c>
      <c r="CK754">
        <f t="shared" si="238"/>
        <v>0</v>
      </c>
      <c r="CL754">
        <f t="shared" si="239"/>
        <v>0</v>
      </c>
      <c r="CM754">
        <f t="shared" si="241"/>
        <v>0</v>
      </c>
      <c r="CN754">
        <f t="shared" si="240"/>
        <v>0</v>
      </c>
      <c r="CO754">
        <f t="shared" si="224"/>
        <v>0</v>
      </c>
    </row>
    <row r="755" spans="1:93" s="12" customFormat="1" hidden="1" x14ac:dyDescent="0.25">
      <c r="A755" s="4">
        <v>2013</v>
      </c>
      <c r="B755" s="315">
        <v>44265</v>
      </c>
      <c r="C755" s="4" t="s">
        <v>429</v>
      </c>
      <c r="D755" s="4" t="s">
        <v>430</v>
      </c>
      <c r="E755" s="4"/>
      <c r="F755" s="4" t="s">
        <v>1491</v>
      </c>
      <c r="G755" s="5" t="s">
        <v>431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+VLOOKUP(G755,Liste!$A$7:$G$69,3,FALSE)</f>
        <v>Sapin pectiné</v>
      </c>
      <c r="BI755" s="96" t="str">
        <f>+VLOOKUP(H755,Liste!$B$7:$G$69,5,FALSE)</f>
        <v>GS Arc Jurassien</v>
      </c>
      <c r="BJ755" s="135">
        <f t="shared" si="223"/>
        <v>83</v>
      </c>
      <c r="BK755" s="135" t="str">
        <f t="shared" si="225"/>
        <v>Sapin pectiné_F2_Cas général_GS Arc Jurassien_83_</v>
      </c>
      <c r="BL755" s="319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97" t="str">
        <f>+VLOOKUP(G755,Liste!$A$7:$H$69,8,FALSE)</f>
        <v>Résineux</v>
      </c>
      <c r="BU755" s="297">
        <f t="shared" si="226"/>
        <v>0</v>
      </c>
      <c r="BV755" s="299">
        <f t="shared" si="227"/>
        <v>1</v>
      </c>
      <c r="BW755" s="318">
        <v>0</v>
      </c>
      <c r="BX755" s="297">
        <f t="shared" si="228"/>
        <v>0.43</v>
      </c>
      <c r="BY755">
        <f t="shared" si="229"/>
        <v>0</v>
      </c>
      <c r="BZ755" s="303">
        <f t="shared" si="230"/>
        <v>0</v>
      </c>
      <c r="CB755" s="298">
        <v>0.6</v>
      </c>
      <c r="CC755" s="298">
        <v>0.4</v>
      </c>
      <c r="CD755">
        <f t="shared" si="231"/>
        <v>0</v>
      </c>
      <c r="CE755">
        <f t="shared" si="232"/>
        <v>0</v>
      </c>
      <c r="CF755">
        <f t="shared" si="233"/>
        <v>0</v>
      </c>
      <c r="CG755">
        <f t="shared" si="234"/>
        <v>0</v>
      </c>
      <c r="CH755">
        <f t="shared" si="235"/>
        <v>0</v>
      </c>
      <c r="CI755">
        <f t="shared" si="236"/>
        <v>0</v>
      </c>
      <c r="CJ755">
        <f t="shared" si="237"/>
        <v>0</v>
      </c>
      <c r="CK755">
        <f t="shared" si="238"/>
        <v>0</v>
      </c>
      <c r="CL755">
        <f t="shared" si="239"/>
        <v>0</v>
      </c>
      <c r="CM755">
        <f t="shared" si="241"/>
        <v>0</v>
      </c>
      <c r="CN755">
        <f t="shared" si="240"/>
        <v>0</v>
      </c>
      <c r="CO755">
        <f t="shared" si="224"/>
        <v>0</v>
      </c>
    </row>
    <row r="756" spans="1:93" s="12" customFormat="1" hidden="1" x14ac:dyDescent="0.25">
      <c r="A756" s="4">
        <v>2013</v>
      </c>
      <c r="B756" s="315">
        <v>44265</v>
      </c>
      <c r="C756" s="4" t="s">
        <v>429</v>
      </c>
      <c r="D756" s="4" t="s">
        <v>430</v>
      </c>
      <c r="E756" s="4"/>
      <c r="F756" s="4" t="s">
        <v>1491</v>
      </c>
      <c r="G756" s="5" t="s">
        <v>431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+VLOOKUP(G756,Liste!$A$7:$G$69,3,FALSE)</f>
        <v>Sapin pectiné</v>
      </c>
      <c r="BI756" s="96" t="str">
        <f>+VLOOKUP(H756,Liste!$B$7:$G$69,5,FALSE)</f>
        <v>GS Arc Jurassien</v>
      </c>
      <c r="BJ756" s="135">
        <f t="shared" si="223"/>
        <v>84</v>
      </c>
      <c r="BK756" s="135" t="str">
        <f t="shared" si="225"/>
        <v>Sapin pectiné_F2_Cas général_GS Arc Jurassien_84_</v>
      </c>
      <c r="BL756" s="319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97" t="str">
        <f>+VLOOKUP(G756,Liste!$A$7:$H$69,8,FALSE)</f>
        <v>Résineux</v>
      </c>
      <c r="BU756" s="297">
        <f t="shared" si="226"/>
        <v>0</v>
      </c>
      <c r="BV756" s="299">
        <f t="shared" si="227"/>
        <v>1</v>
      </c>
      <c r="BW756" s="318">
        <v>0</v>
      </c>
      <c r="BX756" s="297">
        <f t="shared" si="228"/>
        <v>0.43</v>
      </c>
      <c r="BY756">
        <f t="shared" si="229"/>
        <v>0</v>
      </c>
      <c r="BZ756" s="303">
        <f t="shared" si="230"/>
        <v>0</v>
      </c>
      <c r="CB756" s="298">
        <v>0.6</v>
      </c>
      <c r="CC756" s="298">
        <v>0.4</v>
      </c>
      <c r="CD756">
        <f t="shared" si="231"/>
        <v>0</v>
      </c>
      <c r="CE756">
        <f t="shared" si="232"/>
        <v>0</v>
      </c>
      <c r="CF756">
        <f t="shared" si="233"/>
        <v>0</v>
      </c>
      <c r="CG756">
        <f t="shared" si="234"/>
        <v>0</v>
      </c>
      <c r="CH756">
        <f t="shared" si="235"/>
        <v>0</v>
      </c>
      <c r="CI756">
        <f t="shared" si="236"/>
        <v>0</v>
      </c>
      <c r="CJ756">
        <f t="shared" si="237"/>
        <v>0</v>
      </c>
      <c r="CK756">
        <f t="shared" si="238"/>
        <v>0</v>
      </c>
      <c r="CL756">
        <f t="shared" si="239"/>
        <v>0</v>
      </c>
      <c r="CM756">
        <f t="shared" si="241"/>
        <v>0</v>
      </c>
      <c r="CN756">
        <f t="shared" si="240"/>
        <v>0</v>
      </c>
      <c r="CO756">
        <f t="shared" si="224"/>
        <v>0</v>
      </c>
    </row>
    <row r="757" spans="1:93" s="12" customFormat="1" hidden="1" x14ac:dyDescent="0.25">
      <c r="A757" s="4">
        <v>2013</v>
      </c>
      <c r="B757" s="315">
        <v>44265</v>
      </c>
      <c r="C757" s="4" t="s">
        <v>429</v>
      </c>
      <c r="D757" s="4" t="s">
        <v>430</v>
      </c>
      <c r="E757" s="4"/>
      <c r="F757" s="4" t="s">
        <v>1491</v>
      </c>
      <c r="G757" s="5" t="s">
        <v>431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+VLOOKUP(G757,Liste!$A$7:$G$69,3,FALSE)</f>
        <v>Sapin pectiné</v>
      </c>
      <c r="BI757" s="96" t="str">
        <f>+VLOOKUP(H757,Liste!$B$7:$G$69,5,FALSE)</f>
        <v>GS Arc Jurassien</v>
      </c>
      <c r="BJ757" s="135">
        <f t="shared" si="223"/>
        <v>85</v>
      </c>
      <c r="BK757" s="135" t="str">
        <f t="shared" si="225"/>
        <v>Sapin pectiné_F2_Cas général_GS Arc Jurassien_85_</v>
      </c>
      <c r="BL757" s="319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97" t="str">
        <f>+VLOOKUP(G757,Liste!$A$7:$H$69,8,FALSE)</f>
        <v>Résineux</v>
      </c>
      <c r="BU757" s="297">
        <f t="shared" si="226"/>
        <v>0</v>
      </c>
      <c r="BV757" s="299">
        <f t="shared" si="227"/>
        <v>1</v>
      </c>
      <c r="BW757" s="318">
        <v>0</v>
      </c>
      <c r="BX757" s="297">
        <f t="shared" si="228"/>
        <v>0.43</v>
      </c>
      <c r="BY757">
        <f t="shared" si="229"/>
        <v>0</v>
      </c>
      <c r="BZ757" s="303">
        <f t="shared" si="230"/>
        <v>0</v>
      </c>
      <c r="CB757" s="298">
        <v>0.6</v>
      </c>
      <c r="CC757" s="298">
        <v>0.4</v>
      </c>
      <c r="CD757">
        <f t="shared" si="231"/>
        <v>0</v>
      </c>
      <c r="CE757">
        <f t="shared" si="232"/>
        <v>0</v>
      </c>
      <c r="CF757">
        <f t="shared" si="233"/>
        <v>0</v>
      </c>
      <c r="CG757">
        <f t="shared" si="234"/>
        <v>0</v>
      </c>
      <c r="CH757">
        <f t="shared" si="235"/>
        <v>0</v>
      </c>
      <c r="CI757">
        <f t="shared" si="236"/>
        <v>0</v>
      </c>
      <c r="CJ757">
        <f t="shared" si="237"/>
        <v>0</v>
      </c>
      <c r="CK757">
        <f t="shared" si="238"/>
        <v>0</v>
      </c>
      <c r="CL757">
        <f t="shared" si="239"/>
        <v>0</v>
      </c>
      <c r="CM757">
        <f t="shared" si="241"/>
        <v>0</v>
      </c>
      <c r="CN757">
        <f t="shared" si="240"/>
        <v>0</v>
      </c>
      <c r="CO757">
        <f t="shared" si="224"/>
        <v>0</v>
      </c>
    </row>
    <row r="758" spans="1:93" s="12" customFormat="1" hidden="1" x14ac:dyDescent="0.25">
      <c r="A758" s="4">
        <v>2013</v>
      </c>
      <c r="B758" s="315">
        <v>44265</v>
      </c>
      <c r="C758" s="4" t="s">
        <v>429</v>
      </c>
      <c r="D758" s="4" t="s">
        <v>430</v>
      </c>
      <c r="E758" s="4"/>
      <c r="F758" s="4" t="s">
        <v>1491</v>
      </c>
      <c r="G758" s="5" t="s">
        <v>431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+VLOOKUP(G758,Liste!$A$7:$G$69,3,FALSE)</f>
        <v>Sapin pectiné</v>
      </c>
      <c r="BI758" s="96" t="str">
        <f>+VLOOKUP(H758,Liste!$B$7:$G$69,5,FALSE)</f>
        <v>GS Arc Jurassien</v>
      </c>
      <c r="BJ758" s="135">
        <f t="shared" si="223"/>
        <v>86</v>
      </c>
      <c r="BK758" s="135" t="str">
        <f t="shared" si="225"/>
        <v>Sapin pectiné_F2_Cas général_GS Arc Jurassien_86_</v>
      </c>
      <c r="BL758" s="319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97" t="str">
        <f>+VLOOKUP(G758,Liste!$A$7:$H$69,8,FALSE)</f>
        <v>Résineux</v>
      </c>
      <c r="BU758" s="297">
        <f t="shared" si="226"/>
        <v>0</v>
      </c>
      <c r="BV758" s="299">
        <f t="shared" si="227"/>
        <v>1</v>
      </c>
      <c r="BW758" s="318">
        <v>0</v>
      </c>
      <c r="BX758" s="297">
        <f t="shared" si="228"/>
        <v>0.43</v>
      </c>
      <c r="BY758">
        <f t="shared" si="229"/>
        <v>0</v>
      </c>
      <c r="BZ758" s="303">
        <f t="shared" si="230"/>
        <v>0</v>
      </c>
      <c r="CB758" s="298">
        <v>0.6</v>
      </c>
      <c r="CC758" s="298">
        <v>0.4</v>
      </c>
      <c r="CD758">
        <f t="shared" si="231"/>
        <v>0</v>
      </c>
      <c r="CE758">
        <f t="shared" si="232"/>
        <v>0</v>
      </c>
      <c r="CF758">
        <f t="shared" si="233"/>
        <v>0</v>
      </c>
      <c r="CG758">
        <f t="shared" si="234"/>
        <v>0</v>
      </c>
      <c r="CH758">
        <f t="shared" si="235"/>
        <v>0</v>
      </c>
      <c r="CI758">
        <f t="shared" si="236"/>
        <v>0</v>
      </c>
      <c r="CJ758">
        <f t="shared" si="237"/>
        <v>0</v>
      </c>
      <c r="CK758">
        <f t="shared" si="238"/>
        <v>0</v>
      </c>
      <c r="CL758">
        <f t="shared" si="239"/>
        <v>0</v>
      </c>
      <c r="CM758">
        <f t="shared" si="241"/>
        <v>0</v>
      </c>
      <c r="CN758">
        <f t="shared" si="240"/>
        <v>0</v>
      </c>
      <c r="CO758">
        <f t="shared" si="224"/>
        <v>0</v>
      </c>
    </row>
    <row r="759" spans="1:93" s="12" customFormat="1" hidden="1" x14ac:dyDescent="0.25">
      <c r="A759" s="4">
        <v>2013</v>
      </c>
      <c r="B759" s="315">
        <v>44265</v>
      </c>
      <c r="C759" s="4" t="s">
        <v>429</v>
      </c>
      <c r="D759" s="4" t="s">
        <v>430</v>
      </c>
      <c r="E759" s="4"/>
      <c r="F759" s="4" t="s">
        <v>1491</v>
      </c>
      <c r="G759" s="5" t="s">
        <v>431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+VLOOKUP(G759,Liste!$A$7:$G$69,3,FALSE)</f>
        <v>Sapin pectiné</v>
      </c>
      <c r="BI759" s="96" t="str">
        <f>+VLOOKUP(H759,Liste!$B$7:$G$69,5,FALSE)</f>
        <v>GS Arc Jurassien</v>
      </c>
      <c r="BJ759" s="135">
        <f t="shared" si="223"/>
        <v>87</v>
      </c>
      <c r="BK759" s="135" t="str">
        <f t="shared" si="225"/>
        <v>Sapin pectiné_F2_Cas général_GS Arc Jurassien_87_</v>
      </c>
      <c r="BL759" s="319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97" t="str">
        <f>+VLOOKUP(G759,Liste!$A$7:$H$69,8,FALSE)</f>
        <v>Résineux</v>
      </c>
      <c r="BU759" s="297">
        <f t="shared" si="226"/>
        <v>0</v>
      </c>
      <c r="BV759" s="299">
        <f t="shared" si="227"/>
        <v>1</v>
      </c>
      <c r="BW759" s="318">
        <v>0</v>
      </c>
      <c r="BX759" s="297">
        <f t="shared" si="228"/>
        <v>0.43</v>
      </c>
      <c r="BY759">
        <f t="shared" si="229"/>
        <v>0</v>
      </c>
      <c r="BZ759" s="303">
        <f t="shared" si="230"/>
        <v>0</v>
      </c>
      <c r="CB759" s="298">
        <v>0.6</v>
      </c>
      <c r="CC759" s="298">
        <v>0.4</v>
      </c>
      <c r="CD759">
        <f t="shared" si="231"/>
        <v>0</v>
      </c>
      <c r="CE759">
        <f t="shared" si="232"/>
        <v>0</v>
      </c>
      <c r="CF759">
        <f t="shared" si="233"/>
        <v>0</v>
      </c>
      <c r="CG759">
        <f t="shared" si="234"/>
        <v>0</v>
      </c>
      <c r="CH759">
        <f t="shared" si="235"/>
        <v>0</v>
      </c>
      <c r="CI759">
        <f t="shared" si="236"/>
        <v>0</v>
      </c>
      <c r="CJ759">
        <f t="shared" si="237"/>
        <v>0</v>
      </c>
      <c r="CK759">
        <f t="shared" si="238"/>
        <v>0</v>
      </c>
      <c r="CL759">
        <f t="shared" si="239"/>
        <v>0</v>
      </c>
      <c r="CM759">
        <f t="shared" si="241"/>
        <v>0</v>
      </c>
      <c r="CN759">
        <f t="shared" si="240"/>
        <v>0</v>
      </c>
      <c r="CO759">
        <f t="shared" si="224"/>
        <v>0</v>
      </c>
    </row>
    <row r="760" spans="1:93" s="12" customFormat="1" hidden="1" x14ac:dyDescent="0.25">
      <c r="A760" s="4">
        <v>2013</v>
      </c>
      <c r="B760" s="315">
        <v>44265</v>
      </c>
      <c r="C760" s="4" t="s">
        <v>429</v>
      </c>
      <c r="D760" s="4" t="s">
        <v>430</v>
      </c>
      <c r="E760" s="4"/>
      <c r="F760" s="4" t="s">
        <v>1491</v>
      </c>
      <c r="G760" s="5" t="s">
        <v>431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+VLOOKUP(G760,Liste!$A$7:$G$69,3,FALSE)</f>
        <v>Sapin pectiné</v>
      </c>
      <c r="BI760" s="96" t="str">
        <f>+VLOOKUP(H760,Liste!$B$7:$G$69,5,FALSE)</f>
        <v>GS Arc Jurassien</v>
      </c>
      <c r="BJ760" s="135">
        <f t="shared" si="223"/>
        <v>88</v>
      </c>
      <c r="BK760" s="135" t="str">
        <f t="shared" si="225"/>
        <v>Sapin pectiné_F2_Cas général_GS Arc Jurassien_88_</v>
      </c>
      <c r="BL760" s="319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97" t="str">
        <f>+VLOOKUP(G760,Liste!$A$7:$H$69,8,FALSE)</f>
        <v>Résineux</v>
      </c>
      <c r="BU760" s="297">
        <f t="shared" si="226"/>
        <v>0</v>
      </c>
      <c r="BV760" s="299">
        <f t="shared" si="227"/>
        <v>1</v>
      </c>
      <c r="BW760" s="318">
        <v>0</v>
      </c>
      <c r="BX760" s="297">
        <f t="shared" si="228"/>
        <v>0.43</v>
      </c>
      <c r="BY760">
        <f t="shared" si="229"/>
        <v>0</v>
      </c>
      <c r="BZ760" s="303">
        <f t="shared" si="230"/>
        <v>0</v>
      </c>
      <c r="CB760" s="298">
        <v>0.6</v>
      </c>
      <c r="CC760" s="298">
        <v>0.4</v>
      </c>
      <c r="CD760">
        <f t="shared" si="231"/>
        <v>0</v>
      </c>
      <c r="CE760">
        <f t="shared" si="232"/>
        <v>0</v>
      </c>
      <c r="CF760">
        <f t="shared" si="233"/>
        <v>0</v>
      </c>
      <c r="CG760">
        <f t="shared" si="234"/>
        <v>0</v>
      </c>
      <c r="CH760">
        <f t="shared" si="235"/>
        <v>0</v>
      </c>
      <c r="CI760">
        <f t="shared" si="236"/>
        <v>0</v>
      </c>
      <c r="CJ760">
        <f t="shared" si="237"/>
        <v>0</v>
      </c>
      <c r="CK760">
        <f t="shared" si="238"/>
        <v>0</v>
      </c>
      <c r="CL760">
        <f t="shared" si="239"/>
        <v>0</v>
      </c>
      <c r="CM760">
        <f t="shared" si="241"/>
        <v>0</v>
      </c>
      <c r="CN760">
        <f t="shared" si="240"/>
        <v>0</v>
      </c>
      <c r="CO760">
        <f t="shared" si="224"/>
        <v>0</v>
      </c>
    </row>
    <row r="761" spans="1:93" s="12" customFormat="1" hidden="1" x14ac:dyDescent="0.25">
      <c r="A761" s="4">
        <v>2013</v>
      </c>
      <c r="B761" s="315">
        <v>44265</v>
      </c>
      <c r="C761" s="4" t="s">
        <v>429</v>
      </c>
      <c r="D761" s="4" t="s">
        <v>430</v>
      </c>
      <c r="E761" s="4"/>
      <c r="F761" s="4" t="s">
        <v>1491</v>
      </c>
      <c r="G761" s="5" t="s">
        <v>431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+VLOOKUP(G761,Liste!$A$7:$G$69,3,FALSE)</f>
        <v>Sapin pectiné</v>
      </c>
      <c r="BI761" s="96" t="str">
        <f>+VLOOKUP(H761,Liste!$B$7:$G$69,5,FALSE)</f>
        <v>GS Arc Jurassien</v>
      </c>
      <c r="BJ761" s="135">
        <f t="shared" si="223"/>
        <v>89</v>
      </c>
      <c r="BK761" s="135" t="str">
        <f t="shared" si="225"/>
        <v>Sapin pectiné_F2_Cas général_GS Arc Jurassien_89_</v>
      </c>
      <c r="BL761" s="319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97" t="str">
        <f>+VLOOKUP(G761,Liste!$A$7:$H$69,8,FALSE)</f>
        <v>Résineux</v>
      </c>
      <c r="BU761" s="297">
        <f t="shared" si="226"/>
        <v>0</v>
      </c>
      <c r="BV761" s="299">
        <f t="shared" si="227"/>
        <v>1</v>
      </c>
      <c r="BW761" s="318">
        <v>0</v>
      </c>
      <c r="BX761" s="297">
        <f t="shared" si="228"/>
        <v>0.43</v>
      </c>
      <c r="BY761">
        <f t="shared" si="229"/>
        <v>0</v>
      </c>
      <c r="BZ761" s="303">
        <f t="shared" si="230"/>
        <v>0</v>
      </c>
      <c r="CB761" s="298">
        <v>0.6</v>
      </c>
      <c r="CC761" s="298">
        <v>0.4</v>
      </c>
      <c r="CD761">
        <f t="shared" si="231"/>
        <v>0</v>
      </c>
      <c r="CE761">
        <f t="shared" si="232"/>
        <v>0</v>
      </c>
      <c r="CF761">
        <f t="shared" si="233"/>
        <v>0</v>
      </c>
      <c r="CG761">
        <f t="shared" si="234"/>
        <v>0</v>
      </c>
      <c r="CH761">
        <f t="shared" si="235"/>
        <v>0</v>
      </c>
      <c r="CI761">
        <f t="shared" si="236"/>
        <v>0</v>
      </c>
      <c r="CJ761">
        <f t="shared" si="237"/>
        <v>0</v>
      </c>
      <c r="CK761">
        <f t="shared" si="238"/>
        <v>0</v>
      </c>
      <c r="CL761">
        <f t="shared" si="239"/>
        <v>0</v>
      </c>
      <c r="CM761">
        <f t="shared" si="241"/>
        <v>0</v>
      </c>
      <c r="CN761">
        <f t="shared" si="240"/>
        <v>0</v>
      </c>
      <c r="CO761">
        <f t="shared" si="224"/>
        <v>0</v>
      </c>
    </row>
    <row r="762" spans="1:93" s="12" customFormat="1" hidden="1" x14ac:dyDescent="0.25">
      <c r="A762" s="4">
        <v>2013</v>
      </c>
      <c r="B762" s="315">
        <v>44265</v>
      </c>
      <c r="C762" s="4" t="s">
        <v>429</v>
      </c>
      <c r="D762" s="4" t="s">
        <v>430</v>
      </c>
      <c r="E762" s="4"/>
      <c r="F762" s="4" t="s">
        <v>1491</v>
      </c>
      <c r="G762" s="5" t="s">
        <v>431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+VLOOKUP(G762,Liste!$A$7:$G$69,3,FALSE)</f>
        <v>Sapin pectiné</v>
      </c>
      <c r="BI762" s="96" t="str">
        <f>+VLOOKUP(H762,Liste!$B$7:$G$69,5,FALSE)</f>
        <v>GS Arc Jurassien</v>
      </c>
      <c r="BJ762" s="135">
        <f t="shared" si="223"/>
        <v>90</v>
      </c>
      <c r="BK762" s="135" t="str">
        <f t="shared" si="225"/>
        <v>Sapin pectiné_F2_Cas général_GS Arc Jurassien_90_</v>
      </c>
      <c r="BL762" s="319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97" t="str">
        <f>+VLOOKUP(G762,Liste!$A$7:$H$69,8,FALSE)</f>
        <v>Résineux</v>
      </c>
      <c r="BU762" s="297">
        <f t="shared" si="226"/>
        <v>0</v>
      </c>
      <c r="BV762" s="299">
        <f t="shared" si="227"/>
        <v>1</v>
      </c>
      <c r="BW762" s="318">
        <v>0</v>
      </c>
      <c r="BX762" s="297">
        <f t="shared" si="228"/>
        <v>0.43</v>
      </c>
      <c r="BY762">
        <f t="shared" si="229"/>
        <v>0</v>
      </c>
      <c r="BZ762" s="303">
        <f t="shared" si="230"/>
        <v>0</v>
      </c>
      <c r="CB762" s="298">
        <v>0.6</v>
      </c>
      <c r="CC762" s="298">
        <v>0.4</v>
      </c>
      <c r="CD762">
        <f t="shared" si="231"/>
        <v>0</v>
      </c>
      <c r="CE762">
        <f t="shared" si="232"/>
        <v>0</v>
      </c>
      <c r="CF762">
        <f t="shared" si="233"/>
        <v>0</v>
      </c>
      <c r="CG762">
        <f t="shared" si="234"/>
        <v>0</v>
      </c>
      <c r="CH762">
        <f t="shared" si="235"/>
        <v>0</v>
      </c>
      <c r="CI762">
        <f t="shared" si="236"/>
        <v>0</v>
      </c>
      <c r="CJ762">
        <f t="shared" si="237"/>
        <v>0</v>
      </c>
      <c r="CK762">
        <f t="shared" si="238"/>
        <v>0</v>
      </c>
      <c r="CL762">
        <f t="shared" si="239"/>
        <v>0</v>
      </c>
      <c r="CM762">
        <f t="shared" si="241"/>
        <v>0</v>
      </c>
      <c r="CN762">
        <f t="shared" si="240"/>
        <v>0</v>
      </c>
      <c r="CO762">
        <f t="shared" si="224"/>
        <v>0</v>
      </c>
    </row>
    <row r="763" spans="1:93" s="12" customFormat="1" hidden="1" x14ac:dyDescent="0.25">
      <c r="A763" s="4">
        <v>2013</v>
      </c>
      <c r="B763" s="315">
        <v>44265</v>
      </c>
      <c r="C763" s="4" t="s">
        <v>429</v>
      </c>
      <c r="D763" s="4" t="s">
        <v>430</v>
      </c>
      <c r="E763" s="4"/>
      <c r="F763" s="4" t="s">
        <v>1491</v>
      </c>
      <c r="G763" s="5" t="s">
        <v>431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+VLOOKUP(G763,Liste!$A$7:$G$69,3,FALSE)</f>
        <v>Sapin pectiné</v>
      </c>
      <c r="BI763" s="96" t="str">
        <f>+VLOOKUP(H763,Liste!$B$7:$G$69,5,FALSE)</f>
        <v>GS Arc Jurassien</v>
      </c>
      <c r="BJ763" s="135">
        <f t="shared" si="223"/>
        <v>90</v>
      </c>
      <c r="BK763" s="135" t="str">
        <f t="shared" si="225"/>
        <v>Sapin pectiné_F2_Cas général_GS Arc Jurassien_90_</v>
      </c>
      <c r="BL763" s="319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97" t="str">
        <f>+VLOOKUP(G763,Liste!$A$7:$H$69,8,FALSE)</f>
        <v>Résineux</v>
      </c>
      <c r="BU763" s="297">
        <f t="shared" si="226"/>
        <v>0</v>
      </c>
      <c r="BV763" s="299">
        <f t="shared" si="227"/>
        <v>1</v>
      </c>
      <c r="BW763" s="318">
        <v>0</v>
      </c>
      <c r="BX763" s="297">
        <f t="shared" si="228"/>
        <v>0.43</v>
      </c>
      <c r="BY763">
        <f t="shared" si="229"/>
        <v>0</v>
      </c>
      <c r="BZ763" s="303">
        <f t="shared" si="230"/>
        <v>0</v>
      </c>
      <c r="CB763" s="298">
        <v>0.6</v>
      </c>
      <c r="CC763" s="298">
        <v>0.4</v>
      </c>
      <c r="CD763">
        <f t="shared" si="231"/>
        <v>0</v>
      </c>
      <c r="CE763">
        <f t="shared" si="232"/>
        <v>0</v>
      </c>
      <c r="CF763">
        <f t="shared" si="233"/>
        <v>0</v>
      </c>
      <c r="CG763">
        <f t="shared" si="234"/>
        <v>0</v>
      </c>
      <c r="CH763">
        <f t="shared" si="235"/>
        <v>0</v>
      </c>
      <c r="CI763">
        <f t="shared" si="236"/>
        <v>0</v>
      </c>
      <c r="CJ763">
        <f t="shared" si="237"/>
        <v>0</v>
      </c>
      <c r="CK763">
        <f t="shared" si="238"/>
        <v>0</v>
      </c>
      <c r="CL763">
        <f t="shared" si="239"/>
        <v>0</v>
      </c>
      <c r="CM763">
        <f t="shared" si="241"/>
        <v>0</v>
      </c>
      <c r="CN763">
        <f t="shared" si="240"/>
        <v>0</v>
      </c>
      <c r="CO763">
        <f t="shared" si="224"/>
        <v>0</v>
      </c>
    </row>
    <row r="764" spans="1:93" s="12" customFormat="1" hidden="1" x14ac:dyDescent="0.25">
      <c r="A764" s="4">
        <v>2013</v>
      </c>
      <c r="B764" s="315">
        <v>44265</v>
      </c>
      <c r="C764" s="4" t="s">
        <v>429</v>
      </c>
      <c r="D764" s="4" t="s">
        <v>430</v>
      </c>
      <c r="E764" s="4"/>
      <c r="F764" s="4" t="s">
        <v>1491</v>
      </c>
      <c r="G764" s="5" t="s">
        <v>431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+VLOOKUP(G764,Liste!$A$7:$G$69,3,FALSE)</f>
        <v>Sapin pectiné</v>
      </c>
      <c r="BI764" s="96" t="str">
        <f>+VLOOKUP(H764,Liste!$B$7:$G$69,5,FALSE)</f>
        <v>GS Arc Jurassien</v>
      </c>
      <c r="BJ764" s="135">
        <f t="shared" si="223"/>
        <v>91</v>
      </c>
      <c r="BK764" s="135" t="str">
        <f t="shared" si="225"/>
        <v>Sapin pectiné_F2_Cas général_GS Arc Jurassien_91_</v>
      </c>
      <c r="BL764" s="319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97" t="str">
        <f>+VLOOKUP(G764,Liste!$A$7:$H$69,8,FALSE)</f>
        <v>Résineux</v>
      </c>
      <c r="BU764" s="297">
        <f t="shared" si="226"/>
        <v>0</v>
      </c>
      <c r="BV764" s="299">
        <f t="shared" si="227"/>
        <v>1</v>
      </c>
      <c r="BW764" s="318">
        <v>0</v>
      </c>
      <c r="BX764" s="297">
        <f t="shared" si="228"/>
        <v>0.43</v>
      </c>
      <c r="BY764">
        <f t="shared" si="229"/>
        <v>0</v>
      </c>
      <c r="BZ764" s="303">
        <f t="shared" si="230"/>
        <v>0</v>
      </c>
      <c r="CB764" s="298">
        <v>0.6</v>
      </c>
      <c r="CC764" s="298">
        <v>0.4</v>
      </c>
      <c r="CD764">
        <f t="shared" si="231"/>
        <v>0</v>
      </c>
      <c r="CE764">
        <f t="shared" si="232"/>
        <v>0</v>
      </c>
      <c r="CF764">
        <f t="shared" si="233"/>
        <v>0</v>
      </c>
      <c r="CG764">
        <f t="shared" si="234"/>
        <v>0</v>
      </c>
      <c r="CH764">
        <f t="shared" si="235"/>
        <v>0</v>
      </c>
      <c r="CI764">
        <f t="shared" si="236"/>
        <v>0</v>
      </c>
      <c r="CJ764">
        <f t="shared" si="237"/>
        <v>0</v>
      </c>
      <c r="CK764">
        <f t="shared" si="238"/>
        <v>0</v>
      </c>
      <c r="CL764">
        <f t="shared" si="239"/>
        <v>0</v>
      </c>
      <c r="CM764">
        <f t="shared" si="241"/>
        <v>0</v>
      </c>
      <c r="CN764">
        <f t="shared" si="240"/>
        <v>0</v>
      </c>
      <c r="CO764">
        <f t="shared" si="224"/>
        <v>0</v>
      </c>
    </row>
    <row r="765" spans="1:93" s="12" customFormat="1" hidden="1" x14ac:dyDescent="0.25">
      <c r="A765" s="4">
        <v>2013</v>
      </c>
      <c r="B765" s="315">
        <v>44265</v>
      </c>
      <c r="C765" s="4" t="s">
        <v>429</v>
      </c>
      <c r="D765" s="4" t="s">
        <v>430</v>
      </c>
      <c r="E765" s="4"/>
      <c r="F765" s="4" t="s">
        <v>1491</v>
      </c>
      <c r="G765" s="5" t="s">
        <v>431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+VLOOKUP(G765,Liste!$A$7:$G$69,3,FALSE)</f>
        <v>Sapin pectiné</v>
      </c>
      <c r="BI765" s="96" t="str">
        <f>+VLOOKUP(H765,Liste!$B$7:$G$69,5,FALSE)</f>
        <v>GS Arc Jurassien</v>
      </c>
      <c r="BJ765" s="135">
        <f t="shared" si="223"/>
        <v>92</v>
      </c>
      <c r="BK765" s="135" t="str">
        <f t="shared" si="225"/>
        <v>Sapin pectiné_F2_Cas général_GS Arc Jurassien_92_</v>
      </c>
      <c r="BL765" s="319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97" t="str">
        <f>+VLOOKUP(G765,Liste!$A$7:$H$69,8,FALSE)</f>
        <v>Résineux</v>
      </c>
      <c r="BU765" s="297">
        <f t="shared" si="226"/>
        <v>0</v>
      </c>
      <c r="BV765" s="299">
        <f t="shared" si="227"/>
        <v>1</v>
      </c>
      <c r="BW765" s="318">
        <v>0</v>
      </c>
      <c r="BX765" s="297">
        <f t="shared" si="228"/>
        <v>0.43</v>
      </c>
      <c r="BY765">
        <f t="shared" si="229"/>
        <v>0</v>
      </c>
      <c r="BZ765" s="303">
        <f t="shared" si="230"/>
        <v>0</v>
      </c>
      <c r="CB765" s="298">
        <v>0.6</v>
      </c>
      <c r="CC765" s="298">
        <v>0.4</v>
      </c>
      <c r="CD765">
        <f t="shared" si="231"/>
        <v>0</v>
      </c>
      <c r="CE765">
        <f t="shared" si="232"/>
        <v>0</v>
      </c>
      <c r="CF765">
        <f t="shared" si="233"/>
        <v>0</v>
      </c>
      <c r="CG765">
        <f t="shared" si="234"/>
        <v>0</v>
      </c>
      <c r="CH765">
        <f t="shared" si="235"/>
        <v>0</v>
      </c>
      <c r="CI765">
        <f t="shared" si="236"/>
        <v>0</v>
      </c>
      <c r="CJ765">
        <f t="shared" si="237"/>
        <v>0</v>
      </c>
      <c r="CK765">
        <f t="shared" si="238"/>
        <v>0</v>
      </c>
      <c r="CL765">
        <f t="shared" si="239"/>
        <v>0</v>
      </c>
      <c r="CM765">
        <f t="shared" si="241"/>
        <v>0</v>
      </c>
      <c r="CN765">
        <f t="shared" si="240"/>
        <v>0</v>
      </c>
      <c r="CO765">
        <f t="shared" si="224"/>
        <v>0</v>
      </c>
    </row>
    <row r="766" spans="1:93" s="12" customFormat="1" hidden="1" x14ac:dyDescent="0.25">
      <c r="A766" s="4">
        <v>2013</v>
      </c>
      <c r="B766" s="315">
        <v>44265</v>
      </c>
      <c r="C766" s="4" t="s">
        <v>429</v>
      </c>
      <c r="D766" s="4" t="s">
        <v>430</v>
      </c>
      <c r="E766" s="4"/>
      <c r="F766" s="4" t="s">
        <v>1491</v>
      </c>
      <c r="G766" s="5" t="s">
        <v>431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+VLOOKUP(G766,Liste!$A$7:$G$69,3,FALSE)</f>
        <v>Sapin pectiné</v>
      </c>
      <c r="BI766" s="96" t="str">
        <f>+VLOOKUP(H766,Liste!$B$7:$G$69,5,FALSE)</f>
        <v>GS Arc Jurassien</v>
      </c>
      <c r="BJ766" s="135">
        <f t="shared" si="223"/>
        <v>93</v>
      </c>
      <c r="BK766" s="135" t="str">
        <f t="shared" si="225"/>
        <v>Sapin pectiné_F2_Cas général_GS Arc Jurassien_93_</v>
      </c>
      <c r="BL766" s="319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97" t="str">
        <f>+VLOOKUP(G766,Liste!$A$7:$H$69,8,FALSE)</f>
        <v>Résineux</v>
      </c>
      <c r="BU766" s="297">
        <f t="shared" si="226"/>
        <v>0</v>
      </c>
      <c r="BV766" s="299">
        <f t="shared" si="227"/>
        <v>1</v>
      </c>
      <c r="BW766" s="318">
        <v>0</v>
      </c>
      <c r="BX766" s="297">
        <f t="shared" si="228"/>
        <v>0.43</v>
      </c>
      <c r="BY766">
        <f t="shared" si="229"/>
        <v>0</v>
      </c>
      <c r="BZ766" s="303">
        <f t="shared" si="230"/>
        <v>0</v>
      </c>
      <c r="CB766" s="298">
        <v>0.6</v>
      </c>
      <c r="CC766" s="298">
        <v>0.4</v>
      </c>
      <c r="CD766">
        <f t="shared" si="231"/>
        <v>0</v>
      </c>
      <c r="CE766">
        <f t="shared" si="232"/>
        <v>0</v>
      </c>
      <c r="CF766">
        <f t="shared" si="233"/>
        <v>0</v>
      </c>
      <c r="CG766">
        <f t="shared" si="234"/>
        <v>0</v>
      </c>
      <c r="CH766">
        <f t="shared" si="235"/>
        <v>0</v>
      </c>
      <c r="CI766">
        <f t="shared" si="236"/>
        <v>0</v>
      </c>
      <c r="CJ766">
        <f t="shared" si="237"/>
        <v>0</v>
      </c>
      <c r="CK766">
        <f t="shared" si="238"/>
        <v>0</v>
      </c>
      <c r="CL766">
        <f t="shared" si="239"/>
        <v>0</v>
      </c>
      <c r="CM766">
        <f t="shared" si="241"/>
        <v>0</v>
      </c>
      <c r="CN766">
        <f t="shared" si="240"/>
        <v>0</v>
      </c>
      <c r="CO766">
        <f t="shared" si="224"/>
        <v>0</v>
      </c>
    </row>
    <row r="767" spans="1:93" s="12" customFormat="1" hidden="1" x14ac:dyDescent="0.25">
      <c r="A767" s="4">
        <v>2013</v>
      </c>
      <c r="B767" s="315">
        <v>44265</v>
      </c>
      <c r="C767" s="4" t="s">
        <v>429</v>
      </c>
      <c r="D767" s="4" t="s">
        <v>430</v>
      </c>
      <c r="E767" s="4"/>
      <c r="F767" s="4" t="s">
        <v>1491</v>
      </c>
      <c r="G767" s="5" t="s">
        <v>431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+VLOOKUP(G767,Liste!$A$7:$G$69,3,FALSE)</f>
        <v>Sapin pectiné</v>
      </c>
      <c r="BI767" s="96" t="str">
        <f>+VLOOKUP(H767,Liste!$B$7:$G$69,5,FALSE)</f>
        <v>GS Arc Jurassien</v>
      </c>
      <c r="BJ767" s="135">
        <f t="shared" si="223"/>
        <v>94</v>
      </c>
      <c r="BK767" s="135" t="str">
        <f t="shared" si="225"/>
        <v>Sapin pectiné_F2_Cas général_GS Arc Jurassien_94_</v>
      </c>
      <c r="BL767" s="319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97" t="str">
        <f>+VLOOKUP(G767,Liste!$A$7:$H$69,8,FALSE)</f>
        <v>Résineux</v>
      </c>
      <c r="BU767" s="297">
        <f t="shared" si="226"/>
        <v>0</v>
      </c>
      <c r="BV767" s="299">
        <f t="shared" si="227"/>
        <v>1</v>
      </c>
      <c r="BW767" s="318">
        <v>0</v>
      </c>
      <c r="BX767" s="297">
        <f t="shared" si="228"/>
        <v>0.43</v>
      </c>
      <c r="BY767">
        <f t="shared" si="229"/>
        <v>0</v>
      </c>
      <c r="BZ767" s="303">
        <f t="shared" si="230"/>
        <v>0</v>
      </c>
      <c r="CB767" s="298">
        <v>0.6</v>
      </c>
      <c r="CC767" s="298">
        <v>0.4</v>
      </c>
      <c r="CD767">
        <f t="shared" si="231"/>
        <v>0</v>
      </c>
      <c r="CE767">
        <f t="shared" si="232"/>
        <v>0</v>
      </c>
      <c r="CF767">
        <f t="shared" si="233"/>
        <v>0</v>
      </c>
      <c r="CG767">
        <f t="shared" si="234"/>
        <v>0</v>
      </c>
      <c r="CH767">
        <f t="shared" si="235"/>
        <v>0</v>
      </c>
      <c r="CI767">
        <f t="shared" si="236"/>
        <v>0</v>
      </c>
      <c r="CJ767">
        <f t="shared" si="237"/>
        <v>0</v>
      </c>
      <c r="CK767">
        <f t="shared" si="238"/>
        <v>0</v>
      </c>
      <c r="CL767">
        <f t="shared" si="239"/>
        <v>0</v>
      </c>
      <c r="CM767">
        <f t="shared" si="241"/>
        <v>0</v>
      </c>
      <c r="CN767">
        <f t="shared" si="240"/>
        <v>0</v>
      </c>
      <c r="CO767">
        <f t="shared" si="224"/>
        <v>0</v>
      </c>
    </row>
    <row r="768" spans="1:93" s="12" customFormat="1" hidden="1" x14ac:dyDescent="0.25">
      <c r="A768" s="4">
        <v>2013</v>
      </c>
      <c r="B768" s="315">
        <v>44265</v>
      </c>
      <c r="C768" s="4" t="s">
        <v>429</v>
      </c>
      <c r="D768" s="4" t="s">
        <v>430</v>
      </c>
      <c r="E768" s="4"/>
      <c r="F768" s="4" t="s">
        <v>1491</v>
      </c>
      <c r="G768" s="5" t="s">
        <v>431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+VLOOKUP(G768,Liste!$A$7:$G$69,3,FALSE)</f>
        <v>Sapin pectiné</v>
      </c>
      <c r="BI768" s="96" t="str">
        <f>+VLOOKUP(H768,Liste!$B$7:$G$69,5,FALSE)</f>
        <v>GS Arc Jurassien</v>
      </c>
      <c r="BJ768" s="135">
        <f t="shared" si="223"/>
        <v>95</v>
      </c>
      <c r="BK768" s="135" t="str">
        <f t="shared" si="225"/>
        <v>Sapin pectiné_F2_Cas général_GS Arc Jurassien_95_</v>
      </c>
      <c r="BL768" s="319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97" t="str">
        <f>+VLOOKUP(G768,Liste!$A$7:$H$69,8,FALSE)</f>
        <v>Résineux</v>
      </c>
      <c r="BU768" s="297">
        <f t="shared" si="226"/>
        <v>0</v>
      </c>
      <c r="BV768" s="299">
        <f t="shared" si="227"/>
        <v>1</v>
      </c>
      <c r="BW768" s="318">
        <v>0</v>
      </c>
      <c r="BX768" s="297">
        <f t="shared" si="228"/>
        <v>0.43</v>
      </c>
      <c r="BY768">
        <f t="shared" si="229"/>
        <v>0</v>
      </c>
      <c r="BZ768" s="303">
        <f t="shared" si="230"/>
        <v>0</v>
      </c>
      <c r="CB768" s="298">
        <v>0.6</v>
      </c>
      <c r="CC768" s="298">
        <v>0.4</v>
      </c>
      <c r="CD768">
        <f t="shared" si="231"/>
        <v>0</v>
      </c>
      <c r="CE768">
        <f t="shared" si="232"/>
        <v>0</v>
      </c>
      <c r="CF768">
        <f t="shared" si="233"/>
        <v>0</v>
      </c>
      <c r="CG768">
        <f t="shared" si="234"/>
        <v>0</v>
      </c>
      <c r="CH768">
        <f t="shared" si="235"/>
        <v>0</v>
      </c>
      <c r="CI768">
        <f t="shared" si="236"/>
        <v>0</v>
      </c>
      <c r="CJ768">
        <f t="shared" si="237"/>
        <v>0</v>
      </c>
      <c r="CK768">
        <f t="shared" si="238"/>
        <v>0</v>
      </c>
      <c r="CL768">
        <f t="shared" si="239"/>
        <v>0</v>
      </c>
      <c r="CM768">
        <f t="shared" si="241"/>
        <v>0</v>
      </c>
      <c r="CN768">
        <f t="shared" si="240"/>
        <v>0</v>
      </c>
      <c r="CO768">
        <f t="shared" si="224"/>
        <v>0</v>
      </c>
    </row>
    <row r="769" spans="1:93" s="12" customFormat="1" hidden="1" x14ac:dyDescent="0.25">
      <c r="A769" s="4">
        <v>2013</v>
      </c>
      <c r="B769" s="315">
        <v>44265</v>
      </c>
      <c r="C769" s="4" t="s">
        <v>429</v>
      </c>
      <c r="D769" s="4" t="s">
        <v>430</v>
      </c>
      <c r="E769" s="4"/>
      <c r="F769" s="4" t="s">
        <v>1491</v>
      </c>
      <c r="G769" s="5" t="s">
        <v>431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+VLOOKUP(G769,Liste!$A$7:$G$69,3,FALSE)</f>
        <v>Sapin pectiné</v>
      </c>
      <c r="BI769" s="96" t="str">
        <f>+VLOOKUP(H769,Liste!$B$7:$G$69,5,FALSE)</f>
        <v>GS Arc Jurassien</v>
      </c>
      <c r="BJ769" s="135">
        <f t="shared" si="223"/>
        <v>96</v>
      </c>
      <c r="BK769" s="135" t="str">
        <f t="shared" si="225"/>
        <v>Sapin pectiné_F2_Cas général_GS Arc Jurassien_96_</v>
      </c>
      <c r="BL769" s="319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97" t="str">
        <f>+VLOOKUP(G769,Liste!$A$7:$H$69,8,FALSE)</f>
        <v>Résineux</v>
      </c>
      <c r="BU769" s="297">
        <f t="shared" si="226"/>
        <v>0</v>
      </c>
      <c r="BV769" s="299">
        <f t="shared" si="227"/>
        <v>1</v>
      </c>
      <c r="BW769" s="318">
        <v>0</v>
      </c>
      <c r="BX769" s="297">
        <f t="shared" si="228"/>
        <v>0.43</v>
      </c>
      <c r="BY769">
        <f t="shared" si="229"/>
        <v>0</v>
      </c>
      <c r="BZ769" s="303">
        <f t="shared" si="230"/>
        <v>0</v>
      </c>
      <c r="CB769" s="298">
        <v>0.6</v>
      </c>
      <c r="CC769" s="298">
        <v>0.4</v>
      </c>
      <c r="CD769">
        <f t="shared" si="231"/>
        <v>0</v>
      </c>
      <c r="CE769">
        <f t="shared" si="232"/>
        <v>0</v>
      </c>
      <c r="CF769">
        <f t="shared" si="233"/>
        <v>0</v>
      </c>
      <c r="CG769">
        <f t="shared" si="234"/>
        <v>0</v>
      </c>
      <c r="CH769">
        <f t="shared" si="235"/>
        <v>0</v>
      </c>
      <c r="CI769">
        <f t="shared" si="236"/>
        <v>0</v>
      </c>
      <c r="CJ769">
        <f t="shared" si="237"/>
        <v>0</v>
      </c>
      <c r="CK769">
        <f t="shared" si="238"/>
        <v>0</v>
      </c>
      <c r="CL769">
        <f t="shared" si="239"/>
        <v>0</v>
      </c>
      <c r="CM769">
        <f t="shared" si="241"/>
        <v>0</v>
      </c>
      <c r="CN769">
        <f t="shared" si="240"/>
        <v>0</v>
      </c>
      <c r="CO769">
        <f t="shared" si="224"/>
        <v>0</v>
      </c>
    </row>
    <row r="770" spans="1:93" s="12" customFormat="1" hidden="1" x14ac:dyDescent="0.25">
      <c r="A770" s="4">
        <v>2013</v>
      </c>
      <c r="B770" s="315">
        <v>44265</v>
      </c>
      <c r="C770" s="4" t="s">
        <v>429</v>
      </c>
      <c r="D770" s="4" t="s">
        <v>430</v>
      </c>
      <c r="E770" s="4"/>
      <c r="F770" s="4" t="s">
        <v>1491</v>
      </c>
      <c r="G770" s="5" t="s">
        <v>431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+VLOOKUP(G770,Liste!$A$7:$G$69,3,FALSE)</f>
        <v>Sapin pectiné</v>
      </c>
      <c r="BI770" s="96" t="str">
        <f>+VLOOKUP(H770,Liste!$B$7:$G$69,5,FALSE)</f>
        <v>GS Arc Jurassien</v>
      </c>
      <c r="BJ770" s="135">
        <f t="shared" si="223"/>
        <v>97</v>
      </c>
      <c r="BK770" s="135" t="str">
        <f t="shared" si="225"/>
        <v>Sapin pectiné_F2_Cas général_GS Arc Jurassien_97_</v>
      </c>
      <c r="BL770" s="319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97" t="str">
        <f>+VLOOKUP(G770,Liste!$A$7:$H$69,8,FALSE)</f>
        <v>Résineux</v>
      </c>
      <c r="BU770" s="297">
        <f t="shared" si="226"/>
        <v>0</v>
      </c>
      <c r="BV770" s="299">
        <f t="shared" si="227"/>
        <v>1</v>
      </c>
      <c r="BW770" s="318">
        <v>0</v>
      </c>
      <c r="BX770" s="297">
        <f t="shared" si="228"/>
        <v>0.43</v>
      </c>
      <c r="BY770">
        <f t="shared" si="229"/>
        <v>0</v>
      </c>
      <c r="BZ770" s="303">
        <f t="shared" si="230"/>
        <v>0</v>
      </c>
      <c r="CB770" s="298">
        <v>0.6</v>
      </c>
      <c r="CC770" s="298">
        <v>0.4</v>
      </c>
      <c r="CD770">
        <f t="shared" si="231"/>
        <v>0</v>
      </c>
      <c r="CE770">
        <f t="shared" si="232"/>
        <v>0</v>
      </c>
      <c r="CF770">
        <f t="shared" si="233"/>
        <v>0</v>
      </c>
      <c r="CG770">
        <f t="shared" si="234"/>
        <v>0</v>
      </c>
      <c r="CH770">
        <f t="shared" si="235"/>
        <v>0</v>
      </c>
      <c r="CI770">
        <f t="shared" si="236"/>
        <v>0</v>
      </c>
      <c r="CJ770">
        <f t="shared" si="237"/>
        <v>0</v>
      </c>
      <c r="CK770">
        <f t="shared" si="238"/>
        <v>0</v>
      </c>
      <c r="CL770">
        <f t="shared" si="239"/>
        <v>0</v>
      </c>
      <c r="CM770">
        <f t="shared" si="241"/>
        <v>0</v>
      </c>
      <c r="CN770">
        <f t="shared" si="240"/>
        <v>0</v>
      </c>
      <c r="CO770">
        <f t="shared" si="224"/>
        <v>0</v>
      </c>
    </row>
    <row r="771" spans="1:93" s="12" customFormat="1" hidden="1" x14ac:dyDescent="0.25">
      <c r="A771" s="4">
        <v>2013</v>
      </c>
      <c r="B771" s="315">
        <v>44265</v>
      </c>
      <c r="C771" s="4" t="s">
        <v>429</v>
      </c>
      <c r="D771" s="4" t="s">
        <v>430</v>
      </c>
      <c r="E771" s="4"/>
      <c r="F771" s="4" t="s">
        <v>1491</v>
      </c>
      <c r="G771" s="5" t="s">
        <v>431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+VLOOKUP(G771,Liste!$A$7:$G$69,3,FALSE)</f>
        <v>Sapin pectiné</v>
      </c>
      <c r="BI771" s="96" t="str">
        <f>+VLOOKUP(H771,Liste!$B$7:$G$69,5,FALSE)</f>
        <v>GS Arc Jurassien</v>
      </c>
      <c r="BJ771" s="135">
        <f t="shared" ref="BJ771:BJ834" si="242">+AC771</f>
        <v>98</v>
      </c>
      <c r="BK771" s="135" t="str">
        <f t="shared" si="225"/>
        <v>Sapin pectiné_F2_Cas général_GS Arc Jurassien_98_</v>
      </c>
      <c r="BL771" s="319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97" t="str">
        <f>+VLOOKUP(G771,Liste!$A$7:$H$69,8,FALSE)</f>
        <v>Résineux</v>
      </c>
      <c r="BU771" s="297">
        <f t="shared" si="226"/>
        <v>0</v>
      </c>
      <c r="BV771" s="299">
        <f t="shared" si="227"/>
        <v>1</v>
      </c>
      <c r="BW771" s="318">
        <v>0</v>
      </c>
      <c r="BX771" s="297">
        <f t="shared" si="228"/>
        <v>0.43</v>
      </c>
      <c r="BY771">
        <f t="shared" si="229"/>
        <v>0</v>
      </c>
      <c r="BZ771" s="303">
        <f t="shared" si="230"/>
        <v>0</v>
      </c>
      <c r="CB771" s="298">
        <v>0.6</v>
      </c>
      <c r="CC771" s="298">
        <v>0.4</v>
      </c>
      <c r="CD771">
        <f t="shared" si="231"/>
        <v>0</v>
      </c>
      <c r="CE771">
        <f t="shared" si="232"/>
        <v>0</v>
      </c>
      <c r="CF771">
        <f t="shared" si="233"/>
        <v>0</v>
      </c>
      <c r="CG771">
        <f t="shared" si="234"/>
        <v>0</v>
      </c>
      <c r="CH771">
        <f t="shared" si="235"/>
        <v>0</v>
      </c>
      <c r="CI771">
        <f t="shared" si="236"/>
        <v>0</v>
      </c>
      <c r="CJ771">
        <f t="shared" si="237"/>
        <v>0</v>
      </c>
      <c r="CK771">
        <f t="shared" si="238"/>
        <v>0</v>
      </c>
      <c r="CL771">
        <f t="shared" si="239"/>
        <v>0</v>
      </c>
      <c r="CM771">
        <f t="shared" si="241"/>
        <v>0</v>
      </c>
      <c r="CN771">
        <f t="shared" si="240"/>
        <v>0</v>
      </c>
      <c r="CO771">
        <f t="shared" ref="CO771:CO834" si="243">+IF(BJ771=30,CN771/30,0)</f>
        <v>0</v>
      </c>
    </row>
    <row r="772" spans="1:93" s="12" customFormat="1" hidden="1" x14ac:dyDescent="0.25">
      <c r="A772" s="4">
        <v>2013</v>
      </c>
      <c r="B772" s="315">
        <v>44265</v>
      </c>
      <c r="C772" s="4" t="s">
        <v>429</v>
      </c>
      <c r="D772" s="4" t="s">
        <v>430</v>
      </c>
      <c r="E772" s="4"/>
      <c r="F772" s="4" t="s">
        <v>1491</v>
      </c>
      <c r="G772" s="5" t="s">
        <v>431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+VLOOKUP(G772,Liste!$A$7:$G$69,3,FALSE)</f>
        <v>Sapin pectiné</v>
      </c>
      <c r="BI772" s="96" t="str">
        <f>+VLOOKUP(H772,Liste!$B$7:$G$69,5,FALSE)</f>
        <v>GS Arc Jurassien</v>
      </c>
      <c r="BJ772" s="135">
        <f t="shared" si="242"/>
        <v>99</v>
      </c>
      <c r="BK772" s="135" t="str">
        <f t="shared" ref="BK772:BK835" si="244">+_xlfn.CONCAT(BH772,"_",J772,"_",I772,"_",BI772,"_",BJ772,"_")</f>
        <v>Sapin pectiné_F2_Cas général_GS Arc Jurassien_99_</v>
      </c>
      <c r="BL772" s="319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97" t="str">
        <f>+VLOOKUP(G772,Liste!$A$7:$H$69,8,FALSE)</f>
        <v>Résineux</v>
      </c>
      <c r="BU772" s="297">
        <f t="shared" ref="BU772:BU835" si="245">IF(BT772="Résineux",0%,100%)</f>
        <v>0</v>
      </c>
      <c r="BV772" s="299">
        <f t="shared" ref="BV772:BV835" si="246">+IF(BT772="Résineux",100%,0%)</f>
        <v>1</v>
      </c>
      <c r="BW772" s="318">
        <v>0</v>
      </c>
      <c r="BX772" s="297">
        <f t="shared" ref="BX772:BX835" si="247">+IF(BV772&lt;&gt;0,0.43,0.25)</f>
        <v>0.43</v>
      </c>
      <c r="BY772">
        <f t="shared" ref="BY772:BY835" si="248">+IF(BJ772&lt;=30,AV772*BX772,0)</f>
        <v>0</v>
      </c>
      <c r="BZ772" s="303">
        <f t="shared" ref="BZ772:BZ835" si="249">+IF(BJ772&gt;=31,0,BY772+BZ771)</f>
        <v>0</v>
      </c>
      <c r="CB772" s="298">
        <v>0.6</v>
      </c>
      <c r="CC772" s="298">
        <v>0.4</v>
      </c>
      <c r="CD772">
        <f t="shared" ref="CD772:CD835" si="250">+IF(BJ772&lt;=31,AV772*CA772*0.5,0)</f>
        <v>0</v>
      </c>
      <c r="CE772">
        <f t="shared" ref="CE772:CE835" si="251">IF(BJ772&lt;=31,AV772*CB772,0)</f>
        <v>0</v>
      </c>
      <c r="CF772">
        <f t="shared" ref="CF772:CF835" si="252">IF(BJ772&lt;=31,AV772*CC772,0)</f>
        <v>0</v>
      </c>
      <c r="CG772">
        <f t="shared" ref="CG772:CG835" si="253">CD772*44/12*0.475*BF772</f>
        <v>0</v>
      </c>
      <c r="CH772">
        <f t="shared" ref="CH772:CH835" si="254">CE772*44/12*0.475*BF772</f>
        <v>0</v>
      </c>
      <c r="CI772">
        <f t="shared" ref="CI772:CI835" si="255">CF772*44/12*0.475*BF772</f>
        <v>0</v>
      </c>
      <c r="CJ772">
        <f t="shared" ref="CJ772:CJ835" si="256">+IF(BJ772&lt;=31,CJ771*EXP(-$CJ$1)+CG771*(1-EXP(-$CJ$1))/$CJ$1,0)</f>
        <v>0</v>
      </c>
      <c r="CK772">
        <f t="shared" ref="CK772:CK835" si="257">+IF(BJ772&lt;=31,CK771*EXP(-$CK$1)+CH771*(1-EXP(-$CK$1))/$CK$1,0)</f>
        <v>0</v>
      </c>
      <c r="CL772">
        <f t="shared" ref="CL772:CL835" si="258">+IF(BJ772&lt;=31,CL771*EXP(-$CL$1)+CI771*(1-EXP(-$CL$1))/$CL$1,0)</f>
        <v>0</v>
      </c>
      <c r="CM772">
        <f t="shared" si="241"/>
        <v>0</v>
      </c>
      <c r="CN772">
        <f t="shared" ref="CN772:CN835" si="259">+IF(BJ772&lt;=31,CM772+CN771,0)</f>
        <v>0</v>
      </c>
      <c r="CO772">
        <f t="shared" si="243"/>
        <v>0</v>
      </c>
    </row>
    <row r="773" spans="1:93" s="12" customFormat="1" hidden="1" x14ac:dyDescent="0.25">
      <c r="A773" s="4">
        <v>2013</v>
      </c>
      <c r="B773" s="315">
        <v>44265</v>
      </c>
      <c r="C773" s="4" t="s">
        <v>429</v>
      </c>
      <c r="D773" s="4" t="s">
        <v>430</v>
      </c>
      <c r="E773" s="4"/>
      <c r="F773" s="4" t="s">
        <v>1491</v>
      </c>
      <c r="G773" s="5" t="s">
        <v>431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+VLOOKUP(G773,Liste!$A$7:$G$69,3,FALSE)</f>
        <v>Sapin pectiné</v>
      </c>
      <c r="BI773" s="96" t="str">
        <f>+VLOOKUP(H773,Liste!$B$7:$G$69,5,FALSE)</f>
        <v>GS Arc Jurassien</v>
      </c>
      <c r="BJ773" s="135">
        <f t="shared" si="242"/>
        <v>99</v>
      </c>
      <c r="BK773" s="135" t="str">
        <f t="shared" si="244"/>
        <v>Sapin pectiné_F2_Cas général_GS Arc Jurassien_99_</v>
      </c>
      <c r="BL773" s="319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97" t="str">
        <f>+VLOOKUP(G773,Liste!$A$7:$H$69,8,FALSE)</f>
        <v>Résineux</v>
      </c>
      <c r="BU773" s="297">
        <f t="shared" si="245"/>
        <v>0</v>
      </c>
      <c r="BV773" s="299">
        <f t="shared" si="246"/>
        <v>1</v>
      </c>
      <c r="BW773" s="318">
        <v>0</v>
      </c>
      <c r="BX773" s="297">
        <f t="shared" si="247"/>
        <v>0.43</v>
      </c>
      <c r="BY773">
        <f t="shared" si="248"/>
        <v>0</v>
      </c>
      <c r="BZ773" s="303">
        <f t="shared" si="249"/>
        <v>0</v>
      </c>
      <c r="CB773" s="298">
        <v>0.6</v>
      </c>
      <c r="CC773" s="298">
        <v>0.4</v>
      </c>
      <c r="CD773">
        <f t="shared" si="250"/>
        <v>0</v>
      </c>
      <c r="CE773">
        <f t="shared" si="251"/>
        <v>0</v>
      </c>
      <c r="CF773">
        <f t="shared" si="252"/>
        <v>0</v>
      </c>
      <c r="CG773">
        <f t="shared" si="253"/>
        <v>0</v>
      </c>
      <c r="CH773">
        <f t="shared" si="254"/>
        <v>0</v>
      </c>
      <c r="CI773">
        <f t="shared" si="255"/>
        <v>0</v>
      </c>
      <c r="CJ773">
        <f t="shared" si="256"/>
        <v>0</v>
      </c>
      <c r="CK773">
        <f t="shared" si="257"/>
        <v>0</v>
      </c>
      <c r="CL773">
        <f t="shared" si="258"/>
        <v>0</v>
      </c>
      <c r="CM773">
        <f t="shared" ref="CM773:CM836" si="260">+CJ773+CK773+CL773</f>
        <v>0</v>
      </c>
      <c r="CN773">
        <f t="shared" si="259"/>
        <v>0</v>
      </c>
      <c r="CO773">
        <f t="shared" si="243"/>
        <v>0</v>
      </c>
    </row>
    <row r="774" spans="1:93" s="12" customFormat="1" hidden="1" x14ac:dyDescent="0.25">
      <c r="A774" s="4">
        <v>2013</v>
      </c>
      <c r="B774" s="315">
        <v>44265</v>
      </c>
      <c r="C774" s="4" t="s">
        <v>429</v>
      </c>
      <c r="D774" s="4" t="s">
        <v>430</v>
      </c>
      <c r="E774" s="4"/>
      <c r="F774" s="4" t="s">
        <v>1491</v>
      </c>
      <c r="G774" s="5" t="s">
        <v>431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+VLOOKUP(G774,Liste!$A$7:$G$69,3,FALSE)</f>
        <v>Sapin pectiné</v>
      </c>
      <c r="BI774" s="96" t="str">
        <f>+VLOOKUP(H774,Liste!$B$7:$G$69,5,FALSE)</f>
        <v>GS Arc Jurassien</v>
      </c>
      <c r="BJ774" s="135">
        <f t="shared" si="242"/>
        <v>100</v>
      </c>
      <c r="BK774" s="135" t="str">
        <f t="shared" si="244"/>
        <v>Sapin pectiné_F2_Cas général_GS Arc Jurassien_100_</v>
      </c>
      <c r="BL774" s="319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97" t="str">
        <f>+VLOOKUP(G774,Liste!$A$7:$H$69,8,FALSE)</f>
        <v>Résineux</v>
      </c>
      <c r="BU774" s="297">
        <f t="shared" si="245"/>
        <v>0</v>
      </c>
      <c r="BV774" s="299">
        <f t="shared" si="246"/>
        <v>1</v>
      </c>
      <c r="BW774" s="318">
        <v>0</v>
      </c>
      <c r="BX774" s="297">
        <f t="shared" si="247"/>
        <v>0.43</v>
      </c>
      <c r="BY774">
        <f t="shared" si="248"/>
        <v>0</v>
      </c>
      <c r="BZ774" s="303">
        <f t="shared" si="249"/>
        <v>0</v>
      </c>
      <c r="CB774" s="298">
        <v>0.6</v>
      </c>
      <c r="CC774" s="298">
        <v>0.4</v>
      </c>
      <c r="CD774">
        <f t="shared" si="250"/>
        <v>0</v>
      </c>
      <c r="CE774">
        <f t="shared" si="251"/>
        <v>0</v>
      </c>
      <c r="CF774">
        <f t="shared" si="252"/>
        <v>0</v>
      </c>
      <c r="CG774">
        <f t="shared" si="253"/>
        <v>0</v>
      </c>
      <c r="CH774">
        <f t="shared" si="254"/>
        <v>0</v>
      </c>
      <c r="CI774">
        <f t="shared" si="255"/>
        <v>0</v>
      </c>
      <c r="CJ774">
        <f t="shared" si="256"/>
        <v>0</v>
      </c>
      <c r="CK774">
        <f t="shared" si="257"/>
        <v>0</v>
      </c>
      <c r="CL774">
        <f t="shared" si="258"/>
        <v>0</v>
      </c>
      <c r="CM774">
        <f t="shared" si="260"/>
        <v>0</v>
      </c>
      <c r="CN774">
        <f t="shared" si="259"/>
        <v>0</v>
      </c>
      <c r="CO774">
        <f t="shared" si="243"/>
        <v>0</v>
      </c>
    </row>
    <row r="775" spans="1:93" s="12" customFormat="1" hidden="1" x14ac:dyDescent="0.25">
      <c r="A775" s="4">
        <v>2013</v>
      </c>
      <c r="B775" s="315">
        <v>44265</v>
      </c>
      <c r="C775" s="4" t="s">
        <v>429</v>
      </c>
      <c r="D775" s="4" t="s">
        <v>430</v>
      </c>
      <c r="E775" s="4"/>
      <c r="F775" s="4" t="s">
        <v>1491</v>
      </c>
      <c r="G775" s="5" t="s">
        <v>431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+VLOOKUP(G775,Liste!$A$7:$G$69,3,FALSE)</f>
        <v>Sapin pectiné</v>
      </c>
      <c r="BI775" s="96" t="str">
        <f>+VLOOKUP(H775,Liste!$B$7:$G$69,5,FALSE)</f>
        <v>GS Arc Jurassien</v>
      </c>
      <c r="BJ775" s="135">
        <f t="shared" si="242"/>
        <v>101</v>
      </c>
      <c r="BK775" s="135" t="str">
        <f t="shared" si="244"/>
        <v>Sapin pectiné_F2_Cas général_GS Arc Jurassien_101_</v>
      </c>
      <c r="BL775" s="319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97" t="str">
        <f>+VLOOKUP(G775,Liste!$A$7:$H$69,8,FALSE)</f>
        <v>Résineux</v>
      </c>
      <c r="BU775" s="297">
        <f t="shared" si="245"/>
        <v>0</v>
      </c>
      <c r="BV775" s="299">
        <f t="shared" si="246"/>
        <v>1</v>
      </c>
      <c r="BW775" s="318">
        <v>0</v>
      </c>
      <c r="BX775" s="297">
        <f t="shared" si="247"/>
        <v>0.43</v>
      </c>
      <c r="BY775">
        <f t="shared" si="248"/>
        <v>0</v>
      </c>
      <c r="BZ775" s="303">
        <f t="shared" si="249"/>
        <v>0</v>
      </c>
      <c r="CB775" s="298">
        <v>0.6</v>
      </c>
      <c r="CC775" s="298">
        <v>0.4</v>
      </c>
      <c r="CD775">
        <f t="shared" si="250"/>
        <v>0</v>
      </c>
      <c r="CE775">
        <f t="shared" si="251"/>
        <v>0</v>
      </c>
      <c r="CF775">
        <f t="shared" si="252"/>
        <v>0</v>
      </c>
      <c r="CG775">
        <f t="shared" si="253"/>
        <v>0</v>
      </c>
      <c r="CH775">
        <f t="shared" si="254"/>
        <v>0</v>
      </c>
      <c r="CI775">
        <f t="shared" si="255"/>
        <v>0</v>
      </c>
      <c r="CJ775">
        <f t="shared" si="256"/>
        <v>0</v>
      </c>
      <c r="CK775">
        <f t="shared" si="257"/>
        <v>0</v>
      </c>
      <c r="CL775">
        <f t="shared" si="258"/>
        <v>0</v>
      </c>
      <c r="CM775">
        <f t="shared" si="260"/>
        <v>0</v>
      </c>
      <c r="CN775">
        <f t="shared" si="259"/>
        <v>0</v>
      </c>
      <c r="CO775">
        <f t="shared" si="243"/>
        <v>0</v>
      </c>
    </row>
    <row r="776" spans="1:93" s="12" customFormat="1" hidden="1" x14ac:dyDescent="0.25">
      <c r="A776" s="4">
        <v>2013</v>
      </c>
      <c r="B776" s="315">
        <v>44265</v>
      </c>
      <c r="C776" s="4" t="s">
        <v>429</v>
      </c>
      <c r="D776" s="4" t="s">
        <v>430</v>
      </c>
      <c r="E776" s="4"/>
      <c r="F776" s="4" t="s">
        <v>1491</v>
      </c>
      <c r="G776" s="5" t="s">
        <v>431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+VLOOKUP(G776,Liste!$A$7:$G$69,3,FALSE)</f>
        <v>Sapin pectiné</v>
      </c>
      <c r="BI776" s="96" t="str">
        <f>+VLOOKUP(H776,Liste!$B$7:$G$69,5,FALSE)</f>
        <v>GS Arc Jurassien</v>
      </c>
      <c r="BJ776" s="135">
        <f t="shared" si="242"/>
        <v>102</v>
      </c>
      <c r="BK776" s="135" t="str">
        <f t="shared" si="244"/>
        <v>Sapin pectiné_F2_Cas général_GS Arc Jurassien_102_</v>
      </c>
      <c r="BL776" s="319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97" t="str">
        <f>+VLOOKUP(G776,Liste!$A$7:$H$69,8,FALSE)</f>
        <v>Résineux</v>
      </c>
      <c r="BU776" s="297">
        <f t="shared" si="245"/>
        <v>0</v>
      </c>
      <c r="BV776" s="299">
        <f t="shared" si="246"/>
        <v>1</v>
      </c>
      <c r="BW776" s="318">
        <v>0</v>
      </c>
      <c r="BX776" s="297">
        <f t="shared" si="247"/>
        <v>0.43</v>
      </c>
      <c r="BY776">
        <f t="shared" si="248"/>
        <v>0</v>
      </c>
      <c r="BZ776" s="303">
        <f t="shared" si="249"/>
        <v>0</v>
      </c>
      <c r="CB776" s="298">
        <v>0.6</v>
      </c>
      <c r="CC776" s="298">
        <v>0.4</v>
      </c>
      <c r="CD776">
        <f t="shared" si="250"/>
        <v>0</v>
      </c>
      <c r="CE776">
        <f t="shared" si="251"/>
        <v>0</v>
      </c>
      <c r="CF776">
        <f t="shared" si="252"/>
        <v>0</v>
      </c>
      <c r="CG776">
        <f t="shared" si="253"/>
        <v>0</v>
      </c>
      <c r="CH776">
        <f t="shared" si="254"/>
        <v>0</v>
      </c>
      <c r="CI776">
        <f t="shared" si="255"/>
        <v>0</v>
      </c>
      <c r="CJ776">
        <f t="shared" si="256"/>
        <v>0</v>
      </c>
      <c r="CK776">
        <f t="shared" si="257"/>
        <v>0</v>
      </c>
      <c r="CL776">
        <f t="shared" si="258"/>
        <v>0</v>
      </c>
      <c r="CM776">
        <f t="shared" si="260"/>
        <v>0</v>
      </c>
      <c r="CN776">
        <f t="shared" si="259"/>
        <v>0</v>
      </c>
      <c r="CO776">
        <f t="shared" si="243"/>
        <v>0</v>
      </c>
    </row>
    <row r="777" spans="1:93" s="12" customFormat="1" hidden="1" x14ac:dyDescent="0.25">
      <c r="A777" s="4">
        <v>2013</v>
      </c>
      <c r="B777" s="315">
        <v>44265</v>
      </c>
      <c r="C777" s="4" t="s">
        <v>429</v>
      </c>
      <c r="D777" s="4" t="s">
        <v>430</v>
      </c>
      <c r="E777" s="4"/>
      <c r="F777" s="4" t="s">
        <v>1491</v>
      </c>
      <c r="G777" s="5" t="s">
        <v>431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+VLOOKUP(G777,Liste!$A$7:$G$69,3,FALSE)</f>
        <v>Sapin pectiné</v>
      </c>
      <c r="BI777" s="96" t="str">
        <f>+VLOOKUP(H777,Liste!$B$7:$G$69,5,FALSE)</f>
        <v>GS Arc Jurassien</v>
      </c>
      <c r="BJ777" s="135">
        <f t="shared" si="242"/>
        <v>103</v>
      </c>
      <c r="BK777" s="135" t="str">
        <f t="shared" si="244"/>
        <v>Sapin pectiné_F2_Cas général_GS Arc Jurassien_103_</v>
      </c>
      <c r="BL777" s="319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97" t="str">
        <f>+VLOOKUP(G777,Liste!$A$7:$H$69,8,FALSE)</f>
        <v>Résineux</v>
      </c>
      <c r="BU777" s="297">
        <f t="shared" si="245"/>
        <v>0</v>
      </c>
      <c r="BV777" s="299">
        <f t="shared" si="246"/>
        <v>1</v>
      </c>
      <c r="BW777" s="318">
        <v>0</v>
      </c>
      <c r="BX777" s="297">
        <f t="shared" si="247"/>
        <v>0.43</v>
      </c>
      <c r="BY777">
        <f t="shared" si="248"/>
        <v>0</v>
      </c>
      <c r="BZ777" s="303">
        <f t="shared" si="249"/>
        <v>0</v>
      </c>
      <c r="CB777" s="298">
        <v>0.6</v>
      </c>
      <c r="CC777" s="298">
        <v>0.4</v>
      </c>
      <c r="CD777">
        <f t="shared" si="250"/>
        <v>0</v>
      </c>
      <c r="CE777">
        <f t="shared" si="251"/>
        <v>0</v>
      </c>
      <c r="CF777">
        <f t="shared" si="252"/>
        <v>0</v>
      </c>
      <c r="CG777">
        <f t="shared" si="253"/>
        <v>0</v>
      </c>
      <c r="CH777">
        <f t="shared" si="254"/>
        <v>0</v>
      </c>
      <c r="CI777">
        <f t="shared" si="255"/>
        <v>0</v>
      </c>
      <c r="CJ777">
        <f t="shared" si="256"/>
        <v>0</v>
      </c>
      <c r="CK777">
        <f t="shared" si="257"/>
        <v>0</v>
      </c>
      <c r="CL777">
        <f t="shared" si="258"/>
        <v>0</v>
      </c>
      <c r="CM777">
        <f t="shared" si="260"/>
        <v>0</v>
      </c>
      <c r="CN777">
        <f t="shared" si="259"/>
        <v>0</v>
      </c>
      <c r="CO777">
        <f t="shared" si="243"/>
        <v>0</v>
      </c>
    </row>
    <row r="778" spans="1:93" s="12" customFormat="1" hidden="1" x14ac:dyDescent="0.25">
      <c r="A778" s="4">
        <v>2013</v>
      </c>
      <c r="B778" s="315">
        <v>44265</v>
      </c>
      <c r="C778" s="4" t="s">
        <v>429</v>
      </c>
      <c r="D778" s="4" t="s">
        <v>430</v>
      </c>
      <c r="E778" s="4"/>
      <c r="F778" s="4" t="s">
        <v>1491</v>
      </c>
      <c r="G778" s="5" t="s">
        <v>431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+VLOOKUP(G778,Liste!$A$7:$G$69,3,FALSE)</f>
        <v>Sapin pectiné</v>
      </c>
      <c r="BI778" s="96" t="str">
        <f>+VLOOKUP(H778,Liste!$B$7:$G$69,5,FALSE)</f>
        <v>GS Arc Jurassien</v>
      </c>
      <c r="BJ778" s="135">
        <f t="shared" si="242"/>
        <v>104</v>
      </c>
      <c r="BK778" s="135" t="str">
        <f t="shared" si="244"/>
        <v>Sapin pectiné_F2_Cas général_GS Arc Jurassien_104_</v>
      </c>
      <c r="BL778" s="319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97" t="str">
        <f>+VLOOKUP(G778,Liste!$A$7:$H$69,8,FALSE)</f>
        <v>Résineux</v>
      </c>
      <c r="BU778" s="297">
        <f t="shared" si="245"/>
        <v>0</v>
      </c>
      <c r="BV778" s="299">
        <f t="shared" si="246"/>
        <v>1</v>
      </c>
      <c r="BW778" s="318">
        <v>0</v>
      </c>
      <c r="BX778" s="297">
        <f t="shared" si="247"/>
        <v>0.43</v>
      </c>
      <c r="BY778">
        <f t="shared" si="248"/>
        <v>0</v>
      </c>
      <c r="BZ778" s="303">
        <f t="shared" si="249"/>
        <v>0</v>
      </c>
      <c r="CB778" s="298">
        <v>0.6</v>
      </c>
      <c r="CC778" s="298">
        <v>0.4</v>
      </c>
      <c r="CD778">
        <f t="shared" si="250"/>
        <v>0</v>
      </c>
      <c r="CE778">
        <f t="shared" si="251"/>
        <v>0</v>
      </c>
      <c r="CF778">
        <f t="shared" si="252"/>
        <v>0</v>
      </c>
      <c r="CG778">
        <f t="shared" si="253"/>
        <v>0</v>
      </c>
      <c r="CH778">
        <f t="shared" si="254"/>
        <v>0</v>
      </c>
      <c r="CI778">
        <f t="shared" si="255"/>
        <v>0</v>
      </c>
      <c r="CJ778">
        <f t="shared" si="256"/>
        <v>0</v>
      </c>
      <c r="CK778">
        <f t="shared" si="257"/>
        <v>0</v>
      </c>
      <c r="CL778">
        <f t="shared" si="258"/>
        <v>0</v>
      </c>
      <c r="CM778">
        <f t="shared" si="260"/>
        <v>0</v>
      </c>
      <c r="CN778">
        <f t="shared" si="259"/>
        <v>0</v>
      </c>
      <c r="CO778">
        <f t="shared" si="243"/>
        <v>0</v>
      </c>
    </row>
    <row r="779" spans="1:93" s="12" customFormat="1" hidden="1" x14ac:dyDescent="0.25">
      <c r="A779" s="4">
        <v>2013</v>
      </c>
      <c r="B779" s="315">
        <v>44265</v>
      </c>
      <c r="C779" s="4" t="s">
        <v>429</v>
      </c>
      <c r="D779" s="4" t="s">
        <v>430</v>
      </c>
      <c r="E779" s="4"/>
      <c r="F779" s="4" t="s">
        <v>1491</v>
      </c>
      <c r="G779" s="5" t="s">
        <v>431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+VLOOKUP(G779,Liste!$A$7:$G$69,3,FALSE)</f>
        <v>Sapin pectiné</v>
      </c>
      <c r="BI779" s="96" t="str">
        <f>+VLOOKUP(H779,Liste!$B$7:$G$69,5,FALSE)</f>
        <v>GS Arc Jurassien</v>
      </c>
      <c r="BJ779" s="135">
        <f t="shared" si="242"/>
        <v>105</v>
      </c>
      <c r="BK779" s="135" t="str">
        <f t="shared" si="244"/>
        <v>Sapin pectiné_F2_Cas général_GS Arc Jurassien_105_</v>
      </c>
      <c r="BL779" s="319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97" t="str">
        <f>+VLOOKUP(G779,Liste!$A$7:$H$69,8,FALSE)</f>
        <v>Résineux</v>
      </c>
      <c r="BU779" s="297">
        <f t="shared" si="245"/>
        <v>0</v>
      </c>
      <c r="BV779" s="299">
        <f t="shared" si="246"/>
        <v>1</v>
      </c>
      <c r="BW779" s="318">
        <v>0</v>
      </c>
      <c r="BX779" s="297">
        <f t="shared" si="247"/>
        <v>0.43</v>
      </c>
      <c r="BY779">
        <f t="shared" si="248"/>
        <v>0</v>
      </c>
      <c r="BZ779" s="303">
        <f t="shared" si="249"/>
        <v>0</v>
      </c>
      <c r="CB779" s="298">
        <v>0.6</v>
      </c>
      <c r="CC779" s="298">
        <v>0.4</v>
      </c>
      <c r="CD779">
        <f t="shared" si="250"/>
        <v>0</v>
      </c>
      <c r="CE779">
        <f t="shared" si="251"/>
        <v>0</v>
      </c>
      <c r="CF779">
        <f t="shared" si="252"/>
        <v>0</v>
      </c>
      <c r="CG779">
        <f t="shared" si="253"/>
        <v>0</v>
      </c>
      <c r="CH779">
        <f t="shared" si="254"/>
        <v>0</v>
      </c>
      <c r="CI779">
        <f t="shared" si="255"/>
        <v>0</v>
      </c>
      <c r="CJ779">
        <f t="shared" si="256"/>
        <v>0</v>
      </c>
      <c r="CK779">
        <f t="shared" si="257"/>
        <v>0</v>
      </c>
      <c r="CL779">
        <f t="shared" si="258"/>
        <v>0</v>
      </c>
      <c r="CM779">
        <f t="shared" si="260"/>
        <v>0</v>
      </c>
      <c r="CN779">
        <f t="shared" si="259"/>
        <v>0</v>
      </c>
      <c r="CO779">
        <f t="shared" si="243"/>
        <v>0</v>
      </c>
    </row>
    <row r="780" spans="1:93" s="12" customFormat="1" hidden="1" x14ac:dyDescent="0.25">
      <c r="A780" s="4">
        <v>2013</v>
      </c>
      <c r="B780" s="315">
        <v>44265</v>
      </c>
      <c r="C780" s="4" t="s">
        <v>429</v>
      </c>
      <c r="D780" s="4" t="s">
        <v>430</v>
      </c>
      <c r="E780" s="4"/>
      <c r="F780" s="4" t="s">
        <v>1491</v>
      </c>
      <c r="G780" s="5" t="s">
        <v>431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+VLOOKUP(G780,Liste!$A$7:$G$69,3,FALSE)</f>
        <v>Sapin pectiné</v>
      </c>
      <c r="BI780" s="96" t="str">
        <f>+VLOOKUP(H780,Liste!$B$7:$G$69,5,FALSE)</f>
        <v>GS Arc Jurassien</v>
      </c>
      <c r="BJ780" s="135">
        <f t="shared" si="242"/>
        <v>106</v>
      </c>
      <c r="BK780" s="135" t="str">
        <f t="shared" si="244"/>
        <v>Sapin pectiné_F2_Cas général_GS Arc Jurassien_106_</v>
      </c>
      <c r="BL780" s="319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97" t="str">
        <f>+VLOOKUP(G780,Liste!$A$7:$H$69,8,FALSE)</f>
        <v>Résineux</v>
      </c>
      <c r="BU780" s="297">
        <f t="shared" si="245"/>
        <v>0</v>
      </c>
      <c r="BV780" s="299">
        <f t="shared" si="246"/>
        <v>1</v>
      </c>
      <c r="BW780" s="318">
        <v>0</v>
      </c>
      <c r="BX780" s="297">
        <f t="shared" si="247"/>
        <v>0.43</v>
      </c>
      <c r="BY780">
        <f t="shared" si="248"/>
        <v>0</v>
      </c>
      <c r="BZ780" s="303">
        <f t="shared" si="249"/>
        <v>0</v>
      </c>
      <c r="CB780" s="298">
        <v>0.6</v>
      </c>
      <c r="CC780" s="298">
        <v>0.4</v>
      </c>
      <c r="CD780">
        <f t="shared" si="250"/>
        <v>0</v>
      </c>
      <c r="CE780">
        <f t="shared" si="251"/>
        <v>0</v>
      </c>
      <c r="CF780">
        <f t="shared" si="252"/>
        <v>0</v>
      </c>
      <c r="CG780">
        <f t="shared" si="253"/>
        <v>0</v>
      </c>
      <c r="CH780">
        <f t="shared" si="254"/>
        <v>0</v>
      </c>
      <c r="CI780">
        <f t="shared" si="255"/>
        <v>0</v>
      </c>
      <c r="CJ780">
        <f t="shared" si="256"/>
        <v>0</v>
      </c>
      <c r="CK780">
        <f t="shared" si="257"/>
        <v>0</v>
      </c>
      <c r="CL780">
        <f t="shared" si="258"/>
        <v>0</v>
      </c>
      <c r="CM780">
        <f t="shared" si="260"/>
        <v>0</v>
      </c>
      <c r="CN780">
        <f t="shared" si="259"/>
        <v>0</v>
      </c>
      <c r="CO780">
        <f t="shared" si="243"/>
        <v>0</v>
      </c>
    </row>
    <row r="781" spans="1:93" s="12" customFormat="1" hidden="1" x14ac:dyDescent="0.25">
      <c r="A781" s="4">
        <v>2013</v>
      </c>
      <c r="B781" s="315">
        <v>44265</v>
      </c>
      <c r="C781" s="4" t="s">
        <v>429</v>
      </c>
      <c r="D781" s="4" t="s">
        <v>430</v>
      </c>
      <c r="E781" s="4"/>
      <c r="F781" s="4" t="s">
        <v>1491</v>
      </c>
      <c r="G781" s="5" t="s">
        <v>431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+VLOOKUP(G781,Liste!$A$7:$G$69,3,FALSE)</f>
        <v>Sapin pectiné</v>
      </c>
      <c r="BI781" s="96" t="str">
        <f>+VLOOKUP(H781,Liste!$B$7:$G$69,5,FALSE)</f>
        <v>GS Arc Jurassien</v>
      </c>
      <c r="BJ781" s="135">
        <f t="shared" si="242"/>
        <v>107</v>
      </c>
      <c r="BK781" s="135" t="str">
        <f t="shared" si="244"/>
        <v>Sapin pectiné_F2_Cas général_GS Arc Jurassien_107_</v>
      </c>
      <c r="BL781" s="319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97" t="str">
        <f>+VLOOKUP(G781,Liste!$A$7:$H$69,8,FALSE)</f>
        <v>Résineux</v>
      </c>
      <c r="BU781" s="297">
        <f t="shared" si="245"/>
        <v>0</v>
      </c>
      <c r="BV781" s="299">
        <f t="shared" si="246"/>
        <v>1</v>
      </c>
      <c r="BW781" s="318">
        <v>0</v>
      </c>
      <c r="BX781" s="297">
        <f t="shared" si="247"/>
        <v>0.43</v>
      </c>
      <c r="BY781">
        <f t="shared" si="248"/>
        <v>0</v>
      </c>
      <c r="BZ781" s="303">
        <f t="shared" si="249"/>
        <v>0</v>
      </c>
      <c r="CB781" s="298">
        <v>0.6</v>
      </c>
      <c r="CC781" s="298">
        <v>0.4</v>
      </c>
      <c r="CD781">
        <f t="shared" si="250"/>
        <v>0</v>
      </c>
      <c r="CE781">
        <f t="shared" si="251"/>
        <v>0</v>
      </c>
      <c r="CF781">
        <f t="shared" si="252"/>
        <v>0</v>
      </c>
      <c r="CG781">
        <f t="shared" si="253"/>
        <v>0</v>
      </c>
      <c r="CH781">
        <f t="shared" si="254"/>
        <v>0</v>
      </c>
      <c r="CI781">
        <f t="shared" si="255"/>
        <v>0</v>
      </c>
      <c r="CJ781">
        <f t="shared" si="256"/>
        <v>0</v>
      </c>
      <c r="CK781">
        <f t="shared" si="257"/>
        <v>0</v>
      </c>
      <c r="CL781">
        <f t="shared" si="258"/>
        <v>0</v>
      </c>
      <c r="CM781">
        <f t="shared" si="260"/>
        <v>0</v>
      </c>
      <c r="CN781">
        <f t="shared" si="259"/>
        <v>0</v>
      </c>
      <c r="CO781">
        <f t="shared" si="243"/>
        <v>0</v>
      </c>
    </row>
    <row r="782" spans="1:93" s="12" customFormat="1" hidden="1" x14ac:dyDescent="0.25">
      <c r="A782" s="4">
        <v>2013</v>
      </c>
      <c r="B782" s="315">
        <v>44265</v>
      </c>
      <c r="C782" s="4" t="s">
        <v>429</v>
      </c>
      <c r="D782" s="4" t="s">
        <v>430</v>
      </c>
      <c r="E782" s="4"/>
      <c r="F782" s="4" t="s">
        <v>1491</v>
      </c>
      <c r="G782" s="5" t="s">
        <v>431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+VLOOKUP(G782,Liste!$A$7:$G$69,3,FALSE)</f>
        <v>Sapin pectiné</v>
      </c>
      <c r="BI782" s="96" t="str">
        <f>+VLOOKUP(H782,Liste!$B$7:$G$69,5,FALSE)</f>
        <v>GS Arc Jurassien</v>
      </c>
      <c r="BJ782" s="135">
        <f t="shared" si="242"/>
        <v>108</v>
      </c>
      <c r="BK782" s="135" t="str">
        <f t="shared" si="244"/>
        <v>Sapin pectiné_F2_Cas général_GS Arc Jurassien_108_</v>
      </c>
      <c r="BL782" s="319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97" t="str">
        <f>+VLOOKUP(G782,Liste!$A$7:$H$69,8,FALSE)</f>
        <v>Résineux</v>
      </c>
      <c r="BU782" s="297">
        <f t="shared" si="245"/>
        <v>0</v>
      </c>
      <c r="BV782" s="299">
        <f t="shared" si="246"/>
        <v>1</v>
      </c>
      <c r="BW782" s="318">
        <v>0</v>
      </c>
      <c r="BX782" s="297">
        <f t="shared" si="247"/>
        <v>0.43</v>
      </c>
      <c r="BY782">
        <f t="shared" si="248"/>
        <v>0</v>
      </c>
      <c r="BZ782" s="303">
        <f t="shared" si="249"/>
        <v>0</v>
      </c>
      <c r="CB782" s="298">
        <v>0.6</v>
      </c>
      <c r="CC782" s="298">
        <v>0.4</v>
      </c>
      <c r="CD782">
        <f t="shared" si="250"/>
        <v>0</v>
      </c>
      <c r="CE782">
        <f t="shared" si="251"/>
        <v>0</v>
      </c>
      <c r="CF782">
        <f t="shared" si="252"/>
        <v>0</v>
      </c>
      <c r="CG782">
        <f t="shared" si="253"/>
        <v>0</v>
      </c>
      <c r="CH782">
        <f t="shared" si="254"/>
        <v>0</v>
      </c>
      <c r="CI782">
        <f t="shared" si="255"/>
        <v>0</v>
      </c>
      <c r="CJ782">
        <f t="shared" si="256"/>
        <v>0</v>
      </c>
      <c r="CK782">
        <f t="shared" si="257"/>
        <v>0</v>
      </c>
      <c r="CL782">
        <f t="shared" si="258"/>
        <v>0</v>
      </c>
      <c r="CM782">
        <f t="shared" si="260"/>
        <v>0</v>
      </c>
      <c r="CN782">
        <f t="shared" si="259"/>
        <v>0</v>
      </c>
      <c r="CO782">
        <f t="shared" si="243"/>
        <v>0</v>
      </c>
    </row>
    <row r="783" spans="1:93" s="12" customFormat="1" hidden="1" x14ac:dyDescent="0.25">
      <c r="A783" s="4">
        <v>2013</v>
      </c>
      <c r="B783" s="315">
        <v>44265</v>
      </c>
      <c r="C783" s="4" t="s">
        <v>429</v>
      </c>
      <c r="D783" s="4" t="s">
        <v>430</v>
      </c>
      <c r="E783" s="4"/>
      <c r="F783" s="4" t="s">
        <v>1491</v>
      </c>
      <c r="G783" s="5" t="s">
        <v>431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+VLOOKUP(G783,Liste!$A$7:$G$69,3,FALSE)</f>
        <v>Sapin pectiné</v>
      </c>
      <c r="BI783" s="96" t="str">
        <f>+VLOOKUP(H783,Liste!$B$7:$G$69,5,FALSE)</f>
        <v>GS Arc Jurassien</v>
      </c>
      <c r="BJ783" s="135">
        <f t="shared" si="242"/>
        <v>108</v>
      </c>
      <c r="BK783" s="135" t="str">
        <f t="shared" si="244"/>
        <v>Sapin pectiné_F2_Cas général_GS Arc Jurassien_108_</v>
      </c>
      <c r="BL783" s="319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97" t="str">
        <f>+VLOOKUP(G783,Liste!$A$7:$H$69,8,FALSE)</f>
        <v>Résineux</v>
      </c>
      <c r="BU783" s="297">
        <f t="shared" si="245"/>
        <v>0</v>
      </c>
      <c r="BV783" s="299">
        <f t="shared" si="246"/>
        <v>1</v>
      </c>
      <c r="BW783" s="318">
        <v>0</v>
      </c>
      <c r="BX783" s="297">
        <f t="shared" si="247"/>
        <v>0.43</v>
      </c>
      <c r="BY783">
        <f t="shared" si="248"/>
        <v>0</v>
      </c>
      <c r="BZ783" s="303">
        <f t="shared" si="249"/>
        <v>0</v>
      </c>
      <c r="CB783" s="298">
        <v>0.6</v>
      </c>
      <c r="CC783" s="298">
        <v>0.4</v>
      </c>
      <c r="CD783">
        <f t="shared" si="250"/>
        <v>0</v>
      </c>
      <c r="CE783">
        <f t="shared" si="251"/>
        <v>0</v>
      </c>
      <c r="CF783">
        <f t="shared" si="252"/>
        <v>0</v>
      </c>
      <c r="CG783">
        <f t="shared" si="253"/>
        <v>0</v>
      </c>
      <c r="CH783">
        <f t="shared" si="254"/>
        <v>0</v>
      </c>
      <c r="CI783">
        <f t="shared" si="255"/>
        <v>0</v>
      </c>
      <c r="CJ783">
        <f t="shared" si="256"/>
        <v>0</v>
      </c>
      <c r="CK783">
        <f t="shared" si="257"/>
        <v>0</v>
      </c>
      <c r="CL783">
        <f t="shared" si="258"/>
        <v>0</v>
      </c>
      <c r="CM783">
        <f t="shared" si="260"/>
        <v>0</v>
      </c>
      <c r="CN783">
        <f t="shared" si="259"/>
        <v>0</v>
      </c>
      <c r="CO783">
        <f t="shared" si="243"/>
        <v>0</v>
      </c>
    </row>
    <row r="784" spans="1:93" s="12" customFormat="1" hidden="1" x14ac:dyDescent="0.25">
      <c r="A784" s="4">
        <v>2013</v>
      </c>
      <c r="B784" s="315">
        <v>44265</v>
      </c>
      <c r="C784" s="4" t="s">
        <v>429</v>
      </c>
      <c r="D784" s="4" t="s">
        <v>430</v>
      </c>
      <c r="E784" s="4"/>
      <c r="F784" s="4" t="s">
        <v>1491</v>
      </c>
      <c r="G784" s="5" t="s">
        <v>431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+VLOOKUP(G784,Liste!$A$7:$G$69,3,FALSE)</f>
        <v>Sapin pectiné</v>
      </c>
      <c r="BI784" s="96" t="str">
        <f>+VLOOKUP(H784,Liste!$B$7:$G$69,5,FALSE)</f>
        <v>GS Arc Jurassien</v>
      </c>
      <c r="BJ784" s="135">
        <f t="shared" si="242"/>
        <v>109</v>
      </c>
      <c r="BK784" s="135" t="str">
        <f t="shared" si="244"/>
        <v>Sapin pectiné_F2_Cas général_GS Arc Jurassien_109_</v>
      </c>
      <c r="BL784" s="319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97" t="str">
        <f>+VLOOKUP(G784,Liste!$A$7:$H$69,8,FALSE)</f>
        <v>Résineux</v>
      </c>
      <c r="BU784" s="297">
        <f t="shared" si="245"/>
        <v>0</v>
      </c>
      <c r="BV784" s="299">
        <f t="shared" si="246"/>
        <v>1</v>
      </c>
      <c r="BW784" s="318">
        <v>0</v>
      </c>
      <c r="BX784" s="297">
        <f t="shared" si="247"/>
        <v>0.43</v>
      </c>
      <c r="BY784">
        <f t="shared" si="248"/>
        <v>0</v>
      </c>
      <c r="BZ784" s="303">
        <f t="shared" si="249"/>
        <v>0</v>
      </c>
      <c r="CB784" s="298">
        <v>0.6</v>
      </c>
      <c r="CC784" s="298">
        <v>0.4</v>
      </c>
      <c r="CD784">
        <f t="shared" si="250"/>
        <v>0</v>
      </c>
      <c r="CE784">
        <f t="shared" si="251"/>
        <v>0</v>
      </c>
      <c r="CF784">
        <f t="shared" si="252"/>
        <v>0</v>
      </c>
      <c r="CG784">
        <f t="shared" si="253"/>
        <v>0</v>
      </c>
      <c r="CH784">
        <f t="shared" si="254"/>
        <v>0</v>
      </c>
      <c r="CI784">
        <f t="shared" si="255"/>
        <v>0</v>
      </c>
      <c r="CJ784">
        <f t="shared" si="256"/>
        <v>0</v>
      </c>
      <c r="CK784">
        <f t="shared" si="257"/>
        <v>0</v>
      </c>
      <c r="CL784">
        <f t="shared" si="258"/>
        <v>0</v>
      </c>
      <c r="CM784">
        <f t="shared" si="260"/>
        <v>0</v>
      </c>
      <c r="CN784">
        <f t="shared" si="259"/>
        <v>0</v>
      </c>
      <c r="CO784">
        <f t="shared" si="243"/>
        <v>0</v>
      </c>
    </row>
    <row r="785" spans="1:93" s="12" customFormat="1" hidden="1" x14ac:dyDescent="0.25">
      <c r="A785" s="4">
        <v>2013</v>
      </c>
      <c r="B785" s="315">
        <v>44265</v>
      </c>
      <c r="C785" s="4" t="s">
        <v>429</v>
      </c>
      <c r="D785" s="4" t="s">
        <v>430</v>
      </c>
      <c r="E785" s="4"/>
      <c r="F785" s="4" t="s">
        <v>1491</v>
      </c>
      <c r="G785" s="5" t="s">
        <v>431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+VLOOKUP(G785,Liste!$A$7:$G$69,3,FALSE)</f>
        <v>Sapin pectiné</v>
      </c>
      <c r="BI785" s="96" t="str">
        <f>+VLOOKUP(H785,Liste!$B$7:$G$69,5,FALSE)</f>
        <v>GS Arc Jurassien</v>
      </c>
      <c r="BJ785" s="135">
        <f t="shared" si="242"/>
        <v>110</v>
      </c>
      <c r="BK785" s="135" t="str">
        <f t="shared" si="244"/>
        <v>Sapin pectiné_F2_Cas général_GS Arc Jurassien_110_</v>
      </c>
      <c r="BL785" s="319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97" t="str">
        <f>+VLOOKUP(G785,Liste!$A$7:$H$69,8,FALSE)</f>
        <v>Résineux</v>
      </c>
      <c r="BU785" s="297">
        <f t="shared" si="245"/>
        <v>0</v>
      </c>
      <c r="BV785" s="299">
        <f t="shared" si="246"/>
        <v>1</v>
      </c>
      <c r="BW785" s="318">
        <v>0</v>
      </c>
      <c r="BX785" s="297">
        <f t="shared" si="247"/>
        <v>0.43</v>
      </c>
      <c r="BY785">
        <f t="shared" si="248"/>
        <v>0</v>
      </c>
      <c r="BZ785" s="303">
        <f t="shared" si="249"/>
        <v>0</v>
      </c>
      <c r="CB785" s="298">
        <v>0.6</v>
      </c>
      <c r="CC785" s="298">
        <v>0.4</v>
      </c>
      <c r="CD785">
        <f t="shared" si="250"/>
        <v>0</v>
      </c>
      <c r="CE785">
        <f t="shared" si="251"/>
        <v>0</v>
      </c>
      <c r="CF785">
        <f t="shared" si="252"/>
        <v>0</v>
      </c>
      <c r="CG785">
        <f t="shared" si="253"/>
        <v>0</v>
      </c>
      <c r="CH785">
        <f t="shared" si="254"/>
        <v>0</v>
      </c>
      <c r="CI785">
        <f t="shared" si="255"/>
        <v>0</v>
      </c>
      <c r="CJ785">
        <f t="shared" si="256"/>
        <v>0</v>
      </c>
      <c r="CK785">
        <f t="shared" si="257"/>
        <v>0</v>
      </c>
      <c r="CL785">
        <f t="shared" si="258"/>
        <v>0</v>
      </c>
      <c r="CM785">
        <f t="shared" si="260"/>
        <v>0</v>
      </c>
      <c r="CN785">
        <f t="shared" si="259"/>
        <v>0</v>
      </c>
      <c r="CO785">
        <f t="shared" si="243"/>
        <v>0</v>
      </c>
    </row>
    <row r="786" spans="1:93" s="12" customFormat="1" hidden="1" x14ac:dyDescent="0.25">
      <c r="A786" s="4">
        <v>2013</v>
      </c>
      <c r="B786" s="315">
        <v>44265</v>
      </c>
      <c r="C786" s="4" t="s">
        <v>429</v>
      </c>
      <c r="D786" s="4" t="s">
        <v>430</v>
      </c>
      <c r="E786" s="4"/>
      <c r="F786" s="4" t="s">
        <v>1491</v>
      </c>
      <c r="G786" s="5" t="s">
        <v>431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+VLOOKUP(G786,Liste!$A$7:$G$69,3,FALSE)</f>
        <v>Sapin pectiné</v>
      </c>
      <c r="BI786" s="96" t="str">
        <f>+VLOOKUP(H786,Liste!$B$7:$G$69,5,FALSE)</f>
        <v>GS Arc Jurassien</v>
      </c>
      <c r="BJ786" s="135">
        <f t="shared" si="242"/>
        <v>111</v>
      </c>
      <c r="BK786" s="135" t="str">
        <f t="shared" si="244"/>
        <v>Sapin pectiné_F2_Cas général_GS Arc Jurassien_111_</v>
      </c>
      <c r="BL786" s="319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97" t="str">
        <f>+VLOOKUP(G786,Liste!$A$7:$H$69,8,FALSE)</f>
        <v>Résineux</v>
      </c>
      <c r="BU786" s="297">
        <f t="shared" si="245"/>
        <v>0</v>
      </c>
      <c r="BV786" s="299">
        <f t="shared" si="246"/>
        <v>1</v>
      </c>
      <c r="BW786" s="318">
        <v>0</v>
      </c>
      <c r="BX786" s="297">
        <f t="shared" si="247"/>
        <v>0.43</v>
      </c>
      <c r="BY786">
        <f t="shared" si="248"/>
        <v>0</v>
      </c>
      <c r="BZ786" s="303">
        <f t="shared" si="249"/>
        <v>0</v>
      </c>
      <c r="CB786" s="298">
        <v>0.6</v>
      </c>
      <c r="CC786" s="298">
        <v>0.4</v>
      </c>
      <c r="CD786">
        <f t="shared" si="250"/>
        <v>0</v>
      </c>
      <c r="CE786">
        <f t="shared" si="251"/>
        <v>0</v>
      </c>
      <c r="CF786">
        <f t="shared" si="252"/>
        <v>0</v>
      </c>
      <c r="CG786">
        <f t="shared" si="253"/>
        <v>0</v>
      </c>
      <c r="CH786">
        <f t="shared" si="254"/>
        <v>0</v>
      </c>
      <c r="CI786">
        <f t="shared" si="255"/>
        <v>0</v>
      </c>
      <c r="CJ786">
        <f t="shared" si="256"/>
        <v>0</v>
      </c>
      <c r="CK786">
        <f t="shared" si="257"/>
        <v>0</v>
      </c>
      <c r="CL786">
        <f t="shared" si="258"/>
        <v>0</v>
      </c>
      <c r="CM786">
        <f t="shared" si="260"/>
        <v>0</v>
      </c>
      <c r="CN786">
        <f t="shared" si="259"/>
        <v>0</v>
      </c>
      <c r="CO786">
        <f t="shared" si="243"/>
        <v>0</v>
      </c>
    </row>
    <row r="787" spans="1:93" s="12" customFormat="1" hidden="1" x14ac:dyDescent="0.25">
      <c r="A787" s="4">
        <v>2013</v>
      </c>
      <c r="B787" s="315">
        <v>44265</v>
      </c>
      <c r="C787" s="4" t="s">
        <v>429</v>
      </c>
      <c r="D787" s="4" t="s">
        <v>430</v>
      </c>
      <c r="E787" s="4"/>
      <c r="F787" s="4" t="s">
        <v>1491</v>
      </c>
      <c r="G787" s="5" t="s">
        <v>431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+VLOOKUP(G787,Liste!$A$7:$G$69,3,FALSE)</f>
        <v>Sapin pectiné</v>
      </c>
      <c r="BI787" s="96" t="str">
        <f>+VLOOKUP(H787,Liste!$B$7:$G$69,5,FALSE)</f>
        <v>GS Arc Jurassien</v>
      </c>
      <c r="BJ787" s="135">
        <f t="shared" si="242"/>
        <v>112</v>
      </c>
      <c r="BK787" s="135" t="str">
        <f t="shared" si="244"/>
        <v>Sapin pectiné_F2_Cas général_GS Arc Jurassien_112_</v>
      </c>
      <c r="BL787" s="319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97" t="str">
        <f>+VLOOKUP(G787,Liste!$A$7:$H$69,8,FALSE)</f>
        <v>Résineux</v>
      </c>
      <c r="BU787" s="297">
        <f t="shared" si="245"/>
        <v>0</v>
      </c>
      <c r="BV787" s="299">
        <f t="shared" si="246"/>
        <v>1</v>
      </c>
      <c r="BW787" s="318">
        <v>0</v>
      </c>
      <c r="BX787" s="297">
        <f t="shared" si="247"/>
        <v>0.43</v>
      </c>
      <c r="BY787">
        <f t="shared" si="248"/>
        <v>0</v>
      </c>
      <c r="BZ787" s="303">
        <f t="shared" si="249"/>
        <v>0</v>
      </c>
      <c r="CB787" s="298">
        <v>0.6</v>
      </c>
      <c r="CC787" s="298">
        <v>0.4</v>
      </c>
      <c r="CD787">
        <f t="shared" si="250"/>
        <v>0</v>
      </c>
      <c r="CE787">
        <f t="shared" si="251"/>
        <v>0</v>
      </c>
      <c r="CF787">
        <f t="shared" si="252"/>
        <v>0</v>
      </c>
      <c r="CG787">
        <f t="shared" si="253"/>
        <v>0</v>
      </c>
      <c r="CH787">
        <f t="shared" si="254"/>
        <v>0</v>
      </c>
      <c r="CI787">
        <f t="shared" si="255"/>
        <v>0</v>
      </c>
      <c r="CJ787">
        <f t="shared" si="256"/>
        <v>0</v>
      </c>
      <c r="CK787">
        <f t="shared" si="257"/>
        <v>0</v>
      </c>
      <c r="CL787">
        <f t="shared" si="258"/>
        <v>0</v>
      </c>
      <c r="CM787">
        <f t="shared" si="260"/>
        <v>0</v>
      </c>
      <c r="CN787">
        <f t="shared" si="259"/>
        <v>0</v>
      </c>
      <c r="CO787">
        <f t="shared" si="243"/>
        <v>0</v>
      </c>
    </row>
    <row r="788" spans="1:93" s="12" customFormat="1" hidden="1" x14ac:dyDescent="0.25">
      <c r="A788" s="4">
        <v>2013</v>
      </c>
      <c r="B788" s="315">
        <v>44265</v>
      </c>
      <c r="C788" s="4" t="s">
        <v>429</v>
      </c>
      <c r="D788" s="4" t="s">
        <v>430</v>
      </c>
      <c r="E788" s="4"/>
      <c r="F788" s="4" t="s">
        <v>1491</v>
      </c>
      <c r="G788" s="5" t="s">
        <v>431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+VLOOKUP(G788,Liste!$A$7:$G$69,3,FALSE)</f>
        <v>Sapin pectiné</v>
      </c>
      <c r="BI788" s="96" t="str">
        <f>+VLOOKUP(H788,Liste!$B$7:$G$69,5,FALSE)</f>
        <v>GS Arc Jurassien</v>
      </c>
      <c r="BJ788" s="135">
        <f t="shared" si="242"/>
        <v>113</v>
      </c>
      <c r="BK788" s="135" t="str">
        <f t="shared" si="244"/>
        <v>Sapin pectiné_F2_Cas général_GS Arc Jurassien_113_</v>
      </c>
      <c r="BL788" s="319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97" t="str">
        <f>+VLOOKUP(G788,Liste!$A$7:$H$69,8,FALSE)</f>
        <v>Résineux</v>
      </c>
      <c r="BU788" s="297">
        <f t="shared" si="245"/>
        <v>0</v>
      </c>
      <c r="BV788" s="299">
        <f t="shared" si="246"/>
        <v>1</v>
      </c>
      <c r="BW788" s="318">
        <v>0</v>
      </c>
      <c r="BX788" s="297">
        <f t="shared" si="247"/>
        <v>0.43</v>
      </c>
      <c r="BY788">
        <f t="shared" si="248"/>
        <v>0</v>
      </c>
      <c r="BZ788" s="303">
        <f t="shared" si="249"/>
        <v>0</v>
      </c>
      <c r="CB788" s="298">
        <v>0.6</v>
      </c>
      <c r="CC788" s="298">
        <v>0.4</v>
      </c>
      <c r="CD788">
        <f t="shared" si="250"/>
        <v>0</v>
      </c>
      <c r="CE788">
        <f t="shared" si="251"/>
        <v>0</v>
      </c>
      <c r="CF788">
        <f t="shared" si="252"/>
        <v>0</v>
      </c>
      <c r="CG788">
        <f t="shared" si="253"/>
        <v>0</v>
      </c>
      <c r="CH788">
        <f t="shared" si="254"/>
        <v>0</v>
      </c>
      <c r="CI788">
        <f t="shared" si="255"/>
        <v>0</v>
      </c>
      <c r="CJ788">
        <f t="shared" si="256"/>
        <v>0</v>
      </c>
      <c r="CK788">
        <f t="shared" si="257"/>
        <v>0</v>
      </c>
      <c r="CL788">
        <f t="shared" si="258"/>
        <v>0</v>
      </c>
      <c r="CM788">
        <f t="shared" si="260"/>
        <v>0</v>
      </c>
      <c r="CN788">
        <f t="shared" si="259"/>
        <v>0</v>
      </c>
      <c r="CO788">
        <f t="shared" si="243"/>
        <v>0</v>
      </c>
    </row>
    <row r="789" spans="1:93" s="12" customFormat="1" hidden="1" x14ac:dyDescent="0.25">
      <c r="A789" s="4">
        <v>2013</v>
      </c>
      <c r="B789" s="315">
        <v>44265</v>
      </c>
      <c r="C789" s="4" t="s">
        <v>429</v>
      </c>
      <c r="D789" s="4" t="s">
        <v>430</v>
      </c>
      <c r="E789" s="4"/>
      <c r="F789" s="4" t="s">
        <v>1491</v>
      </c>
      <c r="G789" s="5" t="s">
        <v>431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+VLOOKUP(G789,Liste!$A$7:$G$69,3,FALSE)</f>
        <v>Sapin pectiné</v>
      </c>
      <c r="BI789" s="96" t="str">
        <f>+VLOOKUP(H789,Liste!$B$7:$G$69,5,FALSE)</f>
        <v>GS Arc Jurassien</v>
      </c>
      <c r="BJ789" s="135">
        <f t="shared" si="242"/>
        <v>114</v>
      </c>
      <c r="BK789" s="135" t="str">
        <f t="shared" si="244"/>
        <v>Sapin pectiné_F2_Cas général_GS Arc Jurassien_114_</v>
      </c>
      <c r="BL789" s="319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97" t="str">
        <f>+VLOOKUP(G789,Liste!$A$7:$H$69,8,FALSE)</f>
        <v>Résineux</v>
      </c>
      <c r="BU789" s="297">
        <f t="shared" si="245"/>
        <v>0</v>
      </c>
      <c r="BV789" s="299">
        <f t="shared" si="246"/>
        <v>1</v>
      </c>
      <c r="BW789" s="318">
        <v>0</v>
      </c>
      <c r="BX789" s="297">
        <f t="shared" si="247"/>
        <v>0.43</v>
      </c>
      <c r="BY789">
        <f t="shared" si="248"/>
        <v>0</v>
      </c>
      <c r="BZ789" s="303">
        <f t="shared" si="249"/>
        <v>0</v>
      </c>
      <c r="CB789" s="298">
        <v>0.6</v>
      </c>
      <c r="CC789" s="298">
        <v>0.4</v>
      </c>
      <c r="CD789">
        <f t="shared" si="250"/>
        <v>0</v>
      </c>
      <c r="CE789">
        <f t="shared" si="251"/>
        <v>0</v>
      </c>
      <c r="CF789">
        <f t="shared" si="252"/>
        <v>0</v>
      </c>
      <c r="CG789">
        <f t="shared" si="253"/>
        <v>0</v>
      </c>
      <c r="CH789">
        <f t="shared" si="254"/>
        <v>0</v>
      </c>
      <c r="CI789">
        <f t="shared" si="255"/>
        <v>0</v>
      </c>
      <c r="CJ789">
        <f t="shared" si="256"/>
        <v>0</v>
      </c>
      <c r="CK789">
        <f t="shared" si="257"/>
        <v>0</v>
      </c>
      <c r="CL789">
        <f t="shared" si="258"/>
        <v>0</v>
      </c>
      <c r="CM789">
        <f t="shared" si="260"/>
        <v>0</v>
      </c>
      <c r="CN789">
        <f t="shared" si="259"/>
        <v>0</v>
      </c>
      <c r="CO789">
        <f t="shared" si="243"/>
        <v>0</v>
      </c>
    </row>
    <row r="790" spans="1:93" s="12" customFormat="1" hidden="1" x14ac:dyDescent="0.25">
      <c r="A790" s="4">
        <v>2013</v>
      </c>
      <c r="B790" s="315">
        <v>44265</v>
      </c>
      <c r="C790" s="4" t="s">
        <v>429</v>
      </c>
      <c r="D790" s="4" t="s">
        <v>430</v>
      </c>
      <c r="E790" s="4"/>
      <c r="F790" s="4" t="s">
        <v>1491</v>
      </c>
      <c r="G790" s="5" t="s">
        <v>431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+VLOOKUP(G790,Liste!$A$7:$G$69,3,FALSE)</f>
        <v>Sapin pectiné</v>
      </c>
      <c r="BI790" s="96" t="str">
        <f>+VLOOKUP(H790,Liste!$B$7:$G$69,5,FALSE)</f>
        <v>GS Arc Jurassien</v>
      </c>
      <c r="BJ790" s="135">
        <f t="shared" si="242"/>
        <v>115</v>
      </c>
      <c r="BK790" s="135" t="str">
        <f t="shared" si="244"/>
        <v>Sapin pectiné_F2_Cas général_GS Arc Jurassien_115_</v>
      </c>
      <c r="BL790" s="319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97" t="str">
        <f>+VLOOKUP(G790,Liste!$A$7:$H$69,8,FALSE)</f>
        <v>Résineux</v>
      </c>
      <c r="BU790" s="297">
        <f t="shared" si="245"/>
        <v>0</v>
      </c>
      <c r="BV790" s="299">
        <f t="shared" si="246"/>
        <v>1</v>
      </c>
      <c r="BW790" s="318">
        <v>0</v>
      </c>
      <c r="BX790" s="297">
        <f t="shared" si="247"/>
        <v>0.43</v>
      </c>
      <c r="BY790">
        <f t="shared" si="248"/>
        <v>0</v>
      </c>
      <c r="BZ790" s="303">
        <f t="shared" si="249"/>
        <v>0</v>
      </c>
      <c r="CB790" s="298">
        <v>0.6</v>
      </c>
      <c r="CC790" s="298">
        <v>0.4</v>
      </c>
      <c r="CD790">
        <f t="shared" si="250"/>
        <v>0</v>
      </c>
      <c r="CE790">
        <f t="shared" si="251"/>
        <v>0</v>
      </c>
      <c r="CF790">
        <f t="shared" si="252"/>
        <v>0</v>
      </c>
      <c r="CG790">
        <f t="shared" si="253"/>
        <v>0</v>
      </c>
      <c r="CH790">
        <f t="shared" si="254"/>
        <v>0</v>
      </c>
      <c r="CI790">
        <f t="shared" si="255"/>
        <v>0</v>
      </c>
      <c r="CJ790">
        <f t="shared" si="256"/>
        <v>0</v>
      </c>
      <c r="CK790">
        <f t="shared" si="257"/>
        <v>0</v>
      </c>
      <c r="CL790">
        <f t="shared" si="258"/>
        <v>0</v>
      </c>
      <c r="CM790">
        <f t="shared" si="260"/>
        <v>0</v>
      </c>
      <c r="CN790">
        <f t="shared" si="259"/>
        <v>0</v>
      </c>
      <c r="CO790">
        <f t="shared" si="243"/>
        <v>0</v>
      </c>
    </row>
    <row r="791" spans="1:93" s="12" customFormat="1" hidden="1" x14ac:dyDescent="0.25">
      <c r="A791" s="4">
        <v>2013</v>
      </c>
      <c r="B791" s="315">
        <v>44265</v>
      </c>
      <c r="C791" s="4" t="s">
        <v>429</v>
      </c>
      <c r="D791" s="4" t="s">
        <v>430</v>
      </c>
      <c r="E791" s="4"/>
      <c r="F791" s="4" t="s">
        <v>1491</v>
      </c>
      <c r="G791" s="5" t="s">
        <v>431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+VLOOKUP(G791,Liste!$A$7:$G$69,3,FALSE)</f>
        <v>Sapin pectiné</v>
      </c>
      <c r="BI791" s="96" t="str">
        <f>+VLOOKUP(H791,Liste!$B$7:$G$69,5,FALSE)</f>
        <v>GS Arc Jurassien</v>
      </c>
      <c r="BJ791" s="135">
        <f t="shared" si="242"/>
        <v>116</v>
      </c>
      <c r="BK791" s="135" t="str">
        <f t="shared" si="244"/>
        <v>Sapin pectiné_F2_Cas général_GS Arc Jurassien_116_</v>
      </c>
      <c r="BL791" s="319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97" t="str">
        <f>+VLOOKUP(G791,Liste!$A$7:$H$69,8,FALSE)</f>
        <v>Résineux</v>
      </c>
      <c r="BU791" s="297">
        <f t="shared" si="245"/>
        <v>0</v>
      </c>
      <c r="BV791" s="299">
        <f t="shared" si="246"/>
        <v>1</v>
      </c>
      <c r="BW791" s="318">
        <v>0</v>
      </c>
      <c r="BX791" s="297">
        <f t="shared" si="247"/>
        <v>0.43</v>
      </c>
      <c r="BY791">
        <f t="shared" si="248"/>
        <v>0</v>
      </c>
      <c r="BZ791" s="303">
        <f t="shared" si="249"/>
        <v>0</v>
      </c>
      <c r="CB791" s="298">
        <v>0.6</v>
      </c>
      <c r="CC791" s="298">
        <v>0.4</v>
      </c>
      <c r="CD791">
        <f t="shared" si="250"/>
        <v>0</v>
      </c>
      <c r="CE791">
        <f t="shared" si="251"/>
        <v>0</v>
      </c>
      <c r="CF791">
        <f t="shared" si="252"/>
        <v>0</v>
      </c>
      <c r="CG791">
        <f t="shared" si="253"/>
        <v>0</v>
      </c>
      <c r="CH791">
        <f t="shared" si="254"/>
        <v>0</v>
      </c>
      <c r="CI791">
        <f t="shared" si="255"/>
        <v>0</v>
      </c>
      <c r="CJ791">
        <f t="shared" si="256"/>
        <v>0</v>
      </c>
      <c r="CK791">
        <f t="shared" si="257"/>
        <v>0</v>
      </c>
      <c r="CL791">
        <f t="shared" si="258"/>
        <v>0</v>
      </c>
      <c r="CM791">
        <f t="shared" si="260"/>
        <v>0</v>
      </c>
      <c r="CN791">
        <f t="shared" si="259"/>
        <v>0</v>
      </c>
      <c r="CO791">
        <f t="shared" si="243"/>
        <v>0</v>
      </c>
    </row>
    <row r="792" spans="1:93" s="12" customFormat="1" hidden="1" x14ac:dyDescent="0.25">
      <c r="A792" s="4">
        <v>2013</v>
      </c>
      <c r="B792" s="315">
        <v>44265</v>
      </c>
      <c r="C792" s="4" t="s">
        <v>429</v>
      </c>
      <c r="D792" s="4" t="s">
        <v>430</v>
      </c>
      <c r="E792" s="4"/>
      <c r="F792" s="4" t="s">
        <v>1491</v>
      </c>
      <c r="G792" s="5" t="s">
        <v>431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+VLOOKUP(G792,Liste!$A$7:$G$69,3,FALSE)</f>
        <v>Sapin pectiné</v>
      </c>
      <c r="BI792" s="96" t="str">
        <f>+VLOOKUP(H792,Liste!$B$7:$G$69,5,FALSE)</f>
        <v>GS Arc Jurassien</v>
      </c>
      <c r="BJ792" s="135">
        <f t="shared" si="242"/>
        <v>117</v>
      </c>
      <c r="BK792" s="135" t="str">
        <f t="shared" si="244"/>
        <v>Sapin pectiné_F2_Cas général_GS Arc Jurassien_117_</v>
      </c>
      <c r="BL792" s="319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97" t="str">
        <f>+VLOOKUP(G792,Liste!$A$7:$H$69,8,FALSE)</f>
        <v>Résineux</v>
      </c>
      <c r="BU792" s="297">
        <f t="shared" si="245"/>
        <v>0</v>
      </c>
      <c r="BV792" s="299">
        <f t="shared" si="246"/>
        <v>1</v>
      </c>
      <c r="BW792" s="318">
        <v>0</v>
      </c>
      <c r="BX792" s="297">
        <f t="shared" si="247"/>
        <v>0.43</v>
      </c>
      <c r="BY792">
        <f t="shared" si="248"/>
        <v>0</v>
      </c>
      <c r="BZ792" s="303">
        <f t="shared" si="249"/>
        <v>0</v>
      </c>
      <c r="CB792" s="298">
        <v>0.6</v>
      </c>
      <c r="CC792" s="298">
        <v>0.4</v>
      </c>
      <c r="CD792">
        <f t="shared" si="250"/>
        <v>0</v>
      </c>
      <c r="CE792">
        <f t="shared" si="251"/>
        <v>0</v>
      </c>
      <c r="CF792">
        <f t="shared" si="252"/>
        <v>0</v>
      </c>
      <c r="CG792">
        <f t="shared" si="253"/>
        <v>0</v>
      </c>
      <c r="CH792">
        <f t="shared" si="254"/>
        <v>0</v>
      </c>
      <c r="CI792">
        <f t="shared" si="255"/>
        <v>0</v>
      </c>
      <c r="CJ792">
        <f t="shared" si="256"/>
        <v>0</v>
      </c>
      <c r="CK792">
        <f t="shared" si="257"/>
        <v>0</v>
      </c>
      <c r="CL792">
        <f t="shared" si="258"/>
        <v>0</v>
      </c>
      <c r="CM792">
        <f t="shared" si="260"/>
        <v>0</v>
      </c>
      <c r="CN792">
        <f t="shared" si="259"/>
        <v>0</v>
      </c>
      <c r="CO792">
        <f t="shared" si="243"/>
        <v>0</v>
      </c>
    </row>
    <row r="793" spans="1:93" s="12" customFormat="1" hidden="1" x14ac:dyDescent="0.25">
      <c r="A793" s="4">
        <v>2013</v>
      </c>
      <c r="B793" s="315">
        <v>44265</v>
      </c>
      <c r="C793" s="4" t="s">
        <v>429</v>
      </c>
      <c r="D793" s="4" t="s">
        <v>430</v>
      </c>
      <c r="E793" s="4"/>
      <c r="F793" s="4" t="s">
        <v>1491</v>
      </c>
      <c r="G793" s="5" t="s">
        <v>431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+VLOOKUP(G793,Liste!$A$7:$G$69,3,FALSE)</f>
        <v>Sapin pectiné</v>
      </c>
      <c r="BI793" s="96" t="str">
        <f>+VLOOKUP(H793,Liste!$B$7:$G$69,5,FALSE)</f>
        <v>GS Arc Jurassien</v>
      </c>
      <c r="BJ793" s="135">
        <f t="shared" si="242"/>
        <v>118</v>
      </c>
      <c r="BK793" s="135" t="str">
        <f t="shared" si="244"/>
        <v>Sapin pectiné_F2_Cas général_GS Arc Jurassien_118_</v>
      </c>
      <c r="BL793" s="319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97" t="str">
        <f>+VLOOKUP(G793,Liste!$A$7:$H$69,8,FALSE)</f>
        <v>Résineux</v>
      </c>
      <c r="BU793" s="297">
        <f t="shared" si="245"/>
        <v>0</v>
      </c>
      <c r="BV793" s="299">
        <f t="shared" si="246"/>
        <v>1</v>
      </c>
      <c r="BW793" s="318">
        <v>0</v>
      </c>
      <c r="BX793" s="297">
        <f t="shared" si="247"/>
        <v>0.43</v>
      </c>
      <c r="BY793">
        <f t="shared" si="248"/>
        <v>0</v>
      </c>
      <c r="BZ793" s="303">
        <f t="shared" si="249"/>
        <v>0</v>
      </c>
      <c r="CB793" s="298">
        <v>0.6</v>
      </c>
      <c r="CC793" s="298">
        <v>0.4</v>
      </c>
      <c r="CD793">
        <f t="shared" si="250"/>
        <v>0</v>
      </c>
      <c r="CE793">
        <f t="shared" si="251"/>
        <v>0</v>
      </c>
      <c r="CF793">
        <f t="shared" si="252"/>
        <v>0</v>
      </c>
      <c r="CG793">
        <f t="shared" si="253"/>
        <v>0</v>
      </c>
      <c r="CH793">
        <f t="shared" si="254"/>
        <v>0</v>
      </c>
      <c r="CI793">
        <f t="shared" si="255"/>
        <v>0</v>
      </c>
      <c r="CJ793">
        <f t="shared" si="256"/>
        <v>0</v>
      </c>
      <c r="CK793">
        <f t="shared" si="257"/>
        <v>0</v>
      </c>
      <c r="CL793">
        <f t="shared" si="258"/>
        <v>0</v>
      </c>
      <c r="CM793">
        <f t="shared" si="260"/>
        <v>0</v>
      </c>
      <c r="CN793">
        <f t="shared" si="259"/>
        <v>0</v>
      </c>
      <c r="CO793">
        <f t="shared" si="243"/>
        <v>0</v>
      </c>
    </row>
    <row r="794" spans="1:93" s="12" customFormat="1" hidden="1" x14ac:dyDescent="0.25">
      <c r="A794" s="4">
        <v>2013</v>
      </c>
      <c r="B794" s="315">
        <v>44265</v>
      </c>
      <c r="C794" s="4" t="s">
        <v>429</v>
      </c>
      <c r="D794" s="4" t="s">
        <v>430</v>
      </c>
      <c r="E794" s="4"/>
      <c r="F794" s="4" t="s">
        <v>1491</v>
      </c>
      <c r="G794" s="5" t="s">
        <v>431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+VLOOKUP(G794,Liste!$A$7:$G$69,3,FALSE)</f>
        <v>Sapin pectiné</v>
      </c>
      <c r="BI794" s="96" t="str">
        <f>+VLOOKUP(H794,Liste!$B$7:$G$69,5,FALSE)</f>
        <v>GS Arc Jurassien</v>
      </c>
      <c r="BJ794" s="135">
        <f t="shared" si="242"/>
        <v>118</v>
      </c>
      <c r="BK794" s="135" t="str">
        <f t="shared" si="244"/>
        <v>Sapin pectiné_F2_Cas général_GS Arc Jurassien_118_</v>
      </c>
      <c r="BL794" s="319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97" t="str">
        <f>+VLOOKUP(G794,Liste!$A$7:$H$69,8,FALSE)</f>
        <v>Résineux</v>
      </c>
      <c r="BU794" s="297">
        <f t="shared" si="245"/>
        <v>0</v>
      </c>
      <c r="BV794" s="299">
        <f t="shared" si="246"/>
        <v>1</v>
      </c>
      <c r="BW794" s="318">
        <v>0</v>
      </c>
      <c r="BX794" s="297">
        <f t="shared" si="247"/>
        <v>0.43</v>
      </c>
      <c r="BY794">
        <f t="shared" si="248"/>
        <v>0</v>
      </c>
      <c r="BZ794" s="303">
        <f t="shared" si="249"/>
        <v>0</v>
      </c>
      <c r="CB794" s="298">
        <v>0.6</v>
      </c>
      <c r="CC794" s="298">
        <v>0.4</v>
      </c>
      <c r="CD794">
        <f t="shared" si="250"/>
        <v>0</v>
      </c>
      <c r="CE794">
        <f t="shared" si="251"/>
        <v>0</v>
      </c>
      <c r="CF794">
        <f t="shared" si="252"/>
        <v>0</v>
      </c>
      <c r="CG794">
        <f t="shared" si="253"/>
        <v>0</v>
      </c>
      <c r="CH794">
        <f t="shared" si="254"/>
        <v>0</v>
      </c>
      <c r="CI794">
        <f t="shared" si="255"/>
        <v>0</v>
      </c>
      <c r="CJ794">
        <f t="shared" si="256"/>
        <v>0</v>
      </c>
      <c r="CK794">
        <f t="shared" si="257"/>
        <v>0</v>
      </c>
      <c r="CL794">
        <f t="shared" si="258"/>
        <v>0</v>
      </c>
      <c r="CM794">
        <f t="shared" si="260"/>
        <v>0</v>
      </c>
      <c r="CN794">
        <f t="shared" si="259"/>
        <v>0</v>
      </c>
      <c r="CO794">
        <f t="shared" si="243"/>
        <v>0</v>
      </c>
    </row>
    <row r="795" spans="1:93" s="12" customFormat="1" hidden="1" x14ac:dyDescent="0.25">
      <c r="A795" s="4">
        <v>2013</v>
      </c>
      <c r="B795" s="315">
        <v>44265</v>
      </c>
      <c r="C795" s="4" t="s">
        <v>429</v>
      </c>
      <c r="D795" s="4" t="s">
        <v>430</v>
      </c>
      <c r="E795" s="4"/>
      <c r="F795" s="4" t="s">
        <v>1491</v>
      </c>
      <c r="G795" s="5" t="s">
        <v>431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+VLOOKUP(G795,Liste!$A$7:$G$69,3,FALSE)</f>
        <v>Sapin pectiné</v>
      </c>
      <c r="BI795" s="96" t="str">
        <f>+VLOOKUP(H795,Liste!$B$7:$G$69,5,FALSE)</f>
        <v>GS Arc Jurassien</v>
      </c>
      <c r="BJ795" s="135">
        <f t="shared" si="242"/>
        <v>119</v>
      </c>
      <c r="BK795" s="135" t="str">
        <f t="shared" si="244"/>
        <v>Sapin pectiné_F2_Cas général_GS Arc Jurassien_119_</v>
      </c>
      <c r="BL795" s="319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97" t="str">
        <f>+VLOOKUP(G795,Liste!$A$7:$H$69,8,FALSE)</f>
        <v>Résineux</v>
      </c>
      <c r="BU795" s="297">
        <f t="shared" si="245"/>
        <v>0</v>
      </c>
      <c r="BV795" s="299">
        <f t="shared" si="246"/>
        <v>1</v>
      </c>
      <c r="BW795" s="318">
        <v>0</v>
      </c>
      <c r="BX795" s="297">
        <f t="shared" si="247"/>
        <v>0.43</v>
      </c>
      <c r="BY795">
        <f t="shared" si="248"/>
        <v>0</v>
      </c>
      <c r="BZ795" s="303">
        <f t="shared" si="249"/>
        <v>0</v>
      </c>
      <c r="CB795" s="298">
        <v>0.6</v>
      </c>
      <c r="CC795" s="298">
        <v>0.4</v>
      </c>
      <c r="CD795">
        <f t="shared" si="250"/>
        <v>0</v>
      </c>
      <c r="CE795">
        <f t="shared" si="251"/>
        <v>0</v>
      </c>
      <c r="CF795">
        <f t="shared" si="252"/>
        <v>0</v>
      </c>
      <c r="CG795">
        <f t="shared" si="253"/>
        <v>0</v>
      </c>
      <c r="CH795">
        <f t="shared" si="254"/>
        <v>0</v>
      </c>
      <c r="CI795">
        <f t="shared" si="255"/>
        <v>0</v>
      </c>
      <c r="CJ795">
        <f t="shared" si="256"/>
        <v>0</v>
      </c>
      <c r="CK795">
        <f t="shared" si="257"/>
        <v>0</v>
      </c>
      <c r="CL795">
        <f t="shared" si="258"/>
        <v>0</v>
      </c>
      <c r="CM795">
        <f t="shared" si="260"/>
        <v>0</v>
      </c>
      <c r="CN795">
        <f t="shared" si="259"/>
        <v>0</v>
      </c>
      <c r="CO795">
        <f t="shared" si="243"/>
        <v>0</v>
      </c>
    </row>
    <row r="796" spans="1:93" s="12" customFormat="1" hidden="1" x14ac:dyDescent="0.25">
      <c r="A796" s="4">
        <v>2013</v>
      </c>
      <c r="B796" s="315">
        <v>44265</v>
      </c>
      <c r="C796" s="4" t="s">
        <v>429</v>
      </c>
      <c r="D796" s="4" t="s">
        <v>430</v>
      </c>
      <c r="E796" s="4"/>
      <c r="F796" s="4" t="s">
        <v>1491</v>
      </c>
      <c r="G796" s="5" t="s">
        <v>431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+VLOOKUP(G796,Liste!$A$7:$G$69,3,FALSE)</f>
        <v>Sapin pectiné</v>
      </c>
      <c r="BI796" s="96" t="str">
        <f>+VLOOKUP(H796,Liste!$B$7:$G$69,5,FALSE)</f>
        <v>GS Arc Jurassien</v>
      </c>
      <c r="BJ796" s="135">
        <f t="shared" si="242"/>
        <v>120</v>
      </c>
      <c r="BK796" s="135" t="str">
        <f t="shared" si="244"/>
        <v>Sapin pectiné_F2_Cas général_GS Arc Jurassien_120_</v>
      </c>
      <c r="BL796" s="319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97" t="str">
        <f>+VLOOKUP(G796,Liste!$A$7:$H$69,8,FALSE)</f>
        <v>Résineux</v>
      </c>
      <c r="BU796" s="297">
        <f t="shared" si="245"/>
        <v>0</v>
      </c>
      <c r="BV796" s="299">
        <f t="shared" si="246"/>
        <v>1</v>
      </c>
      <c r="BW796" s="318">
        <v>0</v>
      </c>
      <c r="BX796" s="297">
        <f t="shared" si="247"/>
        <v>0.43</v>
      </c>
      <c r="BY796">
        <f t="shared" si="248"/>
        <v>0</v>
      </c>
      <c r="BZ796" s="303">
        <f t="shared" si="249"/>
        <v>0</v>
      </c>
      <c r="CB796" s="298">
        <v>0.6</v>
      </c>
      <c r="CC796" s="298">
        <v>0.4</v>
      </c>
      <c r="CD796">
        <f t="shared" si="250"/>
        <v>0</v>
      </c>
      <c r="CE796">
        <f t="shared" si="251"/>
        <v>0</v>
      </c>
      <c r="CF796">
        <f t="shared" si="252"/>
        <v>0</v>
      </c>
      <c r="CG796">
        <f t="shared" si="253"/>
        <v>0</v>
      </c>
      <c r="CH796">
        <f t="shared" si="254"/>
        <v>0</v>
      </c>
      <c r="CI796">
        <f t="shared" si="255"/>
        <v>0</v>
      </c>
      <c r="CJ796">
        <f t="shared" si="256"/>
        <v>0</v>
      </c>
      <c r="CK796">
        <f t="shared" si="257"/>
        <v>0</v>
      </c>
      <c r="CL796">
        <f t="shared" si="258"/>
        <v>0</v>
      </c>
      <c r="CM796">
        <f t="shared" si="260"/>
        <v>0</v>
      </c>
      <c r="CN796">
        <f t="shared" si="259"/>
        <v>0</v>
      </c>
      <c r="CO796">
        <f t="shared" si="243"/>
        <v>0</v>
      </c>
    </row>
    <row r="797" spans="1:93" s="12" customFormat="1" hidden="1" x14ac:dyDescent="0.25">
      <c r="A797" s="4">
        <v>2013</v>
      </c>
      <c r="B797" s="315">
        <v>44265</v>
      </c>
      <c r="C797" s="4" t="s">
        <v>429</v>
      </c>
      <c r="D797" s="4" t="s">
        <v>430</v>
      </c>
      <c r="E797" s="4"/>
      <c r="F797" s="4" t="s">
        <v>1491</v>
      </c>
      <c r="G797" s="5" t="s">
        <v>431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+VLOOKUP(G797,Liste!$A$7:$G$69,3,FALSE)</f>
        <v>Sapin pectiné</v>
      </c>
      <c r="BI797" s="96" t="str">
        <f>+VLOOKUP(H797,Liste!$B$7:$G$69,5,FALSE)</f>
        <v>GS Arc Jurassien</v>
      </c>
      <c r="BJ797" s="135">
        <f t="shared" si="242"/>
        <v>121</v>
      </c>
      <c r="BK797" s="135" t="str">
        <f t="shared" si="244"/>
        <v>Sapin pectiné_F2_Cas général_GS Arc Jurassien_121_</v>
      </c>
      <c r="BL797" s="319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97" t="str">
        <f>+VLOOKUP(G797,Liste!$A$7:$H$69,8,FALSE)</f>
        <v>Résineux</v>
      </c>
      <c r="BU797" s="297">
        <f t="shared" si="245"/>
        <v>0</v>
      </c>
      <c r="BV797" s="299">
        <f t="shared" si="246"/>
        <v>1</v>
      </c>
      <c r="BW797" s="318">
        <v>0</v>
      </c>
      <c r="BX797" s="297">
        <f t="shared" si="247"/>
        <v>0.43</v>
      </c>
      <c r="BY797">
        <f t="shared" si="248"/>
        <v>0</v>
      </c>
      <c r="BZ797" s="303">
        <f t="shared" si="249"/>
        <v>0</v>
      </c>
      <c r="CB797" s="298">
        <v>0.6</v>
      </c>
      <c r="CC797" s="298">
        <v>0.4</v>
      </c>
      <c r="CD797">
        <f t="shared" si="250"/>
        <v>0</v>
      </c>
      <c r="CE797">
        <f t="shared" si="251"/>
        <v>0</v>
      </c>
      <c r="CF797">
        <f t="shared" si="252"/>
        <v>0</v>
      </c>
      <c r="CG797">
        <f t="shared" si="253"/>
        <v>0</v>
      </c>
      <c r="CH797">
        <f t="shared" si="254"/>
        <v>0</v>
      </c>
      <c r="CI797">
        <f t="shared" si="255"/>
        <v>0</v>
      </c>
      <c r="CJ797">
        <f t="shared" si="256"/>
        <v>0</v>
      </c>
      <c r="CK797">
        <f t="shared" si="257"/>
        <v>0</v>
      </c>
      <c r="CL797">
        <f t="shared" si="258"/>
        <v>0</v>
      </c>
      <c r="CM797">
        <f t="shared" si="260"/>
        <v>0</v>
      </c>
      <c r="CN797">
        <f t="shared" si="259"/>
        <v>0</v>
      </c>
      <c r="CO797">
        <f t="shared" si="243"/>
        <v>0</v>
      </c>
    </row>
    <row r="798" spans="1:93" s="12" customFormat="1" hidden="1" x14ac:dyDescent="0.25">
      <c r="A798" s="4">
        <v>2013</v>
      </c>
      <c r="B798" s="315">
        <v>44265</v>
      </c>
      <c r="C798" s="4" t="s">
        <v>429</v>
      </c>
      <c r="D798" s="4" t="s">
        <v>430</v>
      </c>
      <c r="E798" s="4"/>
      <c r="F798" s="4" t="s">
        <v>1491</v>
      </c>
      <c r="G798" s="5" t="s">
        <v>431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+VLOOKUP(G798,Liste!$A$7:$G$69,3,FALSE)</f>
        <v>Sapin pectiné</v>
      </c>
      <c r="BI798" s="96" t="str">
        <f>+VLOOKUP(H798,Liste!$B$7:$G$69,5,FALSE)</f>
        <v>GS Arc Jurassien</v>
      </c>
      <c r="BJ798" s="135">
        <f t="shared" si="242"/>
        <v>122</v>
      </c>
      <c r="BK798" s="135" t="str">
        <f t="shared" si="244"/>
        <v>Sapin pectiné_F2_Cas général_GS Arc Jurassien_122_</v>
      </c>
      <c r="BL798" s="319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97" t="str">
        <f>+VLOOKUP(G798,Liste!$A$7:$H$69,8,FALSE)</f>
        <v>Résineux</v>
      </c>
      <c r="BU798" s="297">
        <f t="shared" si="245"/>
        <v>0</v>
      </c>
      <c r="BV798" s="299">
        <f t="shared" si="246"/>
        <v>1</v>
      </c>
      <c r="BW798" s="318">
        <v>0</v>
      </c>
      <c r="BX798" s="297">
        <f t="shared" si="247"/>
        <v>0.43</v>
      </c>
      <c r="BY798">
        <f t="shared" si="248"/>
        <v>0</v>
      </c>
      <c r="BZ798" s="303">
        <f t="shared" si="249"/>
        <v>0</v>
      </c>
      <c r="CB798" s="298">
        <v>0.6</v>
      </c>
      <c r="CC798" s="298">
        <v>0.4</v>
      </c>
      <c r="CD798">
        <f t="shared" si="250"/>
        <v>0</v>
      </c>
      <c r="CE798">
        <f t="shared" si="251"/>
        <v>0</v>
      </c>
      <c r="CF798">
        <f t="shared" si="252"/>
        <v>0</v>
      </c>
      <c r="CG798">
        <f t="shared" si="253"/>
        <v>0</v>
      </c>
      <c r="CH798">
        <f t="shared" si="254"/>
        <v>0</v>
      </c>
      <c r="CI798">
        <f t="shared" si="255"/>
        <v>0</v>
      </c>
      <c r="CJ798">
        <f t="shared" si="256"/>
        <v>0</v>
      </c>
      <c r="CK798">
        <f t="shared" si="257"/>
        <v>0</v>
      </c>
      <c r="CL798">
        <f t="shared" si="258"/>
        <v>0</v>
      </c>
      <c r="CM798">
        <f t="shared" si="260"/>
        <v>0</v>
      </c>
      <c r="CN798">
        <f t="shared" si="259"/>
        <v>0</v>
      </c>
      <c r="CO798">
        <f t="shared" si="243"/>
        <v>0</v>
      </c>
    </row>
    <row r="799" spans="1:93" s="12" customFormat="1" hidden="1" x14ac:dyDescent="0.25">
      <c r="A799" s="4">
        <v>2013</v>
      </c>
      <c r="B799" s="315">
        <v>44265</v>
      </c>
      <c r="C799" s="4" t="s">
        <v>429</v>
      </c>
      <c r="D799" s="4" t="s">
        <v>430</v>
      </c>
      <c r="E799" s="4"/>
      <c r="F799" s="4" t="s">
        <v>1491</v>
      </c>
      <c r="G799" s="5" t="s">
        <v>431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+VLOOKUP(G799,Liste!$A$7:$G$69,3,FALSE)</f>
        <v>Sapin pectiné</v>
      </c>
      <c r="BI799" s="96" t="str">
        <f>+VLOOKUP(H799,Liste!$B$7:$G$69,5,FALSE)</f>
        <v>GS Arc Jurassien</v>
      </c>
      <c r="BJ799" s="135">
        <f t="shared" si="242"/>
        <v>123</v>
      </c>
      <c r="BK799" s="135" t="str">
        <f t="shared" si="244"/>
        <v>Sapin pectiné_F2_Cas général_GS Arc Jurassien_123_</v>
      </c>
      <c r="BL799" s="319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97" t="str">
        <f>+VLOOKUP(G799,Liste!$A$7:$H$69,8,FALSE)</f>
        <v>Résineux</v>
      </c>
      <c r="BU799" s="297">
        <f t="shared" si="245"/>
        <v>0</v>
      </c>
      <c r="BV799" s="299">
        <f t="shared" si="246"/>
        <v>1</v>
      </c>
      <c r="BW799" s="318">
        <v>0</v>
      </c>
      <c r="BX799" s="297">
        <f t="shared" si="247"/>
        <v>0.43</v>
      </c>
      <c r="BY799">
        <f t="shared" si="248"/>
        <v>0</v>
      </c>
      <c r="BZ799" s="303">
        <f t="shared" si="249"/>
        <v>0</v>
      </c>
      <c r="CB799" s="298">
        <v>0.6</v>
      </c>
      <c r="CC799" s="298">
        <v>0.4</v>
      </c>
      <c r="CD799">
        <f t="shared" si="250"/>
        <v>0</v>
      </c>
      <c r="CE799">
        <f t="shared" si="251"/>
        <v>0</v>
      </c>
      <c r="CF799">
        <f t="shared" si="252"/>
        <v>0</v>
      </c>
      <c r="CG799">
        <f t="shared" si="253"/>
        <v>0</v>
      </c>
      <c r="CH799">
        <f t="shared" si="254"/>
        <v>0</v>
      </c>
      <c r="CI799">
        <f t="shared" si="255"/>
        <v>0</v>
      </c>
      <c r="CJ799">
        <f t="shared" si="256"/>
        <v>0</v>
      </c>
      <c r="CK799">
        <f t="shared" si="257"/>
        <v>0</v>
      </c>
      <c r="CL799">
        <f t="shared" si="258"/>
        <v>0</v>
      </c>
      <c r="CM799">
        <f t="shared" si="260"/>
        <v>0</v>
      </c>
      <c r="CN799">
        <f t="shared" si="259"/>
        <v>0</v>
      </c>
      <c r="CO799">
        <f t="shared" si="243"/>
        <v>0</v>
      </c>
    </row>
    <row r="800" spans="1:93" s="12" customFormat="1" hidden="1" x14ac:dyDescent="0.25">
      <c r="A800" s="4">
        <v>2013</v>
      </c>
      <c r="B800" s="315">
        <v>44265</v>
      </c>
      <c r="C800" s="4" t="s">
        <v>429</v>
      </c>
      <c r="D800" s="4" t="s">
        <v>430</v>
      </c>
      <c r="E800" s="4"/>
      <c r="F800" s="4" t="s">
        <v>1491</v>
      </c>
      <c r="G800" s="5" t="s">
        <v>431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+VLOOKUP(G800,Liste!$A$7:$G$69,3,FALSE)</f>
        <v>Sapin pectiné</v>
      </c>
      <c r="BI800" s="96" t="str">
        <f>+VLOOKUP(H800,Liste!$B$7:$G$69,5,FALSE)</f>
        <v>GS Arc Jurassien</v>
      </c>
      <c r="BJ800" s="135">
        <f t="shared" si="242"/>
        <v>124</v>
      </c>
      <c r="BK800" s="135" t="str">
        <f t="shared" si="244"/>
        <v>Sapin pectiné_F2_Cas général_GS Arc Jurassien_124_</v>
      </c>
      <c r="BL800" s="319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97" t="str">
        <f>+VLOOKUP(G800,Liste!$A$7:$H$69,8,FALSE)</f>
        <v>Résineux</v>
      </c>
      <c r="BU800" s="297">
        <f t="shared" si="245"/>
        <v>0</v>
      </c>
      <c r="BV800" s="299">
        <f t="shared" si="246"/>
        <v>1</v>
      </c>
      <c r="BW800" s="318">
        <v>0</v>
      </c>
      <c r="BX800" s="297">
        <f t="shared" si="247"/>
        <v>0.43</v>
      </c>
      <c r="BY800">
        <f t="shared" si="248"/>
        <v>0</v>
      </c>
      <c r="BZ800" s="303">
        <f t="shared" si="249"/>
        <v>0</v>
      </c>
      <c r="CB800" s="298">
        <v>0.6</v>
      </c>
      <c r="CC800" s="298">
        <v>0.4</v>
      </c>
      <c r="CD800">
        <f t="shared" si="250"/>
        <v>0</v>
      </c>
      <c r="CE800">
        <f t="shared" si="251"/>
        <v>0</v>
      </c>
      <c r="CF800">
        <f t="shared" si="252"/>
        <v>0</v>
      </c>
      <c r="CG800">
        <f t="shared" si="253"/>
        <v>0</v>
      </c>
      <c r="CH800">
        <f t="shared" si="254"/>
        <v>0</v>
      </c>
      <c r="CI800">
        <f t="shared" si="255"/>
        <v>0</v>
      </c>
      <c r="CJ800">
        <f t="shared" si="256"/>
        <v>0</v>
      </c>
      <c r="CK800">
        <f t="shared" si="257"/>
        <v>0</v>
      </c>
      <c r="CL800">
        <f t="shared" si="258"/>
        <v>0</v>
      </c>
      <c r="CM800">
        <f t="shared" si="260"/>
        <v>0</v>
      </c>
      <c r="CN800">
        <f t="shared" si="259"/>
        <v>0</v>
      </c>
      <c r="CO800">
        <f t="shared" si="243"/>
        <v>0</v>
      </c>
    </row>
    <row r="801" spans="1:93" s="12" customFormat="1" hidden="1" x14ac:dyDescent="0.25">
      <c r="A801" s="4">
        <v>2013</v>
      </c>
      <c r="B801" s="315">
        <v>44265</v>
      </c>
      <c r="C801" s="4" t="s">
        <v>429</v>
      </c>
      <c r="D801" s="4" t="s">
        <v>430</v>
      </c>
      <c r="E801" s="4"/>
      <c r="F801" s="4" t="s">
        <v>1491</v>
      </c>
      <c r="G801" s="5" t="s">
        <v>431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+VLOOKUP(G801,Liste!$A$7:$G$69,3,FALSE)</f>
        <v>Sapin pectiné</v>
      </c>
      <c r="BI801" s="96" t="str">
        <f>+VLOOKUP(H801,Liste!$B$7:$G$69,5,FALSE)</f>
        <v>GS Arc Jurassien</v>
      </c>
      <c r="BJ801" s="135">
        <f t="shared" si="242"/>
        <v>125</v>
      </c>
      <c r="BK801" s="135" t="str">
        <f t="shared" si="244"/>
        <v>Sapin pectiné_F2_Cas général_GS Arc Jurassien_125_</v>
      </c>
      <c r="BL801" s="319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97" t="str">
        <f>+VLOOKUP(G801,Liste!$A$7:$H$69,8,FALSE)</f>
        <v>Résineux</v>
      </c>
      <c r="BU801" s="297">
        <f t="shared" si="245"/>
        <v>0</v>
      </c>
      <c r="BV801" s="299">
        <f t="shared" si="246"/>
        <v>1</v>
      </c>
      <c r="BW801" s="318">
        <v>0</v>
      </c>
      <c r="BX801" s="297">
        <f t="shared" si="247"/>
        <v>0.43</v>
      </c>
      <c r="BY801">
        <f t="shared" si="248"/>
        <v>0</v>
      </c>
      <c r="BZ801" s="303">
        <f t="shared" si="249"/>
        <v>0</v>
      </c>
      <c r="CB801" s="298">
        <v>0.6</v>
      </c>
      <c r="CC801" s="298">
        <v>0.4</v>
      </c>
      <c r="CD801">
        <f t="shared" si="250"/>
        <v>0</v>
      </c>
      <c r="CE801">
        <f t="shared" si="251"/>
        <v>0</v>
      </c>
      <c r="CF801">
        <f t="shared" si="252"/>
        <v>0</v>
      </c>
      <c r="CG801">
        <f t="shared" si="253"/>
        <v>0</v>
      </c>
      <c r="CH801">
        <f t="shared" si="254"/>
        <v>0</v>
      </c>
      <c r="CI801">
        <f t="shared" si="255"/>
        <v>0</v>
      </c>
      <c r="CJ801">
        <f t="shared" si="256"/>
        <v>0</v>
      </c>
      <c r="CK801">
        <f t="shared" si="257"/>
        <v>0</v>
      </c>
      <c r="CL801">
        <f t="shared" si="258"/>
        <v>0</v>
      </c>
      <c r="CM801">
        <f t="shared" si="260"/>
        <v>0</v>
      </c>
      <c r="CN801">
        <f t="shared" si="259"/>
        <v>0</v>
      </c>
      <c r="CO801">
        <f t="shared" si="243"/>
        <v>0</v>
      </c>
    </row>
    <row r="802" spans="1:93" s="12" customFormat="1" hidden="1" x14ac:dyDescent="0.25">
      <c r="A802" s="4">
        <v>2013</v>
      </c>
      <c r="B802" s="315">
        <v>44265</v>
      </c>
      <c r="C802" s="4" t="s">
        <v>429</v>
      </c>
      <c r="D802" s="4" t="s">
        <v>430</v>
      </c>
      <c r="E802" s="4"/>
      <c r="F802" s="4" t="s">
        <v>1491</v>
      </c>
      <c r="G802" s="5" t="s">
        <v>431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+VLOOKUP(G802,Liste!$A$7:$G$69,3,FALSE)</f>
        <v>Sapin pectiné</v>
      </c>
      <c r="BI802" s="96" t="str">
        <f>+VLOOKUP(H802,Liste!$B$7:$G$69,5,FALSE)</f>
        <v>GS Arc Jurassien</v>
      </c>
      <c r="BJ802" s="135">
        <f t="shared" si="242"/>
        <v>126</v>
      </c>
      <c r="BK802" s="135" t="str">
        <f t="shared" si="244"/>
        <v>Sapin pectiné_F2_Cas général_GS Arc Jurassien_126_</v>
      </c>
      <c r="BL802" s="319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97" t="str">
        <f>+VLOOKUP(G802,Liste!$A$7:$H$69,8,FALSE)</f>
        <v>Résineux</v>
      </c>
      <c r="BU802" s="297">
        <f t="shared" si="245"/>
        <v>0</v>
      </c>
      <c r="BV802" s="299">
        <f t="shared" si="246"/>
        <v>1</v>
      </c>
      <c r="BW802" s="318">
        <v>0</v>
      </c>
      <c r="BX802" s="297">
        <f t="shared" si="247"/>
        <v>0.43</v>
      </c>
      <c r="BY802">
        <f t="shared" si="248"/>
        <v>0</v>
      </c>
      <c r="BZ802" s="303">
        <f t="shared" si="249"/>
        <v>0</v>
      </c>
      <c r="CB802" s="298">
        <v>0.6</v>
      </c>
      <c r="CC802" s="298">
        <v>0.4</v>
      </c>
      <c r="CD802">
        <f t="shared" si="250"/>
        <v>0</v>
      </c>
      <c r="CE802">
        <f t="shared" si="251"/>
        <v>0</v>
      </c>
      <c r="CF802">
        <f t="shared" si="252"/>
        <v>0</v>
      </c>
      <c r="CG802">
        <f t="shared" si="253"/>
        <v>0</v>
      </c>
      <c r="CH802">
        <f t="shared" si="254"/>
        <v>0</v>
      </c>
      <c r="CI802">
        <f t="shared" si="255"/>
        <v>0</v>
      </c>
      <c r="CJ802">
        <f t="shared" si="256"/>
        <v>0</v>
      </c>
      <c r="CK802">
        <f t="shared" si="257"/>
        <v>0</v>
      </c>
      <c r="CL802">
        <f t="shared" si="258"/>
        <v>0</v>
      </c>
      <c r="CM802">
        <f t="shared" si="260"/>
        <v>0</v>
      </c>
      <c r="CN802">
        <f t="shared" si="259"/>
        <v>0</v>
      </c>
      <c r="CO802">
        <f t="shared" si="243"/>
        <v>0</v>
      </c>
    </row>
    <row r="803" spans="1:93" s="12" customFormat="1" hidden="1" x14ac:dyDescent="0.25">
      <c r="A803" s="4">
        <v>2013</v>
      </c>
      <c r="B803" s="315">
        <v>44265</v>
      </c>
      <c r="C803" s="4" t="s">
        <v>429</v>
      </c>
      <c r="D803" s="4" t="s">
        <v>430</v>
      </c>
      <c r="E803" s="4"/>
      <c r="F803" s="4" t="s">
        <v>1491</v>
      </c>
      <c r="G803" s="5" t="s">
        <v>431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+VLOOKUP(G803,Liste!$A$7:$G$69,3,FALSE)</f>
        <v>Sapin pectiné</v>
      </c>
      <c r="BI803" s="96" t="str">
        <f>+VLOOKUP(H803,Liste!$B$7:$G$69,5,FALSE)</f>
        <v>GS Arc Jurassien</v>
      </c>
      <c r="BJ803" s="135">
        <f t="shared" si="242"/>
        <v>127</v>
      </c>
      <c r="BK803" s="135" t="str">
        <f t="shared" si="244"/>
        <v>Sapin pectiné_F2_Cas général_GS Arc Jurassien_127_</v>
      </c>
      <c r="BL803" s="319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97" t="str">
        <f>+VLOOKUP(G803,Liste!$A$7:$H$69,8,FALSE)</f>
        <v>Résineux</v>
      </c>
      <c r="BU803" s="297">
        <f t="shared" si="245"/>
        <v>0</v>
      </c>
      <c r="BV803" s="299">
        <f t="shared" si="246"/>
        <v>1</v>
      </c>
      <c r="BW803" s="318">
        <v>0</v>
      </c>
      <c r="BX803" s="297">
        <f t="shared" si="247"/>
        <v>0.43</v>
      </c>
      <c r="BY803">
        <f t="shared" si="248"/>
        <v>0</v>
      </c>
      <c r="BZ803" s="303">
        <f t="shared" si="249"/>
        <v>0</v>
      </c>
      <c r="CB803" s="298">
        <v>0.6</v>
      </c>
      <c r="CC803" s="298">
        <v>0.4</v>
      </c>
      <c r="CD803">
        <f t="shared" si="250"/>
        <v>0</v>
      </c>
      <c r="CE803">
        <f t="shared" si="251"/>
        <v>0</v>
      </c>
      <c r="CF803">
        <f t="shared" si="252"/>
        <v>0</v>
      </c>
      <c r="CG803">
        <f t="shared" si="253"/>
        <v>0</v>
      </c>
      <c r="CH803">
        <f t="shared" si="254"/>
        <v>0</v>
      </c>
      <c r="CI803">
        <f t="shared" si="255"/>
        <v>0</v>
      </c>
      <c r="CJ803">
        <f t="shared" si="256"/>
        <v>0</v>
      </c>
      <c r="CK803">
        <f t="shared" si="257"/>
        <v>0</v>
      </c>
      <c r="CL803">
        <f t="shared" si="258"/>
        <v>0</v>
      </c>
      <c r="CM803">
        <f t="shared" si="260"/>
        <v>0</v>
      </c>
      <c r="CN803">
        <f t="shared" si="259"/>
        <v>0</v>
      </c>
      <c r="CO803">
        <f t="shared" si="243"/>
        <v>0</v>
      </c>
    </row>
    <row r="804" spans="1:93" s="12" customFormat="1" hidden="1" x14ac:dyDescent="0.25">
      <c r="A804" s="4">
        <v>2013</v>
      </c>
      <c r="B804" s="315">
        <v>44265</v>
      </c>
      <c r="C804" s="4" t="s">
        <v>429</v>
      </c>
      <c r="D804" s="4" t="s">
        <v>430</v>
      </c>
      <c r="E804" s="4"/>
      <c r="F804" s="4" t="s">
        <v>1491</v>
      </c>
      <c r="G804" s="5" t="s">
        <v>431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+VLOOKUP(G804,Liste!$A$7:$G$69,3,FALSE)</f>
        <v>Sapin pectiné</v>
      </c>
      <c r="BI804" s="96" t="str">
        <f>+VLOOKUP(H804,Liste!$B$7:$G$69,5,FALSE)</f>
        <v>GS Arc Jurassien</v>
      </c>
      <c r="BJ804" s="135">
        <f t="shared" si="242"/>
        <v>128</v>
      </c>
      <c r="BK804" s="135" t="str">
        <f t="shared" si="244"/>
        <v>Sapin pectiné_F2_Cas général_GS Arc Jurassien_128_</v>
      </c>
      <c r="BL804" s="319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97" t="str">
        <f>+VLOOKUP(G804,Liste!$A$7:$H$69,8,FALSE)</f>
        <v>Résineux</v>
      </c>
      <c r="BU804" s="297">
        <f t="shared" si="245"/>
        <v>0</v>
      </c>
      <c r="BV804" s="299">
        <f t="shared" si="246"/>
        <v>1</v>
      </c>
      <c r="BW804" s="318">
        <v>0</v>
      </c>
      <c r="BX804" s="297">
        <f t="shared" si="247"/>
        <v>0.43</v>
      </c>
      <c r="BY804">
        <f t="shared" si="248"/>
        <v>0</v>
      </c>
      <c r="BZ804" s="303">
        <f t="shared" si="249"/>
        <v>0</v>
      </c>
      <c r="CB804" s="298">
        <v>0.6</v>
      </c>
      <c r="CC804" s="298">
        <v>0.4</v>
      </c>
      <c r="CD804">
        <f t="shared" si="250"/>
        <v>0</v>
      </c>
      <c r="CE804">
        <f t="shared" si="251"/>
        <v>0</v>
      </c>
      <c r="CF804">
        <f t="shared" si="252"/>
        <v>0</v>
      </c>
      <c r="CG804">
        <f t="shared" si="253"/>
        <v>0</v>
      </c>
      <c r="CH804">
        <f t="shared" si="254"/>
        <v>0</v>
      </c>
      <c r="CI804">
        <f t="shared" si="255"/>
        <v>0</v>
      </c>
      <c r="CJ804">
        <f t="shared" si="256"/>
        <v>0</v>
      </c>
      <c r="CK804">
        <f t="shared" si="257"/>
        <v>0</v>
      </c>
      <c r="CL804">
        <f t="shared" si="258"/>
        <v>0</v>
      </c>
      <c r="CM804">
        <f t="shared" si="260"/>
        <v>0</v>
      </c>
      <c r="CN804">
        <f t="shared" si="259"/>
        <v>0</v>
      </c>
      <c r="CO804">
        <f t="shared" si="243"/>
        <v>0</v>
      </c>
    </row>
    <row r="805" spans="1:93" s="12" customFormat="1" hidden="1" x14ac:dyDescent="0.25">
      <c r="A805" s="4">
        <v>2013</v>
      </c>
      <c r="B805" s="315">
        <v>44265</v>
      </c>
      <c r="C805" s="4" t="s">
        <v>429</v>
      </c>
      <c r="D805" s="4" t="s">
        <v>430</v>
      </c>
      <c r="E805" s="4"/>
      <c r="F805" s="4" t="s">
        <v>1491</v>
      </c>
      <c r="G805" s="5" t="s">
        <v>431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+VLOOKUP(G805,Liste!$A$7:$G$69,3,FALSE)</f>
        <v>Sapin pectiné</v>
      </c>
      <c r="BI805" s="96" t="str">
        <f>+VLOOKUP(H805,Liste!$B$7:$G$69,5,FALSE)</f>
        <v>GS Arc Jurassien</v>
      </c>
      <c r="BJ805" s="135">
        <f t="shared" si="242"/>
        <v>128</v>
      </c>
      <c r="BK805" s="135" t="str">
        <f t="shared" si="244"/>
        <v>Sapin pectiné_F2_Cas général_GS Arc Jurassien_128_</v>
      </c>
      <c r="BL805" s="319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97" t="str">
        <f>+VLOOKUP(G805,Liste!$A$7:$H$69,8,FALSE)</f>
        <v>Résineux</v>
      </c>
      <c r="BU805" s="297">
        <f t="shared" si="245"/>
        <v>0</v>
      </c>
      <c r="BV805" s="299">
        <f t="shared" si="246"/>
        <v>1</v>
      </c>
      <c r="BW805" s="318">
        <v>0</v>
      </c>
      <c r="BX805" s="297">
        <f t="shared" si="247"/>
        <v>0.43</v>
      </c>
      <c r="BY805">
        <f t="shared" si="248"/>
        <v>0</v>
      </c>
      <c r="BZ805" s="303">
        <f t="shared" si="249"/>
        <v>0</v>
      </c>
      <c r="CB805" s="298">
        <v>0.6</v>
      </c>
      <c r="CC805" s="298">
        <v>0.4</v>
      </c>
      <c r="CD805">
        <f t="shared" si="250"/>
        <v>0</v>
      </c>
      <c r="CE805">
        <f t="shared" si="251"/>
        <v>0</v>
      </c>
      <c r="CF805">
        <f t="shared" si="252"/>
        <v>0</v>
      </c>
      <c r="CG805">
        <f t="shared" si="253"/>
        <v>0</v>
      </c>
      <c r="CH805">
        <f t="shared" si="254"/>
        <v>0</v>
      </c>
      <c r="CI805">
        <f t="shared" si="255"/>
        <v>0</v>
      </c>
      <c r="CJ805">
        <f t="shared" si="256"/>
        <v>0</v>
      </c>
      <c r="CK805">
        <f t="shared" si="257"/>
        <v>0</v>
      </c>
      <c r="CL805">
        <f t="shared" si="258"/>
        <v>0</v>
      </c>
      <c r="CM805">
        <f t="shared" si="260"/>
        <v>0</v>
      </c>
      <c r="CN805">
        <f t="shared" si="259"/>
        <v>0</v>
      </c>
      <c r="CO805">
        <f t="shared" si="243"/>
        <v>0</v>
      </c>
    </row>
    <row r="806" spans="1:93" s="12" customFormat="1" hidden="1" x14ac:dyDescent="0.25">
      <c r="A806" s="4">
        <v>2013</v>
      </c>
      <c r="B806" s="315">
        <v>44265</v>
      </c>
      <c r="C806" s="4" t="s">
        <v>429</v>
      </c>
      <c r="D806" s="4" t="s">
        <v>430</v>
      </c>
      <c r="E806" s="4"/>
      <c r="F806" s="4" t="s">
        <v>1491</v>
      </c>
      <c r="G806" s="5" t="s">
        <v>431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+VLOOKUP(G806,Liste!$A$7:$G$69,3,FALSE)</f>
        <v>Sapin pectiné</v>
      </c>
      <c r="BI806" s="96" t="str">
        <f>+VLOOKUP(H806,Liste!$B$7:$G$69,5,FALSE)</f>
        <v>GS Arc Jurassien</v>
      </c>
      <c r="BJ806" s="135">
        <f t="shared" si="242"/>
        <v>30</v>
      </c>
      <c r="BK806" s="135" t="str">
        <f t="shared" si="244"/>
        <v>Sapin pectiné_F1_Cas général_GS Arc Jurassien_30_</v>
      </c>
      <c r="BL806" s="319"/>
      <c r="BM806" s="13">
        <v>52.3681168382832</v>
      </c>
      <c r="BN806" s="13">
        <v>249.40724115835701</v>
      </c>
      <c r="BP806" s="13">
        <v>359.743735612752</v>
      </c>
      <c r="BQ806" s="13"/>
      <c r="BT806" s="297" t="str">
        <f>+VLOOKUP(G806,Liste!$A$7:$H$69,8,FALSE)</f>
        <v>Résineux</v>
      </c>
      <c r="BU806" s="297">
        <f t="shared" si="245"/>
        <v>0</v>
      </c>
      <c r="BV806" s="299">
        <f t="shared" si="246"/>
        <v>1</v>
      </c>
      <c r="BW806" s="318">
        <v>0</v>
      </c>
      <c r="BX806" s="297">
        <f t="shared" si="247"/>
        <v>0.43</v>
      </c>
      <c r="BY806">
        <f t="shared" si="248"/>
        <v>0</v>
      </c>
      <c r="BZ806" s="303">
        <f t="shared" si="249"/>
        <v>0</v>
      </c>
      <c r="CB806" s="298">
        <v>0.6</v>
      </c>
      <c r="CC806" s="298">
        <v>0.4</v>
      </c>
      <c r="CD806">
        <f t="shared" si="250"/>
        <v>0</v>
      </c>
      <c r="CE806">
        <f t="shared" si="251"/>
        <v>0</v>
      </c>
      <c r="CF806">
        <f t="shared" si="252"/>
        <v>0</v>
      </c>
      <c r="CG806">
        <f t="shared" si="253"/>
        <v>0</v>
      </c>
      <c r="CH806">
        <f t="shared" si="254"/>
        <v>0</v>
      </c>
      <c r="CI806">
        <f t="shared" si="255"/>
        <v>0</v>
      </c>
      <c r="CJ806">
        <f t="shared" si="256"/>
        <v>0</v>
      </c>
      <c r="CK806">
        <f t="shared" si="257"/>
        <v>0</v>
      </c>
      <c r="CL806">
        <f t="shared" si="258"/>
        <v>0</v>
      </c>
      <c r="CM806">
        <f t="shared" si="260"/>
        <v>0</v>
      </c>
      <c r="CN806">
        <f t="shared" si="259"/>
        <v>0</v>
      </c>
      <c r="CO806">
        <f t="shared" si="243"/>
        <v>0</v>
      </c>
    </row>
    <row r="807" spans="1:93" s="12" customFormat="1" hidden="1" x14ac:dyDescent="0.25">
      <c r="A807" s="4">
        <v>2013</v>
      </c>
      <c r="B807" s="315">
        <v>44265</v>
      </c>
      <c r="C807" s="4" t="s">
        <v>429</v>
      </c>
      <c r="D807" s="4" t="s">
        <v>430</v>
      </c>
      <c r="E807" s="4"/>
      <c r="F807" s="4" t="s">
        <v>1491</v>
      </c>
      <c r="G807" s="5" t="s">
        <v>431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+VLOOKUP(G807,Liste!$A$7:$G$69,3,FALSE)</f>
        <v>Sapin pectiné</v>
      </c>
      <c r="BI807" s="96" t="str">
        <f>+VLOOKUP(H807,Liste!$B$7:$G$69,5,FALSE)</f>
        <v>GS Arc Jurassien</v>
      </c>
      <c r="BJ807" s="135">
        <f t="shared" si="242"/>
        <v>45</v>
      </c>
      <c r="BK807" s="135" t="str">
        <f t="shared" si="244"/>
        <v>Sapin pectiné_F1_Cas général_GS Arc Jurassien_45_</v>
      </c>
      <c r="BL807" s="319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97" t="str">
        <f>+VLOOKUP(G807,Liste!$A$7:$H$69,8,FALSE)</f>
        <v>Résineux</v>
      </c>
      <c r="BU807" s="297">
        <f t="shared" si="245"/>
        <v>0</v>
      </c>
      <c r="BV807" s="299">
        <f t="shared" si="246"/>
        <v>1</v>
      </c>
      <c r="BW807" s="318">
        <v>0</v>
      </c>
      <c r="BX807" s="297">
        <f t="shared" si="247"/>
        <v>0.43</v>
      </c>
      <c r="BY807">
        <f t="shared" si="248"/>
        <v>0</v>
      </c>
      <c r="BZ807" s="303">
        <f t="shared" si="249"/>
        <v>0</v>
      </c>
      <c r="CB807" s="298">
        <v>0.6</v>
      </c>
      <c r="CC807" s="298">
        <v>0.4</v>
      </c>
      <c r="CD807">
        <f t="shared" si="250"/>
        <v>0</v>
      </c>
      <c r="CE807">
        <f t="shared" si="251"/>
        <v>0</v>
      </c>
      <c r="CF807">
        <f t="shared" si="252"/>
        <v>0</v>
      </c>
      <c r="CG807">
        <f t="shared" si="253"/>
        <v>0</v>
      </c>
      <c r="CH807">
        <f t="shared" si="254"/>
        <v>0</v>
      </c>
      <c r="CI807">
        <f t="shared" si="255"/>
        <v>0</v>
      </c>
      <c r="CJ807">
        <f t="shared" si="256"/>
        <v>0</v>
      </c>
      <c r="CK807">
        <f t="shared" si="257"/>
        <v>0</v>
      </c>
      <c r="CL807">
        <f t="shared" si="258"/>
        <v>0</v>
      </c>
      <c r="CM807">
        <f t="shared" si="260"/>
        <v>0</v>
      </c>
      <c r="CN807">
        <f t="shared" si="259"/>
        <v>0</v>
      </c>
      <c r="CO807">
        <f t="shared" si="243"/>
        <v>0</v>
      </c>
    </row>
    <row r="808" spans="1:93" s="12" customFormat="1" hidden="1" x14ac:dyDescent="0.25">
      <c r="A808" s="4">
        <v>2013</v>
      </c>
      <c r="B808" s="315">
        <v>44265</v>
      </c>
      <c r="C808" s="4" t="s">
        <v>429</v>
      </c>
      <c r="D808" s="4" t="s">
        <v>430</v>
      </c>
      <c r="E808" s="4"/>
      <c r="F808" s="4" t="s">
        <v>1491</v>
      </c>
      <c r="G808" s="5" t="s">
        <v>431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+VLOOKUP(G808,Liste!$A$7:$G$69,3,FALSE)</f>
        <v>Sapin pectiné</v>
      </c>
      <c r="BI808" s="96" t="str">
        <f>+VLOOKUP(H808,Liste!$B$7:$G$69,5,FALSE)</f>
        <v>GS Arc Jurassien</v>
      </c>
      <c r="BJ808" s="135">
        <f t="shared" si="242"/>
        <v>45</v>
      </c>
      <c r="BK808" s="135" t="str">
        <f t="shared" si="244"/>
        <v>Sapin pectiné_F1_Cas général_GS Arc Jurassien_45_</v>
      </c>
      <c r="BL808" s="319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97" t="str">
        <f>+VLOOKUP(G808,Liste!$A$7:$H$69,8,FALSE)</f>
        <v>Résineux</v>
      </c>
      <c r="BU808" s="297">
        <f t="shared" si="245"/>
        <v>0</v>
      </c>
      <c r="BV808" s="299">
        <f t="shared" si="246"/>
        <v>1</v>
      </c>
      <c r="BW808" s="318">
        <v>0</v>
      </c>
      <c r="BX808" s="297">
        <f t="shared" si="247"/>
        <v>0.43</v>
      </c>
      <c r="BY808">
        <f t="shared" si="248"/>
        <v>0</v>
      </c>
      <c r="BZ808" s="303">
        <f t="shared" si="249"/>
        <v>0</v>
      </c>
      <c r="CB808" s="298">
        <v>0.6</v>
      </c>
      <c r="CC808" s="298">
        <v>0.4</v>
      </c>
      <c r="CD808">
        <f t="shared" si="250"/>
        <v>0</v>
      </c>
      <c r="CE808">
        <f t="shared" si="251"/>
        <v>0</v>
      </c>
      <c r="CF808">
        <f t="shared" si="252"/>
        <v>0</v>
      </c>
      <c r="CG808">
        <f t="shared" si="253"/>
        <v>0</v>
      </c>
      <c r="CH808">
        <f t="shared" si="254"/>
        <v>0</v>
      </c>
      <c r="CI808">
        <f t="shared" si="255"/>
        <v>0</v>
      </c>
      <c r="CJ808">
        <f t="shared" si="256"/>
        <v>0</v>
      </c>
      <c r="CK808">
        <f t="shared" si="257"/>
        <v>0</v>
      </c>
      <c r="CL808">
        <f t="shared" si="258"/>
        <v>0</v>
      </c>
      <c r="CM808">
        <f t="shared" si="260"/>
        <v>0</v>
      </c>
      <c r="CN808">
        <f t="shared" si="259"/>
        <v>0</v>
      </c>
      <c r="CO808">
        <f t="shared" si="243"/>
        <v>0</v>
      </c>
    </row>
    <row r="809" spans="1:93" s="12" customFormat="1" hidden="1" x14ac:dyDescent="0.25">
      <c r="A809" s="4">
        <v>2013</v>
      </c>
      <c r="B809" s="315">
        <v>44265</v>
      </c>
      <c r="C809" s="4" t="s">
        <v>429</v>
      </c>
      <c r="D809" s="4" t="s">
        <v>430</v>
      </c>
      <c r="E809" s="4"/>
      <c r="F809" s="4" t="s">
        <v>1491</v>
      </c>
      <c r="G809" s="5" t="s">
        <v>431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+VLOOKUP(G809,Liste!$A$7:$G$69,3,FALSE)</f>
        <v>Sapin pectiné</v>
      </c>
      <c r="BI809" s="96" t="str">
        <f>+VLOOKUP(H809,Liste!$B$7:$G$69,5,FALSE)</f>
        <v>GS Arc Jurassien</v>
      </c>
      <c r="BJ809" s="135">
        <f t="shared" si="242"/>
        <v>46</v>
      </c>
      <c r="BK809" s="135" t="str">
        <f t="shared" si="244"/>
        <v>Sapin pectiné_F1_Cas général_GS Arc Jurassien_46_</v>
      </c>
      <c r="BL809" s="319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97" t="str">
        <f>+VLOOKUP(G809,Liste!$A$7:$H$69,8,FALSE)</f>
        <v>Résineux</v>
      </c>
      <c r="BU809" s="297">
        <f t="shared" si="245"/>
        <v>0</v>
      </c>
      <c r="BV809" s="299">
        <f t="shared" si="246"/>
        <v>1</v>
      </c>
      <c r="BW809" s="318">
        <v>0</v>
      </c>
      <c r="BX809" s="297">
        <f t="shared" si="247"/>
        <v>0.43</v>
      </c>
      <c r="BY809">
        <f t="shared" si="248"/>
        <v>0</v>
      </c>
      <c r="BZ809" s="303">
        <f t="shared" si="249"/>
        <v>0</v>
      </c>
      <c r="CB809" s="298">
        <v>0.6</v>
      </c>
      <c r="CC809" s="298">
        <v>0.4</v>
      </c>
      <c r="CD809">
        <f t="shared" si="250"/>
        <v>0</v>
      </c>
      <c r="CE809">
        <f t="shared" si="251"/>
        <v>0</v>
      </c>
      <c r="CF809">
        <f t="shared" si="252"/>
        <v>0</v>
      </c>
      <c r="CG809">
        <f t="shared" si="253"/>
        <v>0</v>
      </c>
      <c r="CH809">
        <f t="shared" si="254"/>
        <v>0</v>
      </c>
      <c r="CI809">
        <f t="shared" si="255"/>
        <v>0</v>
      </c>
      <c r="CJ809">
        <f t="shared" si="256"/>
        <v>0</v>
      </c>
      <c r="CK809">
        <f t="shared" si="257"/>
        <v>0</v>
      </c>
      <c r="CL809">
        <f t="shared" si="258"/>
        <v>0</v>
      </c>
      <c r="CM809">
        <f t="shared" si="260"/>
        <v>0</v>
      </c>
      <c r="CN809">
        <f t="shared" si="259"/>
        <v>0</v>
      </c>
      <c r="CO809">
        <f t="shared" si="243"/>
        <v>0</v>
      </c>
    </row>
    <row r="810" spans="1:93" s="12" customFormat="1" hidden="1" x14ac:dyDescent="0.25">
      <c r="A810" s="4">
        <v>2013</v>
      </c>
      <c r="B810" s="315">
        <v>44265</v>
      </c>
      <c r="C810" s="4" t="s">
        <v>429</v>
      </c>
      <c r="D810" s="4" t="s">
        <v>430</v>
      </c>
      <c r="E810" s="4"/>
      <c r="F810" s="4" t="s">
        <v>1491</v>
      </c>
      <c r="G810" s="5" t="s">
        <v>431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+VLOOKUP(G810,Liste!$A$7:$G$69,3,FALSE)</f>
        <v>Sapin pectiné</v>
      </c>
      <c r="BI810" s="96" t="str">
        <f>+VLOOKUP(H810,Liste!$B$7:$G$69,5,FALSE)</f>
        <v>GS Arc Jurassien</v>
      </c>
      <c r="BJ810" s="135">
        <f t="shared" si="242"/>
        <v>47</v>
      </c>
      <c r="BK810" s="135" t="str">
        <f t="shared" si="244"/>
        <v>Sapin pectiné_F1_Cas général_GS Arc Jurassien_47_</v>
      </c>
      <c r="BL810" s="319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97" t="str">
        <f>+VLOOKUP(G810,Liste!$A$7:$H$69,8,FALSE)</f>
        <v>Résineux</v>
      </c>
      <c r="BU810" s="297">
        <f t="shared" si="245"/>
        <v>0</v>
      </c>
      <c r="BV810" s="299">
        <f t="shared" si="246"/>
        <v>1</v>
      </c>
      <c r="BW810" s="318">
        <v>0</v>
      </c>
      <c r="BX810" s="297">
        <f t="shared" si="247"/>
        <v>0.43</v>
      </c>
      <c r="BY810">
        <f t="shared" si="248"/>
        <v>0</v>
      </c>
      <c r="BZ810" s="303">
        <f t="shared" si="249"/>
        <v>0</v>
      </c>
      <c r="CB810" s="298">
        <v>0.6</v>
      </c>
      <c r="CC810" s="298">
        <v>0.4</v>
      </c>
      <c r="CD810">
        <f t="shared" si="250"/>
        <v>0</v>
      </c>
      <c r="CE810">
        <f t="shared" si="251"/>
        <v>0</v>
      </c>
      <c r="CF810">
        <f t="shared" si="252"/>
        <v>0</v>
      </c>
      <c r="CG810">
        <f t="shared" si="253"/>
        <v>0</v>
      </c>
      <c r="CH810">
        <f t="shared" si="254"/>
        <v>0</v>
      </c>
      <c r="CI810">
        <f t="shared" si="255"/>
        <v>0</v>
      </c>
      <c r="CJ810">
        <f t="shared" si="256"/>
        <v>0</v>
      </c>
      <c r="CK810">
        <f t="shared" si="257"/>
        <v>0</v>
      </c>
      <c r="CL810">
        <f t="shared" si="258"/>
        <v>0</v>
      </c>
      <c r="CM810">
        <f t="shared" si="260"/>
        <v>0</v>
      </c>
      <c r="CN810">
        <f t="shared" si="259"/>
        <v>0</v>
      </c>
      <c r="CO810">
        <f t="shared" si="243"/>
        <v>0</v>
      </c>
    </row>
    <row r="811" spans="1:93" s="12" customFormat="1" hidden="1" x14ac:dyDescent="0.25">
      <c r="A811" s="4">
        <v>2013</v>
      </c>
      <c r="B811" s="315">
        <v>44265</v>
      </c>
      <c r="C811" s="4" t="s">
        <v>429</v>
      </c>
      <c r="D811" s="4" t="s">
        <v>430</v>
      </c>
      <c r="E811" s="4"/>
      <c r="F811" s="4" t="s">
        <v>1491</v>
      </c>
      <c r="G811" s="5" t="s">
        <v>431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+VLOOKUP(G811,Liste!$A$7:$G$69,3,FALSE)</f>
        <v>Sapin pectiné</v>
      </c>
      <c r="BI811" s="96" t="str">
        <f>+VLOOKUP(H811,Liste!$B$7:$G$69,5,FALSE)</f>
        <v>GS Arc Jurassien</v>
      </c>
      <c r="BJ811" s="135">
        <f t="shared" si="242"/>
        <v>48</v>
      </c>
      <c r="BK811" s="135" t="str">
        <f t="shared" si="244"/>
        <v>Sapin pectiné_F1_Cas général_GS Arc Jurassien_48_</v>
      </c>
      <c r="BL811" s="319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97" t="str">
        <f>+VLOOKUP(G811,Liste!$A$7:$H$69,8,FALSE)</f>
        <v>Résineux</v>
      </c>
      <c r="BU811" s="297">
        <f t="shared" si="245"/>
        <v>0</v>
      </c>
      <c r="BV811" s="299">
        <f t="shared" si="246"/>
        <v>1</v>
      </c>
      <c r="BW811" s="318">
        <v>0</v>
      </c>
      <c r="BX811" s="297">
        <f t="shared" si="247"/>
        <v>0.43</v>
      </c>
      <c r="BY811">
        <f t="shared" si="248"/>
        <v>0</v>
      </c>
      <c r="BZ811" s="303">
        <f t="shared" si="249"/>
        <v>0</v>
      </c>
      <c r="CB811" s="298">
        <v>0.6</v>
      </c>
      <c r="CC811" s="298">
        <v>0.4</v>
      </c>
      <c r="CD811">
        <f t="shared" si="250"/>
        <v>0</v>
      </c>
      <c r="CE811">
        <f t="shared" si="251"/>
        <v>0</v>
      </c>
      <c r="CF811">
        <f t="shared" si="252"/>
        <v>0</v>
      </c>
      <c r="CG811">
        <f t="shared" si="253"/>
        <v>0</v>
      </c>
      <c r="CH811">
        <f t="shared" si="254"/>
        <v>0</v>
      </c>
      <c r="CI811">
        <f t="shared" si="255"/>
        <v>0</v>
      </c>
      <c r="CJ811">
        <f t="shared" si="256"/>
        <v>0</v>
      </c>
      <c r="CK811">
        <f t="shared" si="257"/>
        <v>0</v>
      </c>
      <c r="CL811">
        <f t="shared" si="258"/>
        <v>0</v>
      </c>
      <c r="CM811">
        <f t="shared" si="260"/>
        <v>0</v>
      </c>
      <c r="CN811">
        <f t="shared" si="259"/>
        <v>0</v>
      </c>
      <c r="CO811">
        <f t="shared" si="243"/>
        <v>0</v>
      </c>
    </row>
    <row r="812" spans="1:93" s="12" customFormat="1" hidden="1" x14ac:dyDescent="0.25">
      <c r="A812" s="4">
        <v>2013</v>
      </c>
      <c r="B812" s="315">
        <v>44265</v>
      </c>
      <c r="C812" s="4" t="s">
        <v>429</v>
      </c>
      <c r="D812" s="4" t="s">
        <v>430</v>
      </c>
      <c r="E812" s="4"/>
      <c r="F812" s="4" t="s">
        <v>1491</v>
      </c>
      <c r="G812" s="5" t="s">
        <v>431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+VLOOKUP(G812,Liste!$A$7:$G$69,3,FALSE)</f>
        <v>Sapin pectiné</v>
      </c>
      <c r="BI812" s="96" t="str">
        <f>+VLOOKUP(H812,Liste!$B$7:$G$69,5,FALSE)</f>
        <v>GS Arc Jurassien</v>
      </c>
      <c r="BJ812" s="135">
        <f t="shared" si="242"/>
        <v>49</v>
      </c>
      <c r="BK812" s="135" t="str">
        <f t="shared" si="244"/>
        <v>Sapin pectiné_F1_Cas général_GS Arc Jurassien_49_</v>
      </c>
      <c r="BL812" s="319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97" t="str">
        <f>+VLOOKUP(G812,Liste!$A$7:$H$69,8,FALSE)</f>
        <v>Résineux</v>
      </c>
      <c r="BU812" s="297">
        <f t="shared" si="245"/>
        <v>0</v>
      </c>
      <c r="BV812" s="299">
        <f t="shared" si="246"/>
        <v>1</v>
      </c>
      <c r="BW812" s="318">
        <v>0</v>
      </c>
      <c r="BX812" s="297">
        <f t="shared" si="247"/>
        <v>0.43</v>
      </c>
      <c r="BY812">
        <f t="shared" si="248"/>
        <v>0</v>
      </c>
      <c r="BZ812" s="303">
        <f t="shared" si="249"/>
        <v>0</v>
      </c>
      <c r="CB812" s="298">
        <v>0.6</v>
      </c>
      <c r="CC812" s="298">
        <v>0.4</v>
      </c>
      <c r="CD812">
        <f t="shared" si="250"/>
        <v>0</v>
      </c>
      <c r="CE812">
        <f t="shared" si="251"/>
        <v>0</v>
      </c>
      <c r="CF812">
        <f t="shared" si="252"/>
        <v>0</v>
      </c>
      <c r="CG812">
        <f t="shared" si="253"/>
        <v>0</v>
      </c>
      <c r="CH812">
        <f t="shared" si="254"/>
        <v>0</v>
      </c>
      <c r="CI812">
        <f t="shared" si="255"/>
        <v>0</v>
      </c>
      <c r="CJ812">
        <f t="shared" si="256"/>
        <v>0</v>
      </c>
      <c r="CK812">
        <f t="shared" si="257"/>
        <v>0</v>
      </c>
      <c r="CL812">
        <f t="shared" si="258"/>
        <v>0</v>
      </c>
      <c r="CM812">
        <f t="shared" si="260"/>
        <v>0</v>
      </c>
      <c r="CN812">
        <f t="shared" si="259"/>
        <v>0</v>
      </c>
      <c r="CO812">
        <f t="shared" si="243"/>
        <v>0</v>
      </c>
    </row>
    <row r="813" spans="1:93" s="12" customFormat="1" hidden="1" x14ac:dyDescent="0.25">
      <c r="A813" s="4">
        <v>2013</v>
      </c>
      <c r="B813" s="315">
        <v>44265</v>
      </c>
      <c r="C813" s="4" t="s">
        <v>429</v>
      </c>
      <c r="D813" s="4" t="s">
        <v>430</v>
      </c>
      <c r="E813" s="4"/>
      <c r="F813" s="4" t="s">
        <v>1491</v>
      </c>
      <c r="G813" s="5" t="s">
        <v>431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+VLOOKUP(G813,Liste!$A$7:$G$69,3,FALSE)</f>
        <v>Sapin pectiné</v>
      </c>
      <c r="BI813" s="96" t="str">
        <f>+VLOOKUP(H813,Liste!$B$7:$G$69,5,FALSE)</f>
        <v>GS Arc Jurassien</v>
      </c>
      <c r="BJ813" s="135">
        <f t="shared" si="242"/>
        <v>50</v>
      </c>
      <c r="BK813" s="135" t="str">
        <f t="shared" si="244"/>
        <v>Sapin pectiné_F1_Cas général_GS Arc Jurassien_50_</v>
      </c>
      <c r="BL813" s="319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97" t="str">
        <f>+VLOOKUP(G813,Liste!$A$7:$H$69,8,FALSE)</f>
        <v>Résineux</v>
      </c>
      <c r="BU813" s="297">
        <f t="shared" si="245"/>
        <v>0</v>
      </c>
      <c r="BV813" s="299">
        <f t="shared" si="246"/>
        <v>1</v>
      </c>
      <c r="BW813" s="318">
        <v>0</v>
      </c>
      <c r="BX813" s="297">
        <f t="shared" si="247"/>
        <v>0.43</v>
      </c>
      <c r="BY813">
        <f t="shared" si="248"/>
        <v>0</v>
      </c>
      <c r="BZ813" s="303">
        <f t="shared" si="249"/>
        <v>0</v>
      </c>
      <c r="CB813" s="298">
        <v>0.6</v>
      </c>
      <c r="CC813" s="298">
        <v>0.4</v>
      </c>
      <c r="CD813">
        <f t="shared" si="250"/>
        <v>0</v>
      </c>
      <c r="CE813">
        <f t="shared" si="251"/>
        <v>0</v>
      </c>
      <c r="CF813">
        <f t="shared" si="252"/>
        <v>0</v>
      </c>
      <c r="CG813">
        <f t="shared" si="253"/>
        <v>0</v>
      </c>
      <c r="CH813">
        <f t="shared" si="254"/>
        <v>0</v>
      </c>
      <c r="CI813">
        <f t="shared" si="255"/>
        <v>0</v>
      </c>
      <c r="CJ813">
        <f t="shared" si="256"/>
        <v>0</v>
      </c>
      <c r="CK813">
        <f t="shared" si="257"/>
        <v>0</v>
      </c>
      <c r="CL813">
        <f t="shared" si="258"/>
        <v>0</v>
      </c>
      <c r="CM813">
        <f t="shared" si="260"/>
        <v>0</v>
      </c>
      <c r="CN813">
        <f t="shared" si="259"/>
        <v>0</v>
      </c>
      <c r="CO813">
        <f t="shared" si="243"/>
        <v>0</v>
      </c>
    </row>
    <row r="814" spans="1:93" s="12" customFormat="1" hidden="1" x14ac:dyDescent="0.25">
      <c r="A814" s="4">
        <v>2013</v>
      </c>
      <c r="B814" s="315">
        <v>44265</v>
      </c>
      <c r="C814" s="4" t="s">
        <v>429</v>
      </c>
      <c r="D814" s="4" t="s">
        <v>430</v>
      </c>
      <c r="E814" s="4"/>
      <c r="F814" s="4" t="s">
        <v>1491</v>
      </c>
      <c r="G814" s="5" t="s">
        <v>431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+VLOOKUP(G814,Liste!$A$7:$G$69,3,FALSE)</f>
        <v>Sapin pectiné</v>
      </c>
      <c r="BI814" s="96" t="str">
        <f>+VLOOKUP(H814,Liste!$B$7:$G$69,5,FALSE)</f>
        <v>GS Arc Jurassien</v>
      </c>
      <c r="BJ814" s="135">
        <f t="shared" si="242"/>
        <v>51</v>
      </c>
      <c r="BK814" s="135" t="str">
        <f t="shared" si="244"/>
        <v>Sapin pectiné_F1_Cas général_GS Arc Jurassien_51_</v>
      </c>
      <c r="BL814" s="319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97" t="str">
        <f>+VLOOKUP(G814,Liste!$A$7:$H$69,8,FALSE)</f>
        <v>Résineux</v>
      </c>
      <c r="BU814" s="297">
        <f t="shared" si="245"/>
        <v>0</v>
      </c>
      <c r="BV814" s="299">
        <f t="shared" si="246"/>
        <v>1</v>
      </c>
      <c r="BW814" s="318">
        <v>0</v>
      </c>
      <c r="BX814" s="297">
        <f t="shared" si="247"/>
        <v>0.43</v>
      </c>
      <c r="BY814">
        <f t="shared" si="248"/>
        <v>0</v>
      </c>
      <c r="BZ814" s="303">
        <f t="shared" si="249"/>
        <v>0</v>
      </c>
      <c r="CB814" s="298">
        <v>0.6</v>
      </c>
      <c r="CC814" s="298">
        <v>0.4</v>
      </c>
      <c r="CD814">
        <f t="shared" si="250"/>
        <v>0</v>
      </c>
      <c r="CE814">
        <f t="shared" si="251"/>
        <v>0</v>
      </c>
      <c r="CF814">
        <f t="shared" si="252"/>
        <v>0</v>
      </c>
      <c r="CG814">
        <f t="shared" si="253"/>
        <v>0</v>
      </c>
      <c r="CH814">
        <f t="shared" si="254"/>
        <v>0</v>
      </c>
      <c r="CI814">
        <f t="shared" si="255"/>
        <v>0</v>
      </c>
      <c r="CJ814">
        <f t="shared" si="256"/>
        <v>0</v>
      </c>
      <c r="CK814">
        <f t="shared" si="257"/>
        <v>0</v>
      </c>
      <c r="CL814">
        <f t="shared" si="258"/>
        <v>0</v>
      </c>
      <c r="CM814">
        <f t="shared" si="260"/>
        <v>0</v>
      </c>
      <c r="CN814">
        <f t="shared" si="259"/>
        <v>0</v>
      </c>
      <c r="CO814">
        <f t="shared" si="243"/>
        <v>0</v>
      </c>
    </row>
    <row r="815" spans="1:93" s="12" customFormat="1" hidden="1" x14ac:dyDescent="0.25">
      <c r="A815" s="4">
        <v>2013</v>
      </c>
      <c r="B815" s="315">
        <v>44265</v>
      </c>
      <c r="C815" s="4" t="s">
        <v>429</v>
      </c>
      <c r="D815" s="4" t="s">
        <v>430</v>
      </c>
      <c r="E815" s="4"/>
      <c r="F815" s="4" t="s">
        <v>1491</v>
      </c>
      <c r="G815" s="5" t="s">
        <v>431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+VLOOKUP(G815,Liste!$A$7:$G$69,3,FALSE)</f>
        <v>Sapin pectiné</v>
      </c>
      <c r="BI815" s="96" t="str">
        <f>+VLOOKUP(H815,Liste!$B$7:$G$69,5,FALSE)</f>
        <v>GS Arc Jurassien</v>
      </c>
      <c r="BJ815" s="135">
        <f t="shared" si="242"/>
        <v>52</v>
      </c>
      <c r="BK815" s="135" t="str">
        <f t="shared" si="244"/>
        <v>Sapin pectiné_F1_Cas général_GS Arc Jurassien_52_</v>
      </c>
      <c r="BL815" s="319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97" t="str">
        <f>+VLOOKUP(G815,Liste!$A$7:$H$69,8,FALSE)</f>
        <v>Résineux</v>
      </c>
      <c r="BU815" s="297">
        <f t="shared" si="245"/>
        <v>0</v>
      </c>
      <c r="BV815" s="299">
        <f t="shared" si="246"/>
        <v>1</v>
      </c>
      <c r="BW815" s="318">
        <v>0</v>
      </c>
      <c r="BX815" s="297">
        <f t="shared" si="247"/>
        <v>0.43</v>
      </c>
      <c r="BY815">
        <f t="shared" si="248"/>
        <v>0</v>
      </c>
      <c r="BZ815" s="303">
        <f t="shared" si="249"/>
        <v>0</v>
      </c>
      <c r="CB815" s="298">
        <v>0.6</v>
      </c>
      <c r="CC815" s="298">
        <v>0.4</v>
      </c>
      <c r="CD815">
        <f t="shared" si="250"/>
        <v>0</v>
      </c>
      <c r="CE815">
        <f t="shared" si="251"/>
        <v>0</v>
      </c>
      <c r="CF815">
        <f t="shared" si="252"/>
        <v>0</v>
      </c>
      <c r="CG815">
        <f t="shared" si="253"/>
        <v>0</v>
      </c>
      <c r="CH815">
        <f t="shared" si="254"/>
        <v>0</v>
      </c>
      <c r="CI815">
        <f t="shared" si="255"/>
        <v>0</v>
      </c>
      <c r="CJ815">
        <f t="shared" si="256"/>
        <v>0</v>
      </c>
      <c r="CK815">
        <f t="shared" si="257"/>
        <v>0</v>
      </c>
      <c r="CL815">
        <f t="shared" si="258"/>
        <v>0</v>
      </c>
      <c r="CM815">
        <f t="shared" si="260"/>
        <v>0</v>
      </c>
      <c r="CN815">
        <f t="shared" si="259"/>
        <v>0</v>
      </c>
      <c r="CO815">
        <f t="shared" si="243"/>
        <v>0</v>
      </c>
    </row>
    <row r="816" spans="1:93" s="12" customFormat="1" hidden="1" x14ac:dyDescent="0.25">
      <c r="A816" s="4">
        <v>2013</v>
      </c>
      <c r="B816" s="315">
        <v>44265</v>
      </c>
      <c r="C816" s="4" t="s">
        <v>429</v>
      </c>
      <c r="D816" s="4" t="s">
        <v>430</v>
      </c>
      <c r="E816" s="4"/>
      <c r="F816" s="4" t="s">
        <v>1491</v>
      </c>
      <c r="G816" s="5" t="s">
        <v>431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+VLOOKUP(G816,Liste!$A$7:$G$69,3,FALSE)</f>
        <v>Sapin pectiné</v>
      </c>
      <c r="BI816" s="96" t="str">
        <f>+VLOOKUP(H816,Liste!$B$7:$G$69,5,FALSE)</f>
        <v>GS Arc Jurassien</v>
      </c>
      <c r="BJ816" s="135">
        <f t="shared" si="242"/>
        <v>52</v>
      </c>
      <c r="BK816" s="135" t="str">
        <f t="shared" si="244"/>
        <v>Sapin pectiné_F1_Cas général_GS Arc Jurassien_52_</v>
      </c>
      <c r="BL816" s="319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97" t="str">
        <f>+VLOOKUP(G816,Liste!$A$7:$H$69,8,FALSE)</f>
        <v>Résineux</v>
      </c>
      <c r="BU816" s="297">
        <f t="shared" si="245"/>
        <v>0</v>
      </c>
      <c r="BV816" s="299">
        <f t="shared" si="246"/>
        <v>1</v>
      </c>
      <c r="BW816" s="318">
        <v>0</v>
      </c>
      <c r="BX816" s="297">
        <f t="shared" si="247"/>
        <v>0.43</v>
      </c>
      <c r="BY816">
        <f t="shared" si="248"/>
        <v>0</v>
      </c>
      <c r="BZ816" s="303">
        <f t="shared" si="249"/>
        <v>0</v>
      </c>
      <c r="CB816" s="298">
        <v>0.6</v>
      </c>
      <c r="CC816" s="298">
        <v>0.4</v>
      </c>
      <c r="CD816">
        <f t="shared" si="250"/>
        <v>0</v>
      </c>
      <c r="CE816">
        <f t="shared" si="251"/>
        <v>0</v>
      </c>
      <c r="CF816">
        <f t="shared" si="252"/>
        <v>0</v>
      </c>
      <c r="CG816">
        <f t="shared" si="253"/>
        <v>0</v>
      </c>
      <c r="CH816">
        <f t="shared" si="254"/>
        <v>0</v>
      </c>
      <c r="CI816">
        <f t="shared" si="255"/>
        <v>0</v>
      </c>
      <c r="CJ816">
        <f t="shared" si="256"/>
        <v>0</v>
      </c>
      <c r="CK816">
        <f t="shared" si="257"/>
        <v>0</v>
      </c>
      <c r="CL816">
        <f t="shared" si="258"/>
        <v>0</v>
      </c>
      <c r="CM816">
        <f t="shared" si="260"/>
        <v>0</v>
      </c>
      <c r="CN816">
        <f t="shared" si="259"/>
        <v>0</v>
      </c>
      <c r="CO816">
        <f t="shared" si="243"/>
        <v>0</v>
      </c>
    </row>
    <row r="817" spans="1:93" s="12" customFormat="1" hidden="1" x14ac:dyDescent="0.25">
      <c r="A817" s="4">
        <v>2013</v>
      </c>
      <c r="B817" s="315">
        <v>44265</v>
      </c>
      <c r="C817" s="4" t="s">
        <v>429</v>
      </c>
      <c r="D817" s="4" t="s">
        <v>430</v>
      </c>
      <c r="E817" s="4"/>
      <c r="F817" s="4" t="s">
        <v>1491</v>
      </c>
      <c r="G817" s="5" t="s">
        <v>431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+VLOOKUP(G817,Liste!$A$7:$G$69,3,FALSE)</f>
        <v>Sapin pectiné</v>
      </c>
      <c r="BI817" s="96" t="str">
        <f>+VLOOKUP(H817,Liste!$B$7:$G$69,5,FALSE)</f>
        <v>GS Arc Jurassien</v>
      </c>
      <c r="BJ817" s="135">
        <f t="shared" si="242"/>
        <v>53</v>
      </c>
      <c r="BK817" s="135" t="str">
        <f t="shared" si="244"/>
        <v>Sapin pectiné_F1_Cas général_GS Arc Jurassien_53_</v>
      </c>
      <c r="BL817" s="319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97" t="str">
        <f>+VLOOKUP(G817,Liste!$A$7:$H$69,8,FALSE)</f>
        <v>Résineux</v>
      </c>
      <c r="BU817" s="297">
        <f t="shared" si="245"/>
        <v>0</v>
      </c>
      <c r="BV817" s="299">
        <f t="shared" si="246"/>
        <v>1</v>
      </c>
      <c r="BW817" s="318">
        <v>0</v>
      </c>
      <c r="BX817" s="297">
        <f t="shared" si="247"/>
        <v>0.43</v>
      </c>
      <c r="BY817">
        <f t="shared" si="248"/>
        <v>0</v>
      </c>
      <c r="BZ817" s="303">
        <f t="shared" si="249"/>
        <v>0</v>
      </c>
      <c r="CB817" s="298">
        <v>0.6</v>
      </c>
      <c r="CC817" s="298">
        <v>0.4</v>
      </c>
      <c r="CD817">
        <f t="shared" si="250"/>
        <v>0</v>
      </c>
      <c r="CE817">
        <f t="shared" si="251"/>
        <v>0</v>
      </c>
      <c r="CF817">
        <f t="shared" si="252"/>
        <v>0</v>
      </c>
      <c r="CG817">
        <f t="shared" si="253"/>
        <v>0</v>
      </c>
      <c r="CH817">
        <f t="shared" si="254"/>
        <v>0</v>
      </c>
      <c r="CI817">
        <f t="shared" si="255"/>
        <v>0</v>
      </c>
      <c r="CJ817">
        <f t="shared" si="256"/>
        <v>0</v>
      </c>
      <c r="CK817">
        <f t="shared" si="257"/>
        <v>0</v>
      </c>
      <c r="CL817">
        <f t="shared" si="258"/>
        <v>0</v>
      </c>
      <c r="CM817">
        <f t="shared" si="260"/>
        <v>0</v>
      </c>
      <c r="CN817">
        <f t="shared" si="259"/>
        <v>0</v>
      </c>
      <c r="CO817">
        <f t="shared" si="243"/>
        <v>0</v>
      </c>
    </row>
    <row r="818" spans="1:93" s="12" customFormat="1" hidden="1" x14ac:dyDescent="0.25">
      <c r="A818" s="4">
        <v>2013</v>
      </c>
      <c r="B818" s="315">
        <v>44265</v>
      </c>
      <c r="C818" s="4" t="s">
        <v>429</v>
      </c>
      <c r="D818" s="4" t="s">
        <v>430</v>
      </c>
      <c r="E818" s="4"/>
      <c r="F818" s="4" t="s">
        <v>1491</v>
      </c>
      <c r="G818" s="5" t="s">
        <v>431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+VLOOKUP(G818,Liste!$A$7:$G$69,3,FALSE)</f>
        <v>Sapin pectiné</v>
      </c>
      <c r="BI818" s="96" t="str">
        <f>+VLOOKUP(H818,Liste!$B$7:$G$69,5,FALSE)</f>
        <v>GS Arc Jurassien</v>
      </c>
      <c r="BJ818" s="135">
        <f t="shared" si="242"/>
        <v>54</v>
      </c>
      <c r="BK818" s="135" t="str">
        <f t="shared" si="244"/>
        <v>Sapin pectiné_F1_Cas général_GS Arc Jurassien_54_</v>
      </c>
      <c r="BL818" s="319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97" t="str">
        <f>+VLOOKUP(G818,Liste!$A$7:$H$69,8,FALSE)</f>
        <v>Résineux</v>
      </c>
      <c r="BU818" s="297">
        <f t="shared" si="245"/>
        <v>0</v>
      </c>
      <c r="BV818" s="299">
        <f t="shared" si="246"/>
        <v>1</v>
      </c>
      <c r="BW818" s="318">
        <v>0</v>
      </c>
      <c r="BX818" s="297">
        <f t="shared" si="247"/>
        <v>0.43</v>
      </c>
      <c r="BY818">
        <f t="shared" si="248"/>
        <v>0</v>
      </c>
      <c r="BZ818" s="303">
        <f t="shared" si="249"/>
        <v>0</v>
      </c>
      <c r="CB818" s="298">
        <v>0.6</v>
      </c>
      <c r="CC818" s="298">
        <v>0.4</v>
      </c>
      <c r="CD818">
        <f t="shared" si="250"/>
        <v>0</v>
      </c>
      <c r="CE818">
        <f t="shared" si="251"/>
        <v>0</v>
      </c>
      <c r="CF818">
        <f t="shared" si="252"/>
        <v>0</v>
      </c>
      <c r="CG818">
        <f t="shared" si="253"/>
        <v>0</v>
      </c>
      <c r="CH818">
        <f t="shared" si="254"/>
        <v>0</v>
      </c>
      <c r="CI818">
        <f t="shared" si="255"/>
        <v>0</v>
      </c>
      <c r="CJ818">
        <f t="shared" si="256"/>
        <v>0</v>
      </c>
      <c r="CK818">
        <f t="shared" si="257"/>
        <v>0</v>
      </c>
      <c r="CL818">
        <f t="shared" si="258"/>
        <v>0</v>
      </c>
      <c r="CM818">
        <f t="shared" si="260"/>
        <v>0</v>
      </c>
      <c r="CN818">
        <f t="shared" si="259"/>
        <v>0</v>
      </c>
      <c r="CO818">
        <f t="shared" si="243"/>
        <v>0</v>
      </c>
    </row>
    <row r="819" spans="1:93" s="12" customFormat="1" hidden="1" x14ac:dyDescent="0.25">
      <c r="A819" s="4">
        <v>2013</v>
      </c>
      <c r="B819" s="315">
        <v>44265</v>
      </c>
      <c r="C819" s="4" t="s">
        <v>429</v>
      </c>
      <c r="D819" s="4" t="s">
        <v>430</v>
      </c>
      <c r="E819" s="4"/>
      <c r="F819" s="4" t="s">
        <v>1491</v>
      </c>
      <c r="G819" s="5" t="s">
        <v>431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+VLOOKUP(G819,Liste!$A$7:$G$69,3,FALSE)</f>
        <v>Sapin pectiné</v>
      </c>
      <c r="BI819" s="96" t="str">
        <f>+VLOOKUP(H819,Liste!$B$7:$G$69,5,FALSE)</f>
        <v>GS Arc Jurassien</v>
      </c>
      <c r="BJ819" s="135">
        <f t="shared" si="242"/>
        <v>55</v>
      </c>
      <c r="BK819" s="135" t="str">
        <f t="shared" si="244"/>
        <v>Sapin pectiné_F1_Cas général_GS Arc Jurassien_55_</v>
      </c>
      <c r="BL819" s="319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97" t="str">
        <f>+VLOOKUP(G819,Liste!$A$7:$H$69,8,FALSE)</f>
        <v>Résineux</v>
      </c>
      <c r="BU819" s="297">
        <f t="shared" si="245"/>
        <v>0</v>
      </c>
      <c r="BV819" s="299">
        <f t="shared" si="246"/>
        <v>1</v>
      </c>
      <c r="BW819" s="318">
        <v>0</v>
      </c>
      <c r="BX819" s="297">
        <f t="shared" si="247"/>
        <v>0.43</v>
      </c>
      <c r="BY819">
        <f t="shared" si="248"/>
        <v>0</v>
      </c>
      <c r="BZ819" s="303">
        <f t="shared" si="249"/>
        <v>0</v>
      </c>
      <c r="CB819" s="298">
        <v>0.6</v>
      </c>
      <c r="CC819" s="298">
        <v>0.4</v>
      </c>
      <c r="CD819">
        <f t="shared" si="250"/>
        <v>0</v>
      </c>
      <c r="CE819">
        <f t="shared" si="251"/>
        <v>0</v>
      </c>
      <c r="CF819">
        <f t="shared" si="252"/>
        <v>0</v>
      </c>
      <c r="CG819">
        <f t="shared" si="253"/>
        <v>0</v>
      </c>
      <c r="CH819">
        <f t="shared" si="254"/>
        <v>0</v>
      </c>
      <c r="CI819">
        <f t="shared" si="255"/>
        <v>0</v>
      </c>
      <c r="CJ819">
        <f t="shared" si="256"/>
        <v>0</v>
      </c>
      <c r="CK819">
        <f t="shared" si="257"/>
        <v>0</v>
      </c>
      <c r="CL819">
        <f t="shared" si="258"/>
        <v>0</v>
      </c>
      <c r="CM819">
        <f t="shared" si="260"/>
        <v>0</v>
      </c>
      <c r="CN819">
        <f t="shared" si="259"/>
        <v>0</v>
      </c>
      <c r="CO819">
        <f t="shared" si="243"/>
        <v>0</v>
      </c>
    </row>
    <row r="820" spans="1:93" s="12" customFormat="1" hidden="1" x14ac:dyDescent="0.25">
      <c r="A820" s="4">
        <v>2013</v>
      </c>
      <c r="B820" s="315">
        <v>44265</v>
      </c>
      <c r="C820" s="4" t="s">
        <v>429</v>
      </c>
      <c r="D820" s="4" t="s">
        <v>430</v>
      </c>
      <c r="E820" s="4"/>
      <c r="F820" s="4" t="s">
        <v>1491</v>
      </c>
      <c r="G820" s="5" t="s">
        <v>431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+VLOOKUP(G820,Liste!$A$7:$G$69,3,FALSE)</f>
        <v>Sapin pectiné</v>
      </c>
      <c r="BI820" s="96" t="str">
        <f>+VLOOKUP(H820,Liste!$B$7:$G$69,5,FALSE)</f>
        <v>GS Arc Jurassien</v>
      </c>
      <c r="BJ820" s="135">
        <f t="shared" si="242"/>
        <v>56</v>
      </c>
      <c r="BK820" s="135" t="str">
        <f t="shared" si="244"/>
        <v>Sapin pectiné_F1_Cas général_GS Arc Jurassien_56_</v>
      </c>
      <c r="BL820" s="319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97" t="str">
        <f>+VLOOKUP(G820,Liste!$A$7:$H$69,8,FALSE)</f>
        <v>Résineux</v>
      </c>
      <c r="BU820" s="297">
        <f t="shared" si="245"/>
        <v>0</v>
      </c>
      <c r="BV820" s="299">
        <f t="shared" si="246"/>
        <v>1</v>
      </c>
      <c r="BW820" s="318">
        <v>0</v>
      </c>
      <c r="BX820" s="297">
        <f t="shared" si="247"/>
        <v>0.43</v>
      </c>
      <c r="BY820">
        <f t="shared" si="248"/>
        <v>0</v>
      </c>
      <c r="BZ820" s="303">
        <f t="shared" si="249"/>
        <v>0</v>
      </c>
      <c r="CB820" s="298">
        <v>0.6</v>
      </c>
      <c r="CC820" s="298">
        <v>0.4</v>
      </c>
      <c r="CD820">
        <f t="shared" si="250"/>
        <v>0</v>
      </c>
      <c r="CE820">
        <f t="shared" si="251"/>
        <v>0</v>
      </c>
      <c r="CF820">
        <f t="shared" si="252"/>
        <v>0</v>
      </c>
      <c r="CG820">
        <f t="shared" si="253"/>
        <v>0</v>
      </c>
      <c r="CH820">
        <f t="shared" si="254"/>
        <v>0</v>
      </c>
      <c r="CI820">
        <f t="shared" si="255"/>
        <v>0</v>
      </c>
      <c r="CJ820">
        <f t="shared" si="256"/>
        <v>0</v>
      </c>
      <c r="CK820">
        <f t="shared" si="257"/>
        <v>0</v>
      </c>
      <c r="CL820">
        <f t="shared" si="258"/>
        <v>0</v>
      </c>
      <c r="CM820">
        <f t="shared" si="260"/>
        <v>0</v>
      </c>
      <c r="CN820">
        <f t="shared" si="259"/>
        <v>0</v>
      </c>
      <c r="CO820">
        <f t="shared" si="243"/>
        <v>0</v>
      </c>
    </row>
    <row r="821" spans="1:93" s="12" customFormat="1" hidden="1" x14ac:dyDescent="0.25">
      <c r="A821" s="4">
        <v>2013</v>
      </c>
      <c r="B821" s="315">
        <v>44265</v>
      </c>
      <c r="C821" s="4" t="s">
        <v>429</v>
      </c>
      <c r="D821" s="4" t="s">
        <v>430</v>
      </c>
      <c r="E821" s="4"/>
      <c r="F821" s="4" t="s">
        <v>1491</v>
      </c>
      <c r="G821" s="5" t="s">
        <v>431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+VLOOKUP(G821,Liste!$A$7:$G$69,3,FALSE)</f>
        <v>Sapin pectiné</v>
      </c>
      <c r="BI821" s="96" t="str">
        <f>+VLOOKUP(H821,Liste!$B$7:$G$69,5,FALSE)</f>
        <v>GS Arc Jurassien</v>
      </c>
      <c r="BJ821" s="135">
        <f t="shared" si="242"/>
        <v>57</v>
      </c>
      <c r="BK821" s="135" t="str">
        <f t="shared" si="244"/>
        <v>Sapin pectiné_F1_Cas général_GS Arc Jurassien_57_</v>
      </c>
      <c r="BL821" s="319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97" t="str">
        <f>+VLOOKUP(G821,Liste!$A$7:$H$69,8,FALSE)</f>
        <v>Résineux</v>
      </c>
      <c r="BU821" s="297">
        <f t="shared" si="245"/>
        <v>0</v>
      </c>
      <c r="BV821" s="299">
        <f t="shared" si="246"/>
        <v>1</v>
      </c>
      <c r="BW821" s="318">
        <v>0</v>
      </c>
      <c r="BX821" s="297">
        <f t="shared" si="247"/>
        <v>0.43</v>
      </c>
      <c r="BY821">
        <f t="shared" si="248"/>
        <v>0</v>
      </c>
      <c r="BZ821" s="303">
        <f t="shared" si="249"/>
        <v>0</v>
      </c>
      <c r="CB821" s="298">
        <v>0.6</v>
      </c>
      <c r="CC821" s="298">
        <v>0.4</v>
      </c>
      <c r="CD821">
        <f t="shared" si="250"/>
        <v>0</v>
      </c>
      <c r="CE821">
        <f t="shared" si="251"/>
        <v>0</v>
      </c>
      <c r="CF821">
        <f t="shared" si="252"/>
        <v>0</v>
      </c>
      <c r="CG821">
        <f t="shared" si="253"/>
        <v>0</v>
      </c>
      <c r="CH821">
        <f t="shared" si="254"/>
        <v>0</v>
      </c>
      <c r="CI821">
        <f t="shared" si="255"/>
        <v>0</v>
      </c>
      <c r="CJ821">
        <f t="shared" si="256"/>
        <v>0</v>
      </c>
      <c r="CK821">
        <f t="shared" si="257"/>
        <v>0</v>
      </c>
      <c r="CL821">
        <f t="shared" si="258"/>
        <v>0</v>
      </c>
      <c r="CM821">
        <f t="shared" si="260"/>
        <v>0</v>
      </c>
      <c r="CN821">
        <f t="shared" si="259"/>
        <v>0</v>
      </c>
      <c r="CO821">
        <f t="shared" si="243"/>
        <v>0</v>
      </c>
    </row>
    <row r="822" spans="1:93" s="12" customFormat="1" hidden="1" x14ac:dyDescent="0.25">
      <c r="A822" s="4">
        <v>2013</v>
      </c>
      <c r="B822" s="315">
        <v>44265</v>
      </c>
      <c r="C822" s="4" t="s">
        <v>429</v>
      </c>
      <c r="D822" s="4" t="s">
        <v>430</v>
      </c>
      <c r="E822" s="4"/>
      <c r="F822" s="4" t="s">
        <v>1491</v>
      </c>
      <c r="G822" s="5" t="s">
        <v>431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+VLOOKUP(G822,Liste!$A$7:$G$69,3,FALSE)</f>
        <v>Sapin pectiné</v>
      </c>
      <c r="BI822" s="96" t="str">
        <f>+VLOOKUP(H822,Liste!$B$7:$G$69,5,FALSE)</f>
        <v>GS Arc Jurassien</v>
      </c>
      <c r="BJ822" s="135">
        <f t="shared" si="242"/>
        <v>58</v>
      </c>
      <c r="BK822" s="135" t="str">
        <f t="shared" si="244"/>
        <v>Sapin pectiné_F1_Cas général_GS Arc Jurassien_58_</v>
      </c>
      <c r="BL822" s="319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97" t="str">
        <f>+VLOOKUP(G822,Liste!$A$7:$H$69,8,FALSE)</f>
        <v>Résineux</v>
      </c>
      <c r="BU822" s="297">
        <f t="shared" si="245"/>
        <v>0</v>
      </c>
      <c r="BV822" s="299">
        <f t="shared" si="246"/>
        <v>1</v>
      </c>
      <c r="BW822" s="318">
        <v>0</v>
      </c>
      <c r="BX822" s="297">
        <f t="shared" si="247"/>
        <v>0.43</v>
      </c>
      <c r="BY822">
        <f t="shared" si="248"/>
        <v>0</v>
      </c>
      <c r="BZ822" s="303">
        <f t="shared" si="249"/>
        <v>0</v>
      </c>
      <c r="CB822" s="298">
        <v>0.6</v>
      </c>
      <c r="CC822" s="298">
        <v>0.4</v>
      </c>
      <c r="CD822">
        <f t="shared" si="250"/>
        <v>0</v>
      </c>
      <c r="CE822">
        <f t="shared" si="251"/>
        <v>0</v>
      </c>
      <c r="CF822">
        <f t="shared" si="252"/>
        <v>0</v>
      </c>
      <c r="CG822">
        <f t="shared" si="253"/>
        <v>0</v>
      </c>
      <c r="CH822">
        <f t="shared" si="254"/>
        <v>0</v>
      </c>
      <c r="CI822">
        <f t="shared" si="255"/>
        <v>0</v>
      </c>
      <c r="CJ822">
        <f t="shared" si="256"/>
        <v>0</v>
      </c>
      <c r="CK822">
        <f t="shared" si="257"/>
        <v>0</v>
      </c>
      <c r="CL822">
        <f t="shared" si="258"/>
        <v>0</v>
      </c>
      <c r="CM822">
        <f t="shared" si="260"/>
        <v>0</v>
      </c>
      <c r="CN822">
        <f t="shared" si="259"/>
        <v>0</v>
      </c>
      <c r="CO822">
        <f t="shared" si="243"/>
        <v>0</v>
      </c>
    </row>
    <row r="823" spans="1:93" s="12" customFormat="1" hidden="1" x14ac:dyDescent="0.25">
      <c r="A823" s="4">
        <v>2013</v>
      </c>
      <c r="B823" s="315">
        <v>44265</v>
      </c>
      <c r="C823" s="4" t="s">
        <v>429</v>
      </c>
      <c r="D823" s="4" t="s">
        <v>430</v>
      </c>
      <c r="E823" s="4"/>
      <c r="F823" s="4" t="s">
        <v>1491</v>
      </c>
      <c r="G823" s="5" t="s">
        <v>431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+VLOOKUP(G823,Liste!$A$7:$G$69,3,FALSE)</f>
        <v>Sapin pectiné</v>
      </c>
      <c r="BI823" s="96" t="str">
        <f>+VLOOKUP(H823,Liste!$B$7:$G$69,5,FALSE)</f>
        <v>GS Arc Jurassien</v>
      </c>
      <c r="BJ823" s="135">
        <f t="shared" si="242"/>
        <v>59</v>
      </c>
      <c r="BK823" s="135" t="str">
        <f t="shared" si="244"/>
        <v>Sapin pectiné_F1_Cas général_GS Arc Jurassien_59_</v>
      </c>
      <c r="BL823" s="319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97" t="str">
        <f>+VLOOKUP(G823,Liste!$A$7:$H$69,8,FALSE)</f>
        <v>Résineux</v>
      </c>
      <c r="BU823" s="297">
        <f t="shared" si="245"/>
        <v>0</v>
      </c>
      <c r="BV823" s="299">
        <f t="shared" si="246"/>
        <v>1</v>
      </c>
      <c r="BW823" s="318">
        <v>0</v>
      </c>
      <c r="BX823" s="297">
        <f t="shared" si="247"/>
        <v>0.43</v>
      </c>
      <c r="BY823">
        <f t="shared" si="248"/>
        <v>0</v>
      </c>
      <c r="BZ823" s="303">
        <f t="shared" si="249"/>
        <v>0</v>
      </c>
      <c r="CB823" s="298">
        <v>0.6</v>
      </c>
      <c r="CC823" s="298">
        <v>0.4</v>
      </c>
      <c r="CD823">
        <f t="shared" si="250"/>
        <v>0</v>
      </c>
      <c r="CE823">
        <f t="shared" si="251"/>
        <v>0</v>
      </c>
      <c r="CF823">
        <f t="shared" si="252"/>
        <v>0</v>
      </c>
      <c r="CG823">
        <f t="shared" si="253"/>
        <v>0</v>
      </c>
      <c r="CH823">
        <f t="shared" si="254"/>
        <v>0</v>
      </c>
      <c r="CI823">
        <f t="shared" si="255"/>
        <v>0</v>
      </c>
      <c r="CJ823">
        <f t="shared" si="256"/>
        <v>0</v>
      </c>
      <c r="CK823">
        <f t="shared" si="257"/>
        <v>0</v>
      </c>
      <c r="CL823">
        <f t="shared" si="258"/>
        <v>0</v>
      </c>
      <c r="CM823">
        <f t="shared" si="260"/>
        <v>0</v>
      </c>
      <c r="CN823">
        <f t="shared" si="259"/>
        <v>0</v>
      </c>
      <c r="CO823">
        <f t="shared" si="243"/>
        <v>0</v>
      </c>
    </row>
    <row r="824" spans="1:93" s="12" customFormat="1" hidden="1" x14ac:dyDescent="0.25">
      <c r="A824" s="4">
        <v>2013</v>
      </c>
      <c r="B824" s="315">
        <v>44265</v>
      </c>
      <c r="C824" s="4" t="s">
        <v>429</v>
      </c>
      <c r="D824" s="4" t="s">
        <v>430</v>
      </c>
      <c r="E824" s="4"/>
      <c r="F824" s="4" t="s">
        <v>1491</v>
      </c>
      <c r="G824" s="5" t="s">
        <v>431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+VLOOKUP(G824,Liste!$A$7:$G$69,3,FALSE)</f>
        <v>Sapin pectiné</v>
      </c>
      <c r="BI824" s="96" t="str">
        <f>+VLOOKUP(H824,Liste!$B$7:$G$69,5,FALSE)</f>
        <v>GS Arc Jurassien</v>
      </c>
      <c r="BJ824" s="135">
        <f t="shared" si="242"/>
        <v>59</v>
      </c>
      <c r="BK824" s="135" t="str">
        <f t="shared" si="244"/>
        <v>Sapin pectiné_F1_Cas général_GS Arc Jurassien_59_</v>
      </c>
      <c r="BL824" s="319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97" t="str">
        <f>+VLOOKUP(G824,Liste!$A$7:$H$69,8,FALSE)</f>
        <v>Résineux</v>
      </c>
      <c r="BU824" s="297">
        <f t="shared" si="245"/>
        <v>0</v>
      </c>
      <c r="BV824" s="299">
        <f t="shared" si="246"/>
        <v>1</v>
      </c>
      <c r="BW824" s="318">
        <v>0</v>
      </c>
      <c r="BX824" s="297">
        <f t="shared" si="247"/>
        <v>0.43</v>
      </c>
      <c r="BY824">
        <f t="shared" si="248"/>
        <v>0</v>
      </c>
      <c r="BZ824" s="303">
        <f t="shared" si="249"/>
        <v>0</v>
      </c>
      <c r="CB824" s="298">
        <v>0.6</v>
      </c>
      <c r="CC824" s="298">
        <v>0.4</v>
      </c>
      <c r="CD824">
        <f t="shared" si="250"/>
        <v>0</v>
      </c>
      <c r="CE824">
        <f t="shared" si="251"/>
        <v>0</v>
      </c>
      <c r="CF824">
        <f t="shared" si="252"/>
        <v>0</v>
      </c>
      <c r="CG824">
        <f t="shared" si="253"/>
        <v>0</v>
      </c>
      <c r="CH824">
        <f t="shared" si="254"/>
        <v>0</v>
      </c>
      <c r="CI824">
        <f t="shared" si="255"/>
        <v>0</v>
      </c>
      <c r="CJ824">
        <f t="shared" si="256"/>
        <v>0</v>
      </c>
      <c r="CK824">
        <f t="shared" si="257"/>
        <v>0</v>
      </c>
      <c r="CL824">
        <f t="shared" si="258"/>
        <v>0</v>
      </c>
      <c r="CM824">
        <f t="shared" si="260"/>
        <v>0</v>
      </c>
      <c r="CN824">
        <f t="shared" si="259"/>
        <v>0</v>
      </c>
      <c r="CO824">
        <f t="shared" si="243"/>
        <v>0</v>
      </c>
    </row>
    <row r="825" spans="1:93" s="12" customFormat="1" hidden="1" x14ac:dyDescent="0.25">
      <c r="A825" s="4">
        <v>2013</v>
      </c>
      <c r="B825" s="315">
        <v>44265</v>
      </c>
      <c r="C825" s="4" t="s">
        <v>429</v>
      </c>
      <c r="D825" s="4" t="s">
        <v>430</v>
      </c>
      <c r="E825" s="4"/>
      <c r="F825" s="4" t="s">
        <v>1491</v>
      </c>
      <c r="G825" s="5" t="s">
        <v>431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+VLOOKUP(G825,Liste!$A$7:$G$69,3,FALSE)</f>
        <v>Sapin pectiné</v>
      </c>
      <c r="BI825" s="96" t="str">
        <f>+VLOOKUP(H825,Liste!$B$7:$G$69,5,FALSE)</f>
        <v>GS Arc Jurassien</v>
      </c>
      <c r="BJ825" s="135">
        <f t="shared" si="242"/>
        <v>60</v>
      </c>
      <c r="BK825" s="135" t="str">
        <f t="shared" si="244"/>
        <v>Sapin pectiné_F1_Cas général_GS Arc Jurassien_60_</v>
      </c>
      <c r="BL825" s="319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97" t="str">
        <f>+VLOOKUP(G825,Liste!$A$7:$H$69,8,FALSE)</f>
        <v>Résineux</v>
      </c>
      <c r="BU825" s="297">
        <f t="shared" si="245"/>
        <v>0</v>
      </c>
      <c r="BV825" s="299">
        <f t="shared" si="246"/>
        <v>1</v>
      </c>
      <c r="BW825" s="318">
        <v>0</v>
      </c>
      <c r="BX825" s="297">
        <f t="shared" si="247"/>
        <v>0.43</v>
      </c>
      <c r="BY825">
        <f t="shared" si="248"/>
        <v>0</v>
      </c>
      <c r="BZ825" s="303">
        <f t="shared" si="249"/>
        <v>0</v>
      </c>
      <c r="CB825" s="298">
        <v>0.6</v>
      </c>
      <c r="CC825" s="298">
        <v>0.4</v>
      </c>
      <c r="CD825">
        <f t="shared" si="250"/>
        <v>0</v>
      </c>
      <c r="CE825">
        <f t="shared" si="251"/>
        <v>0</v>
      </c>
      <c r="CF825">
        <f t="shared" si="252"/>
        <v>0</v>
      </c>
      <c r="CG825">
        <f t="shared" si="253"/>
        <v>0</v>
      </c>
      <c r="CH825">
        <f t="shared" si="254"/>
        <v>0</v>
      </c>
      <c r="CI825">
        <f t="shared" si="255"/>
        <v>0</v>
      </c>
      <c r="CJ825">
        <f t="shared" si="256"/>
        <v>0</v>
      </c>
      <c r="CK825">
        <f t="shared" si="257"/>
        <v>0</v>
      </c>
      <c r="CL825">
        <f t="shared" si="258"/>
        <v>0</v>
      </c>
      <c r="CM825">
        <f t="shared" si="260"/>
        <v>0</v>
      </c>
      <c r="CN825">
        <f t="shared" si="259"/>
        <v>0</v>
      </c>
      <c r="CO825">
        <f t="shared" si="243"/>
        <v>0</v>
      </c>
    </row>
    <row r="826" spans="1:93" s="12" customFormat="1" hidden="1" x14ac:dyDescent="0.25">
      <c r="A826" s="4">
        <v>2013</v>
      </c>
      <c r="B826" s="315">
        <v>44265</v>
      </c>
      <c r="C826" s="4" t="s">
        <v>429</v>
      </c>
      <c r="D826" s="4" t="s">
        <v>430</v>
      </c>
      <c r="E826" s="4"/>
      <c r="F826" s="4" t="s">
        <v>1491</v>
      </c>
      <c r="G826" s="5" t="s">
        <v>431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+VLOOKUP(G826,Liste!$A$7:$G$69,3,FALSE)</f>
        <v>Sapin pectiné</v>
      </c>
      <c r="BI826" s="96" t="str">
        <f>+VLOOKUP(H826,Liste!$B$7:$G$69,5,FALSE)</f>
        <v>GS Arc Jurassien</v>
      </c>
      <c r="BJ826" s="135">
        <f t="shared" si="242"/>
        <v>61</v>
      </c>
      <c r="BK826" s="135" t="str">
        <f t="shared" si="244"/>
        <v>Sapin pectiné_F1_Cas général_GS Arc Jurassien_61_</v>
      </c>
      <c r="BL826" s="319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97" t="str">
        <f>+VLOOKUP(G826,Liste!$A$7:$H$69,8,FALSE)</f>
        <v>Résineux</v>
      </c>
      <c r="BU826" s="297">
        <f t="shared" si="245"/>
        <v>0</v>
      </c>
      <c r="BV826" s="299">
        <f t="shared" si="246"/>
        <v>1</v>
      </c>
      <c r="BW826" s="318">
        <v>0</v>
      </c>
      <c r="BX826" s="297">
        <f t="shared" si="247"/>
        <v>0.43</v>
      </c>
      <c r="BY826">
        <f t="shared" si="248"/>
        <v>0</v>
      </c>
      <c r="BZ826" s="303">
        <f t="shared" si="249"/>
        <v>0</v>
      </c>
      <c r="CB826" s="298">
        <v>0.6</v>
      </c>
      <c r="CC826" s="298">
        <v>0.4</v>
      </c>
      <c r="CD826">
        <f t="shared" si="250"/>
        <v>0</v>
      </c>
      <c r="CE826">
        <f t="shared" si="251"/>
        <v>0</v>
      </c>
      <c r="CF826">
        <f t="shared" si="252"/>
        <v>0</v>
      </c>
      <c r="CG826">
        <f t="shared" si="253"/>
        <v>0</v>
      </c>
      <c r="CH826">
        <f t="shared" si="254"/>
        <v>0</v>
      </c>
      <c r="CI826">
        <f t="shared" si="255"/>
        <v>0</v>
      </c>
      <c r="CJ826">
        <f t="shared" si="256"/>
        <v>0</v>
      </c>
      <c r="CK826">
        <f t="shared" si="257"/>
        <v>0</v>
      </c>
      <c r="CL826">
        <f t="shared" si="258"/>
        <v>0</v>
      </c>
      <c r="CM826">
        <f t="shared" si="260"/>
        <v>0</v>
      </c>
      <c r="CN826">
        <f t="shared" si="259"/>
        <v>0</v>
      </c>
      <c r="CO826">
        <f t="shared" si="243"/>
        <v>0</v>
      </c>
    </row>
    <row r="827" spans="1:93" s="12" customFormat="1" hidden="1" x14ac:dyDescent="0.25">
      <c r="A827" s="4">
        <v>2013</v>
      </c>
      <c r="B827" s="315">
        <v>44265</v>
      </c>
      <c r="C827" s="4" t="s">
        <v>429</v>
      </c>
      <c r="D827" s="4" t="s">
        <v>430</v>
      </c>
      <c r="E827" s="4"/>
      <c r="F827" s="4" t="s">
        <v>1491</v>
      </c>
      <c r="G827" s="5" t="s">
        <v>431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+VLOOKUP(G827,Liste!$A$7:$G$69,3,FALSE)</f>
        <v>Sapin pectiné</v>
      </c>
      <c r="BI827" s="96" t="str">
        <f>+VLOOKUP(H827,Liste!$B$7:$G$69,5,FALSE)</f>
        <v>GS Arc Jurassien</v>
      </c>
      <c r="BJ827" s="135">
        <f t="shared" si="242"/>
        <v>62</v>
      </c>
      <c r="BK827" s="135" t="str">
        <f t="shared" si="244"/>
        <v>Sapin pectiné_F1_Cas général_GS Arc Jurassien_62_</v>
      </c>
      <c r="BL827" s="319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97" t="str">
        <f>+VLOOKUP(G827,Liste!$A$7:$H$69,8,FALSE)</f>
        <v>Résineux</v>
      </c>
      <c r="BU827" s="297">
        <f t="shared" si="245"/>
        <v>0</v>
      </c>
      <c r="BV827" s="299">
        <f t="shared" si="246"/>
        <v>1</v>
      </c>
      <c r="BW827" s="318">
        <v>0</v>
      </c>
      <c r="BX827" s="297">
        <f t="shared" si="247"/>
        <v>0.43</v>
      </c>
      <c r="BY827">
        <f t="shared" si="248"/>
        <v>0</v>
      </c>
      <c r="BZ827" s="303">
        <f t="shared" si="249"/>
        <v>0</v>
      </c>
      <c r="CB827" s="298">
        <v>0.6</v>
      </c>
      <c r="CC827" s="298">
        <v>0.4</v>
      </c>
      <c r="CD827">
        <f t="shared" si="250"/>
        <v>0</v>
      </c>
      <c r="CE827">
        <f t="shared" si="251"/>
        <v>0</v>
      </c>
      <c r="CF827">
        <f t="shared" si="252"/>
        <v>0</v>
      </c>
      <c r="CG827">
        <f t="shared" si="253"/>
        <v>0</v>
      </c>
      <c r="CH827">
        <f t="shared" si="254"/>
        <v>0</v>
      </c>
      <c r="CI827">
        <f t="shared" si="255"/>
        <v>0</v>
      </c>
      <c r="CJ827">
        <f t="shared" si="256"/>
        <v>0</v>
      </c>
      <c r="CK827">
        <f t="shared" si="257"/>
        <v>0</v>
      </c>
      <c r="CL827">
        <f t="shared" si="258"/>
        <v>0</v>
      </c>
      <c r="CM827">
        <f t="shared" si="260"/>
        <v>0</v>
      </c>
      <c r="CN827">
        <f t="shared" si="259"/>
        <v>0</v>
      </c>
      <c r="CO827">
        <f t="shared" si="243"/>
        <v>0</v>
      </c>
    </row>
    <row r="828" spans="1:93" s="12" customFormat="1" hidden="1" x14ac:dyDescent="0.25">
      <c r="A828" s="4">
        <v>2013</v>
      </c>
      <c r="B828" s="315">
        <v>44265</v>
      </c>
      <c r="C828" s="4" t="s">
        <v>429</v>
      </c>
      <c r="D828" s="4" t="s">
        <v>430</v>
      </c>
      <c r="E828" s="4"/>
      <c r="F828" s="4" t="s">
        <v>1491</v>
      </c>
      <c r="G828" s="5" t="s">
        <v>431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+VLOOKUP(G828,Liste!$A$7:$G$69,3,FALSE)</f>
        <v>Sapin pectiné</v>
      </c>
      <c r="BI828" s="96" t="str">
        <f>+VLOOKUP(H828,Liste!$B$7:$G$69,5,FALSE)</f>
        <v>GS Arc Jurassien</v>
      </c>
      <c r="BJ828" s="135">
        <f t="shared" si="242"/>
        <v>63</v>
      </c>
      <c r="BK828" s="135" t="str">
        <f t="shared" si="244"/>
        <v>Sapin pectiné_F1_Cas général_GS Arc Jurassien_63_</v>
      </c>
      <c r="BL828" s="319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97" t="str">
        <f>+VLOOKUP(G828,Liste!$A$7:$H$69,8,FALSE)</f>
        <v>Résineux</v>
      </c>
      <c r="BU828" s="297">
        <f t="shared" si="245"/>
        <v>0</v>
      </c>
      <c r="BV828" s="299">
        <f t="shared" si="246"/>
        <v>1</v>
      </c>
      <c r="BW828" s="318">
        <v>0</v>
      </c>
      <c r="BX828" s="297">
        <f t="shared" si="247"/>
        <v>0.43</v>
      </c>
      <c r="BY828">
        <f t="shared" si="248"/>
        <v>0</v>
      </c>
      <c r="BZ828" s="303">
        <f t="shared" si="249"/>
        <v>0</v>
      </c>
      <c r="CB828" s="298">
        <v>0.6</v>
      </c>
      <c r="CC828" s="298">
        <v>0.4</v>
      </c>
      <c r="CD828">
        <f t="shared" si="250"/>
        <v>0</v>
      </c>
      <c r="CE828">
        <f t="shared" si="251"/>
        <v>0</v>
      </c>
      <c r="CF828">
        <f t="shared" si="252"/>
        <v>0</v>
      </c>
      <c r="CG828">
        <f t="shared" si="253"/>
        <v>0</v>
      </c>
      <c r="CH828">
        <f t="shared" si="254"/>
        <v>0</v>
      </c>
      <c r="CI828">
        <f t="shared" si="255"/>
        <v>0</v>
      </c>
      <c r="CJ828">
        <f t="shared" si="256"/>
        <v>0</v>
      </c>
      <c r="CK828">
        <f t="shared" si="257"/>
        <v>0</v>
      </c>
      <c r="CL828">
        <f t="shared" si="258"/>
        <v>0</v>
      </c>
      <c r="CM828">
        <f t="shared" si="260"/>
        <v>0</v>
      </c>
      <c r="CN828">
        <f t="shared" si="259"/>
        <v>0</v>
      </c>
      <c r="CO828">
        <f t="shared" si="243"/>
        <v>0</v>
      </c>
    </row>
    <row r="829" spans="1:93" s="12" customFormat="1" hidden="1" x14ac:dyDescent="0.25">
      <c r="A829" s="4">
        <v>2013</v>
      </c>
      <c r="B829" s="315">
        <v>44265</v>
      </c>
      <c r="C829" s="4" t="s">
        <v>429</v>
      </c>
      <c r="D829" s="4" t="s">
        <v>430</v>
      </c>
      <c r="E829" s="4"/>
      <c r="F829" s="4" t="s">
        <v>1491</v>
      </c>
      <c r="G829" s="5" t="s">
        <v>431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+VLOOKUP(G829,Liste!$A$7:$G$69,3,FALSE)</f>
        <v>Sapin pectiné</v>
      </c>
      <c r="BI829" s="96" t="str">
        <f>+VLOOKUP(H829,Liste!$B$7:$G$69,5,FALSE)</f>
        <v>GS Arc Jurassien</v>
      </c>
      <c r="BJ829" s="135">
        <f t="shared" si="242"/>
        <v>64</v>
      </c>
      <c r="BK829" s="135" t="str">
        <f t="shared" si="244"/>
        <v>Sapin pectiné_F1_Cas général_GS Arc Jurassien_64_</v>
      </c>
      <c r="BL829" s="319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97" t="str">
        <f>+VLOOKUP(G829,Liste!$A$7:$H$69,8,FALSE)</f>
        <v>Résineux</v>
      </c>
      <c r="BU829" s="297">
        <f t="shared" si="245"/>
        <v>0</v>
      </c>
      <c r="BV829" s="299">
        <f t="shared" si="246"/>
        <v>1</v>
      </c>
      <c r="BW829" s="318">
        <v>0</v>
      </c>
      <c r="BX829" s="297">
        <f t="shared" si="247"/>
        <v>0.43</v>
      </c>
      <c r="BY829">
        <f t="shared" si="248"/>
        <v>0</v>
      </c>
      <c r="BZ829" s="303">
        <f t="shared" si="249"/>
        <v>0</v>
      </c>
      <c r="CB829" s="298">
        <v>0.6</v>
      </c>
      <c r="CC829" s="298">
        <v>0.4</v>
      </c>
      <c r="CD829">
        <f t="shared" si="250"/>
        <v>0</v>
      </c>
      <c r="CE829">
        <f t="shared" si="251"/>
        <v>0</v>
      </c>
      <c r="CF829">
        <f t="shared" si="252"/>
        <v>0</v>
      </c>
      <c r="CG829">
        <f t="shared" si="253"/>
        <v>0</v>
      </c>
      <c r="CH829">
        <f t="shared" si="254"/>
        <v>0</v>
      </c>
      <c r="CI829">
        <f t="shared" si="255"/>
        <v>0</v>
      </c>
      <c r="CJ829">
        <f t="shared" si="256"/>
        <v>0</v>
      </c>
      <c r="CK829">
        <f t="shared" si="257"/>
        <v>0</v>
      </c>
      <c r="CL829">
        <f t="shared" si="258"/>
        <v>0</v>
      </c>
      <c r="CM829">
        <f t="shared" si="260"/>
        <v>0</v>
      </c>
      <c r="CN829">
        <f t="shared" si="259"/>
        <v>0</v>
      </c>
      <c r="CO829">
        <f t="shared" si="243"/>
        <v>0</v>
      </c>
    </row>
    <row r="830" spans="1:93" s="12" customFormat="1" hidden="1" x14ac:dyDescent="0.25">
      <c r="A830" s="4">
        <v>2013</v>
      </c>
      <c r="B830" s="315">
        <v>44265</v>
      </c>
      <c r="C830" s="4" t="s">
        <v>429</v>
      </c>
      <c r="D830" s="4" t="s">
        <v>430</v>
      </c>
      <c r="E830" s="4"/>
      <c r="F830" s="4" t="s">
        <v>1491</v>
      </c>
      <c r="G830" s="5" t="s">
        <v>431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+VLOOKUP(G830,Liste!$A$7:$G$69,3,FALSE)</f>
        <v>Sapin pectiné</v>
      </c>
      <c r="BI830" s="96" t="str">
        <f>+VLOOKUP(H830,Liste!$B$7:$G$69,5,FALSE)</f>
        <v>GS Arc Jurassien</v>
      </c>
      <c r="BJ830" s="135">
        <f t="shared" si="242"/>
        <v>65</v>
      </c>
      <c r="BK830" s="135" t="str">
        <f t="shared" si="244"/>
        <v>Sapin pectiné_F1_Cas général_GS Arc Jurassien_65_</v>
      </c>
      <c r="BL830" s="319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97" t="str">
        <f>+VLOOKUP(G830,Liste!$A$7:$H$69,8,FALSE)</f>
        <v>Résineux</v>
      </c>
      <c r="BU830" s="297">
        <f t="shared" si="245"/>
        <v>0</v>
      </c>
      <c r="BV830" s="299">
        <f t="shared" si="246"/>
        <v>1</v>
      </c>
      <c r="BW830" s="318">
        <v>0</v>
      </c>
      <c r="BX830" s="297">
        <f t="shared" si="247"/>
        <v>0.43</v>
      </c>
      <c r="BY830">
        <f t="shared" si="248"/>
        <v>0</v>
      </c>
      <c r="BZ830" s="303">
        <f t="shared" si="249"/>
        <v>0</v>
      </c>
      <c r="CB830" s="298">
        <v>0.6</v>
      </c>
      <c r="CC830" s="298">
        <v>0.4</v>
      </c>
      <c r="CD830">
        <f t="shared" si="250"/>
        <v>0</v>
      </c>
      <c r="CE830">
        <f t="shared" si="251"/>
        <v>0</v>
      </c>
      <c r="CF830">
        <f t="shared" si="252"/>
        <v>0</v>
      </c>
      <c r="CG830">
        <f t="shared" si="253"/>
        <v>0</v>
      </c>
      <c r="CH830">
        <f t="shared" si="254"/>
        <v>0</v>
      </c>
      <c r="CI830">
        <f t="shared" si="255"/>
        <v>0</v>
      </c>
      <c r="CJ830">
        <f t="shared" si="256"/>
        <v>0</v>
      </c>
      <c r="CK830">
        <f t="shared" si="257"/>
        <v>0</v>
      </c>
      <c r="CL830">
        <f t="shared" si="258"/>
        <v>0</v>
      </c>
      <c r="CM830">
        <f t="shared" si="260"/>
        <v>0</v>
      </c>
      <c r="CN830">
        <f t="shared" si="259"/>
        <v>0</v>
      </c>
      <c r="CO830">
        <f t="shared" si="243"/>
        <v>0</v>
      </c>
    </row>
    <row r="831" spans="1:93" s="12" customFormat="1" hidden="1" x14ac:dyDescent="0.25">
      <c r="A831" s="4">
        <v>2013</v>
      </c>
      <c r="B831" s="315">
        <v>44265</v>
      </c>
      <c r="C831" s="4" t="s">
        <v>429</v>
      </c>
      <c r="D831" s="4" t="s">
        <v>430</v>
      </c>
      <c r="E831" s="4"/>
      <c r="F831" s="4" t="s">
        <v>1491</v>
      </c>
      <c r="G831" s="5" t="s">
        <v>431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+VLOOKUP(G831,Liste!$A$7:$G$69,3,FALSE)</f>
        <v>Sapin pectiné</v>
      </c>
      <c r="BI831" s="96" t="str">
        <f>+VLOOKUP(H831,Liste!$B$7:$G$69,5,FALSE)</f>
        <v>GS Arc Jurassien</v>
      </c>
      <c r="BJ831" s="135">
        <f t="shared" si="242"/>
        <v>66</v>
      </c>
      <c r="BK831" s="135" t="str">
        <f t="shared" si="244"/>
        <v>Sapin pectiné_F1_Cas général_GS Arc Jurassien_66_</v>
      </c>
      <c r="BL831" s="319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97" t="str">
        <f>+VLOOKUP(G831,Liste!$A$7:$H$69,8,FALSE)</f>
        <v>Résineux</v>
      </c>
      <c r="BU831" s="297">
        <f t="shared" si="245"/>
        <v>0</v>
      </c>
      <c r="BV831" s="299">
        <f t="shared" si="246"/>
        <v>1</v>
      </c>
      <c r="BW831" s="318">
        <v>0</v>
      </c>
      <c r="BX831" s="297">
        <f t="shared" si="247"/>
        <v>0.43</v>
      </c>
      <c r="BY831">
        <f t="shared" si="248"/>
        <v>0</v>
      </c>
      <c r="BZ831" s="303">
        <f t="shared" si="249"/>
        <v>0</v>
      </c>
      <c r="CB831" s="298">
        <v>0.6</v>
      </c>
      <c r="CC831" s="298">
        <v>0.4</v>
      </c>
      <c r="CD831">
        <f t="shared" si="250"/>
        <v>0</v>
      </c>
      <c r="CE831">
        <f t="shared" si="251"/>
        <v>0</v>
      </c>
      <c r="CF831">
        <f t="shared" si="252"/>
        <v>0</v>
      </c>
      <c r="CG831">
        <f t="shared" si="253"/>
        <v>0</v>
      </c>
      <c r="CH831">
        <f t="shared" si="254"/>
        <v>0</v>
      </c>
      <c r="CI831">
        <f t="shared" si="255"/>
        <v>0</v>
      </c>
      <c r="CJ831">
        <f t="shared" si="256"/>
        <v>0</v>
      </c>
      <c r="CK831">
        <f t="shared" si="257"/>
        <v>0</v>
      </c>
      <c r="CL831">
        <f t="shared" si="258"/>
        <v>0</v>
      </c>
      <c r="CM831">
        <f t="shared" si="260"/>
        <v>0</v>
      </c>
      <c r="CN831">
        <f t="shared" si="259"/>
        <v>0</v>
      </c>
      <c r="CO831">
        <f t="shared" si="243"/>
        <v>0</v>
      </c>
    </row>
    <row r="832" spans="1:93" s="12" customFormat="1" hidden="1" x14ac:dyDescent="0.25">
      <c r="A832" s="4">
        <v>2013</v>
      </c>
      <c r="B832" s="315">
        <v>44265</v>
      </c>
      <c r="C832" s="4" t="s">
        <v>429</v>
      </c>
      <c r="D832" s="4" t="s">
        <v>430</v>
      </c>
      <c r="E832" s="4"/>
      <c r="F832" s="4" t="s">
        <v>1491</v>
      </c>
      <c r="G832" s="5" t="s">
        <v>431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+VLOOKUP(G832,Liste!$A$7:$G$69,3,FALSE)</f>
        <v>Sapin pectiné</v>
      </c>
      <c r="BI832" s="96" t="str">
        <f>+VLOOKUP(H832,Liste!$B$7:$G$69,5,FALSE)</f>
        <v>GS Arc Jurassien</v>
      </c>
      <c r="BJ832" s="135">
        <f t="shared" si="242"/>
        <v>67</v>
      </c>
      <c r="BK832" s="135" t="str">
        <f t="shared" si="244"/>
        <v>Sapin pectiné_F1_Cas général_GS Arc Jurassien_67_</v>
      </c>
      <c r="BL832" s="319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97" t="str">
        <f>+VLOOKUP(G832,Liste!$A$7:$H$69,8,FALSE)</f>
        <v>Résineux</v>
      </c>
      <c r="BU832" s="297">
        <f t="shared" si="245"/>
        <v>0</v>
      </c>
      <c r="BV832" s="299">
        <f t="shared" si="246"/>
        <v>1</v>
      </c>
      <c r="BW832" s="318">
        <v>0</v>
      </c>
      <c r="BX832" s="297">
        <f t="shared" si="247"/>
        <v>0.43</v>
      </c>
      <c r="BY832">
        <f t="shared" si="248"/>
        <v>0</v>
      </c>
      <c r="BZ832" s="303">
        <f t="shared" si="249"/>
        <v>0</v>
      </c>
      <c r="CB832" s="298">
        <v>0.6</v>
      </c>
      <c r="CC832" s="298">
        <v>0.4</v>
      </c>
      <c r="CD832">
        <f t="shared" si="250"/>
        <v>0</v>
      </c>
      <c r="CE832">
        <f t="shared" si="251"/>
        <v>0</v>
      </c>
      <c r="CF832">
        <f t="shared" si="252"/>
        <v>0</v>
      </c>
      <c r="CG832">
        <f t="shared" si="253"/>
        <v>0</v>
      </c>
      <c r="CH832">
        <f t="shared" si="254"/>
        <v>0</v>
      </c>
      <c r="CI832">
        <f t="shared" si="255"/>
        <v>0</v>
      </c>
      <c r="CJ832">
        <f t="shared" si="256"/>
        <v>0</v>
      </c>
      <c r="CK832">
        <f t="shared" si="257"/>
        <v>0</v>
      </c>
      <c r="CL832">
        <f t="shared" si="258"/>
        <v>0</v>
      </c>
      <c r="CM832">
        <f t="shared" si="260"/>
        <v>0</v>
      </c>
      <c r="CN832">
        <f t="shared" si="259"/>
        <v>0</v>
      </c>
      <c r="CO832">
        <f t="shared" si="243"/>
        <v>0</v>
      </c>
    </row>
    <row r="833" spans="1:93" s="12" customFormat="1" hidden="1" x14ac:dyDescent="0.25">
      <c r="A833" s="4">
        <v>2013</v>
      </c>
      <c r="B833" s="315">
        <v>44265</v>
      </c>
      <c r="C833" s="4" t="s">
        <v>429</v>
      </c>
      <c r="D833" s="4" t="s">
        <v>430</v>
      </c>
      <c r="E833" s="4"/>
      <c r="F833" s="4" t="s">
        <v>1491</v>
      </c>
      <c r="G833" s="5" t="s">
        <v>431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+VLOOKUP(G833,Liste!$A$7:$G$69,3,FALSE)</f>
        <v>Sapin pectiné</v>
      </c>
      <c r="BI833" s="96" t="str">
        <f>+VLOOKUP(H833,Liste!$B$7:$G$69,5,FALSE)</f>
        <v>GS Arc Jurassien</v>
      </c>
      <c r="BJ833" s="135">
        <f t="shared" si="242"/>
        <v>67</v>
      </c>
      <c r="BK833" s="135" t="str">
        <f t="shared" si="244"/>
        <v>Sapin pectiné_F1_Cas général_GS Arc Jurassien_67_</v>
      </c>
      <c r="BL833" s="319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97" t="str">
        <f>+VLOOKUP(G833,Liste!$A$7:$H$69,8,FALSE)</f>
        <v>Résineux</v>
      </c>
      <c r="BU833" s="297">
        <f t="shared" si="245"/>
        <v>0</v>
      </c>
      <c r="BV833" s="299">
        <f t="shared" si="246"/>
        <v>1</v>
      </c>
      <c r="BW833" s="318">
        <v>0</v>
      </c>
      <c r="BX833" s="297">
        <f t="shared" si="247"/>
        <v>0.43</v>
      </c>
      <c r="BY833">
        <f t="shared" si="248"/>
        <v>0</v>
      </c>
      <c r="BZ833" s="303">
        <f t="shared" si="249"/>
        <v>0</v>
      </c>
      <c r="CB833" s="298">
        <v>0.6</v>
      </c>
      <c r="CC833" s="298">
        <v>0.4</v>
      </c>
      <c r="CD833">
        <f t="shared" si="250"/>
        <v>0</v>
      </c>
      <c r="CE833">
        <f t="shared" si="251"/>
        <v>0</v>
      </c>
      <c r="CF833">
        <f t="shared" si="252"/>
        <v>0</v>
      </c>
      <c r="CG833">
        <f t="shared" si="253"/>
        <v>0</v>
      </c>
      <c r="CH833">
        <f t="shared" si="254"/>
        <v>0</v>
      </c>
      <c r="CI833">
        <f t="shared" si="255"/>
        <v>0</v>
      </c>
      <c r="CJ833">
        <f t="shared" si="256"/>
        <v>0</v>
      </c>
      <c r="CK833">
        <f t="shared" si="257"/>
        <v>0</v>
      </c>
      <c r="CL833">
        <f t="shared" si="258"/>
        <v>0</v>
      </c>
      <c r="CM833">
        <f t="shared" si="260"/>
        <v>0</v>
      </c>
      <c r="CN833">
        <f t="shared" si="259"/>
        <v>0</v>
      </c>
      <c r="CO833">
        <f t="shared" si="243"/>
        <v>0</v>
      </c>
    </row>
    <row r="834" spans="1:93" s="12" customFormat="1" hidden="1" x14ac:dyDescent="0.25">
      <c r="A834" s="4">
        <v>2013</v>
      </c>
      <c r="B834" s="315">
        <v>44265</v>
      </c>
      <c r="C834" s="4" t="s">
        <v>429</v>
      </c>
      <c r="D834" s="4" t="s">
        <v>430</v>
      </c>
      <c r="E834" s="4"/>
      <c r="F834" s="4" t="s">
        <v>1491</v>
      </c>
      <c r="G834" s="5" t="s">
        <v>431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+VLOOKUP(G834,Liste!$A$7:$G$69,3,FALSE)</f>
        <v>Sapin pectiné</v>
      </c>
      <c r="BI834" s="96" t="str">
        <f>+VLOOKUP(H834,Liste!$B$7:$G$69,5,FALSE)</f>
        <v>GS Arc Jurassien</v>
      </c>
      <c r="BJ834" s="135">
        <f t="shared" si="242"/>
        <v>68</v>
      </c>
      <c r="BK834" s="135" t="str">
        <f t="shared" si="244"/>
        <v>Sapin pectiné_F1_Cas général_GS Arc Jurassien_68_</v>
      </c>
      <c r="BL834" s="319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97" t="str">
        <f>+VLOOKUP(G834,Liste!$A$7:$H$69,8,FALSE)</f>
        <v>Résineux</v>
      </c>
      <c r="BU834" s="297">
        <f t="shared" si="245"/>
        <v>0</v>
      </c>
      <c r="BV834" s="299">
        <f t="shared" si="246"/>
        <v>1</v>
      </c>
      <c r="BW834" s="318">
        <v>0</v>
      </c>
      <c r="BX834" s="297">
        <f t="shared" si="247"/>
        <v>0.43</v>
      </c>
      <c r="BY834">
        <f t="shared" si="248"/>
        <v>0</v>
      </c>
      <c r="BZ834" s="303">
        <f t="shared" si="249"/>
        <v>0</v>
      </c>
      <c r="CB834" s="298">
        <v>0.6</v>
      </c>
      <c r="CC834" s="298">
        <v>0.4</v>
      </c>
      <c r="CD834">
        <f t="shared" si="250"/>
        <v>0</v>
      </c>
      <c r="CE834">
        <f t="shared" si="251"/>
        <v>0</v>
      </c>
      <c r="CF834">
        <f t="shared" si="252"/>
        <v>0</v>
      </c>
      <c r="CG834">
        <f t="shared" si="253"/>
        <v>0</v>
      </c>
      <c r="CH834">
        <f t="shared" si="254"/>
        <v>0</v>
      </c>
      <c r="CI834">
        <f t="shared" si="255"/>
        <v>0</v>
      </c>
      <c r="CJ834">
        <f t="shared" si="256"/>
        <v>0</v>
      </c>
      <c r="CK834">
        <f t="shared" si="257"/>
        <v>0</v>
      </c>
      <c r="CL834">
        <f t="shared" si="258"/>
        <v>0</v>
      </c>
      <c r="CM834">
        <f t="shared" si="260"/>
        <v>0</v>
      </c>
      <c r="CN834">
        <f t="shared" si="259"/>
        <v>0</v>
      </c>
      <c r="CO834">
        <f t="shared" si="243"/>
        <v>0</v>
      </c>
    </row>
    <row r="835" spans="1:93" s="12" customFormat="1" hidden="1" x14ac:dyDescent="0.25">
      <c r="A835" s="4">
        <v>2013</v>
      </c>
      <c r="B835" s="315">
        <v>44265</v>
      </c>
      <c r="C835" s="4" t="s">
        <v>429</v>
      </c>
      <c r="D835" s="4" t="s">
        <v>430</v>
      </c>
      <c r="E835" s="4"/>
      <c r="F835" s="4" t="s">
        <v>1491</v>
      </c>
      <c r="G835" s="5" t="s">
        <v>431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+VLOOKUP(G835,Liste!$A$7:$G$69,3,FALSE)</f>
        <v>Sapin pectiné</v>
      </c>
      <c r="BI835" s="96" t="str">
        <f>+VLOOKUP(H835,Liste!$B$7:$G$69,5,FALSE)</f>
        <v>GS Arc Jurassien</v>
      </c>
      <c r="BJ835" s="135">
        <f t="shared" ref="BJ835:BJ898" si="261">+AC835</f>
        <v>69</v>
      </c>
      <c r="BK835" s="135" t="str">
        <f t="shared" si="244"/>
        <v>Sapin pectiné_F1_Cas général_GS Arc Jurassien_69_</v>
      </c>
      <c r="BL835" s="319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97" t="str">
        <f>+VLOOKUP(G835,Liste!$A$7:$H$69,8,FALSE)</f>
        <v>Résineux</v>
      </c>
      <c r="BU835" s="297">
        <f t="shared" si="245"/>
        <v>0</v>
      </c>
      <c r="BV835" s="299">
        <f t="shared" si="246"/>
        <v>1</v>
      </c>
      <c r="BW835" s="318">
        <v>0</v>
      </c>
      <c r="BX835" s="297">
        <f t="shared" si="247"/>
        <v>0.43</v>
      </c>
      <c r="BY835">
        <f t="shared" si="248"/>
        <v>0</v>
      </c>
      <c r="BZ835" s="303">
        <f t="shared" si="249"/>
        <v>0</v>
      </c>
      <c r="CB835" s="298">
        <v>0.6</v>
      </c>
      <c r="CC835" s="298">
        <v>0.4</v>
      </c>
      <c r="CD835">
        <f t="shared" si="250"/>
        <v>0</v>
      </c>
      <c r="CE835">
        <f t="shared" si="251"/>
        <v>0</v>
      </c>
      <c r="CF835">
        <f t="shared" si="252"/>
        <v>0</v>
      </c>
      <c r="CG835">
        <f t="shared" si="253"/>
        <v>0</v>
      </c>
      <c r="CH835">
        <f t="shared" si="254"/>
        <v>0</v>
      </c>
      <c r="CI835">
        <f t="shared" si="255"/>
        <v>0</v>
      </c>
      <c r="CJ835">
        <f t="shared" si="256"/>
        <v>0</v>
      </c>
      <c r="CK835">
        <f t="shared" si="257"/>
        <v>0</v>
      </c>
      <c r="CL835">
        <f t="shared" si="258"/>
        <v>0</v>
      </c>
      <c r="CM835">
        <f t="shared" si="260"/>
        <v>0</v>
      </c>
      <c r="CN835">
        <f t="shared" si="259"/>
        <v>0</v>
      </c>
      <c r="CO835">
        <f t="shared" ref="CO835:CO898" si="262">+IF(BJ835=30,CN835/30,0)</f>
        <v>0</v>
      </c>
    </row>
    <row r="836" spans="1:93" s="12" customFormat="1" hidden="1" x14ac:dyDescent="0.25">
      <c r="A836" s="4">
        <v>2013</v>
      </c>
      <c r="B836" s="315">
        <v>44265</v>
      </c>
      <c r="C836" s="4" t="s">
        <v>429</v>
      </c>
      <c r="D836" s="4" t="s">
        <v>430</v>
      </c>
      <c r="E836" s="4"/>
      <c r="F836" s="4" t="s">
        <v>1491</v>
      </c>
      <c r="G836" s="5" t="s">
        <v>431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+VLOOKUP(G836,Liste!$A$7:$G$69,3,FALSE)</f>
        <v>Sapin pectiné</v>
      </c>
      <c r="BI836" s="96" t="str">
        <f>+VLOOKUP(H836,Liste!$B$7:$G$69,5,FALSE)</f>
        <v>GS Arc Jurassien</v>
      </c>
      <c r="BJ836" s="135">
        <f t="shared" si="261"/>
        <v>70</v>
      </c>
      <c r="BK836" s="135" t="str">
        <f t="shared" ref="BK836:BK899" si="263">+_xlfn.CONCAT(BH836,"_",J836,"_",I836,"_",BI836,"_",BJ836,"_")</f>
        <v>Sapin pectiné_F1_Cas général_GS Arc Jurassien_70_</v>
      </c>
      <c r="BL836" s="319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97" t="str">
        <f>+VLOOKUP(G836,Liste!$A$7:$H$69,8,FALSE)</f>
        <v>Résineux</v>
      </c>
      <c r="BU836" s="297">
        <f t="shared" ref="BU836:BU899" si="264">IF(BT836="Résineux",0%,100%)</f>
        <v>0</v>
      </c>
      <c r="BV836" s="299">
        <f t="shared" ref="BV836:BV899" si="265">+IF(BT836="Résineux",100%,0%)</f>
        <v>1</v>
      </c>
      <c r="BW836" s="318">
        <v>0</v>
      </c>
      <c r="BX836" s="297">
        <f t="shared" ref="BX836:BX899" si="266">+IF(BV836&lt;&gt;0,0.43,0.25)</f>
        <v>0.43</v>
      </c>
      <c r="BY836">
        <f t="shared" ref="BY836:BY899" si="267">+IF(BJ836&lt;=30,AV836*BX836,0)</f>
        <v>0</v>
      </c>
      <c r="BZ836" s="303">
        <f t="shared" ref="BZ836:BZ899" si="268">+IF(BJ836&gt;=31,0,BY836+BZ835)</f>
        <v>0</v>
      </c>
      <c r="CB836" s="298">
        <v>0.6</v>
      </c>
      <c r="CC836" s="298">
        <v>0.4</v>
      </c>
      <c r="CD836">
        <f t="shared" ref="CD836:CD899" si="269">+IF(BJ836&lt;=31,AV836*CA836*0.5,0)</f>
        <v>0</v>
      </c>
      <c r="CE836">
        <f t="shared" ref="CE836:CE899" si="270">IF(BJ836&lt;=31,AV836*CB836,0)</f>
        <v>0</v>
      </c>
      <c r="CF836">
        <f t="shared" ref="CF836:CF899" si="271">IF(BJ836&lt;=31,AV836*CC836,0)</f>
        <v>0</v>
      </c>
      <c r="CG836">
        <f t="shared" ref="CG836:CG899" si="272">CD836*44/12*0.475*BF836</f>
        <v>0</v>
      </c>
      <c r="CH836">
        <f t="shared" ref="CH836:CH899" si="273">CE836*44/12*0.475*BF836</f>
        <v>0</v>
      </c>
      <c r="CI836">
        <f t="shared" ref="CI836:CI899" si="274">CF836*44/12*0.475*BF836</f>
        <v>0</v>
      </c>
      <c r="CJ836">
        <f t="shared" ref="CJ836:CJ899" si="275">+IF(BJ836&lt;=31,CJ835*EXP(-$CJ$1)+CG835*(1-EXP(-$CJ$1))/$CJ$1,0)</f>
        <v>0</v>
      </c>
      <c r="CK836">
        <f t="shared" ref="CK836:CK899" si="276">+IF(BJ836&lt;=31,CK835*EXP(-$CK$1)+CH835*(1-EXP(-$CK$1))/$CK$1,0)</f>
        <v>0</v>
      </c>
      <c r="CL836">
        <f t="shared" ref="CL836:CL899" si="277">+IF(BJ836&lt;=31,CL835*EXP(-$CL$1)+CI835*(1-EXP(-$CL$1))/$CL$1,0)</f>
        <v>0</v>
      </c>
      <c r="CM836">
        <f t="shared" si="260"/>
        <v>0</v>
      </c>
      <c r="CN836">
        <f t="shared" ref="CN836:CN899" si="278">+IF(BJ836&lt;=31,CM836+CN835,0)</f>
        <v>0</v>
      </c>
      <c r="CO836">
        <f t="shared" si="262"/>
        <v>0</v>
      </c>
    </row>
    <row r="837" spans="1:93" s="12" customFormat="1" hidden="1" x14ac:dyDescent="0.25">
      <c r="A837" s="4">
        <v>2013</v>
      </c>
      <c r="B837" s="315">
        <v>44265</v>
      </c>
      <c r="C837" s="4" t="s">
        <v>429</v>
      </c>
      <c r="D837" s="4" t="s">
        <v>430</v>
      </c>
      <c r="E837" s="4"/>
      <c r="F837" s="4" t="s">
        <v>1491</v>
      </c>
      <c r="G837" s="5" t="s">
        <v>431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+VLOOKUP(G837,Liste!$A$7:$G$69,3,FALSE)</f>
        <v>Sapin pectiné</v>
      </c>
      <c r="BI837" s="96" t="str">
        <f>+VLOOKUP(H837,Liste!$B$7:$G$69,5,FALSE)</f>
        <v>GS Arc Jurassien</v>
      </c>
      <c r="BJ837" s="135">
        <f t="shared" si="261"/>
        <v>71</v>
      </c>
      <c r="BK837" s="135" t="str">
        <f t="shared" si="263"/>
        <v>Sapin pectiné_F1_Cas général_GS Arc Jurassien_71_</v>
      </c>
      <c r="BL837" s="319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97" t="str">
        <f>+VLOOKUP(G837,Liste!$A$7:$H$69,8,FALSE)</f>
        <v>Résineux</v>
      </c>
      <c r="BU837" s="297">
        <f t="shared" si="264"/>
        <v>0</v>
      </c>
      <c r="BV837" s="299">
        <f t="shared" si="265"/>
        <v>1</v>
      </c>
      <c r="BW837" s="318">
        <v>0</v>
      </c>
      <c r="BX837" s="297">
        <f t="shared" si="266"/>
        <v>0.43</v>
      </c>
      <c r="BY837">
        <f t="shared" si="267"/>
        <v>0</v>
      </c>
      <c r="BZ837" s="303">
        <f t="shared" si="268"/>
        <v>0</v>
      </c>
      <c r="CB837" s="298">
        <v>0.6</v>
      </c>
      <c r="CC837" s="298">
        <v>0.4</v>
      </c>
      <c r="CD837">
        <f t="shared" si="269"/>
        <v>0</v>
      </c>
      <c r="CE837">
        <f t="shared" si="270"/>
        <v>0</v>
      </c>
      <c r="CF837">
        <f t="shared" si="271"/>
        <v>0</v>
      </c>
      <c r="CG837">
        <f t="shared" si="272"/>
        <v>0</v>
      </c>
      <c r="CH837">
        <f t="shared" si="273"/>
        <v>0</v>
      </c>
      <c r="CI837">
        <f t="shared" si="274"/>
        <v>0</v>
      </c>
      <c r="CJ837">
        <f t="shared" si="275"/>
        <v>0</v>
      </c>
      <c r="CK837">
        <f t="shared" si="276"/>
        <v>0</v>
      </c>
      <c r="CL837">
        <f t="shared" si="277"/>
        <v>0</v>
      </c>
      <c r="CM837">
        <f t="shared" ref="CM837:CM900" si="279">+CJ837+CK837+CL837</f>
        <v>0</v>
      </c>
      <c r="CN837">
        <f t="shared" si="278"/>
        <v>0</v>
      </c>
      <c r="CO837">
        <f t="shared" si="262"/>
        <v>0</v>
      </c>
    </row>
    <row r="838" spans="1:93" s="12" customFormat="1" hidden="1" x14ac:dyDescent="0.25">
      <c r="A838" s="4">
        <v>2013</v>
      </c>
      <c r="B838" s="315">
        <v>44265</v>
      </c>
      <c r="C838" s="4" t="s">
        <v>429</v>
      </c>
      <c r="D838" s="4" t="s">
        <v>430</v>
      </c>
      <c r="E838" s="4"/>
      <c r="F838" s="4" t="s">
        <v>1491</v>
      </c>
      <c r="G838" s="5" t="s">
        <v>431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+VLOOKUP(G838,Liste!$A$7:$G$69,3,FALSE)</f>
        <v>Sapin pectiné</v>
      </c>
      <c r="BI838" s="96" t="str">
        <f>+VLOOKUP(H838,Liste!$B$7:$G$69,5,FALSE)</f>
        <v>GS Arc Jurassien</v>
      </c>
      <c r="BJ838" s="135">
        <f t="shared" si="261"/>
        <v>72</v>
      </c>
      <c r="BK838" s="135" t="str">
        <f t="shared" si="263"/>
        <v>Sapin pectiné_F1_Cas général_GS Arc Jurassien_72_</v>
      </c>
      <c r="BL838" s="319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97" t="str">
        <f>+VLOOKUP(G838,Liste!$A$7:$H$69,8,FALSE)</f>
        <v>Résineux</v>
      </c>
      <c r="BU838" s="297">
        <f t="shared" si="264"/>
        <v>0</v>
      </c>
      <c r="BV838" s="299">
        <f t="shared" si="265"/>
        <v>1</v>
      </c>
      <c r="BW838" s="318">
        <v>0</v>
      </c>
      <c r="BX838" s="297">
        <f t="shared" si="266"/>
        <v>0.43</v>
      </c>
      <c r="BY838">
        <f t="shared" si="267"/>
        <v>0</v>
      </c>
      <c r="BZ838" s="303">
        <f t="shared" si="268"/>
        <v>0</v>
      </c>
      <c r="CB838" s="298">
        <v>0.6</v>
      </c>
      <c r="CC838" s="298">
        <v>0.4</v>
      </c>
      <c r="CD838">
        <f t="shared" si="269"/>
        <v>0</v>
      </c>
      <c r="CE838">
        <f t="shared" si="270"/>
        <v>0</v>
      </c>
      <c r="CF838">
        <f t="shared" si="271"/>
        <v>0</v>
      </c>
      <c r="CG838">
        <f t="shared" si="272"/>
        <v>0</v>
      </c>
      <c r="CH838">
        <f t="shared" si="273"/>
        <v>0</v>
      </c>
      <c r="CI838">
        <f t="shared" si="274"/>
        <v>0</v>
      </c>
      <c r="CJ838">
        <f t="shared" si="275"/>
        <v>0</v>
      </c>
      <c r="CK838">
        <f t="shared" si="276"/>
        <v>0</v>
      </c>
      <c r="CL838">
        <f t="shared" si="277"/>
        <v>0</v>
      </c>
      <c r="CM838">
        <f t="shared" si="279"/>
        <v>0</v>
      </c>
      <c r="CN838">
        <f t="shared" si="278"/>
        <v>0</v>
      </c>
      <c r="CO838">
        <f t="shared" si="262"/>
        <v>0</v>
      </c>
    </row>
    <row r="839" spans="1:93" s="12" customFormat="1" hidden="1" x14ac:dyDescent="0.25">
      <c r="A839" s="4">
        <v>2013</v>
      </c>
      <c r="B839" s="315">
        <v>44265</v>
      </c>
      <c r="C839" s="4" t="s">
        <v>429</v>
      </c>
      <c r="D839" s="4" t="s">
        <v>430</v>
      </c>
      <c r="E839" s="4"/>
      <c r="F839" s="4" t="s">
        <v>1491</v>
      </c>
      <c r="G839" s="5" t="s">
        <v>431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+VLOOKUP(G839,Liste!$A$7:$G$69,3,FALSE)</f>
        <v>Sapin pectiné</v>
      </c>
      <c r="BI839" s="96" t="str">
        <f>+VLOOKUP(H839,Liste!$B$7:$G$69,5,FALSE)</f>
        <v>GS Arc Jurassien</v>
      </c>
      <c r="BJ839" s="135">
        <f t="shared" si="261"/>
        <v>73</v>
      </c>
      <c r="BK839" s="135" t="str">
        <f t="shared" si="263"/>
        <v>Sapin pectiné_F1_Cas général_GS Arc Jurassien_73_</v>
      </c>
      <c r="BL839" s="319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97" t="str">
        <f>+VLOOKUP(G839,Liste!$A$7:$H$69,8,FALSE)</f>
        <v>Résineux</v>
      </c>
      <c r="BU839" s="297">
        <f t="shared" si="264"/>
        <v>0</v>
      </c>
      <c r="BV839" s="299">
        <f t="shared" si="265"/>
        <v>1</v>
      </c>
      <c r="BW839" s="318">
        <v>0</v>
      </c>
      <c r="BX839" s="297">
        <f t="shared" si="266"/>
        <v>0.43</v>
      </c>
      <c r="BY839">
        <f t="shared" si="267"/>
        <v>0</v>
      </c>
      <c r="BZ839" s="303">
        <f t="shared" si="268"/>
        <v>0</v>
      </c>
      <c r="CB839" s="298">
        <v>0.6</v>
      </c>
      <c r="CC839" s="298">
        <v>0.4</v>
      </c>
      <c r="CD839">
        <f t="shared" si="269"/>
        <v>0</v>
      </c>
      <c r="CE839">
        <f t="shared" si="270"/>
        <v>0</v>
      </c>
      <c r="CF839">
        <f t="shared" si="271"/>
        <v>0</v>
      </c>
      <c r="CG839">
        <f t="shared" si="272"/>
        <v>0</v>
      </c>
      <c r="CH839">
        <f t="shared" si="273"/>
        <v>0</v>
      </c>
      <c r="CI839">
        <f t="shared" si="274"/>
        <v>0</v>
      </c>
      <c r="CJ839">
        <f t="shared" si="275"/>
        <v>0</v>
      </c>
      <c r="CK839">
        <f t="shared" si="276"/>
        <v>0</v>
      </c>
      <c r="CL839">
        <f t="shared" si="277"/>
        <v>0</v>
      </c>
      <c r="CM839">
        <f t="shared" si="279"/>
        <v>0</v>
      </c>
      <c r="CN839">
        <f t="shared" si="278"/>
        <v>0</v>
      </c>
      <c r="CO839">
        <f t="shared" si="262"/>
        <v>0</v>
      </c>
    </row>
    <row r="840" spans="1:93" s="12" customFormat="1" hidden="1" x14ac:dyDescent="0.25">
      <c r="A840" s="4">
        <v>2013</v>
      </c>
      <c r="B840" s="315">
        <v>44265</v>
      </c>
      <c r="C840" s="4" t="s">
        <v>429</v>
      </c>
      <c r="D840" s="4" t="s">
        <v>430</v>
      </c>
      <c r="E840" s="4"/>
      <c r="F840" s="4" t="s">
        <v>1491</v>
      </c>
      <c r="G840" s="5" t="s">
        <v>431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+VLOOKUP(G840,Liste!$A$7:$G$69,3,FALSE)</f>
        <v>Sapin pectiné</v>
      </c>
      <c r="BI840" s="96" t="str">
        <f>+VLOOKUP(H840,Liste!$B$7:$G$69,5,FALSE)</f>
        <v>GS Arc Jurassien</v>
      </c>
      <c r="BJ840" s="135">
        <f t="shared" si="261"/>
        <v>74</v>
      </c>
      <c r="BK840" s="135" t="str">
        <f t="shared" si="263"/>
        <v>Sapin pectiné_F1_Cas général_GS Arc Jurassien_74_</v>
      </c>
      <c r="BL840" s="319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97" t="str">
        <f>+VLOOKUP(G840,Liste!$A$7:$H$69,8,FALSE)</f>
        <v>Résineux</v>
      </c>
      <c r="BU840" s="297">
        <f t="shared" si="264"/>
        <v>0</v>
      </c>
      <c r="BV840" s="299">
        <f t="shared" si="265"/>
        <v>1</v>
      </c>
      <c r="BW840" s="318">
        <v>0</v>
      </c>
      <c r="BX840" s="297">
        <f t="shared" si="266"/>
        <v>0.43</v>
      </c>
      <c r="BY840">
        <f t="shared" si="267"/>
        <v>0</v>
      </c>
      <c r="BZ840" s="303">
        <f t="shared" si="268"/>
        <v>0</v>
      </c>
      <c r="CB840" s="298">
        <v>0.6</v>
      </c>
      <c r="CC840" s="298">
        <v>0.4</v>
      </c>
      <c r="CD840">
        <f t="shared" si="269"/>
        <v>0</v>
      </c>
      <c r="CE840">
        <f t="shared" si="270"/>
        <v>0</v>
      </c>
      <c r="CF840">
        <f t="shared" si="271"/>
        <v>0</v>
      </c>
      <c r="CG840">
        <f t="shared" si="272"/>
        <v>0</v>
      </c>
      <c r="CH840">
        <f t="shared" si="273"/>
        <v>0</v>
      </c>
      <c r="CI840">
        <f t="shared" si="274"/>
        <v>0</v>
      </c>
      <c r="CJ840">
        <f t="shared" si="275"/>
        <v>0</v>
      </c>
      <c r="CK840">
        <f t="shared" si="276"/>
        <v>0</v>
      </c>
      <c r="CL840">
        <f t="shared" si="277"/>
        <v>0</v>
      </c>
      <c r="CM840">
        <f t="shared" si="279"/>
        <v>0</v>
      </c>
      <c r="CN840">
        <f t="shared" si="278"/>
        <v>0</v>
      </c>
      <c r="CO840">
        <f t="shared" si="262"/>
        <v>0</v>
      </c>
    </row>
    <row r="841" spans="1:93" s="12" customFormat="1" hidden="1" x14ac:dyDescent="0.25">
      <c r="A841" s="4">
        <v>2013</v>
      </c>
      <c r="B841" s="315">
        <v>44265</v>
      </c>
      <c r="C841" s="4" t="s">
        <v>429</v>
      </c>
      <c r="D841" s="4" t="s">
        <v>430</v>
      </c>
      <c r="E841" s="4"/>
      <c r="F841" s="4" t="s">
        <v>1491</v>
      </c>
      <c r="G841" s="5" t="s">
        <v>431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+VLOOKUP(G841,Liste!$A$7:$G$69,3,FALSE)</f>
        <v>Sapin pectiné</v>
      </c>
      <c r="BI841" s="96" t="str">
        <f>+VLOOKUP(H841,Liste!$B$7:$G$69,5,FALSE)</f>
        <v>GS Arc Jurassien</v>
      </c>
      <c r="BJ841" s="135">
        <f t="shared" si="261"/>
        <v>75</v>
      </c>
      <c r="BK841" s="135" t="str">
        <f t="shared" si="263"/>
        <v>Sapin pectiné_F1_Cas général_GS Arc Jurassien_75_</v>
      </c>
      <c r="BL841" s="319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97" t="str">
        <f>+VLOOKUP(G841,Liste!$A$7:$H$69,8,FALSE)</f>
        <v>Résineux</v>
      </c>
      <c r="BU841" s="297">
        <f t="shared" si="264"/>
        <v>0</v>
      </c>
      <c r="BV841" s="299">
        <f t="shared" si="265"/>
        <v>1</v>
      </c>
      <c r="BW841" s="318">
        <v>0</v>
      </c>
      <c r="BX841" s="297">
        <f t="shared" si="266"/>
        <v>0.43</v>
      </c>
      <c r="BY841">
        <f t="shared" si="267"/>
        <v>0</v>
      </c>
      <c r="BZ841" s="303">
        <f t="shared" si="268"/>
        <v>0</v>
      </c>
      <c r="CB841" s="298">
        <v>0.6</v>
      </c>
      <c r="CC841" s="298">
        <v>0.4</v>
      </c>
      <c r="CD841">
        <f t="shared" si="269"/>
        <v>0</v>
      </c>
      <c r="CE841">
        <f t="shared" si="270"/>
        <v>0</v>
      </c>
      <c r="CF841">
        <f t="shared" si="271"/>
        <v>0</v>
      </c>
      <c r="CG841">
        <f t="shared" si="272"/>
        <v>0</v>
      </c>
      <c r="CH841">
        <f t="shared" si="273"/>
        <v>0</v>
      </c>
      <c r="CI841">
        <f t="shared" si="274"/>
        <v>0</v>
      </c>
      <c r="CJ841">
        <f t="shared" si="275"/>
        <v>0</v>
      </c>
      <c r="CK841">
        <f t="shared" si="276"/>
        <v>0</v>
      </c>
      <c r="CL841">
        <f t="shared" si="277"/>
        <v>0</v>
      </c>
      <c r="CM841">
        <f t="shared" si="279"/>
        <v>0</v>
      </c>
      <c r="CN841">
        <f t="shared" si="278"/>
        <v>0</v>
      </c>
      <c r="CO841">
        <f t="shared" si="262"/>
        <v>0</v>
      </c>
    </row>
    <row r="842" spans="1:93" s="12" customFormat="1" hidden="1" x14ac:dyDescent="0.25">
      <c r="A842" s="4">
        <v>2013</v>
      </c>
      <c r="B842" s="315">
        <v>44265</v>
      </c>
      <c r="C842" s="4" t="s">
        <v>429</v>
      </c>
      <c r="D842" s="4" t="s">
        <v>430</v>
      </c>
      <c r="E842" s="4"/>
      <c r="F842" s="4" t="s">
        <v>1491</v>
      </c>
      <c r="G842" s="5" t="s">
        <v>431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+VLOOKUP(G842,Liste!$A$7:$G$69,3,FALSE)</f>
        <v>Sapin pectiné</v>
      </c>
      <c r="BI842" s="96" t="str">
        <f>+VLOOKUP(H842,Liste!$B$7:$G$69,5,FALSE)</f>
        <v>GS Arc Jurassien</v>
      </c>
      <c r="BJ842" s="135">
        <f t="shared" si="261"/>
        <v>75</v>
      </c>
      <c r="BK842" s="135" t="str">
        <f t="shared" si="263"/>
        <v>Sapin pectiné_F1_Cas général_GS Arc Jurassien_75_</v>
      </c>
      <c r="BL842" s="319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97" t="str">
        <f>+VLOOKUP(G842,Liste!$A$7:$H$69,8,FALSE)</f>
        <v>Résineux</v>
      </c>
      <c r="BU842" s="297">
        <f t="shared" si="264"/>
        <v>0</v>
      </c>
      <c r="BV842" s="299">
        <f t="shared" si="265"/>
        <v>1</v>
      </c>
      <c r="BW842" s="318">
        <v>0</v>
      </c>
      <c r="BX842" s="297">
        <f t="shared" si="266"/>
        <v>0.43</v>
      </c>
      <c r="BY842">
        <f t="shared" si="267"/>
        <v>0</v>
      </c>
      <c r="BZ842" s="303">
        <f t="shared" si="268"/>
        <v>0</v>
      </c>
      <c r="CB842" s="298">
        <v>0.6</v>
      </c>
      <c r="CC842" s="298">
        <v>0.4</v>
      </c>
      <c r="CD842">
        <f t="shared" si="269"/>
        <v>0</v>
      </c>
      <c r="CE842">
        <f t="shared" si="270"/>
        <v>0</v>
      </c>
      <c r="CF842">
        <f t="shared" si="271"/>
        <v>0</v>
      </c>
      <c r="CG842">
        <f t="shared" si="272"/>
        <v>0</v>
      </c>
      <c r="CH842">
        <f t="shared" si="273"/>
        <v>0</v>
      </c>
      <c r="CI842">
        <f t="shared" si="274"/>
        <v>0</v>
      </c>
      <c r="CJ842">
        <f t="shared" si="275"/>
        <v>0</v>
      </c>
      <c r="CK842">
        <f t="shared" si="276"/>
        <v>0</v>
      </c>
      <c r="CL842">
        <f t="shared" si="277"/>
        <v>0</v>
      </c>
      <c r="CM842">
        <f t="shared" si="279"/>
        <v>0</v>
      </c>
      <c r="CN842">
        <f t="shared" si="278"/>
        <v>0</v>
      </c>
      <c r="CO842">
        <f t="shared" si="262"/>
        <v>0</v>
      </c>
    </row>
    <row r="843" spans="1:93" s="12" customFormat="1" hidden="1" x14ac:dyDescent="0.25">
      <c r="A843" s="4">
        <v>2013</v>
      </c>
      <c r="B843" s="315">
        <v>44265</v>
      </c>
      <c r="C843" s="4" t="s">
        <v>429</v>
      </c>
      <c r="D843" s="4" t="s">
        <v>430</v>
      </c>
      <c r="E843" s="4"/>
      <c r="F843" s="4" t="s">
        <v>1491</v>
      </c>
      <c r="G843" s="5" t="s">
        <v>431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+VLOOKUP(G843,Liste!$A$7:$G$69,3,FALSE)</f>
        <v>Sapin pectiné</v>
      </c>
      <c r="BI843" s="96" t="str">
        <f>+VLOOKUP(H843,Liste!$B$7:$G$69,5,FALSE)</f>
        <v>GS Arc Jurassien</v>
      </c>
      <c r="BJ843" s="135">
        <f t="shared" si="261"/>
        <v>76</v>
      </c>
      <c r="BK843" s="135" t="str">
        <f t="shared" si="263"/>
        <v>Sapin pectiné_F1_Cas général_GS Arc Jurassien_76_</v>
      </c>
      <c r="BL843" s="319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97" t="str">
        <f>+VLOOKUP(G843,Liste!$A$7:$H$69,8,FALSE)</f>
        <v>Résineux</v>
      </c>
      <c r="BU843" s="297">
        <f t="shared" si="264"/>
        <v>0</v>
      </c>
      <c r="BV843" s="299">
        <f t="shared" si="265"/>
        <v>1</v>
      </c>
      <c r="BW843" s="318">
        <v>0</v>
      </c>
      <c r="BX843" s="297">
        <f t="shared" si="266"/>
        <v>0.43</v>
      </c>
      <c r="BY843">
        <f t="shared" si="267"/>
        <v>0</v>
      </c>
      <c r="BZ843" s="303">
        <f t="shared" si="268"/>
        <v>0</v>
      </c>
      <c r="CB843" s="298">
        <v>0.6</v>
      </c>
      <c r="CC843" s="298">
        <v>0.4</v>
      </c>
      <c r="CD843">
        <f t="shared" si="269"/>
        <v>0</v>
      </c>
      <c r="CE843">
        <f t="shared" si="270"/>
        <v>0</v>
      </c>
      <c r="CF843">
        <f t="shared" si="271"/>
        <v>0</v>
      </c>
      <c r="CG843">
        <f t="shared" si="272"/>
        <v>0</v>
      </c>
      <c r="CH843">
        <f t="shared" si="273"/>
        <v>0</v>
      </c>
      <c r="CI843">
        <f t="shared" si="274"/>
        <v>0</v>
      </c>
      <c r="CJ843">
        <f t="shared" si="275"/>
        <v>0</v>
      </c>
      <c r="CK843">
        <f t="shared" si="276"/>
        <v>0</v>
      </c>
      <c r="CL843">
        <f t="shared" si="277"/>
        <v>0</v>
      </c>
      <c r="CM843">
        <f t="shared" si="279"/>
        <v>0</v>
      </c>
      <c r="CN843">
        <f t="shared" si="278"/>
        <v>0</v>
      </c>
      <c r="CO843">
        <f t="shared" si="262"/>
        <v>0</v>
      </c>
    </row>
    <row r="844" spans="1:93" s="12" customFormat="1" hidden="1" x14ac:dyDescent="0.25">
      <c r="A844" s="4">
        <v>2013</v>
      </c>
      <c r="B844" s="315">
        <v>44265</v>
      </c>
      <c r="C844" s="4" t="s">
        <v>429</v>
      </c>
      <c r="D844" s="4" t="s">
        <v>430</v>
      </c>
      <c r="E844" s="4"/>
      <c r="F844" s="4" t="s">
        <v>1491</v>
      </c>
      <c r="G844" s="5" t="s">
        <v>431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+VLOOKUP(G844,Liste!$A$7:$G$69,3,FALSE)</f>
        <v>Sapin pectiné</v>
      </c>
      <c r="BI844" s="96" t="str">
        <f>+VLOOKUP(H844,Liste!$B$7:$G$69,5,FALSE)</f>
        <v>GS Arc Jurassien</v>
      </c>
      <c r="BJ844" s="135">
        <f t="shared" si="261"/>
        <v>77</v>
      </c>
      <c r="BK844" s="135" t="str">
        <f t="shared" si="263"/>
        <v>Sapin pectiné_F1_Cas général_GS Arc Jurassien_77_</v>
      </c>
      <c r="BL844" s="319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97" t="str">
        <f>+VLOOKUP(G844,Liste!$A$7:$H$69,8,FALSE)</f>
        <v>Résineux</v>
      </c>
      <c r="BU844" s="297">
        <f t="shared" si="264"/>
        <v>0</v>
      </c>
      <c r="BV844" s="299">
        <f t="shared" si="265"/>
        <v>1</v>
      </c>
      <c r="BW844" s="318">
        <v>0</v>
      </c>
      <c r="BX844" s="297">
        <f t="shared" si="266"/>
        <v>0.43</v>
      </c>
      <c r="BY844">
        <f t="shared" si="267"/>
        <v>0</v>
      </c>
      <c r="BZ844" s="303">
        <f t="shared" si="268"/>
        <v>0</v>
      </c>
      <c r="CB844" s="298">
        <v>0.6</v>
      </c>
      <c r="CC844" s="298">
        <v>0.4</v>
      </c>
      <c r="CD844">
        <f t="shared" si="269"/>
        <v>0</v>
      </c>
      <c r="CE844">
        <f t="shared" si="270"/>
        <v>0</v>
      </c>
      <c r="CF844">
        <f t="shared" si="271"/>
        <v>0</v>
      </c>
      <c r="CG844">
        <f t="shared" si="272"/>
        <v>0</v>
      </c>
      <c r="CH844">
        <f t="shared" si="273"/>
        <v>0</v>
      </c>
      <c r="CI844">
        <f t="shared" si="274"/>
        <v>0</v>
      </c>
      <c r="CJ844">
        <f t="shared" si="275"/>
        <v>0</v>
      </c>
      <c r="CK844">
        <f t="shared" si="276"/>
        <v>0</v>
      </c>
      <c r="CL844">
        <f t="shared" si="277"/>
        <v>0</v>
      </c>
      <c r="CM844">
        <f t="shared" si="279"/>
        <v>0</v>
      </c>
      <c r="CN844">
        <f t="shared" si="278"/>
        <v>0</v>
      </c>
      <c r="CO844">
        <f t="shared" si="262"/>
        <v>0</v>
      </c>
    </row>
    <row r="845" spans="1:93" s="12" customFormat="1" hidden="1" x14ac:dyDescent="0.25">
      <c r="A845" s="4">
        <v>2013</v>
      </c>
      <c r="B845" s="315">
        <v>44265</v>
      </c>
      <c r="C845" s="4" t="s">
        <v>429</v>
      </c>
      <c r="D845" s="4" t="s">
        <v>430</v>
      </c>
      <c r="E845" s="4"/>
      <c r="F845" s="4" t="s">
        <v>1491</v>
      </c>
      <c r="G845" s="5" t="s">
        <v>431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+VLOOKUP(G845,Liste!$A$7:$G$69,3,FALSE)</f>
        <v>Sapin pectiné</v>
      </c>
      <c r="BI845" s="96" t="str">
        <f>+VLOOKUP(H845,Liste!$B$7:$G$69,5,FALSE)</f>
        <v>GS Arc Jurassien</v>
      </c>
      <c r="BJ845" s="135">
        <f t="shared" si="261"/>
        <v>78</v>
      </c>
      <c r="BK845" s="135" t="str">
        <f t="shared" si="263"/>
        <v>Sapin pectiné_F1_Cas général_GS Arc Jurassien_78_</v>
      </c>
      <c r="BL845" s="319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97" t="str">
        <f>+VLOOKUP(G845,Liste!$A$7:$H$69,8,FALSE)</f>
        <v>Résineux</v>
      </c>
      <c r="BU845" s="297">
        <f t="shared" si="264"/>
        <v>0</v>
      </c>
      <c r="BV845" s="299">
        <f t="shared" si="265"/>
        <v>1</v>
      </c>
      <c r="BW845" s="318">
        <v>0</v>
      </c>
      <c r="BX845" s="297">
        <f t="shared" si="266"/>
        <v>0.43</v>
      </c>
      <c r="BY845">
        <f t="shared" si="267"/>
        <v>0</v>
      </c>
      <c r="BZ845" s="303">
        <f t="shared" si="268"/>
        <v>0</v>
      </c>
      <c r="CB845" s="298">
        <v>0.6</v>
      </c>
      <c r="CC845" s="298">
        <v>0.4</v>
      </c>
      <c r="CD845">
        <f t="shared" si="269"/>
        <v>0</v>
      </c>
      <c r="CE845">
        <f t="shared" si="270"/>
        <v>0</v>
      </c>
      <c r="CF845">
        <f t="shared" si="271"/>
        <v>0</v>
      </c>
      <c r="CG845">
        <f t="shared" si="272"/>
        <v>0</v>
      </c>
      <c r="CH845">
        <f t="shared" si="273"/>
        <v>0</v>
      </c>
      <c r="CI845">
        <f t="shared" si="274"/>
        <v>0</v>
      </c>
      <c r="CJ845">
        <f t="shared" si="275"/>
        <v>0</v>
      </c>
      <c r="CK845">
        <f t="shared" si="276"/>
        <v>0</v>
      </c>
      <c r="CL845">
        <f t="shared" si="277"/>
        <v>0</v>
      </c>
      <c r="CM845">
        <f t="shared" si="279"/>
        <v>0</v>
      </c>
      <c r="CN845">
        <f t="shared" si="278"/>
        <v>0</v>
      </c>
      <c r="CO845">
        <f t="shared" si="262"/>
        <v>0</v>
      </c>
    </row>
    <row r="846" spans="1:93" s="12" customFormat="1" hidden="1" x14ac:dyDescent="0.25">
      <c r="A846" s="4">
        <v>2013</v>
      </c>
      <c r="B846" s="315">
        <v>44265</v>
      </c>
      <c r="C846" s="4" t="s">
        <v>429</v>
      </c>
      <c r="D846" s="4" t="s">
        <v>430</v>
      </c>
      <c r="E846" s="4"/>
      <c r="F846" s="4" t="s">
        <v>1491</v>
      </c>
      <c r="G846" s="5" t="s">
        <v>431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+VLOOKUP(G846,Liste!$A$7:$G$69,3,FALSE)</f>
        <v>Sapin pectiné</v>
      </c>
      <c r="BI846" s="96" t="str">
        <f>+VLOOKUP(H846,Liste!$B$7:$G$69,5,FALSE)</f>
        <v>GS Arc Jurassien</v>
      </c>
      <c r="BJ846" s="135">
        <f t="shared" si="261"/>
        <v>79</v>
      </c>
      <c r="BK846" s="135" t="str">
        <f t="shared" si="263"/>
        <v>Sapin pectiné_F1_Cas général_GS Arc Jurassien_79_</v>
      </c>
      <c r="BL846" s="319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97" t="str">
        <f>+VLOOKUP(G846,Liste!$A$7:$H$69,8,FALSE)</f>
        <v>Résineux</v>
      </c>
      <c r="BU846" s="297">
        <f t="shared" si="264"/>
        <v>0</v>
      </c>
      <c r="BV846" s="299">
        <f t="shared" si="265"/>
        <v>1</v>
      </c>
      <c r="BW846" s="318">
        <v>0</v>
      </c>
      <c r="BX846" s="297">
        <f t="shared" si="266"/>
        <v>0.43</v>
      </c>
      <c r="BY846">
        <f t="shared" si="267"/>
        <v>0</v>
      </c>
      <c r="BZ846" s="303">
        <f t="shared" si="268"/>
        <v>0</v>
      </c>
      <c r="CB846" s="298">
        <v>0.6</v>
      </c>
      <c r="CC846" s="298">
        <v>0.4</v>
      </c>
      <c r="CD846">
        <f t="shared" si="269"/>
        <v>0</v>
      </c>
      <c r="CE846">
        <f t="shared" si="270"/>
        <v>0</v>
      </c>
      <c r="CF846">
        <f t="shared" si="271"/>
        <v>0</v>
      </c>
      <c r="CG846">
        <f t="shared" si="272"/>
        <v>0</v>
      </c>
      <c r="CH846">
        <f t="shared" si="273"/>
        <v>0</v>
      </c>
      <c r="CI846">
        <f t="shared" si="274"/>
        <v>0</v>
      </c>
      <c r="CJ846">
        <f t="shared" si="275"/>
        <v>0</v>
      </c>
      <c r="CK846">
        <f t="shared" si="276"/>
        <v>0</v>
      </c>
      <c r="CL846">
        <f t="shared" si="277"/>
        <v>0</v>
      </c>
      <c r="CM846">
        <f t="shared" si="279"/>
        <v>0</v>
      </c>
      <c r="CN846">
        <f t="shared" si="278"/>
        <v>0</v>
      </c>
      <c r="CO846">
        <f t="shared" si="262"/>
        <v>0</v>
      </c>
    </row>
    <row r="847" spans="1:93" s="12" customFormat="1" hidden="1" x14ac:dyDescent="0.25">
      <c r="A847" s="4">
        <v>2013</v>
      </c>
      <c r="B847" s="315">
        <v>44265</v>
      </c>
      <c r="C847" s="4" t="s">
        <v>429</v>
      </c>
      <c r="D847" s="4" t="s">
        <v>430</v>
      </c>
      <c r="E847" s="4"/>
      <c r="F847" s="4" t="s">
        <v>1491</v>
      </c>
      <c r="G847" s="5" t="s">
        <v>431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+VLOOKUP(G847,Liste!$A$7:$G$69,3,FALSE)</f>
        <v>Sapin pectiné</v>
      </c>
      <c r="BI847" s="96" t="str">
        <f>+VLOOKUP(H847,Liste!$B$7:$G$69,5,FALSE)</f>
        <v>GS Arc Jurassien</v>
      </c>
      <c r="BJ847" s="135">
        <f t="shared" si="261"/>
        <v>80</v>
      </c>
      <c r="BK847" s="135" t="str">
        <f t="shared" si="263"/>
        <v>Sapin pectiné_F1_Cas général_GS Arc Jurassien_80_</v>
      </c>
      <c r="BL847" s="319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97" t="str">
        <f>+VLOOKUP(G847,Liste!$A$7:$H$69,8,FALSE)</f>
        <v>Résineux</v>
      </c>
      <c r="BU847" s="297">
        <f t="shared" si="264"/>
        <v>0</v>
      </c>
      <c r="BV847" s="299">
        <f t="shared" si="265"/>
        <v>1</v>
      </c>
      <c r="BW847" s="318">
        <v>0</v>
      </c>
      <c r="BX847" s="297">
        <f t="shared" si="266"/>
        <v>0.43</v>
      </c>
      <c r="BY847">
        <f t="shared" si="267"/>
        <v>0</v>
      </c>
      <c r="BZ847" s="303">
        <f t="shared" si="268"/>
        <v>0</v>
      </c>
      <c r="CB847" s="298">
        <v>0.6</v>
      </c>
      <c r="CC847" s="298">
        <v>0.4</v>
      </c>
      <c r="CD847">
        <f t="shared" si="269"/>
        <v>0</v>
      </c>
      <c r="CE847">
        <f t="shared" si="270"/>
        <v>0</v>
      </c>
      <c r="CF847">
        <f t="shared" si="271"/>
        <v>0</v>
      </c>
      <c r="CG847">
        <f t="shared" si="272"/>
        <v>0</v>
      </c>
      <c r="CH847">
        <f t="shared" si="273"/>
        <v>0</v>
      </c>
      <c r="CI847">
        <f t="shared" si="274"/>
        <v>0</v>
      </c>
      <c r="CJ847">
        <f t="shared" si="275"/>
        <v>0</v>
      </c>
      <c r="CK847">
        <f t="shared" si="276"/>
        <v>0</v>
      </c>
      <c r="CL847">
        <f t="shared" si="277"/>
        <v>0</v>
      </c>
      <c r="CM847">
        <f t="shared" si="279"/>
        <v>0</v>
      </c>
      <c r="CN847">
        <f t="shared" si="278"/>
        <v>0</v>
      </c>
      <c r="CO847">
        <f t="shared" si="262"/>
        <v>0</v>
      </c>
    </row>
    <row r="848" spans="1:93" s="12" customFormat="1" hidden="1" x14ac:dyDescent="0.25">
      <c r="A848" s="4">
        <v>2013</v>
      </c>
      <c r="B848" s="315">
        <v>44265</v>
      </c>
      <c r="C848" s="4" t="s">
        <v>429</v>
      </c>
      <c r="D848" s="4" t="s">
        <v>430</v>
      </c>
      <c r="E848" s="4"/>
      <c r="F848" s="4" t="s">
        <v>1491</v>
      </c>
      <c r="G848" s="5" t="s">
        <v>431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+VLOOKUP(G848,Liste!$A$7:$G$69,3,FALSE)</f>
        <v>Sapin pectiné</v>
      </c>
      <c r="BI848" s="96" t="str">
        <f>+VLOOKUP(H848,Liste!$B$7:$G$69,5,FALSE)</f>
        <v>GS Arc Jurassien</v>
      </c>
      <c r="BJ848" s="135">
        <f t="shared" si="261"/>
        <v>81</v>
      </c>
      <c r="BK848" s="135" t="str">
        <f t="shared" si="263"/>
        <v>Sapin pectiné_F1_Cas général_GS Arc Jurassien_81_</v>
      </c>
      <c r="BL848" s="319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97" t="str">
        <f>+VLOOKUP(G848,Liste!$A$7:$H$69,8,FALSE)</f>
        <v>Résineux</v>
      </c>
      <c r="BU848" s="297">
        <f t="shared" si="264"/>
        <v>0</v>
      </c>
      <c r="BV848" s="299">
        <f t="shared" si="265"/>
        <v>1</v>
      </c>
      <c r="BW848" s="318">
        <v>0</v>
      </c>
      <c r="BX848" s="297">
        <f t="shared" si="266"/>
        <v>0.43</v>
      </c>
      <c r="BY848">
        <f t="shared" si="267"/>
        <v>0</v>
      </c>
      <c r="BZ848" s="303">
        <f t="shared" si="268"/>
        <v>0</v>
      </c>
      <c r="CB848" s="298">
        <v>0.6</v>
      </c>
      <c r="CC848" s="298">
        <v>0.4</v>
      </c>
      <c r="CD848">
        <f t="shared" si="269"/>
        <v>0</v>
      </c>
      <c r="CE848">
        <f t="shared" si="270"/>
        <v>0</v>
      </c>
      <c r="CF848">
        <f t="shared" si="271"/>
        <v>0</v>
      </c>
      <c r="CG848">
        <f t="shared" si="272"/>
        <v>0</v>
      </c>
      <c r="CH848">
        <f t="shared" si="273"/>
        <v>0</v>
      </c>
      <c r="CI848">
        <f t="shared" si="274"/>
        <v>0</v>
      </c>
      <c r="CJ848">
        <f t="shared" si="275"/>
        <v>0</v>
      </c>
      <c r="CK848">
        <f t="shared" si="276"/>
        <v>0</v>
      </c>
      <c r="CL848">
        <f t="shared" si="277"/>
        <v>0</v>
      </c>
      <c r="CM848">
        <f t="shared" si="279"/>
        <v>0</v>
      </c>
      <c r="CN848">
        <f t="shared" si="278"/>
        <v>0</v>
      </c>
      <c r="CO848">
        <f t="shared" si="262"/>
        <v>0</v>
      </c>
    </row>
    <row r="849" spans="1:93" s="12" customFormat="1" hidden="1" x14ac:dyDescent="0.25">
      <c r="A849" s="4">
        <v>2013</v>
      </c>
      <c r="B849" s="315">
        <v>44265</v>
      </c>
      <c r="C849" s="4" t="s">
        <v>429</v>
      </c>
      <c r="D849" s="4" t="s">
        <v>430</v>
      </c>
      <c r="E849" s="4"/>
      <c r="F849" s="4" t="s">
        <v>1491</v>
      </c>
      <c r="G849" s="5" t="s">
        <v>431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+VLOOKUP(G849,Liste!$A$7:$G$69,3,FALSE)</f>
        <v>Sapin pectiné</v>
      </c>
      <c r="BI849" s="96" t="str">
        <f>+VLOOKUP(H849,Liste!$B$7:$G$69,5,FALSE)</f>
        <v>GS Arc Jurassien</v>
      </c>
      <c r="BJ849" s="135">
        <f t="shared" si="261"/>
        <v>82</v>
      </c>
      <c r="BK849" s="135" t="str">
        <f t="shared" si="263"/>
        <v>Sapin pectiné_F1_Cas général_GS Arc Jurassien_82_</v>
      </c>
      <c r="BL849" s="319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97" t="str">
        <f>+VLOOKUP(G849,Liste!$A$7:$H$69,8,FALSE)</f>
        <v>Résineux</v>
      </c>
      <c r="BU849" s="297">
        <f t="shared" si="264"/>
        <v>0</v>
      </c>
      <c r="BV849" s="299">
        <f t="shared" si="265"/>
        <v>1</v>
      </c>
      <c r="BW849" s="318">
        <v>0</v>
      </c>
      <c r="BX849" s="297">
        <f t="shared" si="266"/>
        <v>0.43</v>
      </c>
      <c r="BY849">
        <f t="shared" si="267"/>
        <v>0</v>
      </c>
      <c r="BZ849" s="303">
        <f t="shared" si="268"/>
        <v>0</v>
      </c>
      <c r="CB849" s="298">
        <v>0.6</v>
      </c>
      <c r="CC849" s="298">
        <v>0.4</v>
      </c>
      <c r="CD849">
        <f t="shared" si="269"/>
        <v>0</v>
      </c>
      <c r="CE849">
        <f t="shared" si="270"/>
        <v>0</v>
      </c>
      <c r="CF849">
        <f t="shared" si="271"/>
        <v>0</v>
      </c>
      <c r="CG849">
        <f t="shared" si="272"/>
        <v>0</v>
      </c>
      <c r="CH849">
        <f t="shared" si="273"/>
        <v>0</v>
      </c>
      <c r="CI849">
        <f t="shared" si="274"/>
        <v>0</v>
      </c>
      <c r="CJ849">
        <f t="shared" si="275"/>
        <v>0</v>
      </c>
      <c r="CK849">
        <f t="shared" si="276"/>
        <v>0</v>
      </c>
      <c r="CL849">
        <f t="shared" si="277"/>
        <v>0</v>
      </c>
      <c r="CM849">
        <f t="shared" si="279"/>
        <v>0</v>
      </c>
      <c r="CN849">
        <f t="shared" si="278"/>
        <v>0</v>
      </c>
      <c r="CO849">
        <f t="shared" si="262"/>
        <v>0</v>
      </c>
    </row>
    <row r="850" spans="1:93" s="12" customFormat="1" hidden="1" x14ac:dyDescent="0.25">
      <c r="A850" s="4">
        <v>2013</v>
      </c>
      <c r="B850" s="315">
        <v>44265</v>
      </c>
      <c r="C850" s="4" t="s">
        <v>429</v>
      </c>
      <c r="D850" s="4" t="s">
        <v>430</v>
      </c>
      <c r="E850" s="4"/>
      <c r="F850" s="4" t="s">
        <v>1491</v>
      </c>
      <c r="G850" s="5" t="s">
        <v>431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+VLOOKUP(G850,Liste!$A$7:$G$69,3,FALSE)</f>
        <v>Sapin pectiné</v>
      </c>
      <c r="BI850" s="96" t="str">
        <f>+VLOOKUP(H850,Liste!$B$7:$G$69,5,FALSE)</f>
        <v>GS Arc Jurassien</v>
      </c>
      <c r="BJ850" s="135">
        <f t="shared" si="261"/>
        <v>83</v>
      </c>
      <c r="BK850" s="135" t="str">
        <f t="shared" si="263"/>
        <v>Sapin pectiné_F1_Cas général_GS Arc Jurassien_83_</v>
      </c>
      <c r="BL850" s="319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97" t="str">
        <f>+VLOOKUP(G850,Liste!$A$7:$H$69,8,FALSE)</f>
        <v>Résineux</v>
      </c>
      <c r="BU850" s="297">
        <f t="shared" si="264"/>
        <v>0</v>
      </c>
      <c r="BV850" s="299">
        <f t="shared" si="265"/>
        <v>1</v>
      </c>
      <c r="BW850" s="318">
        <v>0</v>
      </c>
      <c r="BX850" s="297">
        <f t="shared" si="266"/>
        <v>0.43</v>
      </c>
      <c r="BY850">
        <f t="shared" si="267"/>
        <v>0</v>
      </c>
      <c r="BZ850" s="303">
        <f t="shared" si="268"/>
        <v>0</v>
      </c>
      <c r="CB850" s="298">
        <v>0.6</v>
      </c>
      <c r="CC850" s="298">
        <v>0.4</v>
      </c>
      <c r="CD850">
        <f t="shared" si="269"/>
        <v>0</v>
      </c>
      <c r="CE850">
        <f t="shared" si="270"/>
        <v>0</v>
      </c>
      <c r="CF850">
        <f t="shared" si="271"/>
        <v>0</v>
      </c>
      <c r="CG850">
        <f t="shared" si="272"/>
        <v>0</v>
      </c>
      <c r="CH850">
        <f t="shared" si="273"/>
        <v>0</v>
      </c>
      <c r="CI850">
        <f t="shared" si="274"/>
        <v>0</v>
      </c>
      <c r="CJ850">
        <f t="shared" si="275"/>
        <v>0</v>
      </c>
      <c r="CK850">
        <f t="shared" si="276"/>
        <v>0</v>
      </c>
      <c r="CL850">
        <f t="shared" si="277"/>
        <v>0</v>
      </c>
      <c r="CM850">
        <f t="shared" si="279"/>
        <v>0</v>
      </c>
      <c r="CN850">
        <f t="shared" si="278"/>
        <v>0</v>
      </c>
      <c r="CO850">
        <f t="shared" si="262"/>
        <v>0</v>
      </c>
    </row>
    <row r="851" spans="1:93" s="12" customFormat="1" hidden="1" x14ac:dyDescent="0.25">
      <c r="A851" s="4">
        <v>2013</v>
      </c>
      <c r="B851" s="315">
        <v>44265</v>
      </c>
      <c r="C851" s="4" t="s">
        <v>429</v>
      </c>
      <c r="D851" s="4" t="s">
        <v>430</v>
      </c>
      <c r="E851" s="4"/>
      <c r="F851" s="4" t="s">
        <v>1491</v>
      </c>
      <c r="G851" s="5" t="s">
        <v>431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+VLOOKUP(G851,Liste!$A$7:$G$69,3,FALSE)</f>
        <v>Sapin pectiné</v>
      </c>
      <c r="BI851" s="96" t="str">
        <f>+VLOOKUP(H851,Liste!$B$7:$G$69,5,FALSE)</f>
        <v>GS Arc Jurassien</v>
      </c>
      <c r="BJ851" s="135">
        <f t="shared" si="261"/>
        <v>83</v>
      </c>
      <c r="BK851" s="135" t="str">
        <f t="shared" si="263"/>
        <v>Sapin pectiné_F1_Cas général_GS Arc Jurassien_83_</v>
      </c>
      <c r="BL851" s="319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97" t="str">
        <f>+VLOOKUP(G851,Liste!$A$7:$H$69,8,FALSE)</f>
        <v>Résineux</v>
      </c>
      <c r="BU851" s="297">
        <f t="shared" si="264"/>
        <v>0</v>
      </c>
      <c r="BV851" s="299">
        <f t="shared" si="265"/>
        <v>1</v>
      </c>
      <c r="BW851" s="318">
        <v>0</v>
      </c>
      <c r="BX851" s="297">
        <f t="shared" si="266"/>
        <v>0.43</v>
      </c>
      <c r="BY851">
        <f t="shared" si="267"/>
        <v>0</v>
      </c>
      <c r="BZ851" s="303">
        <f t="shared" si="268"/>
        <v>0</v>
      </c>
      <c r="CB851" s="298">
        <v>0.6</v>
      </c>
      <c r="CC851" s="298">
        <v>0.4</v>
      </c>
      <c r="CD851">
        <f t="shared" si="269"/>
        <v>0</v>
      </c>
      <c r="CE851">
        <f t="shared" si="270"/>
        <v>0</v>
      </c>
      <c r="CF851">
        <f t="shared" si="271"/>
        <v>0</v>
      </c>
      <c r="CG851">
        <f t="shared" si="272"/>
        <v>0</v>
      </c>
      <c r="CH851">
        <f t="shared" si="273"/>
        <v>0</v>
      </c>
      <c r="CI851">
        <f t="shared" si="274"/>
        <v>0</v>
      </c>
      <c r="CJ851">
        <f t="shared" si="275"/>
        <v>0</v>
      </c>
      <c r="CK851">
        <f t="shared" si="276"/>
        <v>0</v>
      </c>
      <c r="CL851">
        <f t="shared" si="277"/>
        <v>0</v>
      </c>
      <c r="CM851">
        <f t="shared" si="279"/>
        <v>0</v>
      </c>
      <c r="CN851">
        <f t="shared" si="278"/>
        <v>0</v>
      </c>
      <c r="CO851">
        <f t="shared" si="262"/>
        <v>0</v>
      </c>
    </row>
    <row r="852" spans="1:93" s="12" customFormat="1" hidden="1" x14ac:dyDescent="0.25">
      <c r="A852" s="4">
        <v>2013</v>
      </c>
      <c r="B852" s="315">
        <v>44265</v>
      </c>
      <c r="C852" s="4" t="s">
        <v>429</v>
      </c>
      <c r="D852" s="4" t="s">
        <v>430</v>
      </c>
      <c r="E852" s="4"/>
      <c r="F852" s="4" t="s">
        <v>1491</v>
      </c>
      <c r="G852" s="5" t="s">
        <v>431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+VLOOKUP(G852,Liste!$A$7:$G$69,3,FALSE)</f>
        <v>Sapin pectiné</v>
      </c>
      <c r="BI852" s="96" t="str">
        <f>+VLOOKUP(H852,Liste!$B$7:$G$69,5,FALSE)</f>
        <v>GS Arc Jurassien</v>
      </c>
      <c r="BJ852" s="135">
        <f t="shared" si="261"/>
        <v>84</v>
      </c>
      <c r="BK852" s="135" t="str">
        <f t="shared" si="263"/>
        <v>Sapin pectiné_F1_Cas général_GS Arc Jurassien_84_</v>
      </c>
      <c r="BL852" s="319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97" t="str">
        <f>+VLOOKUP(G852,Liste!$A$7:$H$69,8,FALSE)</f>
        <v>Résineux</v>
      </c>
      <c r="BU852" s="297">
        <f t="shared" si="264"/>
        <v>0</v>
      </c>
      <c r="BV852" s="299">
        <f t="shared" si="265"/>
        <v>1</v>
      </c>
      <c r="BW852" s="318">
        <v>0</v>
      </c>
      <c r="BX852" s="297">
        <f t="shared" si="266"/>
        <v>0.43</v>
      </c>
      <c r="BY852">
        <f t="shared" si="267"/>
        <v>0</v>
      </c>
      <c r="BZ852" s="303">
        <f t="shared" si="268"/>
        <v>0</v>
      </c>
      <c r="CB852" s="298">
        <v>0.6</v>
      </c>
      <c r="CC852" s="298">
        <v>0.4</v>
      </c>
      <c r="CD852">
        <f t="shared" si="269"/>
        <v>0</v>
      </c>
      <c r="CE852">
        <f t="shared" si="270"/>
        <v>0</v>
      </c>
      <c r="CF852">
        <f t="shared" si="271"/>
        <v>0</v>
      </c>
      <c r="CG852">
        <f t="shared" si="272"/>
        <v>0</v>
      </c>
      <c r="CH852">
        <f t="shared" si="273"/>
        <v>0</v>
      </c>
      <c r="CI852">
        <f t="shared" si="274"/>
        <v>0</v>
      </c>
      <c r="CJ852">
        <f t="shared" si="275"/>
        <v>0</v>
      </c>
      <c r="CK852">
        <f t="shared" si="276"/>
        <v>0</v>
      </c>
      <c r="CL852">
        <f t="shared" si="277"/>
        <v>0</v>
      </c>
      <c r="CM852">
        <f t="shared" si="279"/>
        <v>0</v>
      </c>
      <c r="CN852">
        <f t="shared" si="278"/>
        <v>0</v>
      </c>
      <c r="CO852">
        <f t="shared" si="262"/>
        <v>0</v>
      </c>
    </row>
    <row r="853" spans="1:93" s="12" customFormat="1" hidden="1" x14ac:dyDescent="0.25">
      <c r="A853" s="4">
        <v>2013</v>
      </c>
      <c r="B853" s="315">
        <v>44265</v>
      </c>
      <c r="C853" s="4" t="s">
        <v>429</v>
      </c>
      <c r="D853" s="4" t="s">
        <v>430</v>
      </c>
      <c r="E853" s="4"/>
      <c r="F853" s="4" t="s">
        <v>1491</v>
      </c>
      <c r="G853" s="5" t="s">
        <v>431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+VLOOKUP(G853,Liste!$A$7:$G$69,3,FALSE)</f>
        <v>Sapin pectiné</v>
      </c>
      <c r="BI853" s="96" t="str">
        <f>+VLOOKUP(H853,Liste!$B$7:$G$69,5,FALSE)</f>
        <v>GS Arc Jurassien</v>
      </c>
      <c r="BJ853" s="135">
        <f t="shared" si="261"/>
        <v>85</v>
      </c>
      <c r="BK853" s="135" t="str">
        <f t="shared" si="263"/>
        <v>Sapin pectiné_F1_Cas général_GS Arc Jurassien_85_</v>
      </c>
      <c r="BL853" s="319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97" t="str">
        <f>+VLOOKUP(G853,Liste!$A$7:$H$69,8,FALSE)</f>
        <v>Résineux</v>
      </c>
      <c r="BU853" s="297">
        <f t="shared" si="264"/>
        <v>0</v>
      </c>
      <c r="BV853" s="299">
        <f t="shared" si="265"/>
        <v>1</v>
      </c>
      <c r="BW853" s="318">
        <v>0</v>
      </c>
      <c r="BX853" s="297">
        <f t="shared" si="266"/>
        <v>0.43</v>
      </c>
      <c r="BY853">
        <f t="shared" si="267"/>
        <v>0</v>
      </c>
      <c r="BZ853" s="303">
        <f t="shared" si="268"/>
        <v>0</v>
      </c>
      <c r="CB853" s="298">
        <v>0.6</v>
      </c>
      <c r="CC853" s="298">
        <v>0.4</v>
      </c>
      <c r="CD853">
        <f t="shared" si="269"/>
        <v>0</v>
      </c>
      <c r="CE853">
        <f t="shared" si="270"/>
        <v>0</v>
      </c>
      <c r="CF853">
        <f t="shared" si="271"/>
        <v>0</v>
      </c>
      <c r="CG853">
        <f t="shared" si="272"/>
        <v>0</v>
      </c>
      <c r="CH853">
        <f t="shared" si="273"/>
        <v>0</v>
      </c>
      <c r="CI853">
        <f t="shared" si="274"/>
        <v>0</v>
      </c>
      <c r="CJ853">
        <f t="shared" si="275"/>
        <v>0</v>
      </c>
      <c r="CK853">
        <f t="shared" si="276"/>
        <v>0</v>
      </c>
      <c r="CL853">
        <f t="shared" si="277"/>
        <v>0</v>
      </c>
      <c r="CM853">
        <f t="shared" si="279"/>
        <v>0</v>
      </c>
      <c r="CN853">
        <f t="shared" si="278"/>
        <v>0</v>
      </c>
      <c r="CO853">
        <f t="shared" si="262"/>
        <v>0</v>
      </c>
    </row>
    <row r="854" spans="1:93" s="12" customFormat="1" hidden="1" x14ac:dyDescent="0.25">
      <c r="A854" s="4">
        <v>2013</v>
      </c>
      <c r="B854" s="315">
        <v>44265</v>
      </c>
      <c r="C854" s="4" t="s">
        <v>429</v>
      </c>
      <c r="D854" s="4" t="s">
        <v>430</v>
      </c>
      <c r="E854" s="4"/>
      <c r="F854" s="4" t="s">
        <v>1491</v>
      </c>
      <c r="G854" s="5" t="s">
        <v>431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+VLOOKUP(G854,Liste!$A$7:$G$69,3,FALSE)</f>
        <v>Sapin pectiné</v>
      </c>
      <c r="BI854" s="96" t="str">
        <f>+VLOOKUP(H854,Liste!$B$7:$G$69,5,FALSE)</f>
        <v>GS Arc Jurassien</v>
      </c>
      <c r="BJ854" s="135">
        <f t="shared" si="261"/>
        <v>86</v>
      </c>
      <c r="BK854" s="135" t="str">
        <f t="shared" si="263"/>
        <v>Sapin pectiné_F1_Cas général_GS Arc Jurassien_86_</v>
      </c>
      <c r="BL854" s="319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97" t="str">
        <f>+VLOOKUP(G854,Liste!$A$7:$H$69,8,FALSE)</f>
        <v>Résineux</v>
      </c>
      <c r="BU854" s="297">
        <f t="shared" si="264"/>
        <v>0</v>
      </c>
      <c r="BV854" s="299">
        <f t="shared" si="265"/>
        <v>1</v>
      </c>
      <c r="BW854" s="318">
        <v>0</v>
      </c>
      <c r="BX854" s="297">
        <f t="shared" si="266"/>
        <v>0.43</v>
      </c>
      <c r="BY854">
        <f t="shared" si="267"/>
        <v>0</v>
      </c>
      <c r="BZ854" s="303">
        <f t="shared" si="268"/>
        <v>0</v>
      </c>
      <c r="CB854" s="298">
        <v>0.6</v>
      </c>
      <c r="CC854" s="298">
        <v>0.4</v>
      </c>
      <c r="CD854">
        <f t="shared" si="269"/>
        <v>0</v>
      </c>
      <c r="CE854">
        <f t="shared" si="270"/>
        <v>0</v>
      </c>
      <c r="CF854">
        <f t="shared" si="271"/>
        <v>0</v>
      </c>
      <c r="CG854">
        <f t="shared" si="272"/>
        <v>0</v>
      </c>
      <c r="CH854">
        <f t="shared" si="273"/>
        <v>0</v>
      </c>
      <c r="CI854">
        <f t="shared" si="274"/>
        <v>0</v>
      </c>
      <c r="CJ854">
        <f t="shared" si="275"/>
        <v>0</v>
      </c>
      <c r="CK854">
        <f t="shared" si="276"/>
        <v>0</v>
      </c>
      <c r="CL854">
        <f t="shared" si="277"/>
        <v>0</v>
      </c>
      <c r="CM854">
        <f t="shared" si="279"/>
        <v>0</v>
      </c>
      <c r="CN854">
        <f t="shared" si="278"/>
        <v>0</v>
      </c>
      <c r="CO854">
        <f t="shared" si="262"/>
        <v>0</v>
      </c>
    </row>
    <row r="855" spans="1:93" s="12" customFormat="1" hidden="1" x14ac:dyDescent="0.25">
      <c r="A855" s="4">
        <v>2013</v>
      </c>
      <c r="B855" s="315">
        <v>44265</v>
      </c>
      <c r="C855" s="4" t="s">
        <v>429</v>
      </c>
      <c r="D855" s="4" t="s">
        <v>430</v>
      </c>
      <c r="E855" s="4"/>
      <c r="F855" s="4" t="s">
        <v>1491</v>
      </c>
      <c r="G855" s="5" t="s">
        <v>431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+VLOOKUP(G855,Liste!$A$7:$G$69,3,FALSE)</f>
        <v>Sapin pectiné</v>
      </c>
      <c r="BI855" s="96" t="str">
        <f>+VLOOKUP(H855,Liste!$B$7:$G$69,5,FALSE)</f>
        <v>GS Arc Jurassien</v>
      </c>
      <c r="BJ855" s="135">
        <f t="shared" si="261"/>
        <v>87</v>
      </c>
      <c r="BK855" s="135" t="str">
        <f t="shared" si="263"/>
        <v>Sapin pectiné_F1_Cas général_GS Arc Jurassien_87_</v>
      </c>
      <c r="BL855" s="319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97" t="str">
        <f>+VLOOKUP(G855,Liste!$A$7:$H$69,8,FALSE)</f>
        <v>Résineux</v>
      </c>
      <c r="BU855" s="297">
        <f t="shared" si="264"/>
        <v>0</v>
      </c>
      <c r="BV855" s="299">
        <f t="shared" si="265"/>
        <v>1</v>
      </c>
      <c r="BW855" s="318">
        <v>0</v>
      </c>
      <c r="BX855" s="297">
        <f t="shared" si="266"/>
        <v>0.43</v>
      </c>
      <c r="BY855">
        <f t="shared" si="267"/>
        <v>0</v>
      </c>
      <c r="BZ855" s="303">
        <f t="shared" si="268"/>
        <v>0</v>
      </c>
      <c r="CB855" s="298">
        <v>0.6</v>
      </c>
      <c r="CC855" s="298">
        <v>0.4</v>
      </c>
      <c r="CD855">
        <f t="shared" si="269"/>
        <v>0</v>
      </c>
      <c r="CE855">
        <f t="shared" si="270"/>
        <v>0</v>
      </c>
      <c r="CF855">
        <f t="shared" si="271"/>
        <v>0</v>
      </c>
      <c r="CG855">
        <f t="shared" si="272"/>
        <v>0</v>
      </c>
      <c r="CH855">
        <f t="shared" si="273"/>
        <v>0</v>
      </c>
      <c r="CI855">
        <f t="shared" si="274"/>
        <v>0</v>
      </c>
      <c r="CJ855">
        <f t="shared" si="275"/>
        <v>0</v>
      </c>
      <c r="CK855">
        <f t="shared" si="276"/>
        <v>0</v>
      </c>
      <c r="CL855">
        <f t="shared" si="277"/>
        <v>0</v>
      </c>
      <c r="CM855">
        <f t="shared" si="279"/>
        <v>0</v>
      </c>
      <c r="CN855">
        <f t="shared" si="278"/>
        <v>0</v>
      </c>
      <c r="CO855">
        <f t="shared" si="262"/>
        <v>0</v>
      </c>
    </row>
    <row r="856" spans="1:93" s="12" customFormat="1" hidden="1" x14ac:dyDescent="0.25">
      <c r="A856" s="4">
        <v>2013</v>
      </c>
      <c r="B856" s="315">
        <v>44265</v>
      </c>
      <c r="C856" s="4" t="s">
        <v>429</v>
      </c>
      <c r="D856" s="4" t="s">
        <v>430</v>
      </c>
      <c r="E856" s="4"/>
      <c r="F856" s="4" t="s">
        <v>1491</v>
      </c>
      <c r="G856" s="5" t="s">
        <v>431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+VLOOKUP(G856,Liste!$A$7:$G$69,3,FALSE)</f>
        <v>Sapin pectiné</v>
      </c>
      <c r="BI856" s="96" t="str">
        <f>+VLOOKUP(H856,Liste!$B$7:$G$69,5,FALSE)</f>
        <v>GS Arc Jurassien</v>
      </c>
      <c r="BJ856" s="135">
        <f t="shared" si="261"/>
        <v>88</v>
      </c>
      <c r="BK856" s="135" t="str">
        <f t="shared" si="263"/>
        <v>Sapin pectiné_F1_Cas général_GS Arc Jurassien_88_</v>
      </c>
      <c r="BL856" s="319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97" t="str">
        <f>+VLOOKUP(G856,Liste!$A$7:$H$69,8,FALSE)</f>
        <v>Résineux</v>
      </c>
      <c r="BU856" s="297">
        <f t="shared" si="264"/>
        <v>0</v>
      </c>
      <c r="BV856" s="299">
        <f t="shared" si="265"/>
        <v>1</v>
      </c>
      <c r="BW856" s="318">
        <v>0</v>
      </c>
      <c r="BX856" s="297">
        <f t="shared" si="266"/>
        <v>0.43</v>
      </c>
      <c r="BY856">
        <f t="shared" si="267"/>
        <v>0</v>
      </c>
      <c r="BZ856" s="303">
        <f t="shared" si="268"/>
        <v>0</v>
      </c>
      <c r="CB856" s="298">
        <v>0.6</v>
      </c>
      <c r="CC856" s="298">
        <v>0.4</v>
      </c>
      <c r="CD856">
        <f t="shared" si="269"/>
        <v>0</v>
      </c>
      <c r="CE856">
        <f t="shared" si="270"/>
        <v>0</v>
      </c>
      <c r="CF856">
        <f t="shared" si="271"/>
        <v>0</v>
      </c>
      <c r="CG856">
        <f t="shared" si="272"/>
        <v>0</v>
      </c>
      <c r="CH856">
        <f t="shared" si="273"/>
        <v>0</v>
      </c>
      <c r="CI856">
        <f t="shared" si="274"/>
        <v>0</v>
      </c>
      <c r="CJ856">
        <f t="shared" si="275"/>
        <v>0</v>
      </c>
      <c r="CK856">
        <f t="shared" si="276"/>
        <v>0</v>
      </c>
      <c r="CL856">
        <f t="shared" si="277"/>
        <v>0</v>
      </c>
      <c r="CM856">
        <f t="shared" si="279"/>
        <v>0</v>
      </c>
      <c r="CN856">
        <f t="shared" si="278"/>
        <v>0</v>
      </c>
      <c r="CO856">
        <f t="shared" si="262"/>
        <v>0</v>
      </c>
    </row>
    <row r="857" spans="1:93" s="12" customFormat="1" hidden="1" x14ac:dyDescent="0.25">
      <c r="A857" s="4">
        <v>2013</v>
      </c>
      <c r="B857" s="315">
        <v>44265</v>
      </c>
      <c r="C857" s="4" t="s">
        <v>429</v>
      </c>
      <c r="D857" s="4" t="s">
        <v>430</v>
      </c>
      <c r="E857" s="4"/>
      <c r="F857" s="4" t="s">
        <v>1491</v>
      </c>
      <c r="G857" s="5" t="s">
        <v>431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+VLOOKUP(G857,Liste!$A$7:$G$69,3,FALSE)</f>
        <v>Sapin pectiné</v>
      </c>
      <c r="BI857" s="96" t="str">
        <f>+VLOOKUP(H857,Liste!$B$7:$G$69,5,FALSE)</f>
        <v>GS Arc Jurassien</v>
      </c>
      <c r="BJ857" s="135">
        <f t="shared" si="261"/>
        <v>89</v>
      </c>
      <c r="BK857" s="135" t="str">
        <f t="shared" si="263"/>
        <v>Sapin pectiné_F1_Cas général_GS Arc Jurassien_89_</v>
      </c>
      <c r="BL857" s="319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97" t="str">
        <f>+VLOOKUP(G857,Liste!$A$7:$H$69,8,FALSE)</f>
        <v>Résineux</v>
      </c>
      <c r="BU857" s="297">
        <f t="shared" si="264"/>
        <v>0</v>
      </c>
      <c r="BV857" s="299">
        <f t="shared" si="265"/>
        <v>1</v>
      </c>
      <c r="BW857" s="318">
        <v>0</v>
      </c>
      <c r="BX857" s="297">
        <f t="shared" si="266"/>
        <v>0.43</v>
      </c>
      <c r="BY857">
        <f t="shared" si="267"/>
        <v>0</v>
      </c>
      <c r="BZ857" s="303">
        <f t="shared" si="268"/>
        <v>0</v>
      </c>
      <c r="CB857" s="298">
        <v>0.6</v>
      </c>
      <c r="CC857" s="298">
        <v>0.4</v>
      </c>
      <c r="CD857">
        <f t="shared" si="269"/>
        <v>0</v>
      </c>
      <c r="CE857">
        <f t="shared" si="270"/>
        <v>0</v>
      </c>
      <c r="CF857">
        <f t="shared" si="271"/>
        <v>0</v>
      </c>
      <c r="CG857">
        <f t="shared" si="272"/>
        <v>0</v>
      </c>
      <c r="CH857">
        <f t="shared" si="273"/>
        <v>0</v>
      </c>
      <c r="CI857">
        <f t="shared" si="274"/>
        <v>0</v>
      </c>
      <c r="CJ857">
        <f t="shared" si="275"/>
        <v>0</v>
      </c>
      <c r="CK857">
        <f t="shared" si="276"/>
        <v>0</v>
      </c>
      <c r="CL857">
        <f t="shared" si="277"/>
        <v>0</v>
      </c>
      <c r="CM857">
        <f t="shared" si="279"/>
        <v>0</v>
      </c>
      <c r="CN857">
        <f t="shared" si="278"/>
        <v>0</v>
      </c>
      <c r="CO857">
        <f t="shared" si="262"/>
        <v>0</v>
      </c>
    </row>
    <row r="858" spans="1:93" s="12" customFormat="1" hidden="1" x14ac:dyDescent="0.25">
      <c r="A858" s="4">
        <v>2013</v>
      </c>
      <c r="B858" s="315">
        <v>44265</v>
      </c>
      <c r="C858" s="4" t="s">
        <v>429</v>
      </c>
      <c r="D858" s="4" t="s">
        <v>430</v>
      </c>
      <c r="E858" s="4"/>
      <c r="F858" s="4" t="s">
        <v>1491</v>
      </c>
      <c r="G858" s="5" t="s">
        <v>431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+VLOOKUP(G858,Liste!$A$7:$G$69,3,FALSE)</f>
        <v>Sapin pectiné</v>
      </c>
      <c r="BI858" s="96" t="str">
        <f>+VLOOKUP(H858,Liste!$B$7:$G$69,5,FALSE)</f>
        <v>GS Arc Jurassien</v>
      </c>
      <c r="BJ858" s="135">
        <f t="shared" si="261"/>
        <v>90</v>
      </c>
      <c r="BK858" s="135" t="str">
        <f t="shared" si="263"/>
        <v>Sapin pectiné_F1_Cas général_GS Arc Jurassien_90_</v>
      </c>
      <c r="BL858" s="319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97" t="str">
        <f>+VLOOKUP(G858,Liste!$A$7:$H$69,8,FALSE)</f>
        <v>Résineux</v>
      </c>
      <c r="BU858" s="297">
        <f t="shared" si="264"/>
        <v>0</v>
      </c>
      <c r="BV858" s="299">
        <f t="shared" si="265"/>
        <v>1</v>
      </c>
      <c r="BW858" s="318">
        <v>0</v>
      </c>
      <c r="BX858" s="297">
        <f t="shared" si="266"/>
        <v>0.43</v>
      </c>
      <c r="BY858">
        <f t="shared" si="267"/>
        <v>0</v>
      </c>
      <c r="BZ858" s="303">
        <f t="shared" si="268"/>
        <v>0</v>
      </c>
      <c r="CB858" s="298">
        <v>0.6</v>
      </c>
      <c r="CC858" s="298">
        <v>0.4</v>
      </c>
      <c r="CD858">
        <f t="shared" si="269"/>
        <v>0</v>
      </c>
      <c r="CE858">
        <f t="shared" si="270"/>
        <v>0</v>
      </c>
      <c r="CF858">
        <f t="shared" si="271"/>
        <v>0</v>
      </c>
      <c r="CG858">
        <f t="shared" si="272"/>
        <v>0</v>
      </c>
      <c r="CH858">
        <f t="shared" si="273"/>
        <v>0</v>
      </c>
      <c r="CI858">
        <f t="shared" si="274"/>
        <v>0</v>
      </c>
      <c r="CJ858">
        <f t="shared" si="275"/>
        <v>0</v>
      </c>
      <c r="CK858">
        <f t="shared" si="276"/>
        <v>0</v>
      </c>
      <c r="CL858">
        <f t="shared" si="277"/>
        <v>0</v>
      </c>
      <c r="CM858">
        <f t="shared" si="279"/>
        <v>0</v>
      </c>
      <c r="CN858">
        <f t="shared" si="278"/>
        <v>0</v>
      </c>
      <c r="CO858">
        <f t="shared" si="262"/>
        <v>0</v>
      </c>
    </row>
    <row r="859" spans="1:93" s="12" customFormat="1" hidden="1" x14ac:dyDescent="0.25">
      <c r="A859" s="4">
        <v>2013</v>
      </c>
      <c r="B859" s="315">
        <v>44265</v>
      </c>
      <c r="C859" s="4" t="s">
        <v>429</v>
      </c>
      <c r="D859" s="4" t="s">
        <v>430</v>
      </c>
      <c r="E859" s="4"/>
      <c r="F859" s="4" t="s">
        <v>1491</v>
      </c>
      <c r="G859" s="5" t="s">
        <v>431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+VLOOKUP(G859,Liste!$A$7:$G$69,3,FALSE)</f>
        <v>Sapin pectiné</v>
      </c>
      <c r="BI859" s="96" t="str">
        <f>+VLOOKUP(H859,Liste!$B$7:$G$69,5,FALSE)</f>
        <v>GS Arc Jurassien</v>
      </c>
      <c r="BJ859" s="135">
        <f t="shared" si="261"/>
        <v>91</v>
      </c>
      <c r="BK859" s="135" t="str">
        <f t="shared" si="263"/>
        <v>Sapin pectiné_F1_Cas général_GS Arc Jurassien_91_</v>
      </c>
      <c r="BL859" s="319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97" t="str">
        <f>+VLOOKUP(G859,Liste!$A$7:$H$69,8,FALSE)</f>
        <v>Résineux</v>
      </c>
      <c r="BU859" s="297">
        <f t="shared" si="264"/>
        <v>0</v>
      </c>
      <c r="BV859" s="299">
        <f t="shared" si="265"/>
        <v>1</v>
      </c>
      <c r="BW859" s="318">
        <v>0</v>
      </c>
      <c r="BX859" s="297">
        <f t="shared" si="266"/>
        <v>0.43</v>
      </c>
      <c r="BY859">
        <f t="shared" si="267"/>
        <v>0</v>
      </c>
      <c r="BZ859" s="303">
        <f t="shared" si="268"/>
        <v>0</v>
      </c>
      <c r="CB859" s="298">
        <v>0.6</v>
      </c>
      <c r="CC859" s="298">
        <v>0.4</v>
      </c>
      <c r="CD859">
        <f t="shared" si="269"/>
        <v>0</v>
      </c>
      <c r="CE859">
        <f t="shared" si="270"/>
        <v>0</v>
      </c>
      <c r="CF859">
        <f t="shared" si="271"/>
        <v>0</v>
      </c>
      <c r="CG859">
        <f t="shared" si="272"/>
        <v>0</v>
      </c>
      <c r="CH859">
        <f t="shared" si="273"/>
        <v>0</v>
      </c>
      <c r="CI859">
        <f t="shared" si="274"/>
        <v>0</v>
      </c>
      <c r="CJ859">
        <f t="shared" si="275"/>
        <v>0</v>
      </c>
      <c r="CK859">
        <f t="shared" si="276"/>
        <v>0</v>
      </c>
      <c r="CL859">
        <f t="shared" si="277"/>
        <v>0</v>
      </c>
      <c r="CM859">
        <f t="shared" si="279"/>
        <v>0</v>
      </c>
      <c r="CN859">
        <f t="shared" si="278"/>
        <v>0</v>
      </c>
      <c r="CO859">
        <f t="shared" si="262"/>
        <v>0</v>
      </c>
    </row>
    <row r="860" spans="1:93" s="12" customFormat="1" hidden="1" x14ac:dyDescent="0.25">
      <c r="A860" s="4">
        <v>2013</v>
      </c>
      <c r="B860" s="315">
        <v>44265</v>
      </c>
      <c r="C860" s="4" t="s">
        <v>429</v>
      </c>
      <c r="D860" s="4" t="s">
        <v>430</v>
      </c>
      <c r="E860" s="4"/>
      <c r="F860" s="4" t="s">
        <v>1491</v>
      </c>
      <c r="G860" s="5" t="s">
        <v>431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+VLOOKUP(G860,Liste!$A$7:$G$69,3,FALSE)</f>
        <v>Sapin pectiné</v>
      </c>
      <c r="BI860" s="96" t="str">
        <f>+VLOOKUP(H860,Liste!$B$7:$G$69,5,FALSE)</f>
        <v>GS Arc Jurassien</v>
      </c>
      <c r="BJ860" s="135">
        <f t="shared" si="261"/>
        <v>91</v>
      </c>
      <c r="BK860" s="135" t="str">
        <f t="shared" si="263"/>
        <v>Sapin pectiné_F1_Cas général_GS Arc Jurassien_91_</v>
      </c>
      <c r="BL860" s="319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97" t="str">
        <f>+VLOOKUP(G860,Liste!$A$7:$H$69,8,FALSE)</f>
        <v>Résineux</v>
      </c>
      <c r="BU860" s="297">
        <f t="shared" si="264"/>
        <v>0</v>
      </c>
      <c r="BV860" s="299">
        <f t="shared" si="265"/>
        <v>1</v>
      </c>
      <c r="BW860" s="318">
        <v>0</v>
      </c>
      <c r="BX860" s="297">
        <f t="shared" si="266"/>
        <v>0.43</v>
      </c>
      <c r="BY860">
        <f t="shared" si="267"/>
        <v>0</v>
      </c>
      <c r="BZ860" s="303">
        <f t="shared" si="268"/>
        <v>0</v>
      </c>
      <c r="CB860" s="298">
        <v>0.6</v>
      </c>
      <c r="CC860" s="298">
        <v>0.4</v>
      </c>
      <c r="CD860">
        <f t="shared" si="269"/>
        <v>0</v>
      </c>
      <c r="CE860">
        <f t="shared" si="270"/>
        <v>0</v>
      </c>
      <c r="CF860">
        <f t="shared" si="271"/>
        <v>0</v>
      </c>
      <c r="CG860">
        <f t="shared" si="272"/>
        <v>0</v>
      </c>
      <c r="CH860">
        <f t="shared" si="273"/>
        <v>0</v>
      </c>
      <c r="CI860">
        <f t="shared" si="274"/>
        <v>0</v>
      </c>
      <c r="CJ860">
        <f t="shared" si="275"/>
        <v>0</v>
      </c>
      <c r="CK860">
        <f t="shared" si="276"/>
        <v>0</v>
      </c>
      <c r="CL860">
        <f t="shared" si="277"/>
        <v>0</v>
      </c>
      <c r="CM860">
        <f t="shared" si="279"/>
        <v>0</v>
      </c>
      <c r="CN860">
        <f t="shared" si="278"/>
        <v>0</v>
      </c>
      <c r="CO860">
        <f t="shared" si="262"/>
        <v>0</v>
      </c>
    </row>
    <row r="861" spans="1:93" s="12" customFormat="1" hidden="1" x14ac:dyDescent="0.25">
      <c r="A861" s="4">
        <v>2013</v>
      </c>
      <c r="B861" s="315">
        <v>44265</v>
      </c>
      <c r="C861" s="4" t="s">
        <v>429</v>
      </c>
      <c r="D861" s="4" t="s">
        <v>430</v>
      </c>
      <c r="E861" s="4"/>
      <c r="F861" s="4" t="s">
        <v>1491</v>
      </c>
      <c r="G861" s="5" t="s">
        <v>431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+VLOOKUP(G861,Liste!$A$7:$G$69,3,FALSE)</f>
        <v>Sapin pectiné</v>
      </c>
      <c r="BI861" s="96" t="str">
        <f>+VLOOKUP(H861,Liste!$B$7:$G$69,5,FALSE)</f>
        <v>GS Arc Jurassien</v>
      </c>
      <c r="BJ861" s="135">
        <f t="shared" si="261"/>
        <v>92</v>
      </c>
      <c r="BK861" s="135" t="str">
        <f t="shared" si="263"/>
        <v>Sapin pectiné_F1_Cas général_GS Arc Jurassien_92_</v>
      </c>
      <c r="BL861" s="319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97" t="str">
        <f>+VLOOKUP(G861,Liste!$A$7:$H$69,8,FALSE)</f>
        <v>Résineux</v>
      </c>
      <c r="BU861" s="297">
        <f t="shared" si="264"/>
        <v>0</v>
      </c>
      <c r="BV861" s="299">
        <f t="shared" si="265"/>
        <v>1</v>
      </c>
      <c r="BW861" s="318">
        <v>0</v>
      </c>
      <c r="BX861" s="297">
        <f t="shared" si="266"/>
        <v>0.43</v>
      </c>
      <c r="BY861">
        <f t="shared" si="267"/>
        <v>0</v>
      </c>
      <c r="BZ861" s="303">
        <f t="shared" si="268"/>
        <v>0</v>
      </c>
      <c r="CB861" s="298">
        <v>0.6</v>
      </c>
      <c r="CC861" s="298">
        <v>0.4</v>
      </c>
      <c r="CD861">
        <f t="shared" si="269"/>
        <v>0</v>
      </c>
      <c r="CE861">
        <f t="shared" si="270"/>
        <v>0</v>
      </c>
      <c r="CF861">
        <f t="shared" si="271"/>
        <v>0</v>
      </c>
      <c r="CG861">
        <f t="shared" si="272"/>
        <v>0</v>
      </c>
      <c r="CH861">
        <f t="shared" si="273"/>
        <v>0</v>
      </c>
      <c r="CI861">
        <f t="shared" si="274"/>
        <v>0</v>
      </c>
      <c r="CJ861">
        <f t="shared" si="275"/>
        <v>0</v>
      </c>
      <c r="CK861">
        <f t="shared" si="276"/>
        <v>0</v>
      </c>
      <c r="CL861">
        <f t="shared" si="277"/>
        <v>0</v>
      </c>
      <c r="CM861">
        <f t="shared" si="279"/>
        <v>0</v>
      </c>
      <c r="CN861">
        <f t="shared" si="278"/>
        <v>0</v>
      </c>
      <c r="CO861">
        <f t="shared" si="262"/>
        <v>0</v>
      </c>
    </row>
    <row r="862" spans="1:93" s="12" customFormat="1" hidden="1" x14ac:dyDescent="0.25">
      <c r="A862" s="4">
        <v>2013</v>
      </c>
      <c r="B862" s="315">
        <v>44265</v>
      </c>
      <c r="C862" s="4" t="s">
        <v>429</v>
      </c>
      <c r="D862" s="4" t="s">
        <v>430</v>
      </c>
      <c r="E862" s="4"/>
      <c r="F862" s="4" t="s">
        <v>1491</v>
      </c>
      <c r="G862" s="5" t="s">
        <v>431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+VLOOKUP(G862,Liste!$A$7:$G$69,3,FALSE)</f>
        <v>Sapin pectiné</v>
      </c>
      <c r="BI862" s="96" t="str">
        <f>+VLOOKUP(H862,Liste!$B$7:$G$69,5,FALSE)</f>
        <v>GS Arc Jurassien</v>
      </c>
      <c r="BJ862" s="135">
        <f t="shared" si="261"/>
        <v>93</v>
      </c>
      <c r="BK862" s="135" t="str">
        <f t="shared" si="263"/>
        <v>Sapin pectiné_F1_Cas général_GS Arc Jurassien_93_</v>
      </c>
      <c r="BL862" s="319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97" t="str">
        <f>+VLOOKUP(G862,Liste!$A$7:$H$69,8,FALSE)</f>
        <v>Résineux</v>
      </c>
      <c r="BU862" s="297">
        <f t="shared" si="264"/>
        <v>0</v>
      </c>
      <c r="BV862" s="299">
        <f t="shared" si="265"/>
        <v>1</v>
      </c>
      <c r="BW862" s="318">
        <v>0</v>
      </c>
      <c r="BX862" s="297">
        <f t="shared" si="266"/>
        <v>0.43</v>
      </c>
      <c r="BY862">
        <f t="shared" si="267"/>
        <v>0</v>
      </c>
      <c r="BZ862" s="303">
        <f t="shared" si="268"/>
        <v>0</v>
      </c>
      <c r="CB862" s="298">
        <v>0.6</v>
      </c>
      <c r="CC862" s="298">
        <v>0.4</v>
      </c>
      <c r="CD862">
        <f t="shared" si="269"/>
        <v>0</v>
      </c>
      <c r="CE862">
        <f t="shared" si="270"/>
        <v>0</v>
      </c>
      <c r="CF862">
        <f t="shared" si="271"/>
        <v>0</v>
      </c>
      <c r="CG862">
        <f t="shared" si="272"/>
        <v>0</v>
      </c>
      <c r="CH862">
        <f t="shared" si="273"/>
        <v>0</v>
      </c>
      <c r="CI862">
        <f t="shared" si="274"/>
        <v>0</v>
      </c>
      <c r="CJ862">
        <f t="shared" si="275"/>
        <v>0</v>
      </c>
      <c r="CK862">
        <f t="shared" si="276"/>
        <v>0</v>
      </c>
      <c r="CL862">
        <f t="shared" si="277"/>
        <v>0</v>
      </c>
      <c r="CM862">
        <f t="shared" si="279"/>
        <v>0</v>
      </c>
      <c r="CN862">
        <f t="shared" si="278"/>
        <v>0</v>
      </c>
      <c r="CO862">
        <f t="shared" si="262"/>
        <v>0</v>
      </c>
    </row>
    <row r="863" spans="1:93" s="12" customFormat="1" hidden="1" x14ac:dyDescent="0.25">
      <c r="A863" s="4">
        <v>2013</v>
      </c>
      <c r="B863" s="315">
        <v>44265</v>
      </c>
      <c r="C863" s="4" t="s">
        <v>429</v>
      </c>
      <c r="D863" s="4" t="s">
        <v>430</v>
      </c>
      <c r="E863" s="4"/>
      <c r="F863" s="4" t="s">
        <v>1491</v>
      </c>
      <c r="G863" s="5" t="s">
        <v>431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+VLOOKUP(G863,Liste!$A$7:$G$69,3,FALSE)</f>
        <v>Sapin pectiné</v>
      </c>
      <c r="BI863" s="96" t="str">
        <f>+VLOOKUP(H863,Liste!$B$7:$G$69,5,FALSE)</f>
        <v>GS Arc Jurassien</v>
      </c>
      <c r="BJ863" s="135">
        <f t="shared" si="261"/>
        <v>94</v>
      </c>
      <c r="BK863" s="135" t="str">
        <f t="shared" si="263"/>
        <v>Sapin pectiné_F1_Cas général_GS Arc Jurassien_94_</v>
      </c>
      <c r="BL863" s="319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97" t="str">
        <f>+VLOOKUP(G863,Liste!$A$7:$H$69,8,FALSE)</f>
        <v>Résineux</v>
      </c>
      <c r="BU863" s="297">
        <f t="shared" si="264"/>
        <v>0</v>
      </c>
      <c r="BV863" s="299">
        <f t="shared" si="265"/>
        <v>1</v>
      </c>
      <c r="BW863" s="318">
        <v>0</v>
      </c>
      <c r="BX863" s="297">
        <f t="shared" si="266"/>
        <v>0.43</v>
      </c>
      <c r="BY863">
        <f t="shared" si="267"/>
        <v>0</v>
      </c>
      <c r="BZ863" s="303">
        <f t="shared" si="268"/>
        <v>0</v>
      </c>
      <c r="CB863" s="298">
        <v>0.6</v>
      </c>
      <c r="CC863" s="298">
        <v>0.4</v>
      </c>
      <c r="CD863">
        <f t="shared" si="269"/>
        <v>0</v>
      </c>
      <c r="CE863">
        <f t="shared" si="270"/>
        <v>0</v>
      </c>
      <c r="CF863">
        <f t="shared" si="271"/>
        <v>0</v>
      </c>
      <c r="CG863">
        <f t="shared" si="272"/>
        <v>0</v>
      </c>
      <c r="CH863">
        <f t="shared" si="273"/>
        <v>0</v>
      </c>
      <c r="CI863">
        <f t="shared" si="274"/>
        <v>0</v>
      </c>
      <c r="CJ863">
        <f t="shared" si="275"/>
        <v>0</v>
      </c>
      <c r="CK863">
        <f t="shared" si="276"/>
        <v>0</v>
      </c>
      <c r="CL863">
        <f t="shared" si="277"/>
        <v>0</v>
      </c>
      <c r="CM863">
        <f t="shared" si="279"/>
        <v>0</v>
      </c>
      <c r="CN863">
        <f t="shared" si="278"/>
        <v>0</v>
      </c>
      <c r="CO863">
        <f t="shared" si="262"/>
        <v>0</v>
      </c>
    </row>
    <row r="864" spans="1:93" s="12" customFormat="1" hidden="1" x14ac:dyDescent="0.25">
      <c r="A864" s="4">
        <v>2013</v>
      </c>
      <c r="B864" s="315">
        <v>44265</v>
      </c>
      <c r="C864" s="4" t="s">
        <v>429</v>
      </c>
      <c r="D864" s="4" t="s">
        <v>430</v>
      </c>
      <c r="E864" s="4"/>
      <c r="F864" s="4" t="s">
        <v>1491</v>
      </c>
      <c r="G864" s="5" t="s">
        <v>431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+VLOOKUP(G864,Liste!$A$7:$G$69,3,FALSE)</f>
        <v>Sapin pectiné</v>
      </c>
      <c r="BI864" s="96" t="str">
        <f>+VLOOKUP(H864,Liste!$B$7:$G$69,5,FALSE)</f>
        <v>GS Arc Jurassien</v>
      </c>
      <c r="BJ864" s="135">
        <f t="shared" si="261"/>
        <v>95</v>
      </c>
      <c r="BK864" s="135" t="str">
        <f t="shared" si="263"/>
        <v>Sapin pectiné_F1_Cas général_GS Arc Jurassien_95_</v>
      </c>
      <c r="BL864" s="319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97" t="str">
        <f>+VLOOKUP(G864,Liste!$A$7:$H$69,8,FALSE)</f>
        <v>Résineux</v>
      </c>
      <c r="BU864" s="297">
        <f t="shared" si="264"/>
        <v>0</v>
      </c>
      <c r="BV864" s="299">
        <f t="shared" si="265"/>
        <v>1</v>
      </c>
      <c r="BW864" s="318">
        <v>0</v>
      </c>
      <c r="BX864" s="297">
        <f t="shared" si="266"/>
        <v>0.43</v>
      </c>
      <c r="BY864">
        <f t="shared" si="267"/>
        <v>0</v>
      </c>
      <c r="BZ864" s="303">
        <f t="shared" si="268"/>
        <v>0</v>
      </c>
      <c r="CB864" s="298">
        <v>0.6</v>
      </c>
      <c r="CC864" s="298">
        <v>0.4</v>
      </c>
      <c r="CD864">
        <f t="shared" si="269"/>
        <v>0</v>
      </c>
      <c r="CE864">
        <f t="shared" si="270"/>
        <v>0</v>
      </c>
      <c r="CF864">
        <f t="shared" si="271"/>
        <v>0</v>
      </c>
      <c r="CG864">
        <f t="shared" si="272"/>
        <v>0</v>
      </c>
      <c r="CH864">
        <f t="shared" si="273"/>
        <v>0</v>
      </c>
      <c r="CI864">
        <f t="shared" si="274"/>
        <v>0</v>
      </c>
      <c r="CJ864">
        <f t="shared" si="275"/>
        <v>0</v>
      </c>
      <c r="CK864">
        <f t="shared" si="276"/>
        <v>0</v>
      </c>
      <c r="CL864">
        <f t="shared" si="277"/>
        <v>0</v>
      </c>
      <c r="CM864">
        <f t="shared" si="279"/>
        <v>0</v>
      </c>
      <c r="CN864">
        <f t="shared" si="278"/>
        <v>0</v>
      </c>
      <c r="CO864">
        <f t="shared" si="262"/>
        <v>0</v>
      </c>
    </row>
    <row r="865" spans="1:93" s="12" customFormat="1" hidden="1" x14ac:dyDescent="0.25">
      <c r="A865" s="4">
        <v>2013</v>
      </c>
      <c r="B865" s="315">
        <v>44265</v>
      </c>
      <c r="C865" s="4" t="s">
        <v>429</v>
      </c>
      <c r="D865" s="4" t="s">
        <v>430</v>
      </c>
      <c r="E865" s="4"/>
      <c r="F865" s="4" t="s">
        <v>1491</v>
      </c>
      <c r="G865" s="5" t="s">
        <v>431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+VLOOKUP(G865,Liste!$A$7:$G$69,3,FALSE)</f>
        <v>Sapin pectiné</v>
      </c>
      <c r="BI865" s="96" t="str">
        <f>+VLOOKUP(H865,Liste!$B$7:$G$69,5,FALSE)</f>
        <v>GS Arc Jurassien</v>
      </c>
      <c r="BJ865" s="135">
        <f t="shared" si="261"/>
        <v>96</v>
      </c>
      <c r="BK865" s="135" t="str">
        <f t="shared" si="263"/>
        <v>Sapin pectiné_F1_Cas général_GS Arc Jurassien_96_</v>
      </c>
      <c r="BL865" s="319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97" t="str">
        <f>+VLOOKUP(G865,Liste!$A$7:$H$69,8,FALSE)</f>
        <v>Résineux</v>
      </c>
      <c r="BU865" s="297">
        <f t="shared" si="264"/>
        <v>0</v>
      </c>
      <c r="BV865" s="299">
        <f t="shared" si="265"/>
        <v>1</v>
      </c>
      <c r="BW865" s="318">
        <v>0</v>
      </c>
      <c r="BX865" s="297">
        <f t="shared" si="266"/>
        <v>0.43</v>
      </c>
      <c r="BY865">
        <f t="shared" si="267"/>
        <v>0</v>
      </c>
      <c r="BZ865" s="303">
        <f t="shared" si="268"/>
        <v>0</v>
      </c>
      <c r="CB865" s="298">
        <v>0.6</v>
      </c>
      <c r="CC865" s="298">
        <v>0.4</v>
      </c>
      <c r="CD865">
        <f t="shared" si="269"/>
        <v>0</v>
      </c>
      <c r="CE865">
        <f t="shared" si="270"/>
        <v>0</v>
      </c>
      <c r="CF865">
        <f t="shared" si="271"/>
        <v>0</v>
      </c>
      <c r="CG865">
        <f t="shared" si="272"/>
        <v>0</v>
      </c>
      <c r="CH865">
        <f t="shared" si="273"/>
        <v>0</v>
      </c>
      <c r="CI865">
        <f t="shared" si="274"/>
        <v>0</v>
      </c>
      <c r="CJ865">
        <f t="shared" si="275"/>
        <v>0</v>
      </c>
      <c r="CK865">
        <f t="shared" si="276"/>
        <v>0</v>
      </c>
      <c r="CL865">
        <f t="shared" si="277"/>
        <v>0</v>
      </c>
      <c r="CM865">
        <f t="shared" si="279"/>
        <v>0</v>
      </c>
      <c r="CN865">
        <f t="shared" si="278"/>
        <v>0</v>
      </c>
      <c r="CO865">
        <f t="shared" si="262"/>
        <v>0</v>
      </c>
    </row>
    <row r="866" spans="1:93" s="12" customFormat="1" hidden="1" x14ac:dyDescent="0.25">
      <c r="A866" s="4">
        <v>2013</v>
      </c>
      <c r="B866" s="315">
        <v>44265</v>
      </c>
      <c r="C866" s="4" t="s">
        <v>429</v>
      </c>
      <c r="D866" s="4" t="s">
        <v>430</v>
      </c>
      <c r="E866" s="4"/>
      <c r="F866" s="4" t="s">
        <v>1491</v>
      </c>
      <c r="G866" s="5" t="s">
        <v>431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+VLOOKUP(G866,Liste!$A$7:$G$69,3,FALSE)</f>
        <v>Sapin pectiné</v>
      </c>
      <c r="BI866" s="96" t="str">
        <f>+VLOOKUP(H866,Liste!$B$7:$G$69,5,FALSE)</f>
        <v>GS Arc Jurassien</v>
      </c>
      <c r="BJ866" s="135">
        <f t="shared" si="261"/>
        <v>97</v>
      </c>
      <c r="BK866" s="135" t="str">
        <f t="shared" si="263"/>
        <v>Sapin pectiné_F1_Cas général_GS Arc Jurassien_97_</v>
      </c>
      <c r="BL866" s="319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97" t="str">
        <f>+VLOOKUP(G866,Liste!$A$7:$H$69,8,FALSE)</f>
        <v>Résineux</v>
      </c>
      <c r="BU866" s="297">
        <f t="shared" si="264"/>
        <v>0</v>
      </c>
      <c r="BV866" s="299">
        <f t="shared" si="265"/>
        <v>1</v>
      </c>
      <c r="BW866" s="318">
        <v>0</v>
      </c>
      <c r="BX866" s="297">
        <f t="shared" si="266"/>
        <v>0.43</v>
      </c>
      <c r="BY866">
        <f t="shared" si="267"/>
        <v>0</v>
      </c>
      <c r="BZ866" s="303">
        <f t="shared" si="268"/>
        <v>0</v>
      </c>
      <c r="CB866" s="298">
        <v>0.6</v>
      </c>
      <c r="CC866" s="298">
        <v>0.4</v>
      </c>
      <c r="CD866">
        <f t="shared" si="269"/>
        <v>0</v>
      </c>
      <c r="CE866">
        <f t="shared" si="270"/>
        <v>0</v>
      </c>
      <c r="CF866">
        <f t="shared" si="271"/>
        <v>0</v>
      </c>
      <c r="CG866">
        <f t="shared" si="272"/>
        <v>0</v>
      </c>
      <c r="CH866">
        <f t="shared" si="273"/>
        <v>0</v>
      </c>
      <c r="CI866">
        <f t="shared" si="274"/>
        <v>0</v>
      </c>
      <c r="CJ866">
        <f t="shared" si="275"/>
        <v>0</v>
      </c>
      <c r="CK866">
        <f t="shared" si="276"/>
        <v>0</v>
      </c>
      <c r="CL866">
        <f t="shared" si="277"/>
        <v>0</v>
      </c>
      <c r="CM866">
        <f t="shared" si="279"/>
        <v>0</v>
      </c>
      <c r="CN866">
        <f t="shared" si="278"/>
        <v>0</v>
      </c>
      <c r="CO866">
        <f t="shared" si="262"/>
        <v>0</v>
      </c>
    </row>
    <row r="867" spans="1:93" s="12" customFormat="1" hidden="1" x14ac:dyDescent="0.25">
      <c r="A867" s="4">
        <v>2013</v>
      </c>
      <c r="B867" s="315">
        <v>44265</v>
      </c>
      <c r="C867" s="4" t="s">
        <v>429</v>
      </c>
      <c r="D867" s="4" t="s">
        <v>430</v>
      </c>
      <c r="E867" s="4"/>
      <c r="F867" s="4" t="s">
        <v>1491</v>
      </c>
      <c r="G867" s="5" t="s">
        <v>431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+VLOOKUP(G867,Liste!$A$7:$G$69,3,FALSE)</f>
        <v>Sapin pectiné</v>
      </c>
      <c r="BI867" s="96" t="str">
        <f>+VLOOKUP(H867,Liste!$B$7:$G$69,5,FALSE)</f>
        <v>GS Arc Jurassien</v>
      </c>
      <c r="BJ867" s="135">
        <f t="shared" si="261"/>
        <v>98</v>
      </c>
      <c r="BK867" s="135" t="str">
        <f t="shared" si="263"/>
        <v>Sapin pectiné_F1_Cas général_GS Arc Jurassien_98_</v>
      </c>
      <c r="BL867" s="319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97" t="str">
        <f>+VLOOKUP(G867,Liste!$A$7:$H$69,8,FALSE)</f>
        <v>Résineux</v>
      </c>
      <c r="BU867" s="297">
        <f t="shared" si="264"/>
        <v>0</v>
      </c>
      <c r="BV867" s="299">
        <f t="shared" si="265"/>
        <v>1</v>
      </c>
      <c r="BW867" s="318">
        <v>0</v>
      </c>
      <c r="BX867" s="297">
        <f t="shared" si="266"/>
        <v>0.43</v>
      </c>
      <c r="BY867">
        <f t="shared" si="267"/>
        <v>0</v>
      </c>
      <c r="BZ867" s="303">
        <f t="shared" si="268"/>
        <v>0</v>
      </c>
      <c r="CB867" s="298">
        <v>0.6</v>
      </c>
      <c r="CC867" s="298">
        <v>0.4</v>
      </c>
      <c r="CD867">
        <f t="shared" si="269"/>
        <v>0</v>
      </c>
      <c r="CE867">
        <f t="shared" si="270"/>
        <v>0</v>
      </c>
      <c r="CF867">
        <f t="shared" si="271"/>
        <v>0</v>
      </c>
      <c r="CG867">
        <f t="shared" si="272"/>
        <v>0</v>
      </c>
      <c r="CH867">
        <f t="shared" si="273"/>
        <v>0</v>
      </c>
      <c r="CI867">
        <f t="shared" si="274"/>
        <v>0</v>
      </c>
      <c r="CJ867">
        <f t="shared" si="275"/>
        <v>0</v>
      </c>
      <c r="CK867">
        <f t="shared" si="276"/>
        <v>0</v>
      </c>
      <c r="CL867">
        <f t="shared" si="277"/>
        <v>0</v>
      </c>
      <c r="CM867">
        <f t="shared" si="279"/>
        <v>0</v>
      </c>
      <c r="CN867">
        <f t="shared" si="278"/>
        <v>0</v>
      </c>
      <c r="CO867">
        <f t="shared" si="262"/>
        <v>0</v>
      </c>
    </row>
    <row r="868" spans="1:93" s="12" customFormat="1" hidden="1" x14ac:dyDescent="0.25">
      <c r="A868" s="4">
        <v>2013</v>
      </c>
      <c r="B868" s="315">
        <v>44265</v>
      </c>
      <c r="C868" s="4" t="s">
        <v>429</v>
      </c>
      <c r="D868" s="4" t="s">
        <v>430</v>
      </c>
      <c r="E868" s="4"/>
      <c r="F868" s="4" t="s">
        <v>1491</v>
      </c>
      <c r="G868" s="5" t="s">
        <v>431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+VLOOKUP(G868,Liste!$A$7:$G$69,3,FALSE)</f>
        <v>Sapin pectiné</v>
      </c>
      <c r="BI868" s="96" t="str">
        <f>+VLOOKUP(H868,Liste!$B$7:$G$69,5,FALSE)</f>
        <v>GS Arc Jurassien</v>
      </c>
      <c r="BJ868" s="135">
        <f t="shared" si="261"/>
        <v>99</v>
      </c>
      <c r="BK868" s="135" t="str">
        <f t="shared" si="263"/>
        <v>Sapin pectiné_F1_Cas général_GS Arc Jurassien_99_</v>
      </c>
      <c r="BL868" s="319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97" t="str">
        <f>+VLOOKUP(G868,Liste!$A$7:$H$69,8,FALSE)</f>
        <v>Résineux</v>
      </c>
      <c r="BU868" s="297">
        <f t="shared" si="264"/>
        <v>0</v>
      </c>
      <c r="BV868" s="299">
        <f t="shared" si="265"/>
        <v>1</v>
      </c>
      <c r="BW868" s="318">
        <v>0</v>
      </c>
      <c r="BX868" s="297">
        <f t="shared" si="266"/>
        <v>0.43</v>
      </c>
      <c r="BY868">
        <f t="shared" si="267"/>
        <v>0</v>
      </c>
      <c r="BZ868" s="303">
        <f t="shared" si="268"/>
        <v>0</v>
      </c>
      <c r="CB868" s="298">
        <v>0.6</v>
      </c>
      <c r="CC868" s="298">
        <v>0.4</v>
      </c>
      <c r="CD868">
        <f t="shared" si="269"/>
        <v>0</v>
      </c>
      <c r="CE868">
        <f t="shared" si="270"/>
        <v>0</v>
      </c>
      <c r="CF868">
        <f t="shared" si="271"/>
        <v>0</v>
      </c>
      <c r="CG868">
        <f t="shared" si="272"/>
        <v>0</v>
      </c>
      <c r="CH868">
        <f t="shared" si="273"/>
        <v>0</v>
      </c>
      <c r="CI868">
        <f t="shared" si="274"/>
        <v>0</v>
      </c>
      <c r="CJ868">
        <f t="shared" si="275"/>
        <v>0</v>
      </c>
      <c r="CK868">
        <f t="shared" si="276"/>
        <v>0</v>
      </c>
      <c r="CL868">
        <f t="shared" si="277"/>
        <v>0</v>
      </c>
      <c r="CM868">
        <f t="shared" si="279"/>
        <v>0</v>
      </c>
      <c r="CN868">
        <f t="shared" si="278"/>
        <v>0</v>
      </c>
      <c r="CO868">
        <f t="shared" si="262"/>
        <v>0</v>
      </c>
    </row>
    <row r="869" spans="1:93" s="12" customFormat="1" hidden="1" x14ac:dyDescent="0.25">
      <c r="A869" s="4">
        <v>2013</v>
      </c>
      <c r="B869" s="315">
        <v>44265</v>
      </c>
      <c r="C869" s="4" t="s">
        <v>429</v>
      </c>
      <c r="D869" s="4" t="s">
        <v>430</v>
      </c>
      <c r="E869" s="4"/>
      <c r="F869" s="4" t="s">
        <v>1491</v>
      </c>
      <c r="G869" s="5" t="s">
        <v>431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+VLOOKUP(G869,Liste!$A$7:$G$69,3,FALSE)</f>
        <v>Sapin pectiné</v>
      </c>
      <c r="BI869" s="96" t="str">
        <f>+VLOOKUP(H869,Liste!$B$7:$G$69,5,FALSE)</f>
        <v>GS Arc Jurassien</v>
      </c>
      <c r="BJ869" s="135">
        <f t="shared" si="261"/>
        <v>99</v>
      </c>
      <c r="BK869" s="135" t="str">
        <f t="shared" si="263"/>
        <v>Sapin pectiné_F1_Cas général_GS Arc Jurassien_99_</v>
      </c>
      <c r="BL869" s="319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97" t="str">
        <f>+VLOOKUP(G869,Liste!$A$7:$H$69,8,FALSE)</f>
        <v>Résineux</v>
      </c>
      <c r="BU869" s="297">
        <f t="shared" si="264"/>
        <v>0</v>
      </c>
      <c r="BV869" s="299">
        <f t="shared" si="265"/>
        <v>1</v>
      </c>
      <c r="BW869" s="318">
        <v>0</v>
      </c>
      <c r="BX869" s="297">
        <f t="shared" si="266"/>
        <v>0.43</v>
      </c>
      <c r="BY869">
        <f t="shared" si="267"/>
        <v>0</v>
      </c>
      <c r="BZ869" s="303">
        <f t="shared" si="268"/>
        <v>0</v>
      </c>
      <c r="CB869" s="298">
        <v>0.6</v>
      </c>
      <c r="CC869" s="298">
        <v>0.4</v>
      </c>
      <c r="CD869">
        <f t="shared" si="269"/>
        <v>0</v>
      </c>
      <c r="CE869">
        <f t="shared" si="270"/>
        <v>0</v>
      </c>
      <c r="CF869">
        <f t="shared" si="271"/>
        <v>0</v>
      </c>
      <c r="CG869">
        <f t="shared" si="272"/>
        <v>0</v>
      </c>
      <c r="CH869">
        <f t="shared" si="273"/>
        <v>0</v>
      </c>
      <c r="CI869">
        <f t="shared" si="274"/>
        <v>0</v>
      </c>
      <c r="CJ869">
        <f t="shared" si="275"/>
        <v>0</v>
      </c>
      <c r="CK869">
        <f t="shared" si="276"/>
        <v>0</v>
      </c>
      <c r="CL869">
        <f t="shared" si="277"/>
        <v>0</v>
      </c>
      <c r="CM869">
        <f t="shared" si="279"/>
        <v>0</v>
      </c>
      <c r="CN869">
        <f t="shared" si="278"/>
        <v>0</v>
      </c>
      <c r="CO869">
        <f t="shared" si="262"/>
        <v>0</v>
      </c>
    </row>
    <row r="870" spans="1:93" s="12" customFormat="1" hidden="1" x14ac:dyDescent="0.25">
      <c r="A870" s="4">
        <v>2013</v>
      </c>
      <c r="B870" s="315">
        <v>44265</v>
      </c>
      <c r="C870" s="4" t="s">
        <v>429</v>
      </c>
      <c r="D870" s="4" t="s">
        <v>430</v>
      </c>
      <c r="E870" s="4"/>
      <c r="F870" s="4" t="s">
        <v>1491</v>
      </c>
      <c r="G870" s="5" t="s">
        <v>431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+VLOOKUP(G870,Liste!$A$7:$G$69,3,FALSE)</f>
        <v>Sapin pectiné</v>
      </c>
      <c r="BI870" s="96" t="str">
        <f>+VLOOKUP(H870,Liste!$B$7:$G$69,5,FALSE)</f>
        <v>GS Arc Jurassien</v>
      </c>
      <c r="BJ870" s="135">
        <f t="shared" si="261"/>
        <v>100</v>
      </c>
      <c r="BK870" s="135" t="str">
        <f t="shared" si="263"/>
        <v>Sapin pectiné_F1_Cas général_GS Arc Jurassien_100_</v>
      </c>
      <c r="BL870" s="319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97" t="str">
        <f>+VLOOKUP(G870,Liste!$A$7:$H$69,8,FALSE)</f>
        <v>Résineux</v>
      </c>
      <c r="BU870" s="297">
        <f t="shared" si="264"/>
        <v>0</v>
      </c>
      <c r="BV870" s="299">
        <f t="shared" si="265"/>
        <v>1</v>
      </c>
      <c r="BW870" s="318">
        <v>0</v>
      </c>
      <c r="BX870" s="297">
        <f t="shared" si="266"/>
        <v>0.43</v>
      </c>
      <c r="BY870">
        <f t="shared" si="267"/>
        <v>0</v>
      </c>
      <c r="BZ870" s="303">
        <f t="shared" si="268"/>
        <v>0</v>
      </c>
      <c r="CB870" s="298">
        <v>0.6</v>
      </c>
      <c r="CC870" s="298">
        <v>0.4</v>
      </c>
      <c r="CD870">
        <f t="shared" si="269"/>
        <v>0</v>
      </c>
      <c r="CE870">
        <f t="shared" si="270"/>
        <v>0</v>
      </c>
      <c r="CF870">
        <f t="shared" si="271"/>
        <v>0</v>
      </c>
      <c r="CG870">
        <f t="shared" si="272"/>
        <v>0</v>
      </c>
      <c r="CH870">
        <f t="shared" si="273"/>
        <v>0</v>
      </c>
      <c r="CI870">
        <f t="shared" si="274"/>
        <v>0</v>
      </c>
      <c r="CJ870">
        <f t="shared" si="275"/>
        <v>0</v>
      </c>
      <c r="CK870">
        <f t="shared" si="276"/>
        <v>0</v>
      </c>
      <c r="CL870">
        <f t="shared" si="277"/>
        <v>0</v>
      </c>
      <c r="CM870">
        <f t="shared" si="279"/>
        <v>0</v>
      </c>
      <c r="CN870">
        <f t="shared" si="278"/>
        <v>0</v>
      </c>
      <c r="CO870">
        <f t="shared" si="262"/>
        <v>0</v>
      </c>
    </row>
    <row r="871" spans="1:93" s="12" customFormat="1" hidden="1" x14ac:dyDescent="0.25">
      <c r="A871" s="4">
        <v>2013</v>
      </c>
      <c r="B871" s="315">
        <v>44265</v>
      </c>
      <c r="C871" s="4" t="s">
        <v>429</v>
      </c>
      <c r="D871" s="4" t="s">
        <v>430</v>
      </c>
      <c r="E871" s="4"/>
      <c r="F871" s="4" t="s">
        <v>1491</v>
      </c>
      <c r="G871" s="5" t="s">
        <v>431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+VLOOKUP(G871,Liste!$A$7:$G$69,3,FALSE)</f>
        <v>Sapin pectiné</v>
      </c>
      <c r="BI871" s="96" t="str">
        <f>+VLOOKUP(H871,Liste!$B$7:$G$69,5,FALSE)</f>
        <v>GS Arc Jurassien</v>
      </c>
      <c r="BJ871" s="135">
        <f t="shared" si="261"/>
        <v>101</v>
      </c>
      <c r="BK871" s="135" t="str">
        <f t="shared" si="263"/>
        <v>Sapin pectiné_F1_Cas général_GS Arc Jurassien_101_</v>
      </c>
      <c r="BL871" s="319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97" t="str">
        <f>+VLOOKUP(G871,Liste!$A$7:$H$69,8,FALSE)</f>
        <v>Résineux</v>
      </c>
      <c r="BU871" s="297">
        <f t="shared" si="264"/>
        <v>0</v>
      </c>
      <c r="BV871" s="299">
        <f t="shared" si="265"/>
        <v>1</v>
      </c>
      <c r="BW871" s="318">
        <v>0</v>
      </c>
      <c r="BX871" s="297">
        <f t="shared" si="266"/>
        <v>0.43</v>
      </c>
      <c r="BY871">
        <f t="shared" si="267"/>
        <v>0</v>
      </c>
      <c r="BZ871" s="303">
        <f t="shared" si="268"/>
        <v>0</v>
      </c>
      <c r="CB871" s="298">
        <v>0.6</v>
      </c>
      <c r="CC871" s="298">
        <v>0.4</v>
      </c>
      <c r="CD871">
        <f t="shared" si="269"/>
        <v>0</v>
      </c>
      <c r="CE871">
        <f t="shared" si="270"/>
        <v>0</v>
      </c>
      <c r="CF871">
        <f t="shared" si="271"/>
        <v>0</v>
      </c>
      <c r="CG871">
        <f t="shared" si="272"/>
        <v>0</v>
      </c>
      <c r="CH871">
        <f t="shared" si="273"/>
        <v>0</v>
      </c>
      <c r="CI871">
        <f t="shared" si="274"/>
        <v>0</v>
      </c>
      <c r="CJ871">
        <f t="shared" si="275"/>
        <v>0</v>
      </c>
      <c r="CK871">
        <f t="shared" si="276"/>
        <v>0</v>
      </c>
      <c r="CL871">
        <f t="shared" si="277"/>
        <v>0</v>
      </c>
      <c r="CM871">
        <f t="shared" si="279"/>
        <v>0</v>
      </c>
      <c r="CN871">
        <f t="shared" si="278"/>
        <v>0</v>
      </c>
      <c r="CO871">
        <f t="shared" si="262"/>
        <v>0</v>
      </c>
    </row>
    <row r="872" spans="1:93" s="12" customFormat="1" hidden="1" x14ac:dyDescent="0.25">
      <c r="A872" s="4">
        <v>2013</v>
      </c>
      <c r="B872" s="315">
        <v>44265</v>
      </c>
      <c r="C872" s="4" t="s">
        <v>429</v>
      </c>
      <c r="D872" s="4" t="s">
        <v>430</v>
      </c>
      <c r="E872" s="4"/>
      <c r="F872" s="4" t="s">
        <v>1491</v>
      </c>
      <c r="G872" s="5" t="s">
        <v>431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+VLOOKUP(G872,Liste!$A$7:$G$69,3,FALSE)</f>
        <v>Sapin pectiné</v>
      </c>
      <c r="BI872" s="96" t="str">
        <f>+VLOOKUP(H872,Liste!$B$7:$G$69,5,FALSE)</f>
        <v>GS Arc Jurassien</v>
      </c>
      <c r="BJ872" s="135">
        <f t="shared" si="261"/>
        <v>102</v>
      </c>
      <c r="BK872" s="135" t="str">
        <f t="shared" si="263"/>
        <v>Sapin pectiné_F1_Cas général_GS Arc Jurassien_102_</v>
      </c>
      <c r="BL872" s="319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97" t="str">
        <f>+VLOOKUP(G872,Liste!$A$7:$H$69,8,FALSE)</f>
        <v>Résineux</v>
      </c>
      <c r="BU872" s="297">
        <f t="shared" si="264"/>
        <v>0</v>
      </c>
      <c r="BV872" s="299">
        <f t="shared" si="265"/>
        <v>1</v>
      </c>
      <c r="BW872" s="318">
        <v>0</v>
      </c>
      <c r="BX872" s="297">
        <f t="shared" si="266"/>
        <v>0.43</v>
      </c>
      <c r="BY872">
        <f t="shared" si="267"/>
        <v>0</v>
      </c>
      <c r="BZ872" s="303">
        <f t="shared" si="268"/>
        <v>0</v>
      </c>
      <c r="CB872" s="298">
        <v>0.6</v>
      </c>
      <c r="CC872" s="298">
        <v>0.4</v>
      </c>
      <c r="CD872">
        <f t="shared" si="269"/>
        <v>0</v>
      </c>
      <c r="CE872">
        <f t="shared" si="270"/>
        <v>0</v>
      </c>
      <c r="CF872">
        <f t="shared" si="271"/>
        <v>0</v>
      </c>
      <c r="CG872">
        <f t="shared" si="272"/>
        <v>0</v>
      </c>
      <c r="CH872">
        <f t="shared" si="273"/>
        <v>0</v>
      </c>
      <c r="CI872">
        <f t="shared" si="274"/>
        <v>0</v>
      </c>
      <c r="CJ872">
        <f t="shared" si="275"/>
        <v>0</v>
      </c>
      <c r="CK872">
        <f t="shared" si="276"/>
        <v>0</v>
      </c>
      <c r="CL872">
        <f t="shared" si="277"/>
        <v>0</v>
      </c>
      <c r="CM872">
        <f t="shared" si="279"/>
        <v>0</v>
      </c>
      <c r="CN872">
        <f t="shared" si="278"/>
        <v>0</v>
      </c>
      <c r="CO872">
        <f t="shared" si="262"/>
        <v>0</v>
      </c>
    </row>
    <row r="873" spans="1:93" s="12" customFormat="1" hidden="1" x14ac:dyDescent="0.25">
      <c r="A873" s="4">
        <v>2013</v>
      </c>
      <c r="B873" s="315">
        <v>44265</v>
      </c>
      <c r="C873" s="4" t="s">
        <v>429</v>
      </c>
      <c r="D873" s="4" t="s">
        <v>430</v>
      </c>
      <c r="E873" s="4"/>
      <c r="F873" s="4" t="s">
        <v>1491</v>
      </c>
      <c r="G873" s="5" t="s">
        <v>431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+VLOOKUP(G873,Liste!$A$7:$G$69,3,FALSE)</f>
        <v>Sapin pectiné</v>
      </c>
      <c r="BI873" s="96" t="str">
        <f>+VLOOKUP(H873,Liste!$B$7:$G$69,5,FALSE)</f>
        <v>GS Arc Jurassien</v>
      </c>
      <c r="BJ873" s="135">
        <f t="shared" si="261"/>
        <v>103</v>
      </c>
      <c r="BK873" s="135" t="str">
        <f t="shared" si="263"/>
        <v>Sapin pectiné_F1_Cas général_GS Arc Jurassien_103_</v>
      </c>
      <c r="BL873" s="319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97" t="str">
        <f>+VLOOKUP(G873,Liste!$A$7:$H$69,8,FALSE)</f>
        <v>Résineux</v>
      </c>
      <c r="BU873" s="297">
        <f t="shared" si="264"/>
        <v>0</v>
      </c>
      <c r="BV873" s="299">
        <f t="shared" si="265"/>
        <v>1</v>
      </c>
      <c r="BW873" s="318">
        <v>0</v>
      </c>
      <c r="BX873" s="297">
        <f t="shared" si="266"/>
        <v>0.43</v>
      </c>
      <c r="BY873">
        <f t="shared" si="267"/>
        <v>0</v>
      </c>
      <c r="BZ873" s="303">
        <f t="shared" si="268"/>
        <v>0</v>
      </c>
      <c r="CB873" s="298">
        <v>0.6</v>
      </c>
      <c r="CC873" s="298">
        <v>0.4</v>
      </c>
      <c r="CD873">
        <f t="shared" si="269"/>
        <v>0</v>
      </c>
      <c r="CE873">
        <f t="shared" si="270"/>
        <v>0</v>
      </c>
      <c r="CF873">
        <f t="shared" si="271"/>
        <v>0</v>
      </c>
      <c r="CG873">
        <f t="shared" si="272"/>
        <v>0</v>
      </c>
      <c r="CH873">
        <f t="shared" si="273"/>
        <v>0</v>
      </c>
      <c r="CI873">
        <f t="shared" si="274"/>
        <v>0</v>
      </c>
      <c r="CJ873">
        <f t="shared" si="275"/>
        <v>0</v>
      </c>
      <c r="CK873">
        <f t="shared" si="276"/>
        <v>0</v>
      </c>
      <c r="CL873">
        <f t="shared" si="277"/>
        <v>0</v>
      </c>
      <c r="CM873">
        <f t="shared" si="279"/>
        <v>0</v>
      </c>
      <c r="CN873">
        <f t="shared" si="278"/>
        <v>0</v>
      </c>
      <c r="CO873">
        <f t="shared" si="262"/>
        <v>0</v>
      </c>
    </row>
    <row r="874" spans="1:93" s="12" customFormat="1" hidden="1" x14ac:dyDescent="0.25">
      <c r="A874" s="4">
        <v>2013</v>
      </c>
      <c r="B874" s="315">
        <v>44265</v>
      </c>
      <c r="C874" s="4" t="s">
        <v>429</v>
      </c>
      <c r="D874" s="4" t="s">
        <v>430</v>
      </c>
      <c r="E874" s="4"/>
      <c r="F874" s="4" t="s">
        <v>1491</v>
      </c>
      <c r="G874" s="5" t="s">
        <v>431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+VLOOKUP(G874,Liste!$A$7:$G$69,3,FALSE)</f>
        <v>Sapin pectiné</v>
      </c>
      <c r="BI874" s="96" t="str">
        <f>+VLOOKUP(H874,Liste!$B$7:$G$69,5,FALSE)</f>
        <v>GS Arc Jurassien</v>
      </c>
      <c r="BJ874" s="135">
        <f t="shared" si="261"/>
        <v>104</v>
      </c>
      <c r="BK874" s="135" t="str">
        <f t="shared" si="263"/>
        <v>Sapin pectiné_F1_Cas général_GS Arc Jurassien_104_</v>
      </c>
      <c r="BL874" s="319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97" t="str">
        <f>+VLOOKUP(G874,Liste!$A$7:$H$69,8,FALSE)</f>
        <v>Résineux</v>
      </c>
      <c r="BU874" s="297">
        <f t="shared" si="264"/>
        <v>0</v>
      </c>
      <c r="BV874" s="299">
        <f t="shared" si="265"/>
        <v>1</v>
      </c>
      <c r="BW874" s="318">
        <v>0</v>
      </c>
      <c r="BX874" s="297">
        <f t="shared" si="266"/>
        <v>0.43</v>
      </c>
      <c r="BY874">
        <f t="shared" si="267"/>
        <v>0</v>
      </c>
      <c r="BZ874" s="303">
        <f t="shared" si="268"/>
        <v>0</v>
      </c>
      <c r="CB874" s="298">
        <v>0.6</v>
      </c>
      <c r="CC874" s="298">
        <v>0.4</v>
      </c>
      <c r="CD874">
        <f t="shared" si="269"/>
        <v>0</v>
      </c>
      <c r="CE874">
        <f t="shared" si="270"/>
        <v>0</v>
      </c>
      <c r="CF874">
        <f t="shared" si="271"/>
        <v>0</v>
      </c>
      <c r="CG874">
        <f t="shared" si="272"/>
        <v>0</v>
      </c>
      <c r="CH874">
        <f t="shared" si="273"/>
        <v>0</v>
      </c>
      <c r="CI874">
        <f t="shared" si="274"/>
        <v>0</v>
      </c>
      <c r="CJ874">
        <f t="shared" si="275"/>
        <v>0</v>
      </c>
      <c r="CK874">
        <f t="shared" si="276"/>
        <v>0</v>
      </c>
      <c r="CL874">
        <f t="shared" si="277"/>
        <v>0</v>
      </c>
      <c r="CM874">
        <f t="shared" si="279"/>
        <v>0</v>
      </c>
      <c r="CN874">
        <f t="shared" si="278"/>
        <v>0</v>
      </c>
      <c r="CO874">
        <f t="shared" si="262"/>
        <v>0</v>
      </c>
    </row>
    <row r="875" spans="1:93" s="12" customFormat="1" hidden="1" x14ac:dyDescent="0.25">
      <c r="A875" s="4">
        <v>2013</v>
      </c>
      <c r="B875" s="315">
        <v>44265</v>
      </c>
      <c r="C875" s="4" t="s">
        <v>429</v>
      </c>
      <c r="D875" s="4" t="s">
        <v>430</v>
      </c>
      <c r="E875" s="4"/>
      <c r="F875" s="4" t="s">
        <v>1491</v>
      </c>
      <c r="G875" s="5" t="s">
        <v>431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+VLOOKUP(G875,Liste!$A$7:$G$69,3,FALSE)</f>
        <v>Sapin pectiné</v>
      </c>
      <c r="BI875" s="96" t="str">
        <f>+VLOOKUP(H875,Liste!$B$7:$G$69,5,FALSE)</f>
        <v>GS Arc Jurassien</v>
      </c>
      <c r="BJ875" s="135">
        <f t="shared" si="261"/>
        <v>105</v>
      </c>
      <c r="BK875" s="135" t="str">
        <f t="shared" si="263"/>
        <v>Sapin pectiné_F1_Cas général_GS Arc Jurassien_105_</v>
      </c>
      <c r="BL875" s="319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97" t="str">
        <f>+VLOOKUP(G875,Liste!$A$7:$H$69,8,FALSE)</f>
        <v>Résineux</v>
      </c>
      <c r="BU875" s="297">
        <f t="shared" si="264"/>
        <v>0</v>
      </c>
      <c r="BV875" s="299">
        <f t="shared" si="265"/>
        <v>1</v>
      </c>
      <c r="BW875" s="318">
        <v>0</v>
      </c>
      <c r="BX875" s="297">
        <f t="shared" si="266"/>
        <v>0.43</v>
      </c>
      <c r="BY875">
        <f t="shared" si="267"/>
        <v>0</v>
      </c>
      <c r="BZ875" s="303">
        <f t="shared" si="268"/>
        <v>0</v>
      </c>
      <c r="CB875" s="298">
        <v>0.6</v>
      </c>
      <c r="CC875" s="298">
        <v>0.4</v>
      </c>
      <c r="CD875">
        <f t="shared" si="269"/>
        <v>0</v>
      </c>
      <c r="CE875">
        <f t="shared" si="270"/>
        <v>0</v>
      </c>
      <c r="CF875">
        <f t="shared" si="271"/>
        <v>0</v>
      </c>
      <c r="CG875">
        <f t="shared" si="272"/>
        <v>0</v>
      </c>
      <c r="CH875">
        <f t="shared" si="273"/>
        <v>0</v>
      </c>
      <c r="CI875">
        <f t="shared" si="274"/>
        <v>0</v>
      </c>
      <c r="CJ875">
        <f t="shared" si="275"/>
        <v>0</v>
      </c>
      <c r="CK875">
        <f t="shared" si="276"/>
        <v>0</v>
      </c>
      <c r="CL875">
        <f t="shared" si="277"/>
        <v>0</v>
      </c>
      <c r="CM875">
        <f t="shared" si="279"/>
        <v>0</v>
      </c>
      <c r="CN875">
        <f t="shared" si="278"/>
        <v>0</v>
      </c>
      <c r="CO875">
        <f t="shared" si="262"/>
        <v>0</v>
      </c>
    </row>
    <row r="876" spans="1:93" s="12" customFormat="1" hidden="1" x14ac:dyDescent="0.25">
      <c r="A876" s="4">
        <v>2013</v>
      </c>
      <c r="B876" s="315">
        <v>44265</v>
      </c>
      <c r="C876" s="4" t="s">
        <v>429</v>
      </c>
      <c r="D876" s="4" t="s">
        <v>430</v>
      </c>
      <c r="E876" s="4"/>
      <c r="F876" s="4" t="s">
        <v>1491</v>
      </c>
      <c r="G876" s="5" t="s">
        <v>431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+VLOOKUP(G876,Liste!$A$7:$G$69,3,FALSE)</f>
        <v>Sapin pectiné</v>
      </c>
      <c r="BI876" s="96" t="str">
        <f>+VLOOKUP(H876,Liste!$B$7:$G$69,5,FALSE)</f>
        <v>GS Arc Jurassien</v>
      </c>
      <c r="BJ876" s="135">
        <f t="shared" si="261"/>
        <v>106</v>
      </c>
      <c r="BK876" s="135" t="str">
        <f t="shared" si="263"/>
        <v>Sapin pectiné_F1_Cas général_GS Arc Jurassien_106_</v>
      </c>
      <c r="BL876" s="319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97" t="str">
        <f>+VLOOKUP(G876,Liste!$A$7:$H$69,8,FALSE)</f>
        <v>Résineux</v>
      </c>
      <c r="BU876" s="297">
        <f t="shared" si="264"/>
        <v>0</v>
      </c>
      <c r="BV876" s="299">
        <f t="shared" si="265"/>
        <v>1</v>
      </c>
      <c r="BW876" s="318">
        <v>0</v>
      </c>
      <c r="BX876" s="297">
        <f t="shared" si="266"/>
        <v>0.43</v>
      </c>
      <c r="BY876">
        <f t="shared" si="267"/>
        <v>0</v>
      </c>
      <c r="BZ876" s="303">
        <f t="shared" si="268"/>
        <v>0</v>
      </c>
      <c r="CB876" s="298">
        <v>0.6</v>
      </c>
      <c r="CC876" s="298">
        <v>0.4</v>
      </c>
      <c r="CD876">
        <f t="shared" si="269"/>
        <v>0</v>
      </c>
      <c r="CE876">
        <f t="shared" si="270"/>
        <v>0</v>
      </c>
      <c r="CF876">
        <f t="shared" si="271"/>
        <v>0</v>
      </c>
      <c r="CG876">
        <f t="shared" si="272"/>
        <v>0</v>
      </c>
      <c r="CH876">
        <f t="shared" si="273"/>
        <v>0</v>
      </c>
      <c r="CI876">
        <f t="shared" si="274"/>
        <v>0</v>
      </c>
      <c r="CJ876">
        <f t="shared" si="275"/>
        <v>0</v>
      </c>
      <c r="CK876">
        <f t="shared" si="276"/>
        <v>0</v>
      </c>
      <c r="CL876">
        <f t="shared" si="277"/>
        <v>0</v>
      </c>
      <c r="CM876">
        <f t="shared" si="279"/>
        <v>0</v>
      </c>
      <c r="CN876">
        <f t="shared" si="278"/>
        <v>0</v>
      </c>
      <c r="CO876">
        <f t="shared" si="262"/>
        <v>0</v>
      </c>
    </row>
    <row r="877" spans="1:93" s="12" customFormat="1" hidden="1" x14ac:dyDescent="0.25">
      <c r="A877" s="4">
        <v>2013</v>
      </c>
      <c r="B877" s="315">
        <v>44265</v>
      </c>
      <c r="C877" s="4" t="s">
        <v>429</v>
      </c>
      <c r="D877" s="4" t="s">
        <v>430</v>
      </c>
      <c r="E877" s="4"/>
      <c r="F877" s="4" t="s">
        <v>1491</v>
      </c>
      <c r="G877" s="5" t="s">
        <v>431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+VLOOKUP(G877,Liste!$A$7:$G$69,3,FALSE)</f>
        <v>Sapin pectiné</v>
      </c>
      <c r="BI877" s="96" t="str">
        <f>+VLOOKUP(H877,Liste!$B$7:$G$69,5,FALSE)</f>
        <v>GS Arc Jurassien</v>
      </c>
      <c r="BJ877" s="135">
        <f t="shared" si="261"/>
        <v>107</v>
      </c>
      <c r="BK877" s="135" t="str">
        <f t="shared" si="263"/>
        <v>Sapin pectiné_F1_Cas général_GS Arc Jurassien_107_</v>
      </c>
      <c r="BL877" s="319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97" t="str">
        <f>+VLOOKUP(G877,Liste!$A$7:$H$69,8,FALSE)</f>
        <v>Résineux</v>
      </c>
      <c r="BU877" s="297">
        <f t="shared" si="264"/>
        <v>0</v>
      </c>
      <c r="BV877" s="299">
        <f t="shared" si="265"/>
        <v>1</v>
      </c>
      <c r="BW877" s="318">
        <v>0</v>
      </c>
      <c r="BX877" s="297">
        <f t="shared" si="266"/>
        <v>0.43</v>
      </c>
      <c r="BY877">
        <f t="shared" si="267"/>
        <v>0</v>
      </c>
      <c r="BZ877" s="303">
        <f t="shared" si="268"/>
        <v>0</v>
      </c>
      <c r="CB877" s="298">
        <v>0.6</v>
      </c>
      <c r="CC877" s="298">
        <v>0.4</v>
      </c>
      <c r="CD877">
        <f t="shared" si="269"/>
        <v>0</v>
      </c>
      <c r="CE877">
        <f t="shared" si="270"/>
        <v>0</v>
      </c>
      <c r="CF877">
        <f t="shared" si="271"/>
        <v>0</v>
      </c>
      <c r="CG877">
        <f t="shared" si="272"/>
        <v>0</v>
      </c>
      <c r="CH877">
        <f t="shared" si="273"/>
        <v>0</v>
      </c>
      <c r="CI877">
        <f t="shared" si="274"/>
        <v>0</v>
      </c>
      <c r="CJ877">
        <f t="shared" si="275"/>
        <v>0</v>
      </c>
      <c r="CK877">
        <f t="shared" si="276"/>
        <v>0</v>
      </c>
      <c r="CL877">
        <f t="shared" si="277"/>
        <v>0</v>
      </c>
      <c r="CM877">
        <f t="shared" si="279"/>
        <v>0</v>
      </c>
      <c r="CN877">
        <f t="shared" si="278"/>
        <v>0</v>
      </c>
      <c r="CO877">
        <f t="shared" si="262"/>
        <v>0</v>
      </c>
    </row>
    <row r="878" spans="1:93" s="12" customFormat="1" hidden="1" x14ac:dyDescent="0.25">
      <c r="A878" s="4">
        <v>2013</v>
      </c>
      <c r="B878" s="315">
        <v>44265</v>
      </c>
      <c r="C878" s="4" t="s">
        <v>429</v>
      </c>
      <c r="D878" s="4" t="s">
        <v>430</v>
      </c>
      <c r="E878" s="4"/>
      <c r="F878" s="4" t="s">
        <v>1491</v>
      </c>
      <c r="G878" s="5" t="s">
        <v>431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+VLOOKUP(G878,Liste!$A$7:$G$69,3,FALSE)</f>
        <v>Sapin pectiné</v>
      </c>
      <c r="BI878" s="96" t="str">
        <f>+VLOOKUP(H878,Liste!$B$7:$G$69,5,FALSE)</f>
        <v>GS Arc Jurassien</v>
      </c>
      <c r="BJ878" s="135">
        <f t="shared" si="261"/>
        <v>107</v>
      </c>
      <c r="BK878" s="135" t="str">
        <f t="shared" si="263"/>
        <v>Sapin pectiné_F1_Cas général_GS Arc Jurassien_107_</v>
      </c>
      <c r="BL878" s="319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97" t="str">
        <f>+VLOOKUP(G878,Liste!$A$7:$H$69,8,FALSE)</f>
        <v>Résineux</v>
      </c>
      <c r="BU878" s="297">
        <f t="shared" si="264"/>
        <v>0</v>
      </c>
      <c r="BV878" s="299">
        <f t="shared" si="265"/>
        <v>1</v>
      </c>
      <c r="BW878" s="318">
        <v>0</v>
      </c>
      <c r="BX878" s="297">
        <f t="shared" si="266"/>
        <v>0.43</v>
      </c>
      <c r="BY878">
        <f t="shared" si="267"/>
        <v>0</v>
      </c>
      <c r="BZ878" s="303">
        <f t="shared" si="268"/>
        <v>0</v>
      </c>
      <c r="CB878" s="298">
        <v>0.6</v>
      </c>
      <c r="CC878" s="298">
        <v>0.4</v>
      </c>
      <c r="CD878">
        <f t="shared" si="269"/>
        <v>0</v>
      </c>
      <c r="CE878">
        <f t="shared" si="270"/>
        <v>0</v>
      </c>
      <c r="CF878">
        <f t="shared" si="271"/>
        <v>0</v>
      </c>
      <c r="CG878">
        <f t="shared" si="272"/>
        <v>0</v>
      </c>
      <c r="CH878">
        <f t="shared" si="273"/>
        <v>0</v>
      </c>
      <c r="CI878">
        <f t="shared" si="274"/>
        <v>0</v>
      </c>
      <c r="CJ878">
        <f t="shared" si="275"/>
        <v>0</v>
      </c>
      <c r="CK878">
        <f t="shared" si="276"/>
        <v>0</v>
      </c>
      <c r="CL878">
        <f t="shared" si="277"/>
        <v>0</v>
      </c>
      <c r="CM878">
        <f t="shared" si="279"/>
        <v>0</v>
      </c>
      <c r="CN878">
        <f t="shared" si="278"/>
        <v>0</v>
      </c>
      <c r="CO878">
        <f t="shared" si="262"/>
        <v>0</v>
      </c>
    </row>
    <row r="879" spans="1:93" s="12" customFormat="1" hidden="1" x14ac:dyDescent="0.25">
      <c r="A879" s="4">
        <v>2013</v>
      </c>
      <c r="B879" s="315">
        <v>44265</v>
      </c>
      <c r="C879" s="4" t="s">
        <v>429</v>
      </c>
      <c r="D879" s="4" t="s">
        <v>430</v>
      </c>
      <c r="E879" s="4"/>
      <c r="F879" s="4" t="s">
        <v>1491</v>
      </c>
      <c r="G879" s="5" t="s">
        <v>431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+VLOOKUP(G879,Liste!$A$7:$G$69,3,FALSE)</f>
        <v>Sapin pectiné</v>
      </c>
      <c r="BI879" s="96" t="str">
        <f>+VLOOKUP(H879,Liste!$B$7:$G$69,5,FALSE)</f>
        <v>GS Arc Jurassien</v>
      </c>
      <c r="BJ879" s="135">
        <f t="shared" si="261"/>
        <v>108</v>
      </c>
      <c r="BK879" s="135" t="str">
        <f t="shared" si="263"/>
        <v>Sapin pectiné_F1_Cas général_GS Arc Jurassien_108_</v>
      </c>
      <c r="BL879" s="319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97" t="str">
        <f>+VLOOKUP(G879,Liste!$A$7:$H$69,8,FALSE)</f>
        <v>Résineux</v>
      </c>
      <c r="BU879" s="297">
        <f t="shared" si="264"/>
        <v>0</v>
      </c>
      <c r="BV879" s="299">
        <f t="shared" si="265"/>
        <v>1</v>
      </c>
      <c r="BW879" s="318">
        <v>0</v>
      </c>
      <c r="BX879" s="297">
        <f t="shared" si="266"/>
        <v>0.43</v>
      </c>
      <c r="BY879">
        <f t="shared" si="267"/>
        <v>0</v>
      </c>
      <c r="BZ879" s="303">
        <f t="shared" si="268"/>
        <v>0</v>
      </c>
      <c r="CB879" s="298">
        <v>0.6</v>
      </c>
      <c r="CC879" s="298">
        <v>0.4</v>
      </c>
      <c r="CD879">
        <f t="shared" si="269"/>
        <v>0</v>
      </c>
      <c r="CE879">
        <f t="shared" si="270"/>
        <v>0</v>
      </c>
      <c r="CF879">
        <f t="shared" si="271"/>
        <v>0</v>
      </c>
      <c r="CG879">
        <f t="shared" si="272"/>
        <v>0</v>
      </c>
      <c r="CH879">
        <f t="shared" si="273"/>
        <v>0</v>
      </c>
      <c r="CI879">
        <f t="shared" si="274"/>
        <v>0</v>
      </c>
      <c r="CJ879">
        <f t="shared" si="275"/>
        <v>0</v>
      </c>
      <c r="CK879">
        <f t="shared" si="276"/>
        <v>0</v>
      </c>
      <c r="CL879">
        <f t="shared" si="277"/>
        <v>0</v>
      </c>
      <c r="CM879">
        <f t="shared" si="279"/>
        <v>0</v>
      </c>
      <c r="CN879">
        <f t="shared" si="278"/>
        <v>0</v>
      </c>
      <c r="CO879">
        <f t="shared" si="262"/>
        <v>0</v>
      </c>
    </row>
    <row r="880" spans="1:93" s="12" customFormat="1" hidden="1" x14ac:dyDescent="0.25">
      <c r="A880" s="4">
        <v>2013</v>
      </c>
      <c r="B880" s="315">
        <v>44265</v>
      </c>
      <c r="C880" s="4" t="s">
        <v>429</v>
      </c>
      <c r="D880" s="4" t="s">
        <v>430</v>
      </c>
      <c r="E880" s="4"/>
      <c r="F880" s="4" t="s">
        <v>1491</v>
      </c>
      <c r="G880" s="5" t="s">
        <v>431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+VLOOKUP(G880,Liste!$A$7:$G$69,3,FALSE)</f>
        <v>Sapin pectiné</v>
      </c>
      <c r="BI880" s="96" t="str">
        <f>+VLOOKUP(H880,Liste!$B$7:$G$69,5,FALSE)</f>
        <v>GS Arc Jurassien</v>
      </c>
      <c r="BJ880" s="135">
        <f t="shared" si="261"/>
        <v>109</v>
      </c>
      <c r="BK880" s="135" t="str">
        <f t="shared" si="263"/>
        <v>Sapin pectiné_F1_Cas général_GS Arc Jurassien_109_</v>
      </c>
      <c r="BL880" s="319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97" t="str">
        <f>+VLOOKUP(G880,Liste!$A$7:$H$69,8,FALSE)</f>
        <v>Résineux</v>
      </c>
      <c r="BU880" s="297">
        <f t="shared" si="264"/>
        <v>0</v>
      </c>
      <c r="BV880" s="299">
        <f t="shared" si="265"/>
        <v>1</v>
      </c>
      <c r="BW880" s="318">
        <v>0</v>
      </c>
      <c r="BX880" s="297">
        <f t="shared" si="266"/>
        <v>0.43</v>
      </c>
      <c r="BY880">
        <f t="shared" si="267"/>
        <v>0</v>
      </c>
      <c r="BZ880" s="303">
        <f t="shared" si="268"/>
        <v>0</v>
      </c>
      <c r="CB880" s="298">
        <v>0.6</v>
      </c>
      <c r="CC880" s="298">
        <v>0.4</v>
      </c>
      <c r="CD880">
        <f t="shared" si="269"/>
        <v>0</v>
      </c>
      <c r="CE880">
        <f t="shared" si="270"/>
        <v>0</v>
      </c>
      <c r="CF880">
        <f t="shared" si="271"/>
        <v>0</v>
      </c>
      <c r="CG880">
        <f t="shared" si="272"/>
        <v>0</v>
      </c>
      <c r="CH880">
        <f t="shared" si="273"/>
        <v>0</v>
      </c>
      <c r="CI880">
        <f t="shared" si="274"/>
        <v>0</v>
      </c>
      <c r="CJ880">
        <f t="shared" si="275"/>
        <v>0</v>
      </c>
      <c r="CK880">
        <f t="shared" si="276"/>
        <v>0</v>
      </c>
      <c r="CL880">
        <f t="shared" si="277"/>
        <v>0</v>
      </c>
      <c r="CM880">
        <f t="shared" si="279"/>
        <v>0</v>
      </c>
      <c r="CN880">
        <f t="shared" si="278"/>
        <v>0</v>
      </c>
      <c r="CO880">
        <f t="shared" si="262"/>
        <v>0</v>
      </c>
    </row>
    <row r="881" spans="1:93" s="12" customFormat="1" hidden="1" x14ac:dyDescent="0.25">
      <c r="A881" s="4">
        <v>2013</v>
      </c>
      <c r="B881" s="315">
        <v>44265</v>
      </c>
      <c r="C881" s="4" t="s">
        <v>429</v>
      </c>
      <c r="D881" s="4" t="s">
        <v>430</v>
      </c>
      <c r="E881" s="4"/>
      <c r="F881" s="4" t="s">
        <v>1491</v>
      </c>
      <c r="G881" s="5" t="s">
        <v>431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+VLOOKUP(G881,Liste!$A$7:$G$69,3,FALSE)</f>
        <v>Sapin pectiné</v>
      </c>
      <c r="BI881" s="96" t="str">
        <f>+VLOOKUP(H881,Liste!$B$7:$G$69,5,FALSE)</f>
        <v>GS Arc Jurassien</v>
      </c>
      <c r="BJ881" s="135">
        <f t="shared" si="261"/>
        <v>110</v>
      </c>
      <c r="BK881" s="135" t="str">
        <f t="shared" si="263"/>
        <v>Sapin pectiné_F1_Cas général_GS Arc Jurassien_110_</v>
      </c>
      <c r="BL881" s="319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97" t="str">
        <f>+VLOOKUP(G881,Liste!$A$7:$H$69,8,FALSE)</f>
        <v>Résineux</v>
      </c>
      <c r="BU881" s="297">
        <f t="shared" si="264"/>
        <v>0</v>
      </c>
      <c r="BV881" s="299">
        <f t="shared" si="265"/>
        <v>1</v>
      </c>
      <c r="BW881" s="318">
        <v>0</v>
      </c>
      <c r="BX881" s="297">
        <f t="shared" si="266"/>
        <v>0.43</v>
      </c>
      <c r="BY881">
        <f t="shared" si="267"/>
        <v>0</v>
      </c>
      <c r="BZ881" s="303">
        <f t="shared" si="268"/>
        <v>0</v>
      </c>
      <c r="CB881" s="298">
        <v>0.6</v>
      </c>
      <c r="CC881" s="298">
        <v>0.4</v>
      </c>
      <c r="CD881">
        <f t="shared" si="269"/>
        <v>0</v>
      </c>
      <c r="CE881">
        <f t="shared" si="270"/>
        <v>0</v>
      </c>
      <c r="CF881">
        <f t="shared" si="271"/>
        <v>0</v>
      </c>
      <c r="CG881">
        <f t="shared" si="272"/>
        <v>0</v>
      </c>
      <c r="CH881">
        <f t="shared" si="273"/>
        <v>0</v>
      </c>
      <c r="CI881">
        <f t="shared" si="274"/>
        <v>0</v>
      </c>
      <c r="CJ881">
        <f t="shared" si="275"/>
        <v>0</v>
      </c>
      <c r="CK881">
        <f t="shared" si="276"/>
        <v>0</v>
      </c>
      <c r="CL881">
        <f t="shared" si="277"/>
        <v>0</v>
      </c>
      <c r="CM881">
        <f t="shared" si="279"/>
        <v>0</v>
      </c>
      <c r="CN881">
        <f t="shared" si="278"/>
        <v>0</v>
      </c>
      <c r="CO881">
        <f t="shared" si="262"/>
        <v>0</v>
      </c>
    </row>
    <row r="882" spans="1:93" s="12" customFormat="1" hidden="1" x14ac:dyDescent="0.25">
      <c r="A882" s="4">
        <v>2013</v>
      </c>
      <c r="B882" s="315">
        <v>44265</v>
      </c>
      <c r="C882" s="4" t="s">
        <v>429</v>
      </c>
      <c r="D882" s="4" t="s">
        <v>430</v>
      </c>
      <c r="E882" s="4"/>
      <c r="F882" s="4" t="s">
        <v>1491</v>
      </c>
      <c r="G882" s="5" t="s">
        <v>431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+VLOOKUP(G882,Liste!$A$7:$G$69,3,FALSE)</f>
        <v>Sapin pectiné</v>
      </c>
      <c r="BI882" s="96" t="str">
        <f>+VLOOKUP(H882,Liste!$B$7:$G$69,5,FALSE)</f>
        <v>GS Arc Jurassien</v>
      </c>
      <c r="BJ882" s="135">
        <f t="shared" si="261"/>
        <v>111</v>
      </c>
      <c r="BK882" s="135" t="str">
        <f t="shared" si="263"/>
        <v>Sapin pectiné_F1_Cas général_GS Arc Jurassien_111_</v>
      </c>
      <c r="BL882" s="319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97" t="str">
        <f>+VLOOKUP(G882,Liste!$A$7:$H$69,8,FALSE)</f>
        <v>Résineux</v>
      </c>
      <c r="BU882" s="297">
        <f t="shared" si="264"/>
        <v>0</v>
      </c>
      <c r="BV882" s="299">
        <f t="shared" si="265"/>
        <v>1</v>
      </c>
      <c r="BW882" s="318">
        <v>0</v>
      </c>
      <c r="BX882" s="297">
        <f t="shared" si="266"/>
        <v>0.43</v>
      </c>
      <c r="BY882">
        <f t="shared" si="267"/>
        <v>0</v>
      </c>
      <c r="BZ882" s="303">
        <f t="shared" si="268"/>
        <v>0</v>
      </c>
      <c r="CB882" s="298">
        <v>0.6</v>
      </c>
      <c r="CC882" s="298">
        <v>0.4</v>
      </c>
      <c r="CD882">
        <f t="shared" si="269"/>
        <v>0</v>
      </c>
      <c r="CE882">
        <f t="shared" si="270"/>
        <v>0</v>
      </c>
      <c r="CF882">
        <f t="shared" si="271"/>
        <v>0</v>
      </c>
      <c r="CG882">
        <f t="shared" si="272"/>
        <v>0</v>
      </c>
      <c r="CH882">
        <f t="shared" si="273"/>
        <v>0</v>
      </c>
      <c r="CI882">
        <f t="shared" si="274"/>
        <v>0</v>
      </c>
      <c r="CJ882">
        <f t="shared" si="275"/>
        <v>0</v>
      </c>
      <c r="CK882">
        <f t="shared" si="276"/>
        <v>0</v>
      </c>
      <c r="CL882">
        <f t="shared" si="277"/>
        <v>0</v>
      </c>
      <c r="CM882">
        <f t="shared" si="279"/>
        <v>0</v>
      </c>
      <c r="CN882">
        <f t="shared" si="278"/>
        <v>0</v>
      </c>
      <c r="CO882">
        <f t="shared" si="262"/>
        <v>0</v>
      </c>
    </row>
    <row r="883" spans="1:93" s="12" customFormat="1" hidden="1" x14ac:dyDescent="0.25">
      <c r="A883" s="4">
        <v>2013</v>
      </c>
      <c r="B883" s="315">
        <v>44265</v>
      </c>
      <c r="C883" s="4" t="s">
        <v>429</v>
      </c>
      <c r="D883" s="4" t="s">
        <v>430</v>
      </c>
      <c r="E883" s="4"/>
      <c r="F883" s="4" t="s">
        <v>1491</v>
      </c>
      <c r="G883" s="5" t="s">
        <v>431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+VLOOKUP(G883,Liste!$A$7:$G$69,3,FALSE)</f>
        <v>Sapin pectiné</v>
      </c>
      <c r="BI883" s="96" t="str">
        <f>+VLOOKUP(H883,Liste!$B$7:$G$69,5,FALSE)</f>
        <v>GS Arc Jurassien</v>
      </c>
      <c r="BJ883" s="135">
        <f t="shared" si="261"/>
        <v>112</v>
      </c>
      <c r="BK883" s="135" t="str">
        <f t="shared" si="263"/>
        <v>Sapin pectiné_F1_Cas général_GS Arc Jurassien_112_</v>
      </c>
      <c r="BL883" s="319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97" t="str">
        <f>+VLOOKUP(G883,Liste!$A$7:$H$69,8,FALSE)</f>
        <v>Résineux</v>
      </c>
      <c r="BU883" s="297">
        <f t="shared" si="264"/>
        <v>0</v>
      </c>
      <c r="BV883" s="299">
        <f t="shared" si="265"/>
        <v>1</v>
      </c>
      <c r="BW883" s="318">
        <v>0</v>
      </c>
      <c r="BX883" s="297">
        <f t="shared" si="266"/>
        <v>0.43</v>
      </c>
      <c r="BY883">
        <f t="shared" si="267"/>
        <v>0</v>
      </c>
      <c r="BZ883" s="303">
        <f t="shared" si="268"/>
        <v>0</v>
      </c>
      <c r="CB883" s="298">
        <v>0.6</v>
      </c>
      <c r="CC883" s="298">
        <v>0.4</v>
      </c>
      <c r="CD883">
        <f t="shared" si="269"/>
        <v>0</v>
      </c>
      <c r="CE883">
        <f t="shared" si="270"/>
        <v>0</v>
      </c>
      <c r="CF883">
        <f t="shared" si="271"/>
        <v>0</v>
      </c>
      <c r="CG883">
        <f t="shared" si="272"/>
        <v>0</v>
      </c>
      <c r="CH883">
        <f t="shared" si="273"/>
        <v>0</v>
      </c>
      <c r="CI883">
        <f t="shared" si="274"/>
        <v>0</v>
      </c>
      <c r="CJ883">
        <f t="shared" si="275"/>
        <v>0</v>
      </c>
      <c r="CK883">
        <f t="shared" si="276"/>
        <v>0</v>
      </c>
      <c r="CL883">
        <f t="shared" si="277"/>
        <v>0</v>
      </c>
      <c r="CM883">
        <f t="shared" si="279"/>
        <v>0</v>
      </c>
      <c r="CN883">
        <f t="shared" si="278"/>
        <v>0</v>
      </c>
      <c r="CO883">
        <f t="shared" si="262"/>
        <v>0</v>
      </c>
    </row>
    <row r="884" spans="1:93" s="12" customFormat="1" hidden="1" x14ac:dyDescent="0.25">
      <c r="A884" s="4">
        <v>2013</v>
      </c>
      <c r="B884" s="315">
        <v>44265</v>
      </c>
      <c r="C884" s="4" t="s">
        <v>429</v>
      </c>
      <c r="D884" s="4" t="s">
        <v>430</v>
      </c>
      <c r="E884" s="4"/>
      <c r="F884" s="4" t="s">
        <v>1491</v>
      </c>
      <c r="G884" s="5" t="s">
        <v>431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+VLOOKUP(G884,Liste!$A$7:$G$69,3,FALSE)</f>
        <v>Sapin pectiné</v>
      </c>
      <c r="BI884" s="96" t="str">
        <f>+VLOOKUP(H884,Liste!$B$7:$G$69,5,FALSE)</f>
        <v>GS Arc Jurassien</v>
      </c>
      <c r="BJ884" s="135">
        <f t="shared" si="261"/>
        <v>113</v>
      </c>
      <c r="BK884" s="135" t="str">
        <f t="shared" si="263"/>
        <v>Sapin pectiné_F1_Cas général_GS Arc Jurassien_113_</v>
      </c>
      <c r="BL884" s="319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97" t="str">
        <f>+VLOOKUP(G884,Liste!$A$7:$H$69,8,FALSE)</f>
        <v>Résineux</v>
      </c>
      <c r="BU884" s="297">
        <f t="shared" si="264"/>
        <v>0</v>
      </c>
      <c r="BV884" s="299">
        <f t="shared" si="265"/>
        <v>1</v>
      </c>
      <c r="BW884" s="318">
        <v>0</v>
      </c>
      <c r="BX884" s="297">
        <f t="shared" si="266"/>
        <v>0.43</v>
      </c>
      <c r="BY884">
        <f t="shared" si="267"/>
        <v>0</v>
      </c>
      <c r="BZ884" s="303">
        <f t="shared" si="268"/>
        <v>0</v>
      </c>
      <c r="CB884" s="298">
        <v>0.6</v>
      </c>
      <c r="CC884" s="298">
        <v>0.4</v>
      </c>
      <c r="CD884">
        <f t="shared" si="269"/>
        <v>0</v>
      </c>
      <c r="CE884">
        <f t="shared" si="270"/>
        <v>0</v>
      </c>
      <c r="CF884">
        <f t="shared" si="271"/>
        <v>0</v>
      </c>
      <c r="CG884">
        <f t="shared" si="272"/>
        <v>0</v>
      </c>
      <c r="CH884">
        <f t="shared" si="273"/>
        <v>0</v>
      </c>
      <c r="CI884">
        <f t="shared" si="274"/>
        <v>0</v>
      </c>
      <c r="CJ884">
        <f t="shared" si="275"/>
        <v>0</v>
      </c>
      <c r="CK884">
        <f t="shared" si="276"/>
        <v>0</v>
      </c>
      <c r="CL884">
        <f t="shared" si="277"/>
        <v>0</v>
      </c>
      <c r="CM884">
        <f t="shared" si="279"/>
        <v>0</v>
      </c>
      <c r="CN884">
        <f t="shared" si="278"/>
        <v>0</v>
      </c>
      <c r="CO884">
        <f t="shared" si="262"/>
        <v>0</v>
      </c>
    </row>
    <row r="885" spans="1:93" s="12" customFormat="1" hidden="1" x14ac:dyDescent="0.25">
      <c r="A885" s="4">
        <v>2013</v>
      </c>
      <c r="B885" s="315">
        <v>44265</v>
      </c>
      <c r="C885" s="4" t="s">
        <v>429</v>
      </c>
      <c r="D885" s="4" t="s">
        <v>430</v>
      </c>
      <c r="E885" s="4"/>
      <c r="F885" s="4" t="s">
        <v>1491</v>
      </c>
      <c r="G885" s="5" t="s">
        <v>431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+VLOOKUP(G885,Liste!$A$7:$G$69,3,FALSE)</f>
        <v>Sapin pectiné</v>
      </c>
      <c r="BI885" s="96" t="str">
        <f>+VLOOKUP(H885,Liste!$B$7:$G$69,5,FALSE)</f>
        <v>GS Arc Jurassien</v>
      </c>
      <c r="BJ885" s="135">
        <f t="shared" si="261"/>
        <v>114</v>
      </c>
      <c r="BK885" s="135" t="str">
        <f t="shared" si="263"/>
        <v>Sapin pectiné_F1_Cas général_GS Arc Jurassien_114_</v>
      </c>
      <c r="BL885" s="319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97" t="str">
        <f>+VLOOKUP(G885,Liste!$A$7:$H$69,8,FALSE)</f>
        <v>Résineux</v>
      </c>
      <c r="BU885" s="297">
        <f t="shared" si="264"/>
        <v>0</v>
      </c>
      <c r="BV885" s="299">
        <f t="shared" si="265"/>
        <v>1</v>
      </c>
      <c r="BW885" s="318">
        <v>0</v>
      </c>
      <c r="BX885" s="297">
        <f t="shared" si="266"/>
        <v>0.43</v>
      </c>
      <c r="BY885">
        <f t="shared" si="267"/>
        <v>0</v>
      </c>
      <c r="BZ885" s="303">
        <f t="shared" si="268"/>
        <v>0</v>
      </c>
      <c r="CB885" s="298">
        <v>0.6</v>
      </c>
      <c r="CC885" s="298">
        <v>0.4</v>
      </c>
      <c r="CD885">
        <f t="shared" si="269"/>
        <v>0</v>
      </c>
      <c r="CE885">
        <f t="shared" si="270"/>
        <v>0</v>
      </c>
      <c r="CF885">
        <f t="shared" si="271"/>
        <v>0</v>
      </c>
      <c r="CG885">
        <f t="shared" si="272"/>
        <v>0</v>
      </c>
      <c r="CH885">
        <f t="shared" si="273"/>
        <v>0</v>
      </c>
      <c r="CI885">
        <f t="shared" si="274"/>
        <v>0</v>
      </c>
      <c r="CJ885">
        <f t="shared" si="275"/>
        <v>0</v>
      </c>
      <c r="CK885">
        <f t="shared" si="276"/>
        <v>0</v>
      </c>
      <c r="CL885">
        <f t="shared" si="277"/>
        <v>0</v>
      </c>
      <c r="CM885">
        <f t="shared" si="279"/>
        <v>0</v>
      </c>
      <c r="CN885">
        <f t="shared" si="278"/>
        <v>0</v>
      </c>
      <c r="CO885">
        <f t="shared" si="262"/>
        <v>0</v>
      </c>
    </row>
    <row r="886" spans="1:93" s="12" customFormat="1" hidden="1" x14ac:dyDescent="0.25">
      <c r="A886" s="4">
        <v>2013</v>
      </c>
      <c r="B886" s="315">
        <v>44265</v>
      </c>
      <c r="C886" s="4" t="s">
        <v>429</v>
      </c>
      <c r="D886" s="4" t="s">
        <v>430</v>
      </c>
      <c r="E886" s="4"/>
      <c r="F886" s="4" t="s">
        <v>1491</v>
      </c>
      <c r="G886" s="5" t="s">
        <v>431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+VLOOKUP(G886,Liste!$A$7:$G$69,3,FALSE)</f>
        <v>Sapin pectiné</v>
      </c>
      <c r="BI886" s="96" t="str">
        <f>+VLOOKUP(H886,Liste!$B$7:$G$69,5,FALSE)</f>
        <v>GS Arc Jurassien</v>
      </c>
      <c r="BJ886" s="135">
        <f t="shared" si="261"/>
        <v>115</v>
      </c>
      <c r="BK886" s="135" t="str">
        <f t="shared" si="263"/>
        <v>Sapin pectiné_F1_Cas général_GS Arc Jurassien_115_</v>
      </c>
      <c r="BL886" s="319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97" t="str">
        <f>+VLOOKUP(G886,Liste!$A$7:$H$69,8,FALSE)</f>
        <v>Résineux</v>
      </c>
      <c r="BU886" s="297">
        <f t="shared" si="264"/>
        <v>0</v>
      </c>
      <c r="BV886" s="299">
        <f t="shared" si="265"/>
        <v>1</v>
      </c>
      <c r="BW886" s="318">
        <v>0</v>
      </c>
      <c r="BX886" s="297">
        <f t="shared" si="266"/>
        <v>0.43</v>
      </c>
      <c r="BY886">
        <f t="shared" si="267"/>
        <v>0</v>
      </c>
      <c r="BZ886" s="303">
        <f t="shared" si="268"/>
        <v>0</v>
      </c>
      <c r="CB886" s="298">
        <v>0.6</v>
      </c>
      <c r="CC886" s="298">
        <v>0.4</v>
      </c>
      <c r="CD886">
        <f t="shared" si="269"/>
        <v>0</v>
      </c>
      <c r="CE886">
        <f t="shared" si="270"/>
        <v>0</v>
      </c>
      <c r="CF886">
        <f t="shared" si="271"/>
        <v>0</v>
      </c>
      <c r="CG886">
        <f t="shared" si="272"/>
        <v>0</v>
      </c>
      <c r="CH886">
        <f t="shared" si="273"/>
        <v>0</v>
      </c>
      <c r="CI886">
        <f t="shared" si="274"/>
        <v>0</v>
      </c>
      <c r="CJ886">
        <f t="shared" si="275"/>
        <v>0</v>
      </c>
      <c r="CK886">
        <f t="shared" si="276"/>
        <v>0</v>
      </c>
      <c r="CL886">
        <f t="shared" si="277"/>
        <v>0</v>
      </c>
      <c r="CM886">
        <f t="shared" si="279"/>
        <v>0</v>
      </c>
      <c r="CN886">
        <f t="shared" si="278"/>
        <v>0</v>
      </c>
      <c r="CO886">
        <f t="shared" si="262"/>
        <v>0</v>
      </c>
    </row>
    <row r="887" spans="1:93" s="12" customFormat="1" hidden="1" x14ac:dyDescent="0.25">
      <c r="A887" s="4">
        <v>2013</v>
      </c>
      <c r="B887" s="315">
        <v>44265</v>
      </c>
      <c r="C887" s="4" t="s">
        <v>429</v>
      </c>
      <c r="D887" s="4" t="s">
        <v>430</v>
      </c>
      <c r="E887" s="4"/>
      <c r="F887" s="4" t="s">
        <v>1491</v>
      </c>
      <c r="G887" s="5" t="s">
        <v>431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+VLOOKUP(G887,Liste!$A$7:$G$69,3,FALSE)</f>
        <v>Sapin pectiné</v>
      </c>
      <c r="BI887" s="96" t="str">
        <f>+VLOOKUP(H887,Liste!$B$7:$G$69,5,FALSE)</f>
        <v>GS Arc Jurassien</v>
      </c>
      <c r="BJ887" s="135">
        <f t="shared" si="261"/>
        <v>116</v>
      </c>
      <c r="BK887" s="135" t="str">
        <f t="shared" si="263"/>
        <v>Sapin pectiné_F1_Cas général_GS Arc Jurassien_116_</v>
      </c>
      <c r="BL887" s="319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97" t="str">
        <f>+VLOOKUP(G887,Liste!$A$7:$H$69,8,FALSE)</f>
        <v>Résineux</v>
      </c>
      <c r="BU887" s="297">
        <f t="shared" si="264"/>
        <v>0</v>
      </c>
      <c r="BV887" s="299">
        <f t="shared" si="265"/>
        <v>1</v>
      </c>
      <c r="BW887" s="318">
        <v>0</v>
      </c>
      <c r="BX887" s="297">
        <f t="shared" si="266"/>
        <v>0.43</v>
      </c>
      <c r="BY887">
        <f t="shared" si="267"/>
        <v>0</v>
      </c>
      <c r="BZ887" s="303">
        <f t="shared" si="268"/>
        <v>0</v>
      </c>
      <c r="CB887" s="298">
        <v>0.6</v>
      </c>
      <c r="CC887" s="298">
        <v>0.4</v>
      </c>
      <c r="CD887">
        <f t="shared" si="269"/>
        <v>0</v>
      </c>
      <c r="CE887">
        <f t="shared" si="270"/>
        <v>0</v>
      </c>
      <c r="CF887">
        <f t="shared" si="271"/>
        <v>0</v>
      </c>
      <c r="CG887">
        <f t="shared" si="272"/>
        <v>0</v>
      </c>
      <c r="CH887">
        <f t="shared" si="273"/>
        <v>0</v>
      </c>
      <c r="CI887">
        <f t="shared" si="274"/>
        <v>0</v>
      </c>
      <c r="CJ887">
        <f t="shared" si="275"/>
        <v>0</v>
      </c>
      <c r="CK887">
        <f t="shared" si="276"/>
        <v>0</v>
      </c>
      <c r="CL887">
        <f t="shared" si="277"/>
        <v>0</v>
      </c>
      <c r="CM887">
        <f t="shared" si="279"/>
        <v>0</v>
      </c>
      <c r="CN887">
        <f t="shared" si="278"/>
        <v>0</v>
      </c>
      <c r="CO887">
        <f t="shared" si="262"/>
        <v>0</v>
      </c>
    </row>
    <row r="888" spans="1:93" s="12" customFormat="1" hidden="1" x14ac:dyDescent="0.25">
      <c r="A888" s="4">
        <v>2013</v>
      </c>
      <c r="B888" s="315">
        <v>44265</v>
      </c>
      <c r="C888" s="4" t="s">
        <v>429</v>
      </c>
      <c r="D888" s="4" t="s">
        <v>430</v>
      </c>
      <c r="E888" s="4"/>
      <c r="F888" s="4" t="s">
        <v>1491</v>
      </c>
      <c r="G888" s="5" t="s">
        <v>431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+VLOOKUP(G888,Liste!$A$7:$G$69,3,FALSE)</f>
        <v>Sapin pectiné</v>
      </c>
      <c r="BI888" s="96" t="str">
        <f>+VLOOKUP(H888,Liste!$B$7:$G$69,5,FALSE)</f>
        <v>GS Arc Jurassien</v>
      </c>
      <c r="BJ888" s="135">
        <f t="shared" si="261"/>
        <v>116</v>
      </c>
      <c r="BK888" s="135" t="str">
        <f t="shared" si="263"/>
        <v>Sapin pectiné_F1_Cas général_GS Arc Jurassien_116_</v>
      </c>
      <c r="BL888" s="319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97" t="str">
        <f>+VLOOKUP(G888,Liste!$A$7:$H$69,8,FALSE)</f>
        <v>Résineux</v>
      </c>
      <c r="BU888" s="297">
        <f t="shared" si="264"/>
        <v>0</v>
      </c>
      <c r="BV888" s="299">
        <f t="shared" si="265"/>
        <v>1</v>
      </c>
      <c r="BW888" s="318">
        <v>0</v>
      </c>
      <c r="BX888" s="297">
        <f t="shared" si="266"/>
        <v>0.43</v>
      </c>
      <c r="BY888">
        <f t="shared" si="267"/>
        <v>0</v>
      </c>
      <c r="BZ888" s="303">
        <f t="shared" si="268"/>
        <v>0</v>
      </c>
      <c r="CB888" s="298">
        <v>0.6</v>
      </c>
      <c r="CC888" s="298">
        <v>0.4</v>
      </c>
      <c r="CD888">
        <f t="shared" si="269"/>
        <v>0</v>
      </c>
      <c r="CE888">
        <f t="shared" si="270"/>
        <v>0</v>
      </c>
      <c r="CF888">
        <f t="shared" si="271"/>
        <v>0</v>
      </c>
      <c r="CG888">
        <f t="shared" si="272"/>
        <v>0</v>
      </c>
      <c r="CH888">
        <f t="shared" si="273"/>
        <v>0</v>
      </c>
      <c r="CI888">
        <f t="shared" si="274"/>
        <v>0</v>
      </c>
      <c r="CJ888">
        <f t="shared" si="275"/>
        <v>0</v>
      </c>
      <c r="CK888">
        <f t="shared" si="276"/>
        <v>0</v>
      </c>
      <c r="CL888">
        <f t="shared" si="277"/>
        <v>0</v>
      </c>
      <c r="CM888">
        <f t="shared" si="279"/>
        <v>0</v>
      </c>
      <c r="CN888">
        <f t="shared" si="278"/>
        <v>0</v>
      </c>
      <c r="CO888">
        <f t="shared" si="262"/>
        <v>0</v>
      </c>
    </row>
    <row r="889" spans="1:93" s="12" customFormat="1" hidden="1" x14ac:dyDescent="0.25">
      <c r="A889" s="4">
        <v>2013</v>
      </c>
      <c r="B889" s="315">
        <v>44265</v>
      </c>
      <c r="C889" s="4" t="s">
        <v>429</v>
      </c>
      <c r="D889" s="4" t="s">
        <v>430</v>
      </c>
      <c r="E889" s="4"/>
      <c r="F889" s="4" t="s">
        <v>1491</v>
      </c>
      <c r="G889" s="5" t="s">
        <v>431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+VLOOKUP(G889,Liste!$A$7:$G$69,3,FALSE)</f>
        <v>Sapin pectiné</v>
      </c>
      <c r="BI889" s="96" t="str">
        <f>+VLOOKUP(H889,Liste!$B$7:$G$69,5,FALSE)</f>
        <v>GS Arc Jurassien</v>
      </c>
      <c r="BJ889" s="135">
        <f t="shared" si="261"/>
        <v>117</v>
      </c>
      <c r="BK889" s="135" t="str">
        <f t="shared" si="263"/>
        <v>Sapin pectiné_F1_Cas général_GS Arc Jurassien_117_</v>
      </c>
      <c r="BL889" s="319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97" t="str">
        <f>+VLOOKUP(G889,Liste!$A$7:$H$69,8,FALSE)</f>
        <v>Résineux</v>
      </c>
      <c r="BU889" s="297">
        <f t="shared" si="264"/>
        <v>0</v>
      </c>
      <c r="BV889" s="299">
        <f t="shared" si="265"/>
        <v>1</v>
      </c>
      <c r="BW889" s="318">
        <v>0</v>
      </c>
      <c r="BX889" s="297">
        <f t="shared" si="266"/>
        <v>0.43</v>
      </c>
      <c r="BY889">
        <f t="shared" si="267"/>
        <v>0</v>
      </c>
      <c r="BZ889" s="303">
        <f t="shared" si="268"/>
        <v>0</v>
      </c>
      <c r="CB889" s="298">
        <v>0.6</v>
      </c>
      <c r="CC889" s="298">
        <v>0.4</v>
      </c>
      <c r="CD889">
        <f t="shared" si="269"/>
        <v>0</v>
      </c>
      <c r="CE889">
        <f t="shared" si="270"/>
        <v>0</v>
      </c>
      <c r="CF889">
        <f t="shared" si="271"/>
        <v>0</v>
      </c>
      <c r="CG889">
        <f t="shared" si="272"/>
        <v>0</v>
      </c>
      <c r="CH889">
        <f t="shared" si="273"/>
        <v>0</v>
      </c>
      <c r="CI889">
        <f t="shared" si="274"/>
        <v>0</v>
      </c>
      <c r="CJ889">
        <f t="shared" si="275"/>
        <v>0</v>
      </c>
      <c r="CK889">
        <f t="shared" si="276"/>
        <v>0</v>
      </c>
      <c r="CL889">
        <f t="shared" si="277"/>
        <v>0</v>
      </c>
      <c r="CM889">
        <f t="shared" si="279"/>
        <v>0</v>
      </c>
      <c r="CN889">
        <f t="shared" si="278"/>
        <v>0</v>
      </c>
      <c r="CO889">
        <f t="shared" si="262"/>
        <v>0</v>
      </c>
    </row>
    <row r="890" spans="1:93" s="12" customFormat="1" hidden="1" x14ac:dyDescent="0.25">
      <c r="A890" s="4">
        <v>2013</v>
      </c>
      <c r="B890" s="315">
        <v>44265</v>
      </c>
      <c r="C890" s="4" t="s">
        <v>429</v>
      </c>
      <c r="D890" s="4" t="s">
        <v>430</v>
      </c>
      <c r="E890" s="4"/>
      <c r="F890" s="4" t="s">
        <v>1491</v>
      </c>
      <c r="G890" s="5" t="s">
        <v>431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+VLOOKUP(G890,Liste!$A$7:$G$69,3,FALSE)</f>
        <v>Sapin pectiné</v>
      </c>
      <c r="BI890" s="96" t="str">
        <f>+VLOOKUP(H890,Liste!$B$7:$G$69,5,FALSE)</f>
        <v>GS Arc Jurassien</v>
      </c>
      <c r="BJ890" s="135">
        <f t="shared" si="261"/>
        <v>118</v>
      </c>
      <c r="BK890" s="135" t="str">
        <f t="shared" si="263"/>
        <v>Sapin pectiné_F1_Cas général_GS Arc Jurassien_118_</v>
      </c>
      <c r="BL890" s="319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97" t="str">
        <f>+VLOOKUP(G890,Liste!$A$7:$H$69,8,FALSE)</f>
        <v>Résineux</v>
      </c>
      <c r="BU890" s="297">
        <f t="shared" si="264"/>
        <v>0</v>
      </c>
      <c r="BV890" s="299">
        <f t="shared" si="265"/>
        <v>1</v>
      </c>
      <c r="BW890" s="318">
        <v>0</v>
      </c>
      <c r="BX890" s="297">
        <f t="shared" si="266"/>
        <v>0.43</v>
      </c>
      <c r="BY890">
        <f t="shared" si="267"/>
        <v>0</v>
      </c>
      <c r="BZ890" s="303">
        <f t="shared" si="268"/>
        <v>0</v>
      </c>
      <c r="CB890" s="298">
        <v>0.6</v>
      </c>
      <c r="CC890" s="298">
        <v>0.4</v>
      </c>
      <c r="CD890">
        <f t="shared" si="269"/>
        <v>0</v>
      </c>
      <c r="CE890">
        <f t="shared" si="270"/>
        <v>0</v>
      </c>
      <c r="CF890">
        <f t="shared" si="271"/>
        <v>0</v>
      </c>
      <c r="CG890">
        <f t="shared" si="272"/>
        <v>0</v>
      </c>
      <c r="CH890">
        <f t="shared" si="273"/>
        <v>0</v>
      </c>
      <c r="CI890">
        <f t="shared" si="274"/>
        <v>0</v>
      </c>
      <c r="CJ890">
        <f t="shared" si="275"/>
        <v>0</v>
      </c>
      <c r="CK890">
        <f t="shared" si="276"/>
        <v>0</v>
      </c>
      <c r="CL890">
        <f t="shared" si="277"/>
        <v>0</v>
      </c>
      <c r="CM890">
        <f t="shared" si="279"/>
        <v>0</v>
      </c>
      <c r="CN890">
        <f t="shared" si="278"/>
        <v>0</v>
      </c>
      <c r="CO890">
        <f t="shared" si="262"/>
        <v>0</v>
      </c>
    </row>
    <row r="891" spans="1:93" s="12" customFormat="1" hidden="1" x14ac:dyDescent="0.25">
      <c r="A891" s="4">
        <v>2013</v>
      </c>
      <c r="B891" s="315">
        <v>44265</v>
      </c>
      <c r="C891" s="4" t="s">
        <v>429</v>
      </c>
      <c r="D891" s="4" t="s">
        <v>430</v>
      </c>
      <c r="E891" s="4"/>
      <c r="F891" s="4" t="s">
        <v>1491</v>
      </c>
      <c r="G891" s="5" t="s">
        <v>431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+VLOOKUP(G891,Liste!$A$7:$G$69,3,FALSE)</f>
        <v>Sapin pectiné</v>
      </c>
      <c r="BI891" s="96" t="str">
        <f>+VLOOKUP(H891,Liste!$B$7:$G$69,5,FALSE)</f>
        <v>GS Arc Jurassien</v>
      </c>
      <c r="BJ891" s="135">
        <f t="shared" si="261"/>
        <v>119</v>
      </c>
      <c r="BK891" s="135" t="str">
        <f t="shared" si="263"/>
        <v>Sapin pectiné_F1_Cas général_GS Arc Jurassien_119_</v>
      </c>
      <c r="BL891" s="319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97" t="str">
        <f>+VLOOKUP(G891,Liste!$A$7:$H$69,8,FALSE)</f>
        <v>Résineux</v>
      </c>
      <c r="BU891" s="297">
        <f t="shared" si="264"/>
        <v>0</v>
      </c>
      <c r="BV891" s="299">
        <f t="shared" si="265"/>
        <v>1</v>
      </c>
      <c r="BW891" s="318">
        <v>0</v>
      </c>
      <c r="BX891" s="297">
        <f t="shared" si="266"/>
        <v>0.43</v>
      </c>
      <c r="BY891">
        <f t="shared" si="267"/>
        <v>0</v>
      </c>
      <c r="BZ891" s="303">
        <f t="shared" si="268"/>
        <v>0</v>
      </c>
      <c r="CB891" s="298">
        <v>0.6</v>
      </c>
      <c r="CC891" s="298">
        <v>0.4</v>
      </c>
      <c r="CD891">
        <f t="shared" si="269"/>
        <v>0</v>
      </c>
      <c r="CE891">
        <f t="shared" si="270"/>
        <v>0</v>
      </c>
      <c r="CF891">
        <f t="shared" si="271"/>
        <v>0</v>
      </c>
      <c r="CG891">
        <f t="shared" si="272"/>
        <v>0</v>
      </c>
      <c r="CH891">
        <f t="shared" si="273"/>
        <v>0</v>
      </c>
      <c r="CI891">
        <f t="shared" si="274"/>
        <v>0</v>
      </c>
      <c r="CJ891">
        <f t="shared" si="275"/>
        <v>0</v>
      </c>
      <c r="CK891">
        <f t="shared" si="276"/>
        <v>0</v>
      </c>
      <c r="CL891">
        <f t="shared" si="277"/>
        <v>0</v>
      </c>
      <c r="CM891">
        <f t="shared" si="279"/>
        <v>0</v>
      </c>
      <c r="CN891">
        <f t="shared" si="278"/>
        <v>0</v>
      </c>
      <c r="CO891">
        <f t="shared" si="262"/>
        <v>0</v>
      </c>
    </row>
    <row r="892" spans="1:93" s="12" customFormat="1" hidden="1" x14ac:dyDescent="0.25">
      <c r="A892" s="4">
        <v>2013</v>
      </c>
      <c r="B892" s="315">
        <v>44265</v>
      </c>
      <c r="C892" s="4" t="s">
        <v>429</v>
      </c>
      <c r="D892" s="4" t="s">
        <v>430</v>
      </c>
      <c r="E892" s="4"/>
      <c r="F892" s="4" t="s">
        <v>1491</v>
      </c>
      <c r="G892" s="5" t="s">
        <v>431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+VLOOKUP(G892,Liste!$A$7:$G$69,3,FALSE)</f>
        <v>Sapin pectiné</v>
      </c>
      <c r="BI892" s="96" t="str">
        <f>+VLOOKUP(H892,Liste!$B$7:$G$69,5,FALSE)</f>
        <v>GS Arc Jurassien</v>
      </c>
      <c r="BJ892" s="135">
        <f t="shared" si="261"/>
        <v>120</v>
      </c>
      <c r="BK892" s="135" t="str">
        <f t="shared" si="263"/>
        <v>Sapin pectiné_F1_Cas général_GS Arc Jurassien_120_</v>
      </c>
      <c r="BL892" s="319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97" t="str">
        <f>+VLOOKUP(G892,Liste!$A$7:$H$69,8,FALSE)</f>
        <v>Résineux</v>
      </c>
      <c r="BU892" s="297">
        <f t="shared" si="264"/>
        <v>0</v>
      </c>
      <c r="BV892" s="299">
        <f t="shared" si="265"/>
        <v>1</v>
      </c>
      <c r="BW892" s="318">
        <v>0</v>
      </c>
      <c r="BX892" s="297">
        <f t="shared" si="266"/>
        <v>0.43</v>
      </c>
      <c r="BY892">
        <f t="shared" si="267"/>
        <v>0</v>
      </c>
      <c r="BZ892" s="303">
        <f t="shared" si="268"/>
        <v>0</v>
      </c>
      <c r="CB892" s="298">
        <v>0.6</v>
      </c>
      <c r="CC892" s="298">
        <v>0.4</v>
      </c>
      <c r="CD892">
        <f t="shared" si="269"/>
        <v>0</v>
      </c>
      <c r="CE892">
        <f t="shared" si="270"/>
        <v>0</v>
      </c>
      <c r="CF892">
        <f t="shared" si="271"/>
        <v>0</v>
      </c>
      <c r="CG892">
        <f t="shared" si="272"/>
        <v>0</v>
      </c>
      <c r="CH892">
        <f t="shared" si="273"/>
        <v>0</v>
      </c>
      <c r="CI892">
        <f t="shared" si="274"/>
        <v>0</v>
      </c>
      <c r="CJ892">
        <f t="shared" si="275"/>
        <v>0</v>
      </c>
      <c r="CK892">
        <f t="shared" si="276"/>
        <v>0</v>
      </c>
      <c r="CL892">
        <f t="shared" si="277"/>
        <v>0</v>
      </c>
      <c r="CM892">
        <f t="shared" si="279"/>
        <v>0</v>
      </c>
      <c r="CN892">
        <f t="shared" si="278"/>
        <v>0</v>
      </c>
      <c r="CO892">
        <f t="shared" si="262"/>
        <v>0</v>
      </c>
    </row>
    <row r="893" spans="1:93" s="12" customFormat="1" hidden="1" x14ac:dyDescent="0.25">
      <c r="A893" s="4">
        <v>2013</v>
      </c>
      <c r="B893" s="315">
        <v>44265</v>
      </c>
      <c r="C893" s="4" t="s">
        <v>429</v>
      </c>
      <c r="D893" s="4" t="s">
        <v>430</v>
      </c>
      <c r="E893" s="4"/>
      <c r="F893" s="4" t="s">
        <v>1491</v>
      </c>
      <c r="G893" s="5" t="s">
        <v>431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+VLOOKUP(G893,Liste!$A$7:$G$69,3,FALSE)</f>
        <v>Sapin pectiné</v>
      </c>
      <c r="BI893" s="96" t="str">
        <f>+VLOOKUP(H893,Liste!$B$7:$G$69,5,FALSE)</f>
        <v>GS Arc Jurassien</v>
      </c>
      <c r="BJ893" s="135">
        <f t="shared" si="261"/>
        <v>121</v>
      </c>
      <c r="BK893" s="135" t="str">
        <f t="shared" si="263"/>
        <v>Sapin pectiné_F1_Cas général_GS Arc Jurassien_121_</v>
      </c>
      <c r="BL893" s="319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97" t="str">
        <f>+VLOOKUP(G893,Liste!$A$7:$H$69,8,FALSE)</f>
        <v>Résineux</v>
      </c>
      <c r="BU893" s="297">
        <f t="shared" si="264"/>
        <v>0</v>
      </c>
      <c r="BV893" s="299">
        <f t="shared" si="265"/>
        <v>1</v>
      </c>
      <c r="BW893" s="318">
        <v>0</v>
      </c>
      <c r="BX893" s="297">
        <f t="shared" si="266"/>
        <v>0.43</v>
      </c>
      <c r="BY893">
        <f t="shared" si="267"/>
        <v>0</v>
      </c>
      <c r="BZ893" s="303">
        <f t="shared" si="268"/>
        <v>0</v>
      </c>
      <c r="CB893" s="298">
        <v>0.6</v>
      </c>
      <c r="CC893" s="298">
        <v>0.4</v>
      </c>
      <c r="CD893">
        <f t="shared" si="269"/>
        <v>0</v>
      </c>
      <c r="CE893">
        <f t="shared" si="270"/>
        <v>0</v>
      </c>
      <c r="CF893">
        <f t="shared" si="271"/>
        <v>0</v>
      </c>
      <c r="CG893">
        <f t="shared" si="272"/>
        <v>0</v>
      </c>
      <c r="CH893">
        <f t="shared" si="273"/>
        <v>0</v>
      </c>
      <c r="CI893">
        <f t="shared" si="274"/>
        <v>0</v>
      </c>
      <c r="CJ893">
        <f t="shared" si="275"/>
        <v>0</v>
      </c>
      <c r="CK893">
        <f t="shared" si="276"/>
        <v>0</v>
      </c>
      <c r="CL893">
        <f t="shared" si="277"/>
        <v>0</v>
      </c>
      <c r="CM893">
        <f t="shared" si="279"/>
        <v>0</v>
      </c>
      <c r="CN893">
        <f t="shared" si="278"/>
        <v>0</v>
      </c>
      <c r="CO893">
        <f t="shared" si="262"/>
        <v>0</v>
      </c>
    </row>
    <row r="894" spans="1:93" s="12" customFormat="1" hidden="1" x14ac:dyDescent="0.25">
      <c r="A894" s="4">
        <v>2013</v>
      </c>
      <c r="B894" s="315">
        <v>44265</v>
      </c>
      <c r="C894" s="4" t="s">
        <v>429</v>
      </c>
      <c r="D894" s="4" t="s">
        <v>430</v>
      </c>
      <c r="E894" s="4"/>
      <c r="F894" s="4" t="s">
        <v>1491</v>
      </c>
      <c r="G894" s="5" t="s">
        <v>431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+VLOOKUP(G894,Liste!$A$7:$G$69,3,FALSE)</f>
        <v>Sapin pectiné</v>
      </c>
      <c r="BI894" s="96" t="str">
        <f>+VLOOKUP(H894,Liste!$B$7:$G$69,5,FALSE)</f>
        <v>GS Arc Jurassien</v>
      </c>
      <c r="BJ894" s="135">
        <f t="shared" si="261"/>
        <v>122</v>
      </c>
      <c r="BK894" s="135" t="str">
        <f t="shared" si="263"/>
        <v>Sapin pectiné_F1_Cas général_GS Arc Jurassien_122_</v>
      </c>
      <c r="BL894" s="319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97" t="str">
        <f>+VLOOKUP(G894,Liste!$A$7:$H$69,8,FALSE)</f>
        <v>Résineux</v>
      </c>
      <c r="BU894" s="297">
        <f t="shared" si="264"/>
        <v>0</v>
      </c>
      <c r="BV894" s="299">
        <f t="shared" si="265"/>
        <v>1</v>
      </c>
      <c r="BW894" s="318">
        <v>0</v>
      </c>
      <c r="BX894" s="297">
        <f t="shared" si="266"/>
        <v>0.43</v>
      </c>
      <c r="BY894">
        <f t="shared" si="267"/>
        <v>0</v>
      </c>
      <c r="BZ894" s="303">
        <f t="shared" si="268"/>
        <v>0</v>
      </c>
      <c r="CB894" s="298">
        <v>0.6</v>
      </c>
      <c r="CC894" s="298">
        <v>0.4</v>
      </c>
      <c r="CD894">
        <f t="shared" si="269"/>
        <v>0</v>
      </c>
      <c r="CE894">
        <f t="shared" si="270"/>
        <v>0</v>
      </c>
      <c r="CF894">
        <f t="shared" si="271"/>
        <v>0</v>
      </c>
      <c r="CG894">
        <f t="shared" si="272"/>
        <v>0</v>
      </c>
      <c r="CH894">
        <f t="shared" si="273"/>
        <v>0</v>
      </c>
      <c r="CI894">
        <f t="shared" si="274"/>
        <v>0</v>
      </c>
      <c r="CJ894">
        <f t="shared" si="275"/>
        <v>0</v>
      </c>
      <c r="CK894">
        <f t="shared" si="276"/>
        <v>0</v>
      </c>
      <c r="CL894">
        <f t="shared" si="277"/>
        <v>0</v>
      </c>
      <c r="CM894">
        <f t="shared" si="279"/>
        <v>0</v>
      </c>
      <c r="CN894">
        <f t="shared" si="278"/>
        <v>0</v>
      </c>
      <c r="CO894">
        <f t="shared" si="262"/>
        <v>0</v>
      </c>
    </row>
    <row r="895" spans="1:93" s="12" customFormat="1" hidden="1" x14ac:dyDescent="0.25">
      <c r="A895" s="4">
        <v>2013</v>
      </c>
      <c r="B895" s="315">
        <v>44265</v>
      </c>
      <c r="C895" s="4" t="s">
        <v>429</v>
      </c>
      <c r="D895" s="4" t="s">
        <v>430</v>
      </c>
      <c r="E895" s="4"/>
      <c r="F895" s="4" t="s">
        <v>1491</v>
      </c>
      <c r="G895" s="5" t="s">
        <v>431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+VLOOKUP(G895,Liste!$A$7:$G$69,3,FALSE)</f>
        <v>Sapin pectiné</v>
      </c>
      <c r="BI895" s="96" t="str">
        <f>+VLOOKUP(H895,Liste!$B$7:$G$69,5,FALSE)</f>
        <v>GS Arc Jurassien</v>
      </c>
      <c r="BJ895" s="135">
        <f t="shared" si="261"/>
        <v>123</v>
      </c>
      <c r="BK895" s="135" t="str">
        <f t="shared" si="263"/>
        <v>Sapin pectiné_F1_Cas général_GS Arc Jurassien_123_</v>
      </c>
      <c r="BL895" s="319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97" t="str">
        <f>+VLOOKUP(G895,Liste!$A$7:$H$69,8,FALSE)</f>
        <v>Résineux</v>
      </c>
      <c r="BU895" s="297">
        <f t="shared" si="264"/>
        <v>0</v>
      </c>
      <c r="BV895" s="299">
        <f t="shared" si="265"/>
        <v>1</v>
      </c>
      <c r="BW895" s="318">
        <v>0</v>
      </c>
      <c r="BX895" s="297">
        <f t="shared" si="266"/>
        <v>0.43</v>
      </c>
      <c r="BY895">
        <f t="shared" si="267"/>
        <v>0</v>
      </c>
      <c r="BZ895" s="303">
        <f t="shared" si="268"/>
        <v>0</v>
      </c>
      <c r="CB895" s="298">
        <v>0.6</v>
      </c>
      <c r="CC895" s="298">
        <v>0.4</v>
      </c>
      <c r="CD895">
        <f t="shared" si="269"/>
        <v>0</v>
      </c>
      <c r="CE895">
        <f t="shared" si="270"/>
        <v>0</v>
      </c>
      <c r="CF895">
        <f t="shared" si="271"/>
        <v>0</v>
      </c>
      <c r="CG895">
        <f t="shared" si="272"/>
        <v>0</v>
      </c>
      <c r="CH895">
        <f t="shared" si="273"/>
        <v>0</v>
      </c>
      <c r="CI895">
        <f t="shared" si="274"/>
        <v>0</v>
      </c>
      <c r="CJ895">
        <f t="shared" si="275"/>
        <v>0</v>
      </c>
      <c r="CK895">
        <f t="shared" si="276"/>
        <v>0</v>
      </c>
      <c r="CL895">
        <f t="shared" si="277"/>
        <v>0</v>
      </c>
      <c r="CM895">
        <f t="shared" si="279"/>
        <v>0</v>
      </c>
      <c r="CN895">
        <f t="shared" si="278"/>
        <v>0</v>
      </c>
      <c r="CO895">
        <f t="shared" si="262"/>
        <v>0</v>
      </c>
    </row>
    <row r="896" spans="1:93" s="12" customFormat="1" hidden="1" x14ac:dyDescent="0.25">
      <c r="A896" s="4">
        <v>2013</v>
      </c>
      <c r="B896" s="315">
        <v>44265</v>
      </c>
      <c r="C896" s="4" t="s">
        <v>429</v>
      </c>
      <c r="D896" s="4" t="s">
        <v>430</v>
      </c>
      <c r="E896" s="4"/>
      <c r="F896" s="4" t="s">
        <v>1491</v>
      </c>
      <c r="G896" s="5" t="s">
        <v>431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+VLOOKUP(G896,Liste!$A$7:$G$69,3,FALSE)</f>
        <v>Sapin pectiné</v>
      </c>
      <c r="BI896" s="96" t="str">
        <f>+VLOOKUP(H896,Liste!$B$7:$G$69,5,FALSE)</f>
        <v>GS Arc Jurassien</v>
      </c>
      <c r="BJ896" s="135">
        <f t="shared" si="261"/>
        <v>124</v>
      </c>
      <c r="BK896" s="135" t="str">
        <f t="shared" si="263"/>
        <v>Sapin pectiné_F1_Cas général_GS Arc Jurassien_124_</v>
      </c>
      <c r="BL896" s="319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97" t="str">
        <f>+VLOOKUP(G896,Liste!$A$7:$H$69,8,FALSE)</f>
        <v>Résineux</v>
      </c>
      <c r="BU896" s="297">
        <f t="shared" si="264"/>
        <v>0</v>
      </c>
      <c r="BV896" s="299">
        <f t="shared" si="265"/>
        <v>1</v>
      </c>
      <c r="BW896" s="318">
        <v>0</v>
      </c>
      <c r="BX896" s="297">
        <f t="shared" si="266"/>
        <v>0.43</v>
      </c>
      <c r="BY896">
        <f t="shared" si="267"/>
        <v>0</v>
      </c>
      <c r="BZ896" s="303">
        <f t="shared" si="268"/>
        <v>0</v>
      </c>
      <c r="CB896" s="298">
        <v>0.6</v>
      </c>
      <c r="CC896" s="298">
        <v>0.4</v>
      </c>
      <c r="CD896">
        <f t="shared" si="269"/>
        <v>0</v>
      </c>
      <c r="CE896">
        <f t="shared" si="270"/>
        <v>0</v>
      </c>
      <c r="CF896">
        <f t="shared" si="271"/>
        <v>0</v>
      </c>
      <c r="CG896">
        <f t="shared" si="272"/>
        <v>0</v>
      </c>
      <c r="CH896">
        <f t="shared" si="273"/>
        <v>0</v>
      </c>
      <c r="CI896">
        <f t="shared" si="274"/>
        <v>0</v>
      </c>
      <c r="CJ896">
        <f t="shared" si="275"/>
        <v>0</v>
      </c>
      <c r="CK896">
        <f t="shared" si="276"/>
        <v>0</v>
      </c>
      <c r="CL896">
        <f t="shared" si="277"/>
        <v>0</v>
      </c>
      <c r="CM896">
        <f t="shared" si="279"/>
        <v>0</v>
      </c>
      <c r="CN896">
        <f t="shared" si="278"/>
        <v>0</v>
      </c>
      <c r="CO896">
        <f t="shared" si="262"/>
        <v>0</v>
      </c>
    </row>
    <row r="897" spans="1:93" s="12" customFormat="1" hidden="1" x14ac:dyDescent="0.25">
      <c r="A897" s="4">
        <v>2013</v>
      </c>
      <c r="B897" s="315">
        <v>44265</v>
      </c>
      <c r="C897" s="4" t="s">
        <v>429</v>
      </c>
      <c r="D897" s="4" t="s">
        <v>430</v>
      </c>
      <c r="E897" s="4"/>
      <c r="F897" s="4" t="s">
        <v>1491</v>
      </c>
      <c r="G897" s="5" t="s">
        <v>431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+VLOOKUP(G897,Liste!$A$7:$G$69,3,FALSE)</f>
        <v>Sapin pectiné</v>
      </c>
      <c r="BI897" s="96" t="str">
        <f>+VLOOKUP(H897,Liste!$B$7:$G$69,5,FALSE)</f>
        <v>GS Arc Jurassien</v>
      </c>
      <c r="BJ897" s="135">
        <f t="shared" si="261"/>
        <v>125</v>
      </c>
      <c r="BK897" s="135" t="str">
        <f t="shared" si="263"/>
        <v>Sapin pectiné_F1_Cas général_GS Arc Jurassien_125_</v>
      </c>
      <c r="BL897" s="319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97" t="str">
        <f>+VLOOKUP(G897,Liste!$A$7:$H$69,8,FALSE)</f>
        <v>Résineux</v>
      </c>
      <c r="BU897" s="297">
        <f t="shared" si="264"/>
        <v>0</v>
      </c>
      <c r="BV897" s="299">
        <f t="shared" si="265"/>
        <v>1</v>
      </c>
      <c r="BW897" s="318">
        <v>0</v>
      </c>
      <c r="BX897" s="297">
        <f t="shared" si="266"/>
        <v>0.43</v>
      </c>
      <c r="BY897">
        <f t="shared" si="267"/>
        <v>0</v>
      </c>
      <c r="BZ897" s="303">
        <f t="shared" si="268"/>
        <v>0</v>
      </c>
      <c r="CB897" s="298">
        <v>0.6</v>
      </c>
      <c r="CC897" s="298">
        <v>0.4</v>
      </c>
      <c r="CD897">
        <f t="shared" si="269"/>
        <v>0</v>
      </c>
      <c r="CE897">
        <f t="shared" si="270"/>
        <v>0</v>
      </c>
      <c r="CF897">
        <f t="shared" si="271"/>
        <v>0</v>
      </c>
      <c r="CG897">
        <f t="shared" si="272"/>
        <v>0</v>
      </c>
      <c r="CH897">
        <f t="shared" si="273"/>
        <v>0</v>
      </c>
      <c r="CI897">
        <f t="shared" si="274"/>
        <v>0</v>
      </c>
      <c r="CJ897">
        <f t="shared" si="275"/>
        <v>0</v>
      </c>
      <c r="CK897">
        <f t="shared" si="276"/>
        <v>0</v>
      </c>
      <c r="CL897">
        <f t="shared" si="277"/>
        <v>0</v>
      </c>
      <c r="CM897">
        <f t="shared" si="279"/>
        <v>0</v>
      </c>
      <c r="CN897">
        <f t="shared" si="278"/>
        <v>0</v>
      </c>
      <c r="CO897">
        <f t="shared" si="262"/>
        <v>0</v>
      </c>
    </row>
    <row r="898" spans="1:93" s="12" customFormat="1" hidden="1" x14ac:dyDescent="0.25">
      <c r="A898" s="4">
        <v>2013</v>
      </c>
      <c r="B898" s="315">
        <v>44265</v>
      </c>
      <c r="C898" s="4" t="s">
        <v>429</v>
      </c>
      <c r="D898" s="4" t="s">
        <v>430</v>
      </c>
      <c r="E898" s="4"/>
      <c r="F898" s="4" t="s">
        <v>1491</v>
      </c>
      <c r="G898" s="5" t="s">
        <v>431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+VLOOKUP(G898,Liste!$A$7:$G$69,3,FALSE)</f>
        <v>Sapin pectiné</v>
      </c>
      <c r="BI898" s="96" t="str">
        <f>+VLOOKUP(H898,Liste!$B$7:$G$69,5,FALSE)</f>
        <v>GS Arc Jurassien</v>
      </c>
      <c r="BJ898" s="135">
        <f t="shared" si="261"/>
        <v>125</v>
      </c>
      <c r="BK898" s="135" t="str">
        <f t="shared" si="263"/>
        <v>Sapin pectiné_F1_Cas général_GS Arc Jurassien_125_</v>
      </c>
      <c r="BL898" s="319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97" t="str">
        <f>+VLOOKUP(G898,Liste!$A$7:$H$69,8,FALSE)</f>
        <v>Résineux</v>
      </c>
      <c r="BU898" s="297">
        <f t="shared" si="264"/>
        <v>0</v>
      </c>
      <c r="BV898" s="299">
        <f t="shared" si="265"/>
        <v>1</v>
      </c>
      <c r="BW898" s="318">
        <v>0</v>
      </c>
      <c r="BX898" s="297">
        <f t="shared" si="266"/>
        <v>0.43</v>
      </c>
      <c r="BY898">
        <f t="shared" si="267"/>
        <v>0</v>
      </c>
      <c r="BZ898" s="303">
        <f t="shared" si="268"/>
        <v>0</v>
      </c>
      <c r="CB898" s="298">
        <v>0.6</v>
      </c>
      <c r="CC898" s="298">
        <v>0.4</v>
      </c>
      <c r="CD898">
        <f t="shared" si="269"/>
        <v>0</v>
      </c>
      <c r="CE898">
        <f t="shared" si="270"/>
        <v>0</v>
      </c>
      <c r="CF898">
        <f t="shared" si="271"/>
        <v>0</v>
      </c>
      <c r="CG898">
        <f t="shared" si="272"/>
        <v>0</v>
      </c>
      <c r="CH898">
        <f t="shared" si="273"/>
        <v>0</v>
      </c>
      <c r="CI898">
        <f t="shared" si="274"/>
        <v>0</v>
      </c>
      <c r="CJ898">
        <f t="shared" si="275"/>
        <v>0</v>
      </c>
      <c r="CK898">
        <f t="shared" si="276"/>
        <v>0</v>
      </c>
      <c r="CL898">
        <f t="shared" si="277"/>
        <v>0</v>
      </c>
      <c r="CM898">
        <f t="shared" si="279"/>
        <v>0</v>
      </c>
      <c r="CN898">
        <f t="shared" si="278"/>
        <v>0</v>
      </c>
      <c r="CO898">
        <f t="shared" si="262"/>
        <v>0</v>
      </c>
    </row>
    <row r="899" spans="1:93" s="12" customFormat="1" hidden="1" x14ac:dyDescent="0.25">
      <c r="A899" s="4">
        <v>2013</v>
      </c>
      <c r="B899" s="315">
        <v>44265</v>
      </c>
      <c r="C899" s="4" t="s">
        <v>429</v>
      </c>
      <c r="D899" s="4" t="s">
        <v>430</v>
      </c>
      <c r="E899" s="4"/>
      <c r="F899" s="4" t="s">
        <v>1491</v>
      </c>
      <c r="G899" s="5" t="s">
        <v>431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+VLOOKUP(G899,Liste!$A$7:$G$69,3,FALSE)</f>
        <v>Sapin pectiné</v>
      </c>
      <c r="BI899" s="96" t="str">
        <f>+VLOOKUP(H899,Liste!$B$7:$G$69,5,FALSE)</f>
        <v>GS Arc Jurassien</v>
      </c>
      <c r="BJ899" s="135">
        <f t="shared" ref="BJ899:BJ962" si="280">+AC899</f>
        <v>126</v>
      </c>
      <c r="BK899" s="135" t="str">
        <f t="shared" si="263"/>
        <v>Sapin pectiné_F1_Cas général_GS Arc Jurassien_126_</v>
      </c>
      <c r="BL899" s="319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97" t="str">
        <f>+VLOOKUP(G899,Liste!$A$7:$H$69,8,FALSE)</f>
        <v>Résineux</v>
      </c>
      <c r="BU899" s="297">
        <f t="shared" si="264"/>
        <v>0</v>
      </c>
      <c r="BV899" s="299">
        <f t="shared" si="265"/>
        <v>1</v>
      </c>
      <c r="BW899" s="318">
        <v>0</v>
      </c>
      <c r="BX899" s="297">
        <f t="shared" si="266"/>
        <v>0.43</v>
      </c>
      <c r="BY899">
        <f t="shared" si="267"/>
        <v>0</v>
      </c>
      <c r="BZ899" s="303">
        <f t="shared" si="268"/>
        <v>0</v>
      </c>
      <c r="CB899" s="298">
        <v>0.6</v>
      </c>
      <c r="CC899" s="298">
        <v>0.4</v>
      </c>
      <c r="CD899">
        <f t="shared" si="269"/>
        <v>0</v>
      </c>
      <c r="CE899">
        <f t="shared" si="270"/>
        <v>0</v>
      </c>
      <c r="CF899">
        <f t="shared" si="271"/>
        <v>0</v>
      </c>
      <c r="CG899">
        <f t="shared" si="272"/>
        <v>0</v>
      </c>
      <c r="CH899">
        <f t="shared" si="273"/>
        <v>0</v>
      </c>
      <c r="CI899">
        <f t="shared" si="274"/>
        <v>0</v>
      </c>
      <c r="CJ899">
        <f t="shared" si="275"/>
        <v>0</v>
      </c>
      <c r="CK899">
        <f t="shared" si="276"/>
        <v>0</v>
      </c>
      <c r="CL899">
        <f t="shared" si="277"/>
        <v>0</v>
      </c>
      <c r="CM899">
        <f t="shared" si="279"/>
        <v>0</v>
      </c>
      <c r="CN899">
        <f t="shared" si="278"/>
        <v>0</v>
      </c>
      <c r="CO899">
        <f t="shared" ref="CO899:CO962" si="281">+IF(BJ899=30,CN899/30,0)</f>
        <v>0</v>
      </c>
    </row>
    <row r="900" spans="1:93" s="12" customFormat="1" hidden="1" x14ac:dyDescent="0.25">
      <c r="A900" s="4">
        <v>2013</v>
      </c>
      <c r="B900" s="315">
        <v>44265</v>
      </c>
      <c r="C900" s="4" t="s">
        <v>429</v>
      </c>
      <c r="D900" s="4" t="s">
        <v>430</v>
      </c>
      <c r="E900" s="4"/>
      <c r="F900" s="4" t="s">
        <v>1491</v>
      </c>
      <c r="G900" s="5" t="s">
        <v>431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+VLOOKUP(G900,Liste!$A$7:$G$69,3,FALSE)</f>
        <v>Sapin pectiné</v>
      </c>
      <c r="BI900" s="96" t="str">
        <f>+VLOOKUP(H900,Liste!$B$7:$G$69,5,FALSE)</f>
        <v>GS Arc Jurassien</v>
      </c>
      <c r="BJ900" s="135">
        <f t="shared" si="280"/>
        <v>127</v>
      </c>
      <c r="BK900" s="135" t="str">
        <f t="shared" ref="BK900:BK963" si="282">+_xlfn.CONCAT(BH900,"_",J900,"_",I900,"_",BI900,"_",BJ900,"_")</f>
        <v>Sapin pectiné_F1_Cas général_GS Arc Jurassien_127_</v>
      </c>
      <c r="BL900" s="319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97" t="str">
        <f>+VLOOKUP(G900,Liste!$A$7:$H$69,8,FALSE)</f>
        <v>Résineux</v>
      </c>
      <c r="BU900" s="297">
        <f t="shared" ref="BU900:BU963" si="283">IF(BT900="Résineux",0%,100%)</f>
        <v>0</v>
      </c>
      <c r="BV900" s="299">
        <f t="shared" ref="BV900:BV963" si="284">+IF(BT900="Résineux",100%,0%)</f>
        <v>1</v>
      </c>
      <c r="BW900" s="318">
        <v>0</v>
      </c>
      <c r="BX900" s="297">
        <f t="shared" ref="BX900:BX963" si="285">+IF(BV900&lt;&gt;0,0.43,0.25)</f>
        <v>0.43</v>
      </c>
      <c r="BY900">
        <f t="shared" ref="BY900:BY963" si="286">+IF(BJ900&lt;=30,AV900*BX900,0)</f>
        <v>0</v>
      </c>
      <c r="BZ900" s="303">
        <f t="shared" ref="BZ900:BZ963" si="287">+IF(BJ900&gt;=31,0,BY900+BZ899)</f>
        <v>0</v>
      </c>
      <c r="CB900" s="298">
        <v>0.6</v>
      </c>
      <c r="CC900" s="298">
        <v>0.4</v>
      </c>
      <c r="CD900">
        <f t="shared" ref="CD900:CD963" si="288">+IF(BJ900&lt;=31,AV900*CA900*0.5,0)</f>
        <v>0</v>
      </c>
      <c r="CE900">
        <f t="shared" ref="CE900:CE963" si="289">IF(BJ900&lt;=31,AV900*CB900,0)</f>
        <v>0</v>
      </c>
      <c r="CF900">
        <f t="shared" ref="CF900:CF963" si="290">IF(BJ900&lt;=31,AV900*CC900,0)</f>
        <v>0</v>
      </c>
      <c r="CG900">
        <f t="shared" ref="CG900:CG963" si="291">CD900*44/12*0.475*BF900</f>
        <v>0</v>
      </c>
      <c r="CH900">
        <f t="shared" ref="CH900:CH963" si="292">CE900*44/12*0.475*BF900</f>
        <v>0</v>
      </c>
      <c r="CI900">
        <f t="shared" ref="CI900:CI963" si="293">CF900*44/12*0.475*BF900</f>
        <v>0</v>
      </c>
      <c r="CJ900">
        <f t="shared" ref="CJ900:CJ963" si="294">+IF(BJ900&lt;=31,CJ899*EXP(-$CJ$1)+CG899*(1-EXP(-$CJ$1))/$CJ$1,0)</f>
        <v>0</v>
      </c>
      <c r="CK900">
        <f t="shared" ref="CK900:CK963" si="295">+IF(BJ900&lt;=31,CK899*EXP(-$CK$1)+CH899*(1-EXP(-$CK$1))/$CK$1,0)</f>
        <v>0</v>
      </c>
      <c r="CL900">
        <f t="shared" ref="CL900:CL963" si="296">+IF(BJ900&lt;=31,CL899*EXP(-$CL$1)+CI899*(1-EXP(-$CL$1))/$CL$1,0)</f>
        <v>0</v>
      </c>
      <c r="CM900">
        <f t="shared" si="279"/>
        <v>0</v>
      </c>
      <c r="CN900">
        <f t="shared" ref="CN900:CN963" si="297">+IF(BJ900&lt;=31,CM900+CN899,0)</f>
        <v>0</v>
      </c>
      <c r="CO900">
        <f t="shared" si="281"/>
        <v>0</v>
      </c>
    </row>
    <row r="901" spans="1:93" s="12" customFormat="1" hidden="1" x14ac:dyDescent="0.25">
      <c r="A901" s="4">
        <v>2013</v>
      </c>
      <c r="B901" s="315">
        <v>44265</v>
      </c>
      <c r="C901" s="4" t="s">
        <v>429</v>
      </c>
      <c r="D901" s="4" t="s">
        <v>430</v>
      </c>
      <c r="E901" s="4"/>
      <c r="F901" s="4" t="s">
        <v>1491</v>
      </c>
      <c r="G901" s="5" t="s">
        <v>431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+VLOOKUP(G901,Liste!$A$7:$G$69,3,FALSE)</f>
        <v>Sapin pectiné</v>
      </c>
      <c r="BI901" s="96" t="str">
        <f>+VLOOKUP(H901,Liste!$B$7:$G$69,5,FALSE)</f>
        <v>GS Arc Jurassien</v>
      </c>
      <c r="BJ901" s="135">
        <f t="shared" si="280"/>
        <v>128</v>
      </c>
      <c r="BK901" s="135" t="str">
        <f t="shared" si="282"/>
        <v>Sapin pectiné_F1_Cas général_GS Arc Jurassien_128_</v>
      </c>
      <c r="BL901" s="319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97" t="str">
        <f>+VLOOKUP(G901,Liste!$A$7:$H$69,8,FALSE)</f>
        <v>Résineux</v>
      </c>
      <c r="BU901" s="297">
        <f t="shared" si="283"/>
        <v>0</v>
      </c>
      <c r="BV901" s="299">
        <f t="shared" si="284"/>
        <v>1</v>
      </c>
      <c r="BW901" s="318">
        <v>0</v>
      </c>
      <c r="BX901" s="297">
        <f t="shared" si="285"/>
        <v>0.43</v>
      </c>
      <c r="BY901">
        <f t="shared" si="286"/>
        <v>0</v>
      </c>
      <c r="BZ901" s="303">
        <f t="shared" si="287"/>
        <v>0</v>
      </c>
      <c r="CB901" s="298">
        <v>0.6</v>
      </c>
      <c r="CC901" s="298">
        <v>0.4</v>
      </c>
      <c r="CD901">
        <f t="shared" si="288"/>
        <v>0</v>
      </c>
      <c r="CE901">
        <f t="shared" si="289"/>
        <v>0</v>
      </c>
      <c r="CF901">
        <f t="shared" si="290"/>
        <v>0</v>
      </c>
      <c r="CG901">
        <f t="shared" si="291"/>
        <v>0</v>
      </c>
      <c r="CH901">
        <f t="shared" si="292"/>
        <v>0</v>
      </c>
      <c r="CI901">
        <f t="shared" si="293"/>
        <v>0</v>
      </c>
      <c r="CJ901">
        <f t="shared" si="294"/>
        <v>0</v>
      </c>
      <c r="CK901">
        <f t="shared" si="295"/>
        <v>0</v>
      </c>
      <c r="CL901">
        <f t="shared" si="296"/>
        <v>0</v>
      </c>
      <c r="CM901">
        <f t="shared" ref="CM901:CM964" si="298">+CJ901+CK901+CL901</f>
        <v>0</v>
      </c>
      <c r="CN901">
        <f t="shared" si="297"/>
        <v>0</v>
      </c>
      <c r="CO901">
        <f t="shared" si="281"/>
        <v>0</v>
      </c>
    </row>
    <row r="902" spans="1:93" s="12" customFormat="1" hidden="1" x14ac:dyDescent="0.25">
      <c r="A902" s="4">
        <v>2013</v>
      </c>
      <c r="B902" s="315">
        <v>44265</v>
      </c>
      <c r="C902" s="4" t="s">
        <v>429</v>
      </c>
      <c r="D902" s="4" t="s">
        <v>430</v>
      </c>
      <c r="E902" s="4"/>
      <c r="F902" s="4" t="s">
        <v>1491</v>
      </c>
      <c r="G902" s="5" t="s">
        <v>431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+VLOOKUP(G902,Liste!$A$7:$G$69,3,FALSE)</f>
        <v>Sapin pectiné</v>
      </c>
      <c r="BI902" s="96" t="str">
        <f>+VLOOKUP(H902,Liste!$B$7:$G$69,5,FALSE)</f>
        <v>GS Arc Jurassien</v>
      </c>
      <c r="BJ902" s="135">
        <f t="shared" si="280"/>
        <v>129</v>
      </c>
      <c r="BK902" s="135" t="str">
        <f t="shared" si="282"/>
        <v>Sapin pectiné_F1_Cas général_GS Arc Jurassien_129_</v>
      </c>
      <c r="BL902" s="319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97" t="str">
        <f>+VLOOKUP(G902,Liste!$A$7:$H$69,8,FALSE)</f>
        <v>Résineux</v>
      </c>
      <c r="BU902" s="297">
        <f t="shared" si="283"/>
        <v>0</v>
      </c>
      <c r="BV902" s="299">
        <f t="shared" si="284"/>
        <v>1</v>
      </c>
      <c r="BW902" s="318">
        <v>0</v>
      </c>
      <c r="BX902" s="297">
        <f t="shared" si="285"/>
        <v>0.43</v>
      </c>
      <c r="BY902">
        <f t="shared" si="286"/>
        <v>0</v>
      </c>
      <c r="BZ902" s="303">
        <f t="shared" si="287"/>
        <v>0</v>
      </c>
      <c r="CB902" s="298">
        <v>0.6</v>
      </c>
      <c r="CC902" s="298">
        <v>0.4</v>
      </c>
      <c r="CD902">
        <f t="shared" si="288"/>
        <v>0</v>
      </c>
      <c r="CE902">
        <f t="shared" si="289"/>
        <v>0</v>
      </c>
      <c r="CF902">
        <f t="shared" si="290"/>
        <v>0</v>
      </c>
      <c r="CG902">
        <f t="shared" si="291"/>
        <v>0</v>
      </c>
      <c r="CH902">
        <f t="shared" si="292"/>
        <v>0</v>
      </c>
      <c r="CI902">
        <f t="shared" si="293"/>
        <v>0</v>
      </c>
      <c r="CJ902">
        <f t="shared" si="294"/>
        <v>0</v>
      </c>
      <c r="CK902">
        <f t="shared" si="295"/>
        <v>0</v>
      </c>
      <c r="CL902">
        <f t="shared" si="296"/>
        <v>0</v>
      </c>
      <c r="CM902">
        <f t="shared" si="298"/>
        <v>0</v>
      </c>
      <c r="CN902">
        <f t="shared" si="297"/>
        <v>0</v>
      </c>
      <c r="CO902">
        <f t="shared" si="281"/>
        <v>0</v>
      </c>
    </row>
    <row r="903" spans="1:93" s="12" customFormat="1" hidden="1" x14ac:dyDescent="0.25">
      <c r="A903" s="4">
        <v>2013</v>
      </c>
      <c r="B903" s="315">
        <v>44265</v>
      </c>
      <c r="C903" s="4" t="s">
        <v>429</v>
      </c>
      <c r="D903" s="4" t="s">
        <v>430</v>
      </c>
      <c r="E903" s="4"/>
      <c r="F903" s="4" t="s">
        <v>1491</v>
      </c>
      <c r="G903" s="5" t="s">
        <v>431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+VLOOKUP(G903,Liste!$A$7:$G$69,3,FALSE)</f>
        <v>Sapin pectiné</v>
      </c>
      <c r="BI903" s="96" t="str">
        <f>+VLOOKUP(H903,Liste!$B$7:$G$69,5,FALSE)</f>
        <v>GS Arc Jurassien</v>
      </c>
      <c r="BJ903" s="135">
        <f t="shared" si="280"/>
        <v>130</v>
      </c>
      <c r="BK903" s="135" t="str">
        <f t="shared" si="282"/>
        <v>Sapin pectiné_F1_Cas général_GS Arc Jurassien_130_</v>
      </c>
      <c r="BL903" s="319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97" t="str">
        <f>+VLOOKUP(G903,Liste!$A$7:$H$69,8,FALSE)</f>
        <v>Résineux</v>
      </c>
      <c r="BU903" s="297">
        <f t="shared" si="283"/>
        <v>0</v>
      </c>
      <c r="BV903" s="299">
        <f t="shared" si="284"/>
        <v>1</v>
      </c>
      <c r="BW903" s="318">
        <v>0</v>
      </c>
      <c r="BX903" s="297">
        <f t="shared" si="285"/>
        <v>0.43</v>
      </c>
      <c r="BY903">
        <f t="shared" si="286"/>
        <v>0</v>
      </c>
      <c r="BZ903" s="303">
        <f t="shared" si="287"/>
        <v>0</v>
      </c>
      <c r="CB903" s="298">
        <v>0.6</v>
      </c>
      <c r="CC903" s="298">
        <v>0.4</v>
      </c>
      <c r="CD903">
        <f t="shared" si="288"/>
        <v>0</v>
      </c>
      <c r="CE903">
        <f t="shared" si="289"/>
        <v>0</v>
      </c>
      <c r="CF903">
        <f t="shared" si="290"/>
        <v>0</v>
      </c>
      <c r="CG903">
        <f t="shared" si="291"/>
        <v>0</v>
      </c>
      <c r="CH903">
        <f t="shared" si="292"/>
        <v>0</v>
      </c>
      <c r="CI903">
        <f t="shared" si="293"/>
        <v>0</v>
      </c>
      <c r="CJ903">
        <f t="shared" si="294"/>
        <v>0</v>
      </c>
      <c r="CK903">
        <f t="shared" si="295"/>
        <v>0</v>
      </c>
      <c r="CL903">
        <f t="shared" si="296"/>
        <v>0</v>
      </c>
      <c r="CM903">
        <f t="shared" si="298"/>
        <v>0</v>
      </c>
      <c r="CN903">
        <f t="shared" si="297"/>
        <v>0</v>
      </c>
      <c r="CO903">
        <f t="shared" si="281"/>
        <v>0</v>
      </c>
    </row>
    <row r="904" spans="1:93" s="12" customFormat="1" hidden="1" x14ac:dyDescent="0.25">
      <c r="A904" s="4">
        <v>2013</v>
      </c>
      <c r="B904" s="315">
        <v>44265</v>
      </c>
      <c r="C904" s="4" t="s">
        <v>429</v>
      </c>
      <c r="D904" s="4" t="s">
        <v>430</v>
      </c>
      <c r="E904" s="4"/>
      <c r="F904" s="4" t="s">
        <v>1491</v>
      </c>
      <c r="G904" s="5" t="s">
        <v>431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+VLOOKUP(G904,Liste!$A$7:$G$69,3,FALSE)</f>
        <v>Sapin pectiné</v>
      </c>
      <c r="BI904" s="96" t="str">
        <f>+VLOOKUP(H904,Liste!$B$7:$G$69,5,FALSE)</f>
        <v>GS Arc Jurassien</v>
      </c>
      <c r="BJ904" s="135">
        <f t="shared" si="280"/>
        <v>131</v>
      </c>
      <c r="BK904" s="135" t="str">
        <f t="shared" si="282"/>
        <v>Sapin pectiné_F1_Cas général_GS Arc Jurassien_131_</v>
      </c>
      <c r="BL904" s="319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97" t="str">
        <f>+VLOOKUP(G904,Liste!$A$7:$H$69,8,FALSE)</f>
        <v>Résineux</v>
      </c>
      <c r="BU904" s="297">
        <f t="shared" si="283"/>
        <v>0</v>
      </c>
      <c r="BV904" s="299">
        <f t="shared" si="284"/>
        <v>1</v>
      </c>
      <c r="BW904" s="318">
        <v>0</v>
      </c>
      <c r="BX904" s="297">
        <f t="shared" si="285"/>
        <v>0.43</v>
      </c>
      <c r="BY904">
        <f t="shared" si="286"/>
        <v>0</v>
      </c>
      <c r="BZ904" s="303">
        <f t="shared" si="287"/>
        <v>0</v>
      </c>
      <c r="CB904" s="298">
        <v>0.6</v>
      </c>
      <c r="CC904" s="298">
        <v>0.4</v>
      </c>
      <c r="CD904">
        <f t="shared" si="288"/>
        <v>0</v>
      </c>
      <c r="CE904">
        <f t="shared" si="289"/>
        <v>0</v>
      </c>
      <c r="CF904">
        <f t="shared" si="290"/>
        <v>0</v>
      </c>
      <c r="CG904">
        <f t="shared" si="291"/>
        <v>0</v>
      </c>
      <c r="CH904">
        <f t="shared" si="292"/>
        <v>0</v>
      </c>
      <c r="CI904">
        <f t="shared" si="293"/>
        <v>0</v>
      </c>
      <c r="CJ904">
        <f t="shared" si="294"/>
        <v>0</v>
      </c>
      <c r="CK904">
        <f t="shared" si="295"/>
        <v>0</v>
      </c>
      <c r="CL904">
        <f t="shared" si="296"/>
        <v>0</v>
      </c>
      <c r="CM904">
        <f t="shared" si="298"/>
        <v>0</v>
      </c>
      <c r="CN904">
        <f t="shared" si="297"/>
        <v>0</v>
      </c>
      <c r="CO904">
        <f t="shared" si="281"/>
        <v>0</v>
      </c>
    </row>
    <row r="905" spans="1:93" s="12" customFormat="1" hidden="1" x14ac:dyDescent="0.25">
      <c r="A905" s="4">
        <v>2013</v>
      </c>
      <c r="B905" s="315">
        <v>44265</v>
      </c>
      <c r="C905" s="4" t="s">
        <v>429</v>
      </c>
      <c r="D905" s="4" t="s">
        <v>430</v>
      </c>
      <c r="E905" s="4"/>
      <c r="F905" s="4" t="s">
        <v>1491</v>
      </c>
      <c r="G905" s="5" t="s">
        <v>431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+VLOOKUP(G905,Liste!$A$7:$G$69,3,FALSE)</f>
        <v>Sapin pectiné</v>
      </c>
      <c r="BI905" s="96" t="str">
        <f>+VLOOKUP(H905,Liste!$B$7:$G$69,5,FALSE)</f>
        <v>GS Arc Jurassien</v>
      </c>
      <c r="BJ905" s="135">
        <f t="shared" si="280"/>
        <v>132</v>
      </c>
      <c r="BK905" s="135" t="str">
        <f t="shared" si="282"/>
        <v>Sapin pectiné_F1_Cas général_GS Arc Jurassien_132_</v>
      </c>
      <c r="BL905" s="319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97" t="str">
        <f>+VLOOKUP(G905,Liste!$A$7:$H$69,8,FALSE)</f>
        <v>Résineux</v>
      </c>
      <c r="BU905" s="297">
        <f t="shared" si="283"/>
        <v>0</v>
      </c>
      <c r="BV905" s="299">
        <f t="shared" si="284"/>
        <v>1</v>
      </c>
      <c r="BW905" s="318">
        <v>0</v>
      </c>
      <c r="BX905" s="297">
        <f t="shared" si="285"/>
        <v>0.43</v>
      </c>
      <c r="BY905">
        <f t="shared" si="286"/>
        <v>0</v>
      </c>
      <c r="BZ905" s="303">
        <f t="shared" si="287"/>
        <v>0</v>
      </c>
      <c r="CB905" s="298">
        <v>0.6</v>
      </c>
      <c r="CC905" s="298">
        <v>0.4</v>
      </c>
      <c r="CD905">
        <f t="shared" si="288"/>
        <v>0</v>
      </c>
      <c r="CE905">
        <f t="shared" si="289"/>
        <v>0</v>
      </c>
      <c r="CF905">
        <f t="shared" si="290"/>
        <v>0</v>
      </c>
      <c r="CG905">
        <f t="shared" si="291"/>
        <v>0</v>
      </c>
      <c r="CH905">
        <f t="shared" si="292"/>
        <v>0</v>
      </c>
      <c r="CI905">
        <f t="shared" si="293"/>
        <v>0</v>
      </c>
      <c r="CJ905">
        <f t="shared" si="294"/>
        <v>0</v>
      </c>
      <c r="CK905">
        <f t="shared" si="295"/>
        <v>0</v>
      </c>
      <c r="CL905">
        <f t="shared" si="296"/>
        <v>0</v>
      </c>
      <c r="CM905">
        <f t="shared" si="298"/>
        <v>0</v>
      </c>
      <c r="CN905">
        <f t="shared" si="297"/>
        <v>0</v>
      </c>
      <c r="CO905">
        <f t="shared" si="281"/>
        <v>0</v>
      </c>
    </row>
    <row r="906" spans="1:93" s="12" customFormat="1" hidden="1" x14ac:dyDescent="0.25">
      <c r="A906" s="4">
        <v>2013</v>
      </c>
      <c r="B906" s="315">
        <v>44265</v>
      </c>
      <c r="C906" s="4" t="s">
        <v>429</v>
      </c>
      <c r="D906" s="4" t="s">
        <v>430</v>
      </c>
      <c r="E906" s="4"/>
      <c r="F906" s="4" t="s">
        <v>1491</v>
      </c>
      <c r="G906" s="5" t="s">
        <v>431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+VLOOKUP(G906,Liste!$A$7:$G$69,3,FALSE)</f>
        <v>Sapin pectiné</v>
      </c>
      <c r="BI906" s="96" t="str">
        <f>+VLOOKUP(H906,Liste!$B$7:$G$69,5,FALSE)</f>
        <v>GS Arc Jurassien</v>
      </c>
      <c r="BJ906" s="135">
        <f t="shared" si="280"/>
        <v>133</v>
      </c>
      <c r="BK906" s="135" t="str">
        <f t="shared" si="282"/>
        <v>Sapin pectiné_F1_Cas général_GS Arc Jurassien_133_</v>
      </c>
      <c r="BL906" s="319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97" t="str">
        <f>+VLOOKUP(G906,Liste!$A$7:$H$69,8,FALSE)</f>
        <v>Résineux</v>
      </c>
      <c r="BU906" s="297">
        <f t="shared" si="283"/>
        <v>0</v>
      </c>
      <c r="BV906" s="299">
        <f t="shared" si="284"/>
        <v>1</v>
      </c>
      <c r="BW906" s="318">
        <v>0</v>
      </c>
      <c r="BX906" s="297">
        <f t="shared" si="285"/>
        <v>0.43</v>
      </c>
      <c r="BY906">
        <f t="shared" si="286"/>
        <v>0</v>
      </c>
      <c r="BZ906" s="303">
        <f t="shared" si="287"/>
        <v>0</v>
      </c>
      <c r="CB906" s="298">
        <v>0.6</v>
      </c>
      <c r="CC906" s="298">
        <v>0.4</v>
      </c>
      <c r="CD906">
        <f t="shared" si="288"/>
        <v>0</v>
      </c>
      <c r="CE906">
        <f t="shared" si="289"/>
        <v>0</v>
      </c>
      <c r="CF906">
        <f t="shared" si="290"/>
        <v>0</v>
      </c>
      <c r="CG906">
        <f t="shared" si="291"/>
        <v>0</v>
      </c>
      <c r="CH906">
        <f t="shared" si="292"/>
        <v>0</v>
      </c>
      <c r="CI906">
        <f t="shared" si="293"/>
        <v>0</v>
      </c>
      <c r="CJ906">
        <f t="shared" si="294"/>
        <v>0</v>
      </c>
      <c r="CK906">
        <f t="shared" si="295"/>
        <v>0</v>
      </c>
      <c r="CL906">
        <f t="shared" si="296"/>
        <v>0</v>
      </c>
      <c r="CM906">
        <f t="shared" si="298"/>
        <v>0</v>
      </c>
      <c r="CN906">
        <f t="shared" si="297"/>
        <v>0</v>
      </c>
      <c r="CO906">
        <f t="shared" si="281"/>
        <v>0</v>
      </c>
    </row>
    <row r="907" spans="1:93" s="12" customFormat="1" hidden="1" x14ac:dyDescent="0.25">
      <c r="A907" s="4">
        <v>2013</v>
      </c>
      <c r="B907" s="315">
        <v>44265</v>
      </c>
      <c r="C907" s="4" t="s">
        <v>429</v>
      </c>
      <c r="D907" s="4" t="s">
        <v>430</v>
      </c>
      <c r="E907" s="4"/>
      <c r="F907" s="4" t="s">
        <v>1491</v>
      </c>
      <c r="G907" s="5" t="s">
        <v>431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+VLOOKUP(G907,Liste!$A$7:$G$69,3,FALSE)</f>
        <v>Sapin pectiné</v>
      </c>
      <c r="BI907" s="96" t="str">
        <f>+VLOOKUP(H907,Liste!$B$7:$G$69,5,FALSE)</f>
        <v>GS Arc Jurassien</v>
      </c>
      <c r="BJ907" s="135">
        <f t="shared" si="280"/>
        <v>134</v>
      </c>
      <c r="BK907" s="135" t="str">
        <f t="shared" si="282"/>
        <v>Sapin pectiné_F1_Cas général_GS Arc Jurassien_134_</v>
      </c>
      <c r="BL907" s="319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97" t="str">
        <f>+VLOOKUP(G907,Liste!$A$7:$H$69,8,FALSE)</f>
        <v>Résineux</v>
      </c>
      <c r="BU907" s="297">
        <f t="shared" si="283"/>
        <v>0</v>
      </c>
      <c r="BV907" s="299">
        <f t="shared" si="284"/>
        <v>1</v>
      </c>
      <c r="BW907" s="318">
        <v>0</v>
      </c>
      <c r="BX907" s="297">
        <f t="shared" si="285"/>
        <v>0.43</v>
      </c>
      <c r="BY907">
        <f t="shared" si="286"/>
        <v>0</v>
      </c>
      <c r="BZ907" s="303">
        <f t="shared" si="287"/>
        <v>0</v>
      </c>
      <c r="CB907" s="298">
        <v>0.6</v>
      </c>
      <c r="CC907" s="298">
        <v>0.4</v>
      </c>
      <c r="CD907">
        <f t="shared" si="288"/>
        <v>0</v>
      </c>
      <c r="CE907">
        <f t="shared" si="289"/>
        <v>0</v>
      </c>
      <c r="CF907">
        <f t="shared" si="290"/>
        <v>0</v>
      </c>
      <c r="CG907">
        <f t="shared" si="291"/>
        <v>0</v>
      </c>
      <c r="CH907">
        <f t="shared" si="292"/>
        <v>0</v>
      </c>
      <c r="CI907">
        <f t="shared" si="293"/>
        <v>0</v>
      </c>
      <c r="CJ907">
        <f t="shared" si="294"/>
        <v>0</v>
      </c>
      <c r="CK907">
        <f t="shared" si="295"/>
        <v>0</v>
      </c>
      <c r="CL907">
        <f t="shared" si="296"/>
        <v>0</v>
      </c>
      <c r="CM907">
        <f t="shared" si="298"/>
        <v>0</v>
      </c>
      <c r="CN907">
        <f t="shared" si="297"/>
        <v>0</v>
      </c>
      <c r="CO907">
        <f t="shared" si="281"/>
        <v>0</v>
      </c>
    </row>
    <row r="908" spans="1:93" s="12" customFormat="1" hidden="1" x14ac:dyDescent="0.25">
      <c r="A908" s="4">
        <v>2013</v>
      </c>
      <c r="B908" s="315">
        <v>44265</v>
      </c>
      <c r="C908" s="4" t="s">
        <v>429</v>
      </c>
      <c r="D908" s="4" t="s">
        <v>430</v>
      </c>
      <c r="E908" s="4"/>
      <c r="F908" s="4" t="s">
        <v>1491</v>
      </c>
      <c r="G908" s="5" t="s">
        <v>431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+VLOOKUP(G908,Liste!$A$7:$G$69,3,FALSE)</f>
        <v>Sapin pectiné</v>
      </c>
      <c r="BI908" s="96" t="str">
        <f>+VLOOKUP(H908,Liste!$B$7:$G$69,5,FALSE)</f>
        <v>GS Arc Jurassien</v>
      </c>
      <c r="BJ908" s="135">
        <f t="shared" si="280"/>
        <v>134</v>
      </c>
      <c r="BK908" s="135" t="str">
        <f t="shared" si="282"/>
        <v>Sapin pectiné_F1_Cas général_GS Arc Jurassien_134_</v>
      </c>
      <c r="BL908" s="319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97" t="str">
        <f>+VLOOKUP(G908,Liste!$A$7:$H$69,8,FALSE)</f>
        <v>Résineux</v>
      </c>
      <c r="BU908" s="297">
        <f t="shared" si="283"/>
        <v>0</v>
      </c>
      <c r="BV908" s="299">
        <f t="shared" si="284"/>
        <v>1</v>
      </c>
      <c r="BW908" s="318">
        <v>0</v>
      </c>
      <c r="BX908" s="297">
        <f t="shared" si="285"/>
        <v>0.43</v>
      </c>
      <c r="BY908">
        <f t="shared" si="286"/>
        <v>0</v>
      </c>
      <c r="BZ908" s="303">
        <f t="shared" si="287"/>
        <v>0</v>
      </c>
      <c r="CB908" s="298">
        <v>0.6</v>
      </c>
      <c r="CC908" s="298">
        <v>0.4</v>
      </c>
      <c r="CD908">
        <f t="shared" si="288"/>
        <v>0</v>
      </c>
      <c r="CE908">
        <f t="shared" si="289"/>
        <v>0</v>
      </c>
      <c r="CF908">
        <f t="shared" si="290"/>
        <v>0</v>
      </c>
      <c r="CG908">
        <f t="shared" si="291"/>
        <v>0</v>
      </c>
      <c r="CH908">
        <f t="shared" si="292"/>
        <v>0</v>
      </c>
      <c r="CI908">
        <f t="shared" si="293"/>
        <v>0</v>
      </c>
      <c r="CJ908">
        <f t="shared" si="294"/>
        <v>0</v>
      </c>
      <c r="CK908">
        <f t="shared" si="295"/>
        <v>0</v>
      </c>
      <c r="CL908">
        <f t="shared" si="296"/>
        <v>0</v>
      </c>
      <c r="CM908">
        <f t="shared" si="298"/>
        <v>0</v>
      </c>
      <c r="CN908">
        <f t="shared" si="297"/>
        <v>0</v>
      </c>
      <c r="CO908">
        <f t="shared" si="281"/>
        <v>0</v>
      </c>
    </row>
    <row r="909" spans="1:93" s="12" customFormat="1" hidden="1" x14ac:dyDescent="0.25">
      <c r="A909" s="4">
        <v>2013</v>
      </c>
      <c r="B909" s="315">
        <v>44265</v>
      </c>
      <c r="C909" s="4" t="s">
        <v>429</v>
      </c>
      <c r="D909" s="4" t="s">
        <v>430</v>
      </c>
      <c r="E909" s="4"/>
      <c r="F909" s="4" t="s">
        <v>1491</v>
      </c>
      <c r="G909" s="5" t="s">
        <v>431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+VLOOKUP(G909,Liste!$A$7:$G$69,3,FALSE)</f>
        <v>Sapin pectiné</v>
      </c>
      <c r="BI909" s="96" t="str">
        <f>+VLOOKUP(H909,Liste!$B$7:$G$69,5,FALSE)</f>
        <v>GS Arc Jurassien</v>
      </c>
      <c r="BJ909" s="135">
        <f t="shared" si="280"/>
        <v>30</v>
      </c>
      <c r="BK909" s="135" t="str">
        <f t="shared" si="282"/>
        <v>Sapin pectiné_F1_Cas général_GS Arc Jurassien_30_</v>
      </c>
      <c r="BL909" s="319"/>
      <c r="BM909" s="13">
        <v>52.3681168382832</v>
      </c>
      <c r="BN909" s="13">
        <v>249.40724115835701</v>
      </c>
      <c r="BP909" s="13">
        <v>307.55958661145604</v>
      </c>
      <c r="BT909" s="297" t="str">
        <f>+VLOOKUP(G909,Liste!$A$7:$H$69,8,FALSE)</f>
        <v>Résineux</v>
      </c>
      <c r="BU909" s="297">
        <f t="shared" si="283"/>
        <v>0</v>
      </c>
      <c r="BV909" s="299">
        <f t="shared" si="284"/>
        <v>1</v>
      </c>
      <c r="BW909" s="318">
        <v>0</v>
      </c>
      <c r="BX909" s="297">
        <f t="shared" si="285"/>
        <v>0.43</v>
      </c>
      <c r="BY909">
        <f t="shared" si="286"/>
        <v>0</v>
      </c>
      <c r="BZ909" s="303">
        <f t="shared" si="287"/>
        <v>0</v>
      </c>
      <c r="CB909" s="298">
        <v>0.6</v>
      </c>
      <c r="CC909" s="298">
        <v>0.4</v>
      </c>
      <c r="CD909">
        <f t="shared" si="288"/>
        <v>0</v>
      </c>
      <c r="CE909">
        <f t="shared" si="289"/>
        <v>0</v>
      </c>
      <c r="CF909">
        <f t="shared" si="290"/>
        <v>0</v>
      </c>
      <c r="CG909">
        <f t="shared" si="291"/>
        <v>0</v>
      </c>
      <c r="CH909">
        <f t="shared" si="292"/>
        <v>0</v>
      </c>
      <c r="CI909">
        <f t="shared" si="293"/>
        <v>0</v>
      </c>
      <c r="CJ909">
        <f t="shared" si="294"/>
        <v>0</v>
      </c>
      <c r="CK909">
        <f t="shared" si="295"/>
        <v>0</v>
      </c>
      <c r="CL909">
        <f t="shared" si="296"/>
        <v>0</v>
      </c>
      <c r="CM909">
        <f t="shared" si="298"/>
        <v>0</v>
      </c>
      <c r="CN909">
        <f t="shared" si="297"/>
        <v>0</v>
      </c>
      <c r="CO909">
        <f t="shared" si="281"/>
        <v>0</v>
      </c>
    </row>
    <row r="910" spans="1:93" s="12" customFormat="1" hidden="1" x14ac:dyDescent="0.25">
      <c r="A910" s="4">
        <v>2013</v>
      </c>
      <c r="B910" s="315">
        <v>44265</v>
      </c>
      <c r="C910" s="4" t="s">
        <v>429</v>
      </c>
      <c r="D910" s="4" t="s">
        <v>430</v>
      </c>
      <c r="E910" s="4"/>
      <c r="F910" s="4" t="s">
        <v>1491</v>
      </c>
      <c r="G910" s="5" t="s">
        <v>431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+VLOOKUP(G910,Liste!$A$7:$G$69,3,FALSE)</f>
        <v>Sapin pectiné</v>
      </c>
      <c r="BI910" s="96" t="str">
        <f>+VLOOKUP(H910,Liste!$B$7:$G$69,5,FALSE)</f>
        <v>GS Arc Jurassien</v>
      </c>
      <c r="BJ910" s="135">
        <f t="shared" si="280"/>
        <v>45</v>
      </c>
      <c r="BK910" s="135" t="str">
        <f t="shared" si="282"/>
        <v>Sapin pectiné_F1_Cas général_GS Arc Jurassien_45_</v>
      </c>
      <c r="BL910" s="319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97" t="str">
        <f>+VLOOKUP(G910,Liste!$A$7:$H$69,8,FALSE)</f>
        <v>Résineux</v>
      </c>
      <c r="BU910" s="297">
        <f t="shared" si="283"/>
        <v>0</v>
      </c>
      <c r="BV910" s="299">
        <f t="shared" si="284"/>
        <v>1</v>
      </c>
      <c r="BW910" s="318">
        <v>0</v>
      </c>
      <c r="BX910" s="297">
        <f t="shared" si="285"/>
        <v>0.43</v>
      </c>
      <c r="BY910">
        <f t="shared" si="286"/>
        <v>0</v>
      </c>
      <c r="BZ910" s="303">
        <f t="shared" si="287"/>
        <v>0</v>
      </c>
      <c r="CB910" s="298">
        <v>0.6</v>
      </c>
      <c r="CC910" s="298">
        <v>0.4</v>
      </c>
      <c r="CD910">
        <f t="shared" si="288"/>
        <v>0</v>
      </c>
      <c r="CE910">
        <f t="shared" si="289"/>
        <v>0</v>
      </c>
      <c r="CF910">
        <f t="shared" si="290"/>
        <v>0</v>
      </c>
      <c r="CG910">
        <f t="shared" si="291"/>
        <v>0</v>
      </c>
      <c r="CH910">
        <f t="shared" si="292"/>
        <v>0</v>
      </c>
      <c r="CI910">
        <f t="shared" si="293"/>
        <v>0</v>
      </c>
      <c r="CJ910">
        <f t="shared" si="294"/>
        <v>0</v>
      </c>
      <c r="CK910">
        <f t="shared" si="295"/>
        <v>0</v>
      </c>
      <c r="CL910">
        <f t="shared" si="296"/>
        <v>0</v>
      </c>
      <c r="CM910">
        <f t="shared" si="298"/>
        <v>0</v>
      </c>
      <c r="CN910">
        <f t="shared" si="297"/>
        <v>0</v>
      </c>
      <c r="CO910">
        <f t="shared" si="281"/>
        <v>0</v>
      </c>
    </row>
    <row r="911" spans="1:93" s="12" customFormat="1" hidden="1" x14ac:dyDescent="0.25">
      <c r="A911" s="4">
        <v>2013</v>
      </c>
      <c r="B911" s="315">
        <v>44265</v>
      </c>
      <c r="C911" s="4" t="s">
        <v>429</v>
      </c>
      <c r="D911" s="4" t="s">
        <v>430</v>
      </c>
      <c r="E911" s="4"/>
      <c r="F911" s="4" t="s">
        <v>1491</v>
      </c>
      <c r="G911" s="5" t="s">
        <v>431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+VLOOKUP(G911,Liste!$A$7:$G$69,3,FALSE)</f>
        <v>Sapin pectiné</v>
      </c>
      <c r="BI911" s="96" t="str">
        <f>+VLOOKUP(H911,Liste!$B$7:$G$69,5,FALSE)</f>
        <v>GS Arc Jurassien</v>
      </c>
      <c r="BJ911" s="135">
        <f t="shared" si="280"/>
        <v>45</v>
      </c>
      <c r="BK911" s="135" t="str">
        <f t="shared" si="282"/>
        <v>Sapin pectiné_F1_Cas général_GS Arc Jurassien_45_</v>
      </c>
      <c r="BL911" s="319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97" t="str">
        <f>+VLOOKUP(G911,Liste!$A$7:$H$69,8,FALSE)</f>
        <v>Résineux</v>
      </c>
      <c r="BU911" s="297">
        <f t="shared" si="283"/>
        <v>0</v>
      </c>
      <c r="BV911" s="299">
        <f t="shared" si="284"/>
        <v>1</v>
      </c>
      <c r="BW911" s="318">
        <v>0</v>
      </c>
      <c r="BX911" s="297">
        <f t="shared" si="285"/>
        <v>0.43</v>
      </c>
      <c r="BY911">
        <f t="shared" si="286"/>
        <v>0</v>
      </c>
      <c r="BZ911" s="303">
        <f t="shared" si="287"/>
        <v>0</v>
      </c>
      <c r="CB911" s="298">
        <v>0.6</v>
      </c>
      <c r="CC911" s="298">
        <v>0.4</v>
      </c>
      <c r="CD911">
        <f t="shared" si="288"/>
        <v>0</v>
      </c>
      <c r="CE911">
        <f t="shared" si="289"/>
        <v>0</v>
      </c>
      <c r="CF911">
        <f t="shared" si="290"/>
        <v>0</v>
      </c>
      <c r="CG911">
        <f t="shared" si="291"/>
        <v>0</v>
      </c>
      <c r="CH911">
        <f t="shared" si="292"/>
        <v>0</v>
      </c>
      <c r="CI911">
        <f t="shared" si="293"/>
        <v>0</v>
      </c>
      <c r="CJ911">
        <f t="shared" si="294"/>
        <v>0</v>
      </c>
      <c r="CK911">
        <f t="shared" si="295"/>
        <v>0</v>
      </c>
      <c r="CL911">
        <f t="shared" si="296"/>
        <v>0</v>
      </c>
      <c r="CM911">
        <f t="shared" si="298"/>
        <v>0</v>
      </c>
      <c r="CN911">
        <f t="shared" si="297"/>
        <v>0</v>
      </c>
      <c r="CO911">
        <f t="shared" si="281"/>
        <v>0</v>
      </c>
    </row>
    <row r="912" spans="1:93" s="12" customFormat="1" hidden="1" x14ac:dyDescent="0.25">
      <c r="A912" s="4">
        <v>2013</v>
      </c>
      <c r="B912" s="315">
        <v>44265</v>
      </c>
      <c r="C912" s="4" t="s">
        <v>429</v>
      </c>
      <c r="D912" s="4" t="s">
        <v>430</v>
      </c>
      <c r="E912" s="4"/>
      <c r="F912" s="4" t="s">
        <v>1491</v>
      </c>
      <c r="G912" s="5" t="s">
        <v>431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+VLOOKUP(G912,Liste!$A$7:$G$69,3,FALSE)</f>
        <v>Sapin pectiné</v>
      </c>
      <c r="BI912" s="96" t="str">
        <f>+VLOOKUP(H912,Liste!$B$7:$G$69,5,FALSE)</f>
        <v>GS Arc Jurassien</v>
      </c>
      <c r="BJ912" s="135">
        <f t="shared" si="280"/>
        <v>46</v>
      </c>
      <c r="BK912" s="135" t="str">
        <f t="shared" si="282"/>
        <v>Sapin pectiné_F1_Cas général_GS Arc Jurassien_46_</v>
      </c>
      <c r="BL912" s="319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97" t="str">
        <f>+VLOOKUP(G912,Liste!$A$7:$H$69,8,FALSE)</f>
        <v>Résineux</v>
      </c>
      <c r="BU912" s="297">
        <f t="shared" si="283"/>
        <v>0</v>
      </c>
      <c r="BV912" s="299">
        <f t="shared" si="284"/>
        <v>1</v>
      </c>
      <c r="BW912" s="318">
        <v>0</v>
      </c>
      <c r="BX912" s="297">
        <f t="shared" si="285"/>
        <v>0.43</v>
      </c>
      <c r="BY912">
        <f t="shared" si="286"/>
        <v>0</v>
      </c>
      <c r="BZ912" s="303">
        <f t="shared" si="287"/>
        <v>0</v>
      </c>
      <c r="CB912" s="298">
        <v>0.6</v>
      </c>
      <c r="CC912" s="298">
        <v>0.4</v>
      </c>
      <c r="CD912">
        <f t="shared" si="288"/>
        <v>0</v>
      </c>
      <c r="CE912">
        <f t="shared" si="289"/>
        <v>0</v>
      </c>
      <c r="CF912">
        <f t="shared" si="290"/>
        <v>0</v>
      </c>
      <c r="CG912">
        <f t="shared" si="291"/>
        <v>0</v>
      </c>
      <c r="CH912">
        <f t="shared" si="292"/>
        <v>0</v>
      </c>
      <c r="CI912">
        <f t="shared" si="293"/>
        <v>0</v>
      </c>
      <c r="CJ912">
        <f t="shared" si="294"/>
        <v>0</v>
      </c>
      <c r="CK912">
        <f t="shared" si="295"/>
        <v>0</v>
      </c>
      <c r="CL912">
        <f t="shared" si="296"/>
        <v>0</v>
      </c>
      <c r="CM912">
        <f t="shared" si="298"/>
        <v>0</v>
      </c>
      <c r="CN912">
        <f t="shared" si="297"/>
        <v>0</v>
      </c>
      <c r="CO912">
        <f t="shared" si="281"/>
        <v>0</v>
      </c>
    </row>
    <row r="913" spans="1:93" s="12" customFormat="1" hidden="1" x14ac:dyDescent="0.25">
      <c r="A913" s="4">
        <v>2013</v>
      </c>
      <c r="B913" s="315">
        <v>44265</v>
      </c>
      <c r="C913" s="4" t="s">
        <v>429</v>
      </c>
      <c r="D913" s="4" t="s">
        <v>430</v>
      </c>
      <c r="E913" s="4"/>
      <c r="F913" s="4" t="s">
        <v>1491</v>
      </c>
      <c r="G913" s="5" t="s">
        <v>431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+VLOOKUP(G913,Liste!$A$7:$G$69,3,FALSE)</f>
        <v>Sapin pectiné</v>
      </c>
      <c r="BI913" s="96" t="str">
        <f>+VLOOKUP(H913,Liste!$B$7:$G$69,5,FALSE)</f>
        <v>GS Arc Jurassien</v>
      </c>
      <c r="BJ913" s="135">
        <f t="shared" si="280"/>
        <v>47</v>
      </c>
      <c r="BK913" s="135" t="str">
        <f t="shared" si="282"/>
        <v>Sapin pectiné_F1_Cas général_GS Arc Jurassien_47_</v>
      </c>
      <c r="BL913" s="319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97" t="str">
        <f>+VLOOKUP(G913,Liste!$A$7:$H$69,8,FALSE)</f>
        <v>Résineux</v>
      </c>
      <c r="BU913" s="297">
        <f t="shared" si="283"/>
        <v>0</v>
      </c>
      <c r="BV913" s="299">
        <f t="shared" si="284"/>
        <v>1</v>
      </c>
      <c r="BW913" s="318">
        <v>0</v>
      </c>
      <c r="BX913" s="297">
        <f t="shared" si="285"/>
        <v>0.43</v>
      </c>
      <c r="BY913">
        <f t="shared" si="286"/>
        <v>0</v>
      </c>
      <c r="BZ913" s="303">
        <f t="shared" si="287"/>
        <v>0</v>
      </c>
      <c r="CB913" s="298">
        <v>0.6</v>
      </c>
      <c r="CC913" s="298">
        <v>0.4</v>
      </c>
      <c r="CD913">
        <f t="shared" si="288"/>
        <v>0</v>
      </c>
      <c r="CE913">
        <f t="shared" si="289"/>
        <v>0</v>
      </c>
      <c r="CF913">
        <f t="shared" si="290"/>
        <v>0</v>
      </c>
      <c r="CG913">
        <f t="shared" si="291"/>
        <v>0</v>
      </c>
      <c r="CH913">
        <f t="shared" si="292"/>
        <v>0</v>
      </c>
      <c r="CI913">
        <f t="shared" si="293"/>
        <v>0</v>
      </c>
      <c r="CJ913">
        <f t="shared" si="294"/>
        <v>0</v>
      </c>
      <c r="CK913">
        <f t="shared" si="295"/>
        <v>0</v>
      </c>
      <c r="CL913">
        <f t="shared" si="296"/>
        <v>0</v>
      </c>
      <c r="CM913">
        <f t="shared" si="298"/>
        <v>0</v>
      </c>
      <c r="CN913">
        <f t="shared" si="297"/>
        <v>0</v>
      </c>
      <c r="CO913">
        <f t="shared" si="281"/>
        <v>0</v>
      </c>
    </row>
    <row r="914" spans="1:93" s="12" customFormat="1" hidden="1" x14ac:dyDescent="0.25">
      <c r="A914" s="4">
        <v>2013</v>
      </c>
      <c r="B914" s="315">
        <v>44265</v>
      </c>
      <c r="C914" s="4" t="s">
        <v>429</v>
      </c>
      <c r="D914" s="4" t="s">
        <v>430</v>
      </c>
      <c r="E914" s="4"/>
      <c r="F914" s="4" t="s">
        <v>1491</v>
      </c>
      <c r="G914" s="5" t="s">
        <v>431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+VLOOKUP(G914,Liste!$A$7:$G$69,3,FALSE)</f>
        <v>Sapin pectiné</v>
      </c>
      <c r="BI914" s="96" t="str">
        <f>+VLOOKUP(H914,Liste!$B$7:$G$69,5,FALSE)</f>
        <v>GS Arc Jurassien</v>
      </c>
      <c r="BJ914" s="135">
        <f t="shared" si="280"/>
        <v>48</v>
      </c>
      <c r="BK914" s="135" t="str">
        <f t="shared" si="282"/>
        <v>Sapin pectiné_F1_Cas général_GS Arc Jurassien_48_</v>
      </c>
      <c r="BL914" s="319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97" t="str">
        <f>+VLOOKUP(G914,Liste!$A$7:$H$69,8,FALSE)</f>
        <v>Résineux</v>
      </c>
      <c r="BU914" s="297">
        <f t="shared" si="283"/>
        <v>0</v>
      </c>
      <c r="BV914" s="299">
        <f t="shared" si="284"/>
        <v>1</v>
      </c>
      <c r="BW914" s="318">
        <v>0</v>
      </c>
      <c r="BX914" s="297">
        <f t="shared" si="285"/>
        <v>0.43</v>
      </c>
      <c r="BY914">
        <f t="shared" si="286"/>
        <v>0</v>
      </c>
      <c r="BZ914" s="303">
        <f t="shared" si="287"/>
        <v>0</v>
      </c>
      <c r="CB914" s="298">
        <v>0.6</v>
      </c>
      <c r="CC914" s="298">
        <v>0.4</v>
      </c>
      <c r="CD914">
        <f t="shared" si="288"/>
        <v>0</v>
      </c>
      <c r="CE914">
        <f t="shared" si="289"/>
        <v>0</v>
      </c>
      <c r="CF914">
        <f t="shared" si="290"/>
        <v>0</v>
      </c>
      <c r="CG914">
        <f t="shared" si="291"/>
        <v>0</v>
      </c>
      <c r="CH914">
        <f t="shared" si="292"/>
        <v>0</v>
      </c>
      <c r="CI914">
        <f t="shared" si="293"/>
        <v>0</v>
      </c>
      <c r="CJ914">
        <f t="shared" si="294"/>
        <v>0</v>
      </c>
      <c r="CK914">
        <f t="shared" si="295"/>
        <v>0</v>
      </c>
      <c r="CL914">
        <f t="shared" si="296"/>
        <v>0</v>
      </c>
      <c r="CM914">
        <f t="shared" si="298"/>
        <v>0</v>
      </c>
      <c r="CN914">
        <f t="shared" si="297"/>
        <v>0</v>
      </c>
      <c r="CO914">
        <f t="shared" si="281"/>
        <v>0</v>
      </c>
    </row>
    <row r="915" spans="1:93" s="12" customFormat="1" hidden="1" x14ac:dyDescent="0.25">
      <c r="A915" s="4">
        <v>2013</v>
      </c>
      <c r="B915" s="315">
        <v>44265</v>
      </c>
      <c r="C915" s="4" t="s">
        <v>429</v>
      </c>
      <c r="D915" s="4" t="s">
        <v>430</v>
      </c>
      <c r="E915" s="4"/>
      <c r="F915" s="4" t="s">
        <v>1491</v>
      </c>
      <c r="G915" s="5" t="s">
        <v>431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+VLOOKUP(G915,Liste!$A$7:$G$69,3,FALSE)</f>
        <v>Sapin pectiné</v>
      </c>
      <c r="BI915" s="96" t="str">
        <f>+VLOOKUP(H915,Liste!$B$7:$G$69,5,FALSE)</f>
        <v>GS Arc Jurassien</v>
      </c>
      <c r="BJ915" s="135">
        <f t="shared" si="280"/>
        <v>49</v>
      </c>
      <c r="BK915" s="135" t="str">
        <f t="shared" si="282"/>
        <v>Sapin pectiné_F1_Cas général_GS Arc Jurassien_49_</v>
      </c>
      <c r="BL915" s="319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97" t="str">
        <f>+VLOOKUP(G915,Liste!$A$7:$H$69,8,FALSE)</f>
        <v>Résineux</v>
      </c>
      <c r="BU915" s="297">
        <f t="shared" si="283"/>
        <v>0</v>
      </c>
      <c r="BV915" s="299">
        <f t="shared" si="284"/>
        <v>1</v>
      </c>
      <c r="BW915" s="318">
        <v>0</v>
      </c>
      <c r="BX915" s="297">
        <f t="shared" si="285"/>
        <v>0.43</v>
      </c>
      <c r="BY915">
        <f t="shared" si="286"/>
        <v>0</v>
      </c>
      <c r="BZ915" s="303">
        <f t="shared" si="287"/>
        <v>0</v>
      </c>
      <c r="CB915" s="298">
        <v>0.6</v>
      </c>
      <c r="CC915" s="298">
        <v>0.4</v>
      </c>
      <c r="CD915">
        <f t="shared" si="288"/>
        <v>0</v>
      </c>
      <c r="CE915">
        <f t="shared" si="289"/>
        <v>0</v>
      </c>
      <c r="CF915">
        <f t="shared" si="290"/>
        <v>0</v>
      </c>
      <c r="CG915">
        <f t="shared" si="291"/>
        <v>0</v>
      </c>
      <c r="CH915">
        <f t="shared" si="292"/>
        <v>0</v>
      </c>
      <c r="CI915">
        <f t="shared" si="293"/>
        <v>0</v>
      </c>
      <c r="CJ915">
        <f t="shared" si="294"/>
        <v>0</v>
      </c>
      <c r="CK915">
        <f t="shared" si="295"/>
        <v>0</v>
      </c>
      <c r="CL915">
        <f t="shared" si="296"/>
        <v>0</v>
      </c>
      <c r="CM915">
        <f t="shared" si="298"/>
        <v>0</v>
      </c>
      <c r="CN915">
        <f t="shared" si="297"/>
        <v>0</v>
      </c>
      <c r="CO915">
        <f t="shared" si="281"/>
        <v>0</v>
      </c>
    </row>
    <row r="916" spans="1:93" s="12" customFormat="1" hidden="1" x14ac:dyDescent="0.25">
      <c r="A916" s="4">
        <v>2013</v>
      </c>
      <c r="B916" s="315">
        <v>44265</v>
      </c>
      <c r="C916" s="4" t="s">
        <v>429</v>
      </c>
      <c r="D916" s="4" t="s">
        <v>430</v>
      </c>
      <c r="E916" s="4"/>
      <c r="F916" s="4" t="s">
        <v>1491</v>
      </c>
      <c r="G916" s="5" t="s">
        <v>431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+VLOOKUP(G916,Liste!$A$7:$G$69,3,FALSE)</f>
        <v>Sapin pectiné</v>
      </c>
      <c r="BI916" s="96" t="str">
        <f>+VLOOKUP(H916,Liste!$B$7:$G$69,5,FALSE)</f>
        <v>GS Arc Jurassien</v>
      </c>
      <c r="BJ916" s="135">
        <f t="shared" si="280"/>
        <v>50</v>
      </c>
      <c r="BK916" s="135" t="str">
        <f t="shared" si="282"/>
        <v>Sapin pectiné_F1_Cas général_GS Arc Jurassien_50_</v>
      </c>
      <c r="BL916" s="319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97" t="str">
        <f>+VLOOKUP(G916,Liste!$A$7:$H$69,8,FALSE)</f>
        <v>Résineux</v>
      </c>
      <c r="BU916" s="297">
        <f t="shared" si="283"/>
        <v>0</v>
      </c>
      <c r="BV916" s="299">
        <f t="shared" si="284"/>
        <v>1</v>
      </c>
      <c r="BW916" s="318">
        <v>0</v>
      </c>
      <c r="BX916" s="297">
        <f t="shared" si="285"/>
        <v>0.43</v>
      </c>
      <c r="BY916">
        <f t="shared" si="286"/>
        <v>0</v>
      </c>
      <c r="BZ916" s="303">
        <f t="shared" si="287"/>
        <v>0</v>
      </c>
      <c r="CB916" s="298">
        <v>0.6</v>
      </c>
      <c r="CC916" s="298">
        <v>0.4</v>
      </c>
      <c r="CD916">
        <f t="shared" si="288"/>
        <v>0</v>
      </c>
      <c r="CE916">
        <f t="shared" si="289"/>
        <v>0</v>
      </c>
      <c r="CF916">
        <f t="shared" si="290"/>
        <v>0</v>
      </c>
      <c r="CG916">
        <f t="shared" si="291"/>
        <v>0</v>
      </c>
      <c r="CH916">
        <f t="shared" si="292"/>
        <v>0</v>
      </c>
      <c r="CI916">
        <f t="shared" si="293"/>
        <v>0</v>
      </c>
      <c r="CJ916">
        <f t="shared" si="294"/>
        <v>0</v>
      </c>
      <c r="CK916">
        <f t="shared" si="295"/>
        <v>0</v>
      </c>
      <c r="CL916">
        <f t="shared" si="296"/>
        <v>0</v>
      </c>
      <c r="CM916">
        <f t="shared" si="298"/>
        <v>0</v>
      </c>
      <c r="CN916">
        <f t="shared" si="297"/>
        <v>0</v>
      </c>
      <c r="CO916">
        <f t="shared" si="281"/>
        <v>0</v>
      </c>
    </row>
    <row r="917" spans="1:93" s="12" customFormat="1" hidden="1" x14ac:dyDescent="0.25">
      <c r="A917" s="4">
        <v>2013</v>
      </c>
      <c r="B917" s="315">
        <v>44265</v>
      </c>
      <c r="C917" s="4" t="s">
        <v>429</v>
      </c>
      <c r="D917" s="4" t="s">
        <v>430</v>
      </c>
      <c r="E917" s="4"/>
      <c r="F917" s="4" t="s">
        <v>1491</v>
      </c>
      <c r="G917" s="5" t="s">
        <v>431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+VLOOKUP(G917,Liste!$A$7:$G$69,3,FALSE)</f>
        <v>Sapin pectiné</v>
      </c>
      <c r="BI917" s="96" t="str">
        <f>+VLOOKUP(H917,Liste!$B$7:$G$69,5,FALSE)</f>
        <v>GS Arc Jurassien</v>
      </c>
      <c r="BJ917" s="135">
        <f t="shared" si="280"/>
        <v>51</v>
      </c>
      <c r="BK917" s="135" t="str">
        <f t="shared" si="282"/>
        <v>Sapin pectiné_F1_Cas général_GS Arc Jurassien_51_</v>
      </c>
      <c r="BL917" s="319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97" t="str">
        <f>+VLOOKUP(G917,Liste!$A$7:$H$69,8,FALSE)</f>
        <v>Résineux</v>
      </c>
      <c r="BU917" s="297">
        <f t="shared" si="283"/>
        <v>0</v>
      </c>
      <c r="BV917" s="299">
        <f t="shared" si="284"/>
        <v>1</v>
      </c>
      <c r="BW917" s="318">
        <v>0</v>
      </c>
      <c r="BX917" s="297">
        <f t="shared" si="285"/>
        <v>0.43</v>
      </c>
      <c r="BY917">
        <f t="shared" si="286"/>
        <v>0</v>
      </c>
      <c r="BZ917" s="303">
        <f t="shared" si="287"/>
        <v>0</v>
      </c>
      <c r="CB917" s="298">
        <v>0.6</v>
      </c>
      <c r="CC917" s="298">
        <v>0.4</v>
      </c>
      <c r="CD917">
        <f t="shared" si="288"/>
        <v>0</v>
      </c>
      <c r="CE917">
        <f t="shared" si="289"/>
        <v>0</v>
      </c>
      <c r="CF917">
        <f t="shared" si="290"/>
        <v>0</v>
      </c>
      <c r="CG917">
        <f t="shared" si="291"/>
        <v>0</v>
      </c>
      <c r="CH917">
        <f t="shared" si="292"/>
        <v>0</v>
      </c>
      <c r="CI917">
        <f t="shared" si="293"/>
        <v>0</v>
      </c>
      <c r="CJ917">
        <f t="shared" si="294"/>
        <v>0</v>
      </c>
      <c r="CK917">
        <f t="shared" si="295"/>
        <v>0</v>
      </c>
      <c r="CL917">
        <f t="shared" si="296"/>
        <v>0</v>
      </c>
      <c r="CM917">
        <f t="shared" si="298"/>
        <v>0</v>
      </c>
      <c r="CN917">
        <f t="shared" si="297"/>
        <v>0</v>
      </c>
      <c r="CO917">
        <f t="shared" si="281"/>
        <v>0</v>
      </c>
    </row>
    <row r="918" spans="1:93" s="12" customFormat="1" hidden="1" x14ac:dyDescent="0.25">
      <c r="A918" s="4">
        <v>2013</v>
      </c>
      <c r="B918" s="315">
        <v>44265</v>
      </c>
      <c r="C918" s="4" t="s">
        <v>429</v>
      </c>
      <c r="D918" s="4" t="s">
        <v>430</v>
      </c>
      <c r="E918" s="4"/>
      <c r="F918" s="4" t="s">
        <v>1491</v>
      </c>
      <c r="G918" s="5" t="s">
        <v>431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+VLOOKUP(G918,Liste!$A$7:$G$69,3,FALSE)</f>
        <v>Sapin pectiné</v>
      </c>
      <c r="BI918" s="96" t="str">
        <f>+VLOOKUP(H918,Liste!$B$7:$G$69,5,FALSE)</f>
        <v>GS Arc Jurassien</v>
      </c>
      <c r="BJ918" s="135">
        <f t="shared" si="280"/>
        <v>52</v>
      </c>
      <c r="BK918" s="135" t="str">
        <f t="shared" si="282"/>
        <v>Sapin pectiné_F1_Cas général_GS Arc Jurassien_52_</v>
      </c>
      <c r="BL918" s="319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97" t="str">
        <f>+VLOOKUP(G918,Liste!$A$7:$H$69,8,FALSE)</f>
        <v>Résineux</v>
      </c>
      <c r="BU918" s="297">
        <f t="shared" si="283"/>
        <v>0</v>
      </c>
      <c r="BV918" s="299">
        <f t="shared" si="284"/>
        <v>1</v>
      </c>
      <c r="BW918" s="318">
        <v>0</v>
      </c>
      <c r="BX918" s="297">
        <f t="shared" si="285"/>
        <v>0.43</v>
      </c>
      <c r="BY918">
        <f t="shared" si="286"/>
        <v>0</v>
      </c>
      <c r="BZ918" s="303">
        <f t="shared" si="287"/>
        <v>0</v>
      </c>
      <c r="CB918" s="298">
        <v>0.6</v>
      </c>
      <c r="CC918" s="298">
        <v>0.4</v>
      </c>
      <c r="CD918">
        <f t="shared" si="288"/>
        <v>0</v>
      </c>
      <c r="CE918">
        <f t="shared" si="289"/>
        <v>0</v>
      </c>
      <c r="CF918">
        <f t="shared" si="290"/>
        <v>0</v>
      </c>
      <c r="CG918">
        <f t="shared" si="291"/>
        <v>0</v>
      </c>
      <c r="CH918">
        <f t="shared" si="292"/>
        <v>0</v>
      </c>
      <c r="CI918">
        <f t="shared" si="293"/>
        <v>0</v>
      </c>
      <c r="CJ918">
        <f t="shared" si="294"/>
        <v>0</v>
      </c>
      <c r="CK918">
        <f t="shared" si="295"/>
        <v>0</v>
      </c>
      <c r="CL918">
        <f t="shared" si="296"/>
        <v>0</v>
      </c>
      <c r="CM918">
        <f t="shared" si="298"/>
        <v>0</v>
      </c>
      <c r="CN918">
        <f t="shared" si="297"/>
        <v>0</v>
      </c>
      <c r="CO918">
        <f t="shared" si="281"/>
        <v>0</v>
      </c>
    </row>
    <row r="919" spans="1:93" s="12" customFormat="1" hidden="1" x14ac:dyDescent="0.25">
      <c r="A919" s="4">
        <v>2013</v>
      </c>
      <c r="B919" s="315">
        <v>44265</v>
      </c>
      <c r="C919" s="4" t="s">
        <v>429</v>
      </c>
      <c r="D919" s="4" t="s">
        <v>430</v>
      </c>
      <c r="E919" s="4"/>
      <c r="F919" s="4" t="s">
        <v>1491</v>
      </c>
      <c r="G919" s="5" t="s">
        <v>431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+VLOOKUP(G919,Liste!$A$7:$G$69,3,FALSE)</f>
        <v>Sapin pectiné</v>
      </c>
      <c r="BI919" s="96" t="str">
        <f>+VLOOKUP(H919,Liste!$B$7:$G$69,5,FALSE)</f>
        <v>GS Arc Jurassien</v>
      </c>
      <c r="BJ919" s="135">
        <f t="shared" si="280"/>
        <v>52</v>
      </c>
      <c r="BK919" s="135" t="str">
        <f t="shared" si="282"/>
        <v>Sapin pectiné_F1_Cas général_GS Arc Jurassien_52_</v>
      </c>
      <c r="BL919" s="319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97" t="str">
        <f>+VLOOKUP(G919,Liste!$A$7:$H$69,8,FALSE)</f>
        <v>Résineux</v>
      </c>
      <c r="BU919" s="297">
        <f t="shared" si="283"/>
        <v>0</v>
      </c>
      <c r="BV919" s="299">
        <f t="shared" si="284"/>
        <v>1</v>
      </c>
      <c r="BW919" s="318">
        <v>0</v>
      </c>
      <c r="BX919" s="297">
        <f t="shared" si="285"/>
        <v>0.43</v>
      </c>
      <c r="BY919">
        <f t="shared" si="286"/>
        <v>0</v>
      </c>
      <c r="BZ919" s="303">
        <f t="shared" si="287"/>
        <v>0</v>
      </c>
      <c r="CB919" s="298">
        <v>0.6</v>
      </c>
      <c r="CC919" s="298">
        <v>0.4</v>
      </c>
      <c r="CD919">
        <f t="shared" si="288"/>
        <v>0</v>
      </c>
      <c r="CE919">
        <f t="shared" si="289"/>
        <v>0</v>
      </c>
      <c r="CF919">
        <f t="shared" si="290"/>
        <v>0</v>
      </c>
      <c r="CG919">
        <f t="shared" si="291"/>
        <v>0</v>
      </c>
      <c r="CH919">
        <f t="shared" si="292"/>
        <v>0</v>
      </c>
      <c r="CI919">
        <f t="shared" si="293"/>
        <v>0</v>
      </c>
      <c r="CJ919">
        <f t="shared" si="294"/>
        <v>0</v>
      </c>
      <c r="CK919">
        <f t="shared" si="295"/>
        <v>0</v>
      </c>
      <c r="CL919">
        <f t="shared" si="296"/>
        <v>0</v>
      </c>
      <c r="CM919">
        <f t="shared" si="298"/>
        <v>0</v>
      </c>
      <c r="CN919">
        <f t="shared" si="297"/>
        <v>0</v>
      </c>
      <c r="CO919">
        <f t="shared" si="281"/>
        <v>0</v>
      </c>
    </row>
    <row r="920" spans="1:93" s="12" customFormat="1" hidden="1" x14ac:dyDescent="0.25">
      <c r="A920" s="4">
        <v>2013</v>
      </c>
      <c r="B920" s="315">
        <v>44265</v>
      </c>
      <c r="C920" s="4" t="s">
        <v>429</v>
      </c>
      <c r="D920" s="4" t="s">
        <v>430</v>
      </c>
      <c r="E920" s="4"/>
      <c r="F920" s="4" t="s">
        <v>1491</v>
      </c>
      <c r="G920" s="5" t="s">
        <v>431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+VLOOKUP(G920,Liste!$A$7:$G$69,3,FALSE)</f>
        <v>Sapin pectiné</v>
      </c>
      <c r="BI920" s="96" t="str">
        <f>+VLOOKUP(H920,Liste!$B$7:$G$69,5,FALSE)</f>
        <v>GS Arc Jurassien</v>
      </c>
      <c r="BJ920" s="135">
        <f t="shared" si="280"/>
        <v>53</v>
      </c>
      <c r="BK920" s="135" t="str">
        <f t="shared" si="282"/>
        <v>Sapin pectiné_F1_Cas général_GS Arc Jurassien_53_</v>
      </c>
      <c r="BL920" s="319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97" t="str">
        <f>+VLOOKUP(G920,Liste!$A$7:$H$69,8,FALSE)</f>
        <v>Résineux</v>
      </c>
      <c r="BU920" s="297">
        <f t="shared" si="283"/>
        <v>0</v>
      </c>
      <c r="BV920" s="299">
        <f t="shared" si="284"/>
        <v>1</v>
      </c>
      <c r="BW920" s="318">
        <v>0</v>
      </c>
      <c r="BX920" s="297">
        <f t="shared" si="285"/>
        <v>0.43</v>
      </c>
      <c r="BY920">
        <f t="shared" si="286"/>
        <v>0</v>
      </c>
      <c r="BZ920" s="303">
        <f t="shared" si="287"/>
        <v>0</v>
      </c>
      <c r="CB920" s="298">
        <v>0.6</v>
      </c>
      <c r="CC920" s="298">
        <v>0.4</v>
      </c>
      <c r="CD920">
        <f t="shared" si="288"/>
        <v>0</v>
      </c>
      <c r="CE920">
        <f t="shared" si="289"/>
        <v>0</v>
      </c>
      <c r="CF920">
        <f t="shared" si="290"/>
        <v>0</v>
      </c>
      <c r="CG920">
        <f t="shared" si="291"/>
        <v>0</v>
      </c>
      <c r="CH920">
        <f t="shared" si="292"/>
        <v>0</v>
      </c>
      <c r="CI920">
        <f t="shared" si="293"/>
        <v>0</v>
      </c>
      <c r="CJ920">
        <f t="shared" si="294"/>
        <v>0</v>
      </c>
      <c r="CK920">
        <f t="shared" si="295"/>
        <v>0</v>
      </c>
      <c r="CL920">
        <f t="shared" si="296"/>
        <v>0</v>
      </c>
      <c r="CM920">
        <f t="shared" si="298"/>
        <v>0</v>
      </c>
      <c r="CN920">
        <f t="shared" si="297"/>
        <v>0</v>
      </c>
      <c r="CO920">
        <f t="shared" si="281"/>
        <v>0</v>
      </c>
    </row>
    <row r="921" spans="1:93" s="12" customFormat="1" hidden="1" x14ac:dyDescent="0.25">
      <c r="A921" s="4">
        <v>2013</v>
      </c>
      <c r="B921" s="315">
        <v>44265</v>
      </c>
      <c r="C921" s="4" t="s">
        <v>429</v>
      </c>
      <c r="D921" s="4" t="s">
        <v>430</v>
      </c>
      <c r="E921" s="4"/>
      <c r="F921" s="4" t="s">
        <v>1491</v>
      </c>
      <c r="G921" s="5" t="s">
        <v>431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+VLOOKUP(G921,Liste!$A$7:$G$69,3,FALSE)</f>
        <v>Sapin pectiné</v>
      </c>
      <c r="BI921" s="96" t="str">
        <f>+VLOOKUP(H921,Liste!$B$7:$G$69,5,FALSE)</f>
        <v>GS Arc Jurassien</v>
      </c>
      <c r="BJ921" s="135">
        <f t="shared" si="280"/>
        <v>54</v>
      </c>
      <c r="BK921" s="135" t="str">
        <f t="shared" si="282"/>
        <v>Sapin pectiné_F1_Cas général_GS Arc Jurassien_54_</v>
      </c>
      <c r="BL921" s="319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97" t="str">
        <f>+VLOOKUP(G921,Liste!$A$7:$H$69,8,FALSE)</f>
        <v>Résineux</v>
      </c>
      <c r="BU921" s="297">
        <f t="shared" si="283"/>
        <v>0</v>
      </c>
      <c r="BV921" s="299">
        <f t="shared" si="284"/>
        <v>1</v>
      </c>
      <c r="BW921" s="318">
        <v>0</v>
      </c>
      <c r="BX921" s="297">
        <f t="shared" si="285"/>
        <v>0.43</v>
      </c>
      <c r="BY921">
        <f t="shared" si="286"/>
        <v>0</v>
      </c>
      <c r="BZ921" s="303">
        <f t="shared" si="287"/>
        <v>0</v>
      </c>
      <c r="CB921" s="298">
        <v>0.6</v>
      </c>
      <c r="CC921" s="298">
        <v>0.4</v>
      </c>
      <c r="CD921">
        <f t="shared" si="288"/>
        <v>0</v>
      </c>
      <c r="CE921">
        <f t="shared" si="289"/>
        <v>0</v>
      </c>
      <c r="CF921">
        <f t="shared" si="290"/>
        <v>0</v>
      </c>
      <c r="CG921">
        <f t="shared" si="291"/>
        <v>0</v>
      </c>
      <c r="CH921">
        <f t="shared" si="292"/>
        <v>0</v>
      </c>
      <c r="CI921">
        <f t="shared" si="293"/>
        <v>0</v>
      </c>
      <c r="CJ921">
        <f t="shared" si="294"/>
        <v>0</v>
      </c>
      <c r="CK921">
        <f t="shared" si="295"/>
        <v>0</v>
      </c>
      <c r="CL921">
        <f t="shared" si="296"/>
        <v>0</v>
      </c>
      <c r="CM921">
        <f t="shared" si="298"/>
        <v>0</v>
      </c>
      <c r="CN921">
        <f t="shared" si="297"/>
        <v>0</v>
      </c>
      <c r="CO921">
        <f t="shared" si="281"/>
        <v>0</v>
      </c>
    </row>
    <row r="922" spans="1:93" s="12" customFormat="1" hidden="1" x14ac:dyDescent="0.25">
      <c r="A922" s="4">
        <v>2013</v>
      </c>
      <c r="B922" s="315">
        <v>44265</v>
      </c>
      <c r="C922" s="4" t="s">
        <v>429</v>
      </c>
      <c r="D922" s="4" t="s">
        <v>430</v>
      </c>
      <c r="E922" s="4"/>
      <c r="F922" s="4" t="s">
        <v>1491</v>
      </c>
      <c r="G922" s="5" t="s">
        <v>431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+VLOOKUP(G922,Liste!$A$7:$G$69,3,FALSE)</f>
        <v>Sapin pectiné</v>
      </c>
      <c r="BI922" s="96" t="str">
        <f>+VLOOKUP(H922,Liste!$B$7:$G$69,5,FALSE)</f>
        <v>GS Arc Jurassien</v>
      </c>
      <c r="BJ922" s="135">
        <f t="shared" si="280"/>
        <v>55</v>
      </c>
      <c r="BK922" s="135" t="str">
        <f t="shared" si="282"/>
        <v>Sapin pectiné_F1_Cas général_GS Arc Jurassien_55_</v>
      </c>
      <c r="BL922" s="319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97" t="str">
        <f>+VLOOKUP(G922,Liste!$A$7:$H$69,8,FALSE)</f>
        <v>Résineux</v>
      </c>
      <c r="BU922" s="297">
        <f t="shared" si="283"/>
        <v>0</v>
      </c>
      <c r="BV922" s="299">
        <f t="shared" si="284"/>
        <v>1</v>
      </c>
      <c r="BW922" s="318">
        <v>0</v>
      </c>
      <c r="BX922" s="297">
        <f t="shared" si="285"/>
        <v>0.43</v>
      </c>
      <c r="BY922">
        <f t="shared" si="286"/>
        <v>0</v>
      </c>
      <c r="BZ922" s="303">
        <f t="shared" si="287"/>
        <v>0</v>
      </c>
      <c r="CB922" s="298">
        <v>0.6</v>
      </c>
      <c r="CC922" s="298">
        <v>0.4</v>
      </c>
      <c r="CD922">
        <f t="shared" si="288"/>
        <v>0</v>
      </c>
      <c r="CE922">
        <f t="shared" si="289"/>
        <v>0</v>
      </c>
      <c r="CF922">
        <f t="shared" si="290"/>
        <v>0</v>
      </c>
      <c r="CG922">
        <f t="shared" si="291"/>
        <v>0</v>
      </c>
      <c r="CH922">
        <f t="shared" si="292"/>
        <v>0</v>
      </c>
      <c r="CI922">
        <f t="shared" si="293"/>
        <v>0</v>
      </c>
      <c r="CJ922">
        <f t="shared" si="294"/>
        <v>0</v>
      </c>
      <c r="CK922">
        <f t="shared" si="295"/>
        <v>0</v>
      </c>
      <c r="CL922">
        <f t="shared" si="296"/>
        <v>0</v>
      </c>
      <c r="CM922">
        <f t="shared" si="298"/>
        <v>0</v>
      </c>
      <c r="CN922">
        <f t="shared" si="297"/>
        <v>0</v>
      </c>
      <c r="CO922">
        <f t="shared" si="281"/>
        <v>0</v>
      </c>
    </row>
    <row r="923" spans="1:93" s="12" customFormat="1" hidden="1" x14ac:dyDescent="0.25">
      <c r="A923" s="4">
        <v>2013</v>
      </c>
      <c r="B923" s="315">
        <v>44265</v>
      </c>
      <c r="C923" s="4" t="s">
        <v>429</v>
      </c>
      <c r="D923" s="4" t="s">
        <v>430</v>
      </c>
      <c r="E923" s="4"/>
      <c r="F923" s="4" t="s">
        <v>1491</v>
      </c>
      <c r="G923" s="5" t="s">
        <v>431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+VLOOKUP(G923,Liste!$A$7:$G$69,3,FALSE)</f>
        <v>Sapin pectiné</v>
      </c>
      <c r="BI923" s="96" t="str">
        <f>+VLOOKUP(H923,Liste!$B$7:$G$69,5,FALSE)</f>
        <v>GS Arc Jurassien</v>
      </c>
      <c r="BJ923" s="135">
        <f t="shared" si="280"/>
        <v>56</v>
      </c>
      <c r="BK923" s="135" t="str">
        <f t="shared" si="282"/>
        <v>Sapin pectiné_F1_Cas général_GS Arc Jurassien_56_</v>
      </c>
      <c r="BL923" s="319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97" t="str">
        <f>+VLOOKUP(G923,Liste!$A$7:$H$69,8,FALSE)</f>
        <v>Résineux</v>
      </c>
      <c r="BU923" s="297">
        <f t="shared" si="283"/>
        <v>0</v>
      </c>
      <c r="BV923" s="299">
        <f t="shared" si="284"/>
        <v>1</v>
      </c>
      <c r="BW923" s="318">
        <v>0</v>
      </c>
      <c r="BX923" s="297">
        <f t="shared" si="285"/>
        <v>0.43</v>
      </c>
      <c r="BY923">
        <f t="shared" si="286"/>
        <v>0</v>
      </c>
      <c r="BZ923" s="303">
        <f t="shared" si="287"/>
        <v>0</v>
      </c>
      <c r="CB923" s="298">
        <v>0.6</v>
      </c>
      <c r="CC923" s="298">
        <v>0.4</v>
      </c>
      <c r="CD923">
        <f t="shared" si="288"/>
        <v>0</v>
      </c>
      <c r="CE923">
        <f t="shared" si="289"/>
        <v>0</v>
      </c>
      <c r="CF923">
        <f t="shared" si="290"/>
        <v>0</v>
      </c>
      <c r="CG923">
        <f t="shared" si="291"/>
        <v>0</v>
      </c>
      <c r="CH923">
        <f t="shared" si="292"/>
        <v>0</v>
      </c>
      <c r="CI923">
        <f t="shared" si="293"/>
        <v>0</v>
      </c>
      <c r="CJ923">
        <f t="shared" si="294"/>
        <v>0</v>
      </c>
      <c r="CK923">
        <f t="shared" si="295"/>
        <v>0</v>
      </c>
      <c r="CL923">
        <f t="shared" si="296"/>
        <v>0</v>
      </c>
      <c r="CM923">
        <f t="shared" si="298"/>
        <v>0</v>
      </c>
      <c r="CN923">
        <f t="shared" si="297"/>
        <v>0</v>
      </c>
      <c r="CO923">
        <f t="shared" si="281"/>
        <v>0</v>
      </c>
    </row>
    <row r="924" spans="1:93" s="12" customFormat="1" hidden="1" x14ac:dyDescent="0.25">
      <c r="A924" s="4">
        <v>2013</v>
      </c>
      <c r="B924" s="315">
        <v>44265</v>
      </c>
      <c r="C924" s="4" t="s">
        <v>429</v>
      </c>
      <c r="D924" s="4" t="s">
        <v>430</v>
      </c>
      <c r="E924" s="4"/>
      <c r="F924" s="4" t="s">
        <v>1491</v>
      </c>
      <c r="G924" s="5" t="s">
        <v>431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+VLOOKUP(G924,Liste!$A$7:$G$69,3,FALSE)</f>
        <v>Sapin pectiné</v>
      </c>
      <c r="BI924" s="96" t="str">
        <f>+VLOOKUP(H924,Liste!$B$7:$G$69,5,FALSE)</f>
        <v>GS Arc Jurassien</v>
      </c>
      <c r="BJ924" s="135">
        <f t="shared" si="280"/>
        <v>57</v>
      </c>
      <c r="BK924" s="135" t="str">
        <f t="shared" si="282"/>
        <v>Sapin pectiné_F1_Cas général_GS Arc Jurassien_57_</v>
      </c>
      <c r="BL924" s="319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97" t="str">
        <f>+VLOOKUP(G924,Liste!$A$7:$H$69,8,FALSE)</f>
        <v>Résineux</v>
      </c>
      <c r="BU924" s="297">
        <f t="shared" si="283"/>
        <v>0</v>
      </c>
      <c r="BV924" s="299">
        <f t="shared" si="284"/>
        <v>1</v>
      </c>
      <c r="BW924" s="318">
        <v>0</v>
      </c>
      <c r="BX924" s="297">
        <f t="shared" si="285"/>
        <v>0.43</v>
      </c>
      <c r="BY924">
        <f t="shared" si="286"/>
        <v>0</v>
      </c>
      <c r="BZ924" s="303">
        <f t="shared" si="287"/>
        <v>0</v>
      </c>
      <c r="CB924" s="298">
        <v>0.6</v>
      </c>
      <c r="CC924" s="298">
        <v>0.4</v>
      </c>
      <c r="CD924">
        <f t="shared" si="288"/>
        <v>0</v>
      </c>
      <c r="CE924">
        <f t="shared" si="289"/>
        <v>0</v>
      </c>
      <c r="CF924">
        <f t="shared" si="290"/>
        <v>0</v>
      </c>
      <c r="CG924">
        <f t="shared" si="291"/>
        <v>0</v>
      </c>
      <c r="CH924">
        <f t="shared" si="292"/>
        <v>0</v>
      </c>
      <c r="CI924">
        <f t="shared" si="293"/>
        <v>0</v>
      </c>
      <c r="CJ924">
        <f t="shared" si="294"/>
        <v>0</v>
      </c>
      <c r="CK924">
        <f t="shared" si="295"/>
        <v>0</v>
      </c>
      <c r="CL924">
        <f t="shared" si="296"/>
        <v>0</v>
      </c>
      <c r="CM924">
        <f t="shared" si="298"/>
        <v>0</v>
      </c>
      <c r="CN924">
        <f t="shared" si="297"/>
        <v>0</v>
      </c>
      <c r="CO924">
        <f t="shared" si="281"/>
        <v>0</v>
      </c>
    </row>
    <row r="925" spans="1:93" s="12" customFormat="1" hidden="1" x14ac:dyDescent="0.25">
      <c r="A925" s="4">
        <v>2013</v>
      </c>
      <c r="B925" s="315">
        <v>44265</v>
      </c>
      <c r="C925" s="4" t="s">
        <v>429</v>
      </c>
      <c r="D925" s="4" t="s">
        <v>430</v>
      </c>
      <c r="E925" s="4"/>
      <c r="F925" s="4" t="s">
        <v>1491</v>
      </c>
      <c r="G925" s="5" t="s">
        <v>431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+VLOOKUP(G925,Liste!$A$7:$G$69,3,FALSE)</f>
        <v>Sapin pectiné</v>
      </c>
      <c r="BI925" s="96" t="str">
        <f>+VLOOKUP(H925,Liste!$B$7:$G$69,5,FALSE)</f>
        <v>GS Arc Jurassien</v>
      </c>
      <c r="BJ925" s="135">
        <f t="shared" si="280"/>
        <v>58</v>
      </c>
      <c r="BK925" s="135" t="str">
        <f t="shared" si="282"/>
        <v>Sapin pectiné_F1_Cas général_GS Arc Jurassien_58_</v>
      </c>
      <c r="BL925" s="319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97" t="str">
        <f>+VLOOKUP(G925,Liste!$A$7:$H$69,8,FALSE)</f>
        <v>Résineux</v>
      </c>
      <c r="BU925" s="297">
        <f t="shared" si="283"/>
        <v>0</v>
      </c>
      <c r="BV925" s="299">
        <f t="shared" si="284"/>
        <v>1</v>
      </c>
      <c r="BW925" s="318">
        <v>0</v>
      </c>
      <c r="BX925" s="297">
        <f t="shared" si="285"/>
        <v>0.43</v>
      </c>
      <c r="BY925">
        <f t="shared" si="286"/>
        <v>0</v>
      </c>
      <c r="BZ925" s="303">
        <f t="shared" si="287"/>
        <v>0</v>
      </c>
      <c r="CB925" s="298">
        <v>0.6</v>
      </c>
      <c r="CC925" s="298">
        <v>0.4</v>
      </c>
      <c r="CD925">
        <f t="shared" si="288"/>
        <v>0</v>
      </c>
      <c r="CE925">
        <f t="shared" si="289"/>
        <v>0</v>
      </c>
      <c r="CF925">
        <f t="shared" si="290"/>
        <v>0</v>
      </c>
      <c r="CG925">
        <f t="shared" si="291"/>
        <v>0</v>
      </c>
      <c r="CH925">
        <f t="shared" si="292"/>
        <v>0</v>
      </c>
      <c r="CI925">
        <f t="shared" si="293"/>
        <v>0</v>
      </c>
      <c r="CJ925">
        <f t="shared" si="294"/>
        <v>0</v>
      </c>
      <c r="CK925">
        <f t="shared" si="295"/>
        <v>0</v>
      </c>
      <c r="CL925">
        <f t="shared" si="296"/>
        <v>0</v>
      </c>
      <c r="CM925">
        <f t="shared" si="298"/>
        <v>0</v>
      </c>
      <c r="CN925">
        <f t="shared" si="297"/>
        <v>0</v>
      </c>
      <c r="CO925">
        <f t="shared" si="281"/>
        <v>0</v>
      </c>
    </row>
    <row r="926" spans="1:93" s="12" customFormat="1" hidden="1" x14ac:dyDescent="0.25">
      <c r="A926" s="4">
        <v>2013</v>
      </c>
      <c r="B926" s="315">
        <v>44265</v>
      </c>
      <c r="C926" s="4" t="s">
        <v>429</v>
      </c>
      <c r="D926" s="4" t="s">
        <v>430</v>
      </c>
      <c r="E926" s="4"/>
      <c r="F926" s="4" t="s">
        <v>1491</v>
      </c>
      <c r="G926" s="5" t="s">
        <v>431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+VLOOKUP(G926,Liste!$A$7:$G$69,3,FALSE)</f>
        <v>Sapin pectiné</v>
      </c>
      <c r="BI926" s="96" t="str">
        <f>+VLOOKUP(H926,Liste!$B$7:$G$69,5,FALSE)</f>
        <v>GS Arc Jurassien</v>
      </c>
      <c r="BJ926" s="135">
        <f t="shared" si="280"/>
        <v>59</v>
      </c>
      <c r="BK926" s="135" t="str">
        <f t="shared" si="282"/>
        <v>Sapin pectiné_F1_Cas général_GS Arc Jurassien_59_</v>
      </c>
      <c r="BL926" s="319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97" t="str">
        <f>+VLOOKUP(G926,Liste!$A$7:$H$69,8,FALSE)</f>
        <v>Résineux</v>
      </c>
      <c r="BU926" s="297">
        <f t="shared" si="283"/>
        <v>0</v>
      </c>
      <c r="BV926" s="299">
        <f t="shared" si="284"/>
        <v>1</v>
      </c>
      <c r="BW926" s="318">
        <v>0</v>
      </c>
      <c r="BX926" s="297">
        <f t="shared" si="285"/>
        <v>0.43</v>
      </c>
      <c r="BY926">
        <f t="shared" si="286"/>
        <v>0</v>
      </c>
      <c r="BZ926" s="303">
        <f t="shared" si="287"/>
        <v>0</v>
      </c>
      <c r="CB926" s="298">
        <v>0.6</v>
      </c>
      <c r="CC926" s="298">
        <v>0.4</v>
      </c>
      <c r="CD926">
        <f t="shared" si="288"/>
        <v>0</v>
      </c>
      <c r="CE926">
        <f t="shared" si="289"/>
        <v>0</v>
      </c>
      <c r="CF926">
        <f t="shared" si="290"/>
        <v>0</v>
      </c>
      <c r="CG926">
        <f t="shared" si="291"/>
        <v>0</v>
      </c>
      <c r="CH926">
        <f t="shared" si="292"/>
        <v>0</v>
      </c>
      <c r="CI926">
        <f t="shared" si="293"/>
        <v>0</v>
      </c>
      <c r="CJ926">
        <f t="shared" si="294"/>
        <v>0</v>
      </c>
      <c r="CK926">
        <f t="shared" si="295"/>
        <v>0</v>
      </c>
      <c r="CL926">
        <f t="shared" si="296"/>
        <v>0</v>
      </c>
      <c r="CM926">
        <f t="shared" si="298"/>
        <v>0</v>
      </c>
      <c r="CN926">
        <f t="shared" si="297"/>
        <v>0</v>
      </c>
      <c r="CO926">
        <f t="shared" si="281"/>
        <v>0</v>
      </c>
    </row>
    <row r="927" spans="1:93" s="12" customFormat="1" hidden="1" x14ac:dyDescent="0.25">
      <c r="A927" s="4">
        <v>2013</v>
      </c>
      <c r="B927" s="315">
        <v>44265</v>
      </c>
      <c r="C927" s="4" t="s">
        <v>429</v>
      </c>
      <c r="D927" s="4" t="s">
        <v>430</v>
      </c>
      <c r="E927" s="4"/>
      <c r="F927" s="4" t="s">
        <v>1491</v>
      </c>
      <c r="G927" s="5" t="s">
        <v>431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+VLOOKUP(G927,Liste!$A$7:$G$69,3,FALSE)</f>
        <v>Sapin pectiné</v>
      </c>
      <c r="BI927" s="96" t="str">
        <f>+VLOOKUP(H927,Liste!$B$7:$G$69,5,FALSE)</f>
        <v>GS Arc Jurassien</v>
      </c>
      <c r="BJ927" s="135">
        <f t="shared" si="280"/>
        <v>59</v>
      </c>
      <c r="BK927" s="135" t="str">
        <f t="shared" si="282"/>
        <v>Sapin pectiné_F1_Cas général_GS Arc Jurassien_59_</v>
      </c>
      <c r="BL927" s="319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97" t="str">
        <f>+VLOOKUP(G927,Liste!$A$7:$H$69,8,FALSE)</f>
        <v>Résineux</v>
      </c>
      <c r="BU927" s="297">
        <f t="shared" si="283"/>
        <v>0</v>
      </c>
      <c r="BV927" s="299">
        <f t="shared" si="284"/>
        <v>1</v>
      </c>
      <c r="BW927" s="318">
        <v>0</v>
      </c>
      <c r="BX927" s="297">
        <f t="shared" si="285"/>
        <v>0.43</v>
      </c>
      <c r="BY927">
        <f t="shared" si="286"/>
        <v>0</v>
      </c>
      <c r="BZ927" s="303">
        <f t="shared" si="287"/>
        <v>0</v>
      </c>
      <c r="CB927" s="298">
        <v>0.6</v>
      </c>
      <c r="CC927" s="298">
        <v>0.4</v>
      </c>
      <c r="CD927">
        <f t="shared" si="288"/>
        <v>0</v>
      </c>
      <c r="CE927">
        <f t="shared" si="289"/>
        <v>0</v>
      </c>
      <c r="CF927">
        <f t="shared" si="290"/>
        <v>0</v>
      </c>
      <c r="CG927">
        <f t="shared" si="291"/>
        <v>0</v>
      </c>
      <c r="CH927">
        <f t="shared" si="292"/>
        <v>0</v>
      </c>
      <c r="CI927">
        <f t="shared" si="293"/>
        <v>0</v>
      </c>
      <c r="CJ927">
        <f t="shared" si="294"/>
        <v>0</v>
      </c>
      <c r="CK927">
        <f t="shared" si="295"/>
        <v>0</v>
      </c>
      <c r="CL927">
        <f t="shared" si="296"/>
        <v>0</v>
      </c>
      <c r="CM927">
        <f t="shared" si="298"/>
        <v>0</v>
      </c>
      <c r="CN927">
        <f t="shared" si="297"/>
        <v>0</v>
      </c>
      <c r="CO927">
        <f t="shared" si="281"/>
        <v>0</v>
      </c>
    </row>
    <row r="928" spans="1:93" s="12" customFormat="1" hidden="1" x14ac:dyDescent="0.25">
      <c r="A928" s="4">
        <v>2013</v>
      </c>
      <c r="B928" s="315">
        <v>44265</v>
      </c>
      <c r="C928" s="4" t="s">
        <v>429</v>
      </c>
      <c r="D928" s="4" t="s">
        <v>430</v>
      </c>
      <c r="E928" s="4"/>
      <c r="F928" s="4" t="s">
        <v>1491</v>
      </c>
      <c r="G928" s="5" t="s">
        <v>431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+VLOOKUP(G928,Liste!$A$7:$G$69,3,FALSE)</f>
        <v>Sapin pectiné</v>
      </c>
      <c r="BI928" s="96" t="str">
        <f>+VLOOKUP(H928,Liste!$B$7:$G$69,5,FALSE)</f>
        <v>GS Arc Jurassien</v>
      </c>
      <c r="BJ928" s="135">
        <f t="shared" si="280"/>
        <v>60</v>
      </c>
      <c r="BK928" s="135" t="str">
        <f t="shared" si="282"/>
        <v>Sapin pectiné_F1_Cas général_GS Arc Jurassien_60_</v>
      </c>
      <c r="BL928" s="319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97" t="str">
        <f>+VLOOKUP(G928,Liste!$A$7:$H$69,8,FALSE)</f>
        <v>Résineux</v>
      </c>
      <c r="BU928" s="297">
        <f t="shared" si="283"/>
        <v>0</v>
      </c>
      <c r="BV928" s="299">
        <f t="shared" si="284"/>
        <v>1</v>
      </c>
      <c r="BW928" s="318">
        <v>0</v>
      </c>
      <c r="BX928" s="297">
        <f t="shared" si="285"/>
        <v>0.43</v>
      </c>
      <c r="BY928">
        <f t="shared" si="286"/>
        <v>0</v>
      </c>
      <c r="BZ928" s="303">
        <f t="shared" si="287"/>
        <v>0</v>
      </c>
      <c r="CB928" s="298">
        <v>0.6</v>
      </c>
      <c r="CC928" s="298">
        <v>0.4</v>
      </c>
      <c r="CD928">
        <f t="shared" si="288"/>
        <v>0</v>
      </c>
      <c r="CE928">
        <f t="shared" si="289"/>
        <v>0</v>
      </c>
      <c r="CF928">
        <f t="shared" si="290"/>
        <v>0</v>
      </c>
      <c r="CG928">
        <f t="shared" si="291"/>
        <v>0</v>
      </c>
      <c r="CH928">
        <f t="shared" si="292"/>
        <v>0</v>
      </c>
      <c r="CI928">
        <f t="shared" si="293"/>
        <v>0</v>
      </c>
      <c r="CJ928">
        <f t="shared" si="294"/>
        <v>0</v>
      </c>
      <c r="CK928">
        <f t="shared" si="295"/>
        <v>0</v>
      </c>
      <c r="CL928">
        <f t="shared" si="296"/>
        <v>0</v>
      </c>
      <c r="CM928">
        <f t="shared" si="298"/>
        <v>0</v>
      </c>
      <c r="CN928">
        <f t="shared" si="297"/>
        <v>0</v>
      </c>
      <c r="CO928">
        <f t="shared" si="281"/>
        <v>0</v>
      </c>
    </row>
    <row r="929" spans="1:93" s="12" customFormat="1" hidden="1" x14ac:dyDescent="0.25">
      <c r="A929" s="4">
        <v>2013</v>
      </c>
      <c r="B929" s="315">
        <v>44265</v>
      </c>
      <c r="C929" s="4" t="s">
        <v>429</v>
      </c>
      <c r="D929" s="4" t="s">
        <v>430</v>
      </c>
      <c r="E929" s="4"/>
      <c r="F929" s="4" t="s">
        <v>1491</v>
      </c>
      <c r="G929" s="5" t="s">
        <v>431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+VLOOKUP(G929,Liste!$A$7:$G$69,3,FALSE)</f>
        <v>Sapin pectiné</v>
      </c>
      <c r="BI929" s="96" t="str">
        <f>+VLOOKUP(H929,Liste!$B$7:$G$69,5,FALSE)</f>
        <v>GS Arc Jurassien</v>
      </c>
      <c r="BJ929" s="135">
        <f t="shared" si="280"/>
        <v>61</v>
      </c>
      <c r="BK929" s="135" t="str">
        <f t="shared" si="282"/>
        <v>Sapin pectiné_F1_Cas général_GS Arc Jurassien_61_</v>
      </c>
      <c r="BL929" s="319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97" t="str">
        <f>+VLOOKUP(G929,Liste!$A$7:$H$69,8,FALSE)</f>
        <v>Résineux</v>
      </c>
      <c r="BU929" s="297">
        <f t="shared" si="283"/>
        <v>0</v>
      </c>
      <c r="BV929" s="299">
        <f t="shared" si="284"/>
        <v>1</v>
      </c>
      <c r="BW929" s="318">
        <v>0</v>
      </c>
      <c r="BX929" s="297">
        <f t="shared" si="285"/>
        <v>0.43</v>
      </c>
      <c r="BY929">
        <f t="shared" si="286"/>
        <v>0</v>
      </c>
      <c r="BZ929" s="303">
        <f t="shared" si="287"/>
        <v>0</v>
      </c>
      <c r="CB929" s="298">
        <v>0.6</v>
      </c>
      <c r="CC929" s="298">
        <v>0.4</v>
      </c>
      <c r="CD929">
        <f t="shared" si="288"/>
        <v>0</v>
      </c>
      <c r="CE929">
        <f t="shared" si="289"/>
        <v>0</v>
      </c>
      <c r="CF929">
        <f t="shared" si="290"/>
        <v>0</v>
      </c>
      <c r="CG929">
        <f t="shared" si="291"/>
        <v>0</v>
      </c>
      <c r="CH929">
        <f t="shared" si="292"/>
        <v>0</v>
      </c>
      <c r="CI929">
        <f t="shared" si="293"/>
        <v>0</v>
      </c>
      <c r="CJ929">
        <f t="shared" si="294"/>
        <v>0</v>
      </c>
      <c r="CK929">
        <f t="shared" si="295"/>
        <v>0</v>
      </c>
      <c r="CL929">
        <f t="shared" si="296"/>
        <v>0</v>
      </c>
      <c r="CM929">
        <f t="shared" si="298"/>
        <v>0</v>
      </c>
      <c r="CN929">
        <f t="shared" si="297"/>
        <v>0</v>
      </c>
      <c r="CO929">
        <f t="shared" si="281"/>
        <v>0</v>
      </c>
    </row>
    <row r="930" spans="1:93" s="12" customFormat="1" hidden="1" x14ac:dyDescent="0.25">
      <c r="A930" s="4">
        <v>2013</v>
      </c>
      <c r="B930" s="315">
        <v>44265</v>
      </c>
      <c r="C930" s="4" t="s">
        <v>429</v>
      </c>
      <c r="D930" s="4" t="s">
        <v>430</v>
      </c>
      <c r="E930" s="4"/>
      <c r="F930" s="4" t="s">
        <v>1491</v>
      </c>
      <c r="G930" s="5" t="s">
        <v>431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+VLOOKUP(G930,Liste!$A$7:$G$69,3,FALSE)</f>
        <v>Sapin pectiné</v>
      </c>
      <c r="BI930" s="96" t="str">
        <f>+VLOOKUP(H930,Liste!$B$7:$G$69,5,FALSE)</f>
        <v>GS Arc Jurassien</v>
      </c>
      <c r="BJ930" s="135">
        <f t="shared" si="280"/>
        <v>62</v>
      </c>
      <c r="BK930" s="135" t="str">
        <f t="shared" si="282"/>
        <v>Sapin pectiné_F1_Cas général_GS Arc Jurassien_62_</v>
      </c>
      <c r="BL930" s="319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97" t="str">
        <f>+VLOOKUP(G930,Liste!$A$7:$H$69,8,FALSE)</f>
        <v>Résineux</v>
      </c>
      <c r="BU930" s="297">
        <f t="shared" si="283"/>
        <v>0</v>
      </c>
      <c r="BV930" s="299">
        <f t="shared" si="284"/>
        <v>1</v>
      </c>
      <c r="BW930" s="318">
        <v>0</v>
      </c>
      <c r="BX930" s="297">
        <f t="shared" si="285"/>
        <v>0.43</v>
      </c>
      <c r="BY930">
        <f t="shared" si="286"/>
        <v>0</v>
      </c>
      <c r="BZ930" s="303">
        <f t="shared" si="287"/>
        <v>0</v>
      </c>
      <c r="CB930" s="298">
        <v>0.6</v>
      </c>
      <c r="CC930" s="298">
        <v>0.4</v>
      </c>
      <c r="CD930">
        <f t="shared" si="288"/>
        <v>0</v>
      </c>
      <c r="CE930">
        <f t="shared" si="289"/>
        <v>0</v>
      </c>
      <c r="CF930">
        <f t="shared" si="290"/>
        <v>0</v>
      </c>
      <c r="CG930">
        <f t="shared" si="291"/>
        <v>0</v>
      </c>
      <c r="CH930">
        <f t="shared" si="292"/>
        <v>0</v>
      </c>
      <c r="CI930">
        <f t="shared" si="293"/>
        <v>0</v>
      </c>
      <c r="CJ930">
        <f t="shared" si="294"/>
        <v>0</v>
      </c>
      <c r="CK930">
        <f t="shared" si="295"/>
        <v>0</v>
      </c>
      <c r="CL930">
        <f t="shared" si="296"/>
        <v>0</v>
      </c>
      <c r="CM930">
        <f t="shared" si="298"/>
        <v>0</v>
      </c>
      <c r="CN930">
        <f t="shared" si="297"/>
        <v>0</v>
      </c>
      <c r="CO930">
        <f t="shared" si="281"/>
        <v>0</v>
      </c>
    </row>
    <row r="931" spans="1:93" s="12" customFormat="1" hidden="1" x14ac:dyDescent="0.25">
      <c r="A931" s="4">
        <v>2013</v>
      </c>
      <c r="B931" s="315">
        <v>44265</v>
      </c>
      <c r="C931" s="4" t="s">
        <v>429</v>
      </c>
      <c r="D931" s="4" t="s">
        <v>430</v>
      </c>
      <c r="E931" s="4"/>
      <c r="F931" s="4" t="s">
        <v>1491</v>
      </c>
      <c r="G931" s="5" t="s">
        <v>431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+VLOOKUP(G931,Liste!$A$7:$G$69,3,FALSE)</f>
        <v>Sapin pectiné</v>
      </c>
      <c r="BI931" s="96" t="str">
        <f>+VLOOKUP(H931,Liste!$B$7:$G$69,5,FALSE)</f>
        <v>GS Arc Jurassien</v>
      </c>
      <c r="BJ931" s="135">
        <f t="shared" si="280"/>
        <v>63</v>
      </c>
      <c r="BK931" s="135" t="str">
        <f t="shared" si="282"/>
        <v>Sapin pectiné_F1_Cas général_GS Arc Jurassien_63_</v>
      </c>
      <c r="BL931" s="319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97" t="str">
        <f>+VLOOKUP(G931,Liste!$A$7:$H$69,8,FALSE)</f>
        <v>Résineux</v>
      </c>
      <c r="BU931" s="297">
        <f t="shared" si="283"/>
        <v>0</v>
      </c>
      <c r="BV931" s="299">
        <f t="shared" si="284"/>
        <v>1</v>
      </c>
      <c r="BW931" s="318">
        <v>0</v>
      </c>
      <c r="BX931" s="297">
        <f t="shared" si="285"/>
        <v>0.43</v>
      </c>
      <c r="BY931">
        <f t="shared" si="286"/>
        <v>0</v>
      </c>
      <c r="BZ931" s="303">
        <f t="shared" si="287"/>
        <v>0</v>
      </c>
      <c r="CB931" s="298">
        <v>0.6</v>
      </c>
      <c r="CC931" s="298">
        <v>0.4</v>
      </c>
      <c r="CD931">
        <f t="shared" si="288"/>
        <v>0</v>
      </c>
      <c r="CE931">
        <f t="shared" si="289"/>
        <v>0</v>
      </c>
      <c r="CF931">
        <f t="shared" si="290"/>
        <v>0</v>
      </c>
      <c r="CG931">
        <f t="shared" si="291"/>
        <v>0</v>
      </c>
      <c r="CH931">
        <f t="shared" si="292"/>
        <v>0</v>
      </c>
      <c r="CI931">
        <f t="shared" si="293"/>
        <v>0</v>
      </c>
      <c r="CJ931">
        <f t="shared" si="294"/>
        <v>0</v>
      </c>
      <c r="CK931">
        <f t="shared" si="295"/>
        <v>0</v>
      </c>
      <c r="CL931">
        <f t="shared" si="296"/>
        <v>0</v>
      </c>
      <c r="CM931">
        <f t="shared" si="298"/>
        <v>0</v>
      </c>
      <c r="CN931">
        <f t="shared" si="297"/>
        <v>0</v>
      </c>
      <c r="CO931">
        <f t="shared" si="281"/>
        <v>0</v>
      </c>
    </row>
    <row r="932" spans="1:93" s="12" customFormat="1" hidden="1" x14ac:dyDescent="0.25">
      <c r="A932" s="4">
        <v>2013</v>
      </c>
      <c r="B932" s="315">
        <v>44265</v>
      </c>
      <c r="C932" s="4" t="s">
        <v>429</v>
      </c>
      <c r="D932" s="4" t="s">
        <v>430</v>
      </c>
      <c r="E932" s="4"/>
      <c r="F932" s="4" t="s">
        <v>1491</v>
      </c>
      <c r="G932" s="5" t="s">
        <v>431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+VLOOKUP(G932,Liste!$A$7:$G$69,3,FALSE)</f>
        <v>Sapin pectiné</v>
      </c>
      <c r="BI932" s="96" t="str">
        <f>+VLOOKUP(H932,Liste!$B$7:$G$69,5,FALSE)</f>
        <v>GS Arc Jurassien</v>
      </c>
      <c r="BJ932" s="135">
        <f t="shared" si="280"/>
        <v>64</v>
      </c>
      <c r="BK932" s="135" t="str">
        <f t="shared" si="282"/>
        <v>Sapin pectiné_F1_Cas général_GS Arc Jurassien_64_</v>
      </c>
      <c r="BL932" s="319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97" t="str">
        <f>+VLOOKUP(G932,Liste!$A$7:$H$69,8,FALSE)</f>
        <v>Résineux</v>
      </c>
      <c r="BU932" s="297">
        <f t="shared" si="283"/>
        <v>0</v>
      </c>
      <c r="BV932" s="299">
        <f t="shared" si="284"/>
        <v>1</v>
      </c>
      <c r="BW932" s="318">
        <v>0</v>
      </c>
      <c r="BX932" s="297">
        <f t="shared" si="285"/>
        <v>0.43</v>
      </c>
      <c r="BY932">
        <f t="shared" si="286"/>
        <v>0</v>
      </c>
      <c r="BZ932" s="303">
        <f t="shared" si="287"/>
        <v>0</v>
      </c>
      <c r="CB932" s="298">
        <v>0.6</v>
      </c>
      <c r="CC932" s="298">
        <v>0.4</v>
      </c>
      <c r="CD932">
        <f t="shared" si="288"/>
        <v>0</v>
      </c>
      <c r="CE932">
        <f t="shared" si="289"/>
        <v>0</v>
      </c>
      <c r="CF932">
        <f t="shared" si="290"/>
        <v>0</v>
      </c>
      <c r="CG932">
        <f t="shared" si="291"/>
        <v>0</v>
      </c>
      <c r="CH932">
        <f t="shared" si="292"/>
        <v>0</v>
      </c>
      <c r="CI932">
        <f t="shared" si="293"/>
        <v>0</v>
      </c>
      <c r="CJ932">
        <f t="shared" si="294"/>
        <v>0</v>
      </c>
      <c r="CK932">
        <f t="shared" si="295"/>
        <v>0</v>
      </c>
      <c r="CL932">
        <f t="shared" si="296"/>
        <v>0</v>
      </c>
      <c r="CM932">
        <f t="shared" si="298"/>
        <v>0</v>
      </c>
      <c r="CN932">
        <f t="shared" si="297"/>
        <v>0</v>
      </c>
      <c r="CO932">
        <f t="shared" si="281"/>
        <v>0</v>
      </c>
    </row>
    <row r="933" spans="1:93" s="12" customFormat="1" hidden="1" x14ac:dyDescent="0.25">
      <c r="A933" s="4">
        <v>2013</v>
      </c>
      <c r="B933" s="315">
        <v>44265</v>
      </c>
      <c r="C933" s="4" t="s">
        <v>429</v>
      </c>
      <c r="D933" s="4" t="s">
        <v>430</v>
      </c>
      <c r="E933" s="4"/>
      <c r="F933" s="4" t="s">
        <v>1491</v>
      </c>
      <c r="G933" s="5" t="s">
        <v>431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+VLOOKUP(G933,Liste!$A$7:$G$69,3,FALSE)</f>
        <v>Sapin pectiné</v>
      </c>
      <c r="BI933" s="96" t="str">
        <f>+VLOOKUP(H933,Liste!$B$7:$G$69,5,FALSE)</f>
        <v>GS Arc Jurassien</v>
      </c>
      <c r="BJ933" s="135">
        <f t="shared" si="280"/>
        <v>65</v>
      </c>
      <c r="BK933" s="135" t="str">
        <f t="shared" si="282"/>
        <v>Sapin pectiné_F1_Cas général_GS Arc Jurassien_65_</v>
      </c>
      <c r="BL933" s="319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97" t="str">
        <f>+VLOOKUP(G933,Liste!$A$7:$H$69,8,FALSE)</f>
        <v>Résineux</v>
      </c>
      <c r="BU933" s="297">
        <f t="shared" si="283"/>
        <v>0</v>
      </c>
      <c r="BV933" s="299">
        <f t="shared" si="284"/>
        <v>1</v>
      </c>
      <c r="BW933" s="318">
        <v>0</v>
      </c>
      <c r="BX933" s="297">
        <f t="shared" si="285"/>
        <v>0.43</v>
      </c>
      <c r="BY933">
        <f t="shared" si="286"/>
        <v>0</v>
      </c>
      <c r="BZ933" s="303">
        <f t="shared" si="287"/>
        <v>0</v>
      </c>
      <c r="CB933" s="298">
        <v>0.6</v>
      </c>
      <c r="CC933" s="298">
        <v>0.4</v>
      </c>
      <c r="CD933">
        <f t="shared" si="288"/>
        <v>0</v>
      </c>
      <c r="CE933">
        <f t="shared" si="289"/>
        <v>0</v>
      </c>
      <c r="CF933">
        <f t="shared" si="290"/>
        <v>0</v>
      </c>
      <c r="CG933">
        <f t="shared" si="291"/>
        <v>0</v>
      </c>
      <c r="CH933">
        <f t="shared" si="292"/>
        <v>0</v>
      </c>
      <c r="CI933">
        <f t="shared" si="293"/>
        <v>0</v>
      </c>
      <c r="CJ933">
        <f t="shared" si="294"/>
        <v>0</v>
      </c>
      <c r="CK933">
        <f t="shared" si="295"/>
        <v>0</v>
      </c>
      <c r="CL933">
        <f t="shared" si="296"/>
        <v>0</v>
      </c>
      <c r="CM933">
        <f t="shared" si="298"/>
        <v>0</v>
      </c>
      <c r="CN933">
        <f t="shared" si="297"/>
        <v>0</v>
      </c>
      <c r="CO933">
        <f t="shared" si="281"/>
        <v>0</v>
      </c>
    </row>
    <row r="934" spans="1:93" s="12" customFormat="1" hidden="1" x14ac:dyDescent="0.25">
      <c r="A934" s="4">
        <v>2013</v>
      </c>
      <c r="B934" s="315">
        <v>44265</v>
      </c>
      <c r="C934" s="4" t="s">
        <v>429</v>
      </c>
      <c r="D934" s="4" t="s">
        <v>430</v>
      </c>
      <c r="E934" s="4"/>
      <c r="F934" s="4" t="s">
        <v>1491</v>
      </c>
      <c r="G934" s="5" t="s">
        <v>431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+VLOOKUP(G934,Liste!$A$7:$G$69,3,FALSE)</f>
        <v>Sapin pectiné</v>
      </c>
      <c r="BI934" s="96" t="str">
        <f>+VLOOKUP(H934,Liste!$B$7:$G$69,5,FALSE)</f>
        <v>GS Arc Jurassien</v>
      </c>
      <c r="BJ934" s="135">
        <f t="shared" si="280"/>
        <v>66</v>
      </c>
      <c r="BK934" s="135" t="str">
        <f t="shared" si="282"/>
        <v>Sapin pectiné_F1_Cas général_GS Arc Jurassien_66_</v>
      </c>
      <c r="BL934" s="319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97" t="str">
        <f>+VLOOKUP(G934,Liste!$A$7:$H$69,8,FALSE)</f>
        <v>Résineux</v>
      </c>
      <c r="BU934" s="297">
        <f t="shared" si="283"/>
        <v>0</v>
      </c>
      <c r="BV934" s="299">
        <f t="shared" si="284"/>
        <v>1</v>
      </c>
      <c r="BW934" s="318">
        <v>0</v>
      </c>
      <c r="BX934" s="297">
        <f t="shared" si="285"/>
        <v>0.43</v>
      </c>
      <c r="BY934">
        <f t="shared" si="286"/>
        <v>0</v>
      </c>
      <c r="BZ934" s="303">
        <f t="shared" si="287"/>
        <v>0</v>
      </c>
      <c r="CB934" s="298">
        <v>0.6</v>
      </c>
      <c r="CC934" s="298">
        <v>0.4</v>
      </c>
      <c r="CD934">
        <f t="shared" si="288"/>
        <v>0</v>
      </c>
      <c r="CE934">
        <f t="shared" si="289"/>
        <v>0</v>
      </c>
      <c r="CF934">
        <f t="shared" si="290"/>
        <v>0</v>
      </c>
      <c r="CG934">
        <f t="shared" si="291"/>
        <v>0</v>
      </c>
      <c r="CH934">
        <f t="shared" si="292"/>
        <v>0</v>
      </c>
      <c r="CI934">
        <f t="shared" si="293"/>
        <v>0</v>
      </c>
      <c r="CJ934">
        <f t="shared" si="294"/>
        <v>0</v>
      </c>
      <c r="CK934">
        <f t="shared" si="295"/>
        <v>0</v>
      </c>
      <c r="CL934">
        <f t="shared" si="296"/>
        <v>0</v>
      </c>
      <c r="CM934">
        <f t="shared" si="298"/>
        <v>0</v>
      </c>
      <c r="CN934">
        <f t="shared" si="297"/>
        <v>0</v>
      </c>
      <c r="CO934">
        <f t="shared" si="281"/>
        <v>0</v>
      </c>
    </row>
    <row r="935" spans="1:93" s="12" customFormat="1" hidden="1" x14ac:dyDescent="0.25">
      <c r="A935" s="4">
        <v>2013</v>
      </c>
      <c r="B935" s="315">
        <v>44265</v>
      </c>
      <c r="C935" s="4" t="s">
        <v>429</v>
      </c>
      <c r="D935" s="4" t="s">
        <v>430</v>
      </c>
      <c r="E935" s="4"/>
      <c r="F935" s="4" t="s">
        <v>1491</v>
      </c>
      <c r="G935" s="5" t="s">
        <v>431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+VLOOKUP(G935,Liste!$A$7:$G$69,3,FALSE)</f>
        <v>Sapin pectiné</v>
      </c>
      <c r="BI935" s="96" t="str">
        <f>+VLOOKUP(H935,Liste!$B$7:$G$69,5,FALSE)</f>
        <v>GS Arc Jurassien</v>
      </c>
      <c r="BJ935" s="135">
        <f t="shared" si="280"/>
        <v>67</v>
      </c>
      <c r="BK935" s="135" t="str">
        <f t="shared" si="282"/>
        <v>Sapin pectiné_F1_Cas général_GS Arc Jurassien_67_</v>
      </c>
      <c r="BL935" s="319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97" t="str">
        <f>+VLOOKUP(G935,Liste!$A$7:$H$69,8,FALSE)</f>
        <v>Résineux</v>
      </c>
      <c r="BU935" s="297">
        <f t="shared" si="283"/>
        <v>0</v>
      </c>
      <c r="BV935" s="299">
        <f t="shared" si="284"/>
        <v>1</v>
      </c>
      <c r="BW935" s="318">
        <v>0</v>
      </c>
      <c r="BX935" s="297">
        <f t="shared" si="285"/>
        <v>0.43</v>
      </c>
      <c r="BY935">
        <f t="shared" si="286"/>
        <v>0</v>
      </c>
      <c r="BZ935" s="303">
        <f t="shared" si="287"/>
        <v>0</v>
      </c>
      <c r="CB935" s="298">
        <v>0.6</v>
      </c>
      <c r="CC935" s="298">
        <v>0.4</v>
      </c>
      <c r="CD935">
        <f t="shared" si="288"/>
        <v>0</v>
      </c>
      <c r="CE935">
        <f t="shared" si="289"/>
        <v>0</v>
      </c>
      <c r="CF935">
        <f t="shared" si="290"/>
        <v>0</v>
      </c>
      <c r="CG935">
        <f t="shared" si="291"/>
        <v>0</v>
      </c>
      <c r="CH935">
        <f t="shared" si="292"/>
        <v>0</v>
      </c>
      <c r="CI935">
        <f t="shared" si="293"/>
        <v>0</v>
      </c>
      <c r="CJ935">
        <f t="shared" si="294"/>
        <v>0</v>
      </c>
      <c r="CK935">
        <f t="shared" si="295"/>
        <v>0</v>
      </c>
      <c r="CL935">
        <f t="shared" si="296"/>
        <v>0</v>
      </c>
      <c r="CM935">
        <f t="shared" si="298"/>
        <v>0</v>
      </c>
      <c r="CN935">
        <f t="shared" si="297"/>
        <v>0</v>
      </c>
      <c r="CO935">
        <f t="shared" si="281"/>
        <v>0</v>
      </c>
    </row>
    <row r="936" spans="1:93" s="12" customFormat="1" hidden="1" x14ac:dyDescent="0.25">
      <c r="A936" s="4">
        <v>2013</v>
      </c>
      <c r="B936" s="315">
        <v>44265</v>
      </c>
      <c r="C936" s="4" t="s">
        <v>429</v>
      </c>
      <c r="D936" s="4" t="s">
        <v>430</v>
      </c>
      <c r="E936" s="4"/>
      <c r="F936" s="4" t="s">
        <v>1491</v>
      </c>
      <c r="G936" s="5" t="s">
        <v>431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+VLOOKUP(G936,Liste!$A$7:$G$69,3,FALSE)</f>
        <v>Sapin pectiné</v>
      </c>
      <c r="BI936" s="96" t="str">
        <f>+VLOOKUP(H936,Liste!$B$7:$G$69,5,FALSE)</f>
        <v>GS Arc Jurassien</v>
      </c>
      <c r="BJ936" s="135">
        <f t="shared" si="280"/>
        <v>67</v>
      </c>
      <c r="BK936" s="135" t="str">
        <f t="shared" si="282"/>
        <v>Sapin pectiné_F1_Cas général_GS Arc Jurassien_67_</v>
      </c>
      <c r="BL936" s="319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97" t="str">
        <f>+VLOOKUP(G936,Liste!$A$7:$H$69,8,FALSE)</f>
        <v>Résineux</v>
      </c>
      <c r="BU936" s="297">
        <f t="shared" si="283"/>
        <v>0</v>
      </c>
      <c r="BV936" s="299">
        <f t="shared" si="284"/>
        <v>1</v>
      </c>
      <c r="BW936" s="318">
        <v>0</v>
      </c>
      <c r="BX936" s="297">
        <f t="shared" si="285"/>
        <v>0.43</v>
      </c>
      <c r="BY936">
        <f t="shared" si="286"/>
        <v>0</v>
      </c>
      <c r="BZ936" s="303">
        <f t="shared" si="287"/>
        <v>0</v>
      </c>
      <c r="CB936" s="298">
        <v>0.6</v>
      </c>
      <c r="CC936" s="298">
        <v>0.4</v>
      </c>
      <c r="CD936">
        <f t="shared" si="288"/>
        <v>0</v>
      </c>
      <c r="CE936">
        <f t="shared" si="289"/>
        <v>0</v>
      </c>
      <c r="CF936">
        <f t="shared" si="290"/>
        <v>0</v>
      </c>
      <c r="CG936">
        <f t="shared" si="291"/>
        <v>0</v>
      </c>
      <c r="CH936">
        <f t="shared" si="292"/>
        <v>0</v>
      </c>
      <c r="CI936">
        <f t="shared" si="293"/>
        <v>0</v>
      </c>
      <c r="CJ936">
        <f t="shared" si="294"/>
        <v>0</v>
      </c>
      <c r="CK936">
        <f t="shared" si="295"/>
        <v>0</v>
      </c>
      <c r="CL936">
        <f t="shared" si="296"/>
        <v>0</v>
      </c>
      <c r="CM936">
        <f t="shared" si="298"/>
        <v>0</v>
      </c>
      <c r="CN936">
        <f t="shared" si="297"/>
        <v>0</v>
      </c>
      <c r="CO936">
        <f t="shared" si="281"/>
        <v>0</v>
      </c>
    </row>
    <row r="937" spans="1:93" s="12" customFormat="1" hidden="1" x14ac:dyDescent="0.25">
      <c r="A937" s="4">
        <v>2013</v>
      </c>
      <c r="B937" s="315">
        <v>44265</v>
      </c>
      <c r="C937" s="4" t="s">
        <v>429</v>
      </c>
      <c r="D937" s="4" t="s">
        <v>430</v>
      </c>
      <c r="E937" s="4"/>
      <c r="F937" s="4" t="s">
        <v>1491</v>
      </c>
      <c r="G937" s="5" t="s">
        <v>431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+VLOOKUP(G937,Liste!$A$7:$G$69,3,FALSE)</f>
        <v>Sapin pectiné</v>
      </c>
      <c r="BI937" s="96" t="str">
        <f>+VLOOKUP(H937,Liste!$B$7:$G$69,5,FALSE)</f>
        <v>GS Arc Jurassien</v>
      </c>
      <c r="BJ937" s="135">
        <f t="shared" si="280"/>
        <v>68</v>
      </c>
      <c r="BK937" s="135" t="str">
        <f t="shared" si="282"/>
        <v>Sapin pectiné_F1_Cas général_GS Arc Jurassien_68_</v>
      </c>
      <c r="BL937" s="319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97" t="str">
        <f>+VLOOKUP(G937,Liste!$A$7:$H$69,8,FALSE)</f>
        <v>Résineux</v>
      </c>
      <c r="BU937" s="297">
        <f t="shared" si="283"/>
        <v>0</v>
      </c>
      <c r="BV937" s="299">
        <f t="shared" si="284"/>
        <v>1</v>
      </c>
      <c r="BW937" s="318">
        <v>0</v>
      </c>
      <c r="BX937" s="297">
        <f t="shared" si="285"/>
        <v>0.43</v>
      </c>
      <c r="BY937">
        <f t="shared" si="286"/>
        <v>0</v>
      </c>
      <c r="BZ937" s="303">
        <f t="shared" si="287"/>
        <v>0</v>
      </c>
      <c r="CB937" s="298">
        <v>0.6</v>
      </c>
      <c r="CC937" s="298">
        <v>0.4</v>
      </c>
      <c r="CD937">
        <f t="shared" si="288"/>
        <v>0</v>
      </c>
      <c r="CE937">
        <f t="shared" si="289"/>
        <v>0</v>
      </c>
      <c r="CF937">
        <f t="shared" si="290"/>
        <v>0</v>
      </c>
      <c r="CG937">
        <f t="shared" si="291"/>
        <v>0</v>
      </c>
      <c r="CH937">
        <f t="shared" si="292"/>
        <v>0</v>
      </c>
      <c r="CI937">
        <f t="shared" si="293"/>
        <v>0</v>
      </c>
      <c r="CJ937">
        <f t="shared" si="294"/>
        <v>0</v>
      </c>
      <c r="CK937">
        <f t="shared" si="295"/>
        <v>0</v>
      </c>
      <c r="CL937">
        <f t="shared" si="296"/>
        <v>0</v>
      </c>
      <c r="CM937">
        <f t="shared" si="298"/>
        <v>0</v>
      </c>
      <c r="CN937">
        <f t="shared" si="297"/>
        <v>0</v>
      </c>
      <c r="CO937">
        <f t="shared" si="281"/>
        <v>0</v>
      </c>
    </row>
    <row r="938" spans="1:93" s="12" customFormat="1" hidden="1" x14ac:dyDescent="0.25">
      <c r="A938" s="4">
        <v>2013</v>
      </c>
      <c r="B938" s="315">
        <v>44265</v>
      </c>
      <c r="C938" s="4" t="s">
        <v>429</v>
      </c>
      <c r="D938" s="4" t="s">
        <v>430</v>
      </c>
      <c r="E938" s="4"/>
      <c r="F938" s="4" t="s">
        <v>1491</v>
      </c>
      <c r="G938" s="5" t="s">
        <v>431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+VLOOKUP(G938,Liste!$A$7:$G$69,3,FALSE)</f>
        <v>Sapin pectiné</v>
      </c>
      <c r="BI938" s="96" t="str">
        <f>+VLOOKUP(H938,Liste!$B$7:$G$69,5,FALSE)</f>
        <v>GS Arc Jurassien</v>
      </c>
      <c r="BJ938" s="135">
        <f t="shared" si="280"/>
        <v>69</v>
      </c>
      <c r="BK938" s="135" t="str">
        <f t="shared" si="282"/>
        <v>Sapin pectiné_F1_Cas général_GS Arc Jurassien_69_</v>
      </c>
      <c r="BL938" s="319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97" t="str">
        <f>+VLOOKUP(G938,Liste!$A$7:$H$69,8,FALSE)</f>
        <v>Résineux</v>
      </c>
      <c r="BU938" s="297">
        <f t="shared" si="283"/>
        <v>0</v>
      </c>
      <c r="BV938" s="299">
        <f t="shared" si="284"/>
        <v>1</v>
      </c>
      <c r="BW938" s="318">
        <v>0</v>
      </c>
      <c r="BX938" s="297">
        <f t="shared" si="285"/>
        <v>0.43</v>
      </c>
      <c r="BY938">
        <f t="shared" si="286"/>
        <v>0</v>
      </c>
      <c r="BZ938" s="303">
        <f t="shared" si="287"/>
        <v>0</v>
      </c>
      <c r="CB938" s="298">
        <v>0.6</v>
      </c>
      <c r="CC938" s="298">
        <v>0.4</v>
      </c>
      <c r="CD938">
        <f t="shared" si="288"/>
        <v>0</v>
      </c>
      <c r="CE938">
        <f t="shared" si="289"/>
        <v>0</v>
      </c>
      <c r="CF938">
        <f t="shared" si="290"/>
        <v>0</v>
      </c>
      <c r="CG938">
        <f t="shared" si="291"/>
        <v>0</v>
      </c>
      <c r="CH938">
        <f t="shared" si="292"/>
        <v>0</v>
      </c>
      <c r="CI938">
        <f t="shared" si="293"/>
        <v>0</v>
      </c>
      <c r="CJ938">
        <f t="shared" si="294"/>
        <v>0</v>
      </c>
      <c r="CK938">
        <f t="shared" si="295"/>
        <v>0</v>
      </c>
      <c r="CL938">
        <f t="shared" si="296"/>
        <v>0</v>
      </c>
      <c r="CM938">
        <f t="shared" si="298"/>
        <v>0</v>
      </c>
      <c r="CN938">
        <f t="shared" si="297"/>
        <v>0</v>
      </c>
      <c r="CO938">
        <f t="shared" si="281"/>
        <v>0</v>
      </c>
    </row>
    <row r="939" spans="1:93" s="12" customFormat="1" hidden="1" x14ac:dyDescent="0.25">
      <c r="A939" s="4">
        <v>2013</v>
      </c>
      <c r="B939" s="315">
        <v>44265</v>
      </c>
      <c r="C939" s="4" t="s">
        <v>429</v>
      </c>
      <c r="D939" s="4" t="s">
        <v>430</v>
      </c>
      <c r="E939" s="4"/>
      <c r="F939" s="4" t="s">
        <v>1491</v>
      </c>
      <c r="G939" s="5" t="s">
        <v>431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+VLOOKUP(G939,Liste!$A$7:$G$69,3,FALSE)</f>
        <v>Sapin pectiné</v>
      </c>
      <c r="BI939" s="96" t="str">
        <f>+VLOOKUP(H939,Liste!$B$7:$G$69,5,FALSE)</f>
        <v>GS Arc Jurassien</v>
      </c>
      <c r="BJ939" s="135">
        <f t="shared" si="280"/>
        <v>70</v>
      </c>
      <c r="BK939" s="135" t="str">
        <f t="shared" si="282"/>
        <v>Sapin pectiné_F1_Cas général_GS Arc Jurassien_70_</v>
      </c>
      <c r="BL939" s="319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97" t="str">
        <f>+VLOOKUP(G939,Liste!$A$7:$H$69,8,FALSE)</f>
        <v>Résineux</v>
      </c>
      <c r="BU939" s="297">
        <f t="shared" si="283"/>
        <v>0</v>
      </c>
      <c r="BV939" s="299">
        <f t="shared" si="284"/>
        <v>1</v>
      </c>
      <c r="BW939" s="318">
        <v>0</v>
      </c>
      <c r="BX939" s="297">
        <f t="shared" si="285"/>
        <v>0.43</v>
      </c>
      <c r="BY939">
        <f t="shared" si="286"/>
        <v>0</v>
      </c>
      <c r="BZ939" s="303">
        <f t="shared" si="287"/>
        <v>0</v>
      </c>
      <c r="CB939" s="298">
        <v>0.6</v>
      </c>
      <c r="CC939" s="298">
        <v>0.4</v>
      </c>
      <c r="CD939">
        <f t="shared" si="288"/>
        <v>0</v>
      </c>
      <c r="CE939">
        <f t="shared" si="289"/>
        <v>0</v>
      </c>
      <c r="CF939">
        <f t="shared" si="290"/>
        <v>0</v>
      </c>
      <c r="CG939">
        <f t="shared" si="291"/>
        <v>0</v>
      </c>
      <c r="CH939">
        <f t="shared" si="292"/>
        <v>0</v>
      </c>
      <c r="CI939">
        <f t="shared" si="293"/>
        <v>0</v>
      </c>
      <c r="CJ939">
        <f t="shared" si="294"/>
        <v>0</v>
      </c>
      <c r="CK939">
        <f t="shared" si="295"/>
        <v>0</v>
      </c>
      <c r="CL939">
        <f t="shared" si="296"/>
        <v>0</v>
      </c>
      <c r="CM939">
        <f t="shared" si="298"/>
        <v>0</v>
      </c>
      <c r="CN939">
        <f t="shared" si="297"/>
        <v>0</v>
      </c>
      <c r="CO939">
        <f t="shared" si="281"/>
        <v>0</v>
      </c>
    </row>
    <row r="940" spans="1:93" s="12" customFormat="1" hidden="1" x14ac:dyDescent="0.25">
      <c r="A940" s="4">
        <v>2013</v>
      </c>
      <c r="B940" s="315">
        <v>44265</v>
      </c>
      <c r="C940" s="4" t="s">
        <v>429</v>
      </c>
      <c r="D940" s="4" t="s">
        <v>430</v>
      </c>
      <c r="E940" s="4"/>
      <c r="F940" s="4" t="s">
        <v>1491</v>
      </c>
      <c r="G940" s="5" t="s">
        <v>431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+VLOOKUP(G940,Liste!$A$7:$G$69,3,FALSE)</f>
        <v>Sapin pectiné</v>
      </c>
      <c r="BI940" s="96" t="str">
        <f>+VLOOKUP(H940,Liste!$B$7:$G$69,5,FALSE)</f>
        <v>GS Arc Jurassien</v>
      </c>
      <c r="BJ940" s="135">
        <f t="shared" si="280"/>
        <v>71</v>
      </c>
      <c r="BK940" s="135" t="str">
        <f t="shared" si="282"/>
        <v>Sapin pectiné_F1_Cas général_GS Arc Jurassien_71_</v>
      </c>
      <c r="BL940" s="319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97" t="str">
        <f>+VLOOKUP(G940,Liste!$A$7:$H$69,8,FALSE)</f>
        <v>Résineux</v>
      </c>
      <c r="BU940" s="297">
        <f t="shared" si="283"/>
        <v>0</v>
      </c>
      <c r="BV940" s="299">
        <f t="shared" si="284"/>
        <v>1</v>
      </c>
      <c r="BW940" s="318">
        <v>0</v>
      </c>
      <c r="BX940" s="297">
        <f t="shared" si="285"/>
        <v>0.43</v>
      </c>
      <c r="BY940">
        <f t="shared" si="286"/>
        <v>0</v>
      </c>
      <c r="BZ940" s="303">
        <f t="shared" si="287"/>
        <v>0</v>
      </c>
      <c r="CB940" s="298">
        <v>0.6</v>
      </c>
      <c r="CC940" s="298">
        <v>0.4</v>
      </c>
      <c r="CD940">
        <f t="shared" si="288"/>
        <v>0</v>
      </c>
      <c r="CE940">
        <f t="shared" si="289"/>
        <v>0</v>
      </c>
      <c r="CF940">
        <f t="shared" si="290"/>
        <v>0</v>
      </c>
      <c r="CG940">
        <f t="shared" si="291"/>
        <v>0</v>
      </c>
      <c r="CH940">
        <f t="shared" si="292"/>
        <v>0</v>
      </c>
      <c r="CI940">
        <f t="shared" si="293"/>
        <v>0</v>
      </c>
      <c r="CJ940">
        <f t="shared" si="294"/>
        <v>0</v>
      </c>
      <c r="CK940">
        <f t="shared" si="295"/>
        <v>0</v>
      </c>
      <c r="CL940">
        <f t="shared" si="296"/>
        <v>0</v>
      </c>
      <c r="CM940">
        <f t="shared" si="298"/>
        <v>0</v>
      </c>
      <c r="CN940">
        <f t="shared" si="297"/>
        <v>0</v>
      </c>
      <c r="CO940">
        <f t="shared" si="281"/>
        <v>0</v>
      </c>
    </row>
    <row r="941" spans="1:93" s="12" customFormat="1" hidden="1" x14ac:dyDescent="0.25">
      <c r="A941" s="4">
        <v>2013</v>
      </c>
      <c r="B941" s="315">
        <v>44265</v>
      </c>
      <c r="C941" s="4" t="s">
        <v>429</v>
      </c>
      <c r="D941" s="4" t="s">
        <v>430</v>
      </c>
      <c r="E941" s="4"/>
      <c r="F941" s="4" t="s">
        <v>1491</v>
      </c>
      <c r="G941" s="5" t="s">
        <v>431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+VLOOKUP(G941,Liste!$A$7:$G$69,3,FALSE)</f>
        <v>Sapin pectiné</v>
      </c>
      <c r="BI941" s="96" t="str">
        <f>+VLOOKUP(H941,Liste!$B$7:$G$69,5,FALSE)</f>
        <v>GS Arc Jurassien</v>
      </c>
      <c r="BJ941" s="135">
        <f t="shared" si="280"/>
        <v>72</v>
      </c>
      <c r="BK941" s="135" t="str">
        <f t="shared" si="282"/>
        <v>Sapin pectiné_F1_Cas général_GS Arc Jurassien_72_</v>
      </c>
      <c r="BL941" s="319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97" t="str">
        <f>+VLOOKUP(G941,Liste!$A$7:$H$69,8,FALSE)</f>
        <v>Résineux</v>
      </c>
      <c r="BU941" s="297">
        <f t="shared" si="283"/>
        <v>0</v>
      </c>
      <c r="BV941" s="299">
        <f t="shared" si="284"/>
        <v>1</v>
      </c>
      <c r="BW941" s="318">
        <v>0</v>
      </c>
      <c r="BX941" s="297">
        <f t="shared" si="285"/>
        <v>0.43</v>
      </c>
      <c r="BY941">
        <f t="shared" si="286"/>
        <v>0</v>
      </c>
      <c r="BZ941" s="303">
        <f t="shared" si="287"/>
        <v>0</v>
      </c>
      <c r="CB941" s="298">
        <v>0.6</v>
      </c>
      <c r="CC941" s="298">
        <v>0.4</v>
      </c>
      <c r="CD941">
        <f t="shared" si="288"/>
        <v>0</v>
      </c>
      <c r="CE941">
        <f t="shared" si="289"/>
        <v>0</v>
      </c>
      <c r="CF941">
        <f t="shared" si="290"/>
        <v>0</v>
      </c>
      <c r="CG941">
        <f t="shared" si="291"/>
        <v>0</v>
      </c>
      <c r="CH941">
        <f t="shared" si="292"/>
        <v>0</v>
      </c>
      <c r="CI941">
        <f t="shared" si="293"/>
        <v>0</v>
      </c>
      <c r="CJ941">
        <f t="shared" si="294"/>
        <v>0</v>
      </c>
      <c r="CK941">
        <f t="shared" si="295"/>
        <v>0</v>
      </c>
      <c r="CL941">
        <f t="shared" si="296"/>
        <v>0</v>
      </c>
      <c r="CM941">
        <f t="shared" si="298"/>
        <v>0</v>
      </c>
      <c r="CN941">
        <f t="shared" si="297"/>
        <v>0</v>
      </c>
      <c r="CO941">
        <f t="shared" si="281"/>
        <v>0</v>
      </c>
    </row>
    <row r="942" spans="1:93" s="12" customFormat="1" hidden="1" x14ac:dyDescent="0.25">
      <c r="A942" s="4">
        <v>2013</v>
      </c>
      <c r="B942" s="315">
        <v>44265</v>
      </c>
      <c r="C942" s="4" t="s">
        <v>429</v>
      </c>
      <c r="D942" s="4" t="s">
        <v>430</v>
      </c>
      <c r="E942" s="4"/>
      <c r="F942" s="4" t="s">
        <v>1491</v>
      </c>
      <c r="G942" s="5" t="s">
        <v>431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+VLOOKUP(G942,Liste!$A$7:$G$69,3,FALSE)</f>
        <v>Sapin pectiné</v>
      </c>
      <c r="BI942" s="96" t="str">
        <f>+VLOOKUP(H942,Liste!$B$7:$G$69,5,FALSE)</f>
        <v>GS Arc Jurassien</v>
      </c>
      <c r="BJ942" s="135">
        <f t="shared" si="280"/>
        <v>73</v>
      </c>
      <c r="BK942" s="135" t="str">
        <f t="shared" si="282"/>
        <v>Sapin pectiné_F1_Cas général_GS Arc Jurassien_73_</v>
      </c>
      <c r="BL942" s="319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97" t="str">
        <f>+VLOOKUP(G942,Liste!$A$7:$H$69,8,FALSE)</f>
        <v>Résineux</v>
      </c>
      <c r="BU942" s="297">
        <f t="shared" si="283"/>
        <v>0</v>
      </c>
      <c r="BV942" s="299">
        <f t="shared" si="284"/>
        <v>1</v>
      </c>
      <c r="BW942" s="318">
        <v>0</v>
      </c>
      <c r="BX942" s="297">
        <f t="shared" si="285"/>
        <v>0.43</v>
      </c>
      <c r="BY942">
        <f t="shared" si="286"/>
        <v>0</v>
      </c>
      <c r="BZ942" s="303">
        <f t="shared" si="287"/>
        <v>0</v>
      </c>
      <c r="CB942" s="298">
        <v>0.6</v>
      </c>
      <c r="CC942" s="298">
        <v>0.4</v>
      </c>
      <c r="CD942">
        <f t="shared" si="288"/>
        <v>0</v>
      </c>
      <c r="CE942">
        <f t="shared" si="289"/>
        <v>0</v>
      </c>
      <c r="CF942">
        <f t="shared" si="290"/>
        <v>0</v>
      </c>
      <c r="CG942">
        <f t="shared" si="291"/>
        <v>0</v>
      </c>
      <c r="CH942">
        <f t="shared" si="292"/>
        <v>0</v>
      </c>
      <c r="CI942">
        <f t="shared" si="293"/>
        <v>0</v>
      </c>
      <c r="CJ942">
        <f t="shared" si="294"/>
        <v>0</v>
      </c>
      <c r="CK942">
        <f t="shared" si="295"/>
        <v>0</v>
      </c>
      <c r="CL942">
        <f t="shared" si="296"/>
        <v>0</v>
      </c>
      <c r="CM942">
        <f t="shared" si="298"/>
        <v>0</v>
      </c>
      <c r="CN942">
        <f t="shared" si="297"/>
        <v>0</v>
      </c>
      <c r="CO942">
        <f t="shared" si="281"/>
        <v>0</v>
      </c>
    </row>
    <row r="943" spans="1:93" s="12" customFormat="1" hidden="1" x14ac:dyDescent="0.25">
      <c r="A943" s="4">
        <v>2013</v>
      </c>
      <c r="B943" s="315">
        <v>44265</v>
      </c>
      <c r="C943" s="4" t="s">
        <v>429</v>
      </c>
      <c r="D943" s="4" t="s">
        <v>430</v>
      </c>
      <c r="E943" s="4"/>
      <c r="F943" s="4" t="s">
        <v>1491</v>
      </c>
      <c r="G943" s="5" t="s">
        <v>431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+VLOOKUP(G943,Liste!$A$7:$G$69,3,FALSE)</f>
        <v>Sapin pectiné</v>
      </c>
      <c r="BI943" s="96" t="str">
        <f>+VLOOKUP(H943,Liste!$B$7:$G$69,5,FALSE)</f>
        <v>GS Arc Jurassien</v>
      </c>
      <c r="BJ943" s="135">
        <f t="shared" si="280"/>
        <v>74</v>
      </c>
      <c r="BK943" s="135" t="str">
        <f t="shared" si="282"/>
        <v>Sapin pectiné_F1_Cas général_GS Arc Jurassien_74_</v>
      </c>
      <c r="BL943" s="319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97" t="str">
        <f>+VLOOKUP(G943,Liste!$A$7:$H$69,8,FALSE)</f>
        <v>Résineux</v>
      </c>
      <c r="BU943" s="297">
        <f t="shared" si="283"/>
        <v>0</v>
      </c>
      <c r="BV943" s="299">
        <f t="shared" si="284"/>
        <v>1</v>
      </c>
      <c r="BW943" s="318">
        <v>0</v>
      </c>
      <c r="BX943" s="297">
        <f t="shared" si="285"/>
        <v>0.43</v>
      </c>
      <c r="BY943">
        <f t="shared" si="286"/>
        <v>0</v>
      </c>
      <c r="BZ943" s="303">
        <f t="shared" si="287"/>
        <v>0</v>
      </c>
      <c r="CB943" s="298">
        <v>0.6</v>
      </c>
      <c r="CC943" s="298">
        <v>0.4</v>
      </c>
      <c r="CD943">
        <f t="shared" si="288"/>
        <v>0</v>
      </c>
      <c r="CE943">
        <f t="shared" si="289"/>
        <v>0</v>
      </c>
      <c r="CF943">
        <f t="shared" si="290"/>
        <v>0</v>
      </c>
      <c r="CG943">
        <f t="shared" si="291"/>
        <v>0</v>
      </c>
      <c r="CH943">
        <f t="shared" si="292"/>
        <v>0</v>
      </c>
      <c r="CI943">
        <f t="shared" si="293"/>
        <v>0</v>
      </c>
      <c r="CJ943">
        <f t="shared" si="294"/>
        <v>0</v>
      </c>
      <c r="CK943">
        <f t="shared" si="295"/>
        <v>0</v>
      </c>
      <c r="CL943">
        <f t="shared" si="296"/>
        <v>0</v>
      </c>
      <c r="CM943">
        <f t="shared" si="298"/>
        <v>0</v>
      </c>
      <c r="CN943">
        <f t="shared" si="297"/>
        <v>0</v>
      </c>
      <c r="CO943">
        <f t="shared" si="281"/>
        <v>0</v>
      </c>
    </row>
    <row r="944" spans="1:93" s="12" customFormat="1" hidden="1" x14ac:dyDescent="0.25">
      <c r="A944" s="4">
        <v>2013</v>
      </c>
      <c r="B944" s="315">
        <v>44265</v>
      </c>
      <c r="C944" s="4" t="s">
        <v>429</v>
      </c>
      <c r="D944" s="4" t="s">
        <v>430</v>
      </c>
      <c r="E944" s="4"/>
      <c r="F944" s="4" t="s">
        <v>1491</v>
      </c>
      <c r="G944" s="5" t="s">
        <v>431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+VLOOKUP(G944,Liste!$A$7:$G$69,3,FALSE)</f>
        <v>Sapin pectiné</v>
      </c>
      <c r="BI944" s="96" t="str">
        <f>+VLOOKUP(H944,Liste!$B$7:$G$69,5,FALSE)</f>
        <v>GS Arc Jurassien</v>
      </c>
      <c r="BJ944" s="135">
        <f t="shared" si="280"/>
        <v>75</v>
      </c>
      <c r="BK944" s="135" t="str">
        <f t="shared" si="282"/>
        <v>Sapin pectiné_F1_Cas général_GS Arc Jurassien_75_</v>
      </c>
      <c r="BL944" s="319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97" t="str">
        <f>+VLOOKUP(G944,Liste!$A$7:$H$69,8,FALSE)</f>
        <v>Résineux</v>
      </c>
      <c r="BU944" s="297">
        <f t="shared" si="283"/>
        <v>0</v>
      </c>
      <c r="BV944" s="299">
        <f t="shared" si="284"/>
        <v>1</v>
      </c>
      <c r="BW944" s="318">
        <v>0</v>
      </c>
      <c r="BX944" s="297">
        <f t="shared" si="285"/>
        <v>0.43</v>
      </c>
      <c r="BY944">
        <f t="shared" si="286"/>
        <v>0</v>
      </c>
      <c r="BZ944" s="303">
        <f t="shared" si="287"/>
        <v>0</v>
      </c>
      <c r="CB944" s="298">
        <v>0.6</v>
      </c>
      <c r="CC944" s="298">
        <v>0.4</v>
      </c>
      <c r="CD944">
        <f t="shared" si="288"/>
        <v>0</v>
      </c>
      <c r="CE944">
        <f t="shared" si="289"/>
        <v>0</v>
      </c>
      <c r="CF944">
        <f t="shared" si="290"/>
        <v>0</v>
      </c>
      <c r="CG944">
        <f t="shared" si="291"/>
        <v>0</v>
      </c>
      <c r="CH944">
        <f t="shared" si="292"/>
        <v>0</v>
      </c>
      <c r="CI944">
        <f t="shared" si="293"/>
        <v>0</v>
      </c>
      <c r="CJ944">
        <f t="shared" si="294"/>
        <v>0</v>
      </c>
      <c r="CK944">
        <f t="shared" si="295"/>
        <v>0</v>
      </c>
      <c r="CL944">
        <f t="shared" si="296"/>
        <v>0</v>
      </c>
      <c r="CM944">
        <f t="shared" si="298"/>
        <v>0</v>
      </c>
      <c r="CN944">
        <f t="shared" si="297"/>
        <v>0</v>
      </c>
      <c r="CO944">
        <f t="shared" si="281"/>
        <v>0</v>
      </c>
    </row>
    <row r="945" spans="1:93" s="12" customFormat="1" hidden="1" x14ac:dyDescent="0.25">
      <c r="A945" s="4">
        <v>2013</v>
      </c>
      <c r="B945" s="315">
        <v>44265</v>
      </c>
      <c r="C945" s="4" t="s">
        <v>429</v>
      </c>
      <c r="D945" s="4" t="s">
        <v>430</v>
      </c>
      <c r="E945" s="4"/>
      <c r="F945" s="4" t="s">
        <v>1491</v>
      </c>
      <c r="G945" s="5" t="s">
        <v>431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+VLOOKUP(G945,Liste!$A$7:$G$69,3,FALSE)</f>
        <v>Sapin pectiné</v>
      </c>
      <c r="BI945" s="96" t="str">
        <f>+VLOOKUP(H945,Liste!$B$7:$G$69,5,FALSE)</f>
        <v>GS Arc Jurassien</v>
      </c>
      <c r="BJ945" s="135">
        <f t="shared" si="280"/>
        <v>75</v>
      </c>
      <c r="BK945" s="135" t="str">
        <f t="shared" si="282"/>
        <v>Sapin pectiné_F1_Cas général_GS Arc Jurassien_75_</v>
      </c>
      <c r="BL945" s="319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97" t="str">
        <f>+VLOOKUP(G945,Liste!$A$7:$H$69,8,FALSE)</f>
        <v>Résineux</v>
      </c>
      <c r="BU945" s="297">
        <f t="shared" si="283"/>
        <v>0</v>
      </c>
      <c r="BV945" s="299">
        <f t="shared" si="284"/>
        <v>1</v>
      </c>
      <c r="BW945" s="318">
        <v>0</v>
      </c>
      <c r="BX945" s="297">
        <f t="shared" si="285"/>
        <v>0.43</v>
      </c>
      <c r="BY945">
        <f t="shared" si="286"/>
        <v>0</v>
      </c>
      <c r="BZ945" s="303">
        <f t="shared" si="287"/>
        <v>0</v>
      </c>
      <c r="CB945" s="298">
        <v>0.6</v>
      </c>
      <c r="CC945" s="298">
        <v>0.4</v>
      </c>
      <c r="CD945">
        <f t="shared" si="288"/>
        <v>0</v>
      </c>
      <c r="CE945">
        <f t="shared" si="289"/>
        <v>0</v>
      </c>
      <c r="CF945">
        <f t="shared" si="290"/>
        <v>0</v>
      </c>
      <c r="CG945">
        <f t="shared" si="291"/>
        <v>0</v>
      </c>
      <c r="CH945">
        <f t="shared" si="292"/>
        <v>0</v>
      </c>
      <c r="CI945">
        <f t="shared" si="293"/>
        <v>0</v>
      </c>
      <c r="CJ945">
        <f t="shared" si="294"/>
        <v>0</v>
      </c>
      <c r="CK945">
        <f t="shared" si="295"/>
        <v>0</v>
      </c>
      <c r="CL945">
        <f t="shared" si="296"/>
        <v>0</v>
      </c>
      <c r="CM945">
        <f t="shared" si="298"/>
        <v>0</v>
      </c>
      <c r="CN945">
        <f t="shared" si="297"/>
        <v>0</v>
      </c>
      <c r="CO945">
        <f t="shared" si="281"/>
        <v>0</v>
      </c>
    </row>
    <row r="946" spans="1:93" s="12" customFormat="1" hidden="1" x14ac:dyDescent="0.25">
      <c r="A946" s="4">
        <v>2013</v>
      </c>
      <c r="B946" s="315">
        <v>44265</v>
      </c>
      <c r="C946" s="4" t="s">
        <v>429</v>
      </c>
      <c r="D946" s="4" t="s">
        <v>430</v>
      </c>
      <c r="E946" s="4"/>
      <c r="F946" s="4" t="s">
        <v>1491</v>
      </c>
      <c r="G946" s="5" t="s">
        <v>431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+VLOOKUP(G946,Liste!$A$7:$G$69,3,FALSE)</f>
        <v>Sapin pectiné</v>
      </c>
      <c r="BI946" s="96" t="str">
        <f>+VLOOKUP(H946,Liste!$B$7:$G$69,5,FALSE)</f>
        <v>GS Arc Jurassien</v>
      </c>
      <c r="BJ946" s="135">
        <f t="shared" si="280"/>
        <v>76</v>
      </c>
      <c r="BK946" s="135" t="str">
        <f t="shared" si="282"/>
        <v>Sapin pectiné_F1_Cas général_GS Arc Jurassien_76_</v>
      </c>
      <c r="BL946" s="319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97" t="str">
        <f>+VLOOKUP(G946,Liste!$A$7:$H$69,8,FALSE)</f>
        <v>Résineux</v>
      </c>
      <c r="BU946" s="297">
        <f t="shared" si="283"/>
        <v>0</v>
      </c>
      <c r="BV946" s="299">
        <f t="shared" si="284"/>
        <v>1</v>
      </c>
      <c r="BW946" s="318">
        <v>0</v>
      </c>
      <c r="BX946" s="297">
        <f t="shared" si="285"/>
        <v>0.43</v>
      </c>
      <c r="BY946">
        <f t="shared" si="286"/>
        <v>0</v>
      </c>
      <c r="BZ946" s="303">
        <f t="shared" si="287"/>
        <v>0</v>
      </c>
      <c r="CB946" s="298">
        <v>0.6</v>
      </c>
      <c r="CC946" s="298">
        <v>0.4</v>
      </c>
      <c r="CD946">
        <f t="shared" si="288"/>
        <v>0</v>
      </c>
      <c r="CE946">
        <f t="shared" si="289"/>
        <v>0</v>
      </c>
      <c r="CF946">
        <f t="shared" si="290"/>
        <v>0</v>
      </c>
      <c r="CG946">
        <f t="shared" si="291"/>
        <v>0</v>
      </c>
      <c r="CH946">
        <f t="shared" si="292"/>
        <v>0</v>
      </c>
      <c r="CI946">
        <f t="shared" si="293"/>
        <v>0</v>
      </c>
      <c r="CJ946">
        <f t="shared" si="294"/>
        <v>0</v>
      </c>
      <c r="CK946">
        <f t="shared" si="295"/>
        <v>0</v>
      </c>
      <c r="CL946">
        <f t="shared" si="296"/>
        <v>0</v>
      </c>
      <c r="CM946">
        <f t="shared" si="298"/>
        <v>0</v>
      </c>
      <c r="CN946">
        <f t="shared" si="297"/>
        <v>0</v>
      </c>
      <c r="CO946">
        <f t="shared" si="281"/>
        <v>0</v>
      </c>
    </row>
    <row r="947" spans="1:93" s="12" customFormat="1" hidden="1" x14ac:dyDescent="0.25">
      <c r="A947" s="4">
        <v>2013</v>
      </c>
      <c r="B947" s="315">
        <v>44265</v>
      </c>
      <c r="C947" s="4" t="s">
        <v>429</v>
      </c>
      <c r="D947" s="4" t="s">
        <v>430</v>
      </c>
      <c r="E947" s="4"/>
      <c r="F947" s="4" t="s">
        <v>1491</v>
      </c>
      <c r="G947" s="5" t="s">
        <v>431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+VLOOKUP(G947,Liste!$A$7:$G$69,3,FALSE)</f>
        <v>Sapin pectiné</v>
      </c>
      <c r="BI947" s="96" t="str">
        <f>+VLOOKUP(H947,Liste!$B$7:$G$69,5,FALSE)</f>
        <v>GS Arc Jurassien</v>
      </c>
      <c r="BJ947" s="135">
        <f t="shared" si="280"/>
        <v>77</v>
      </c>
      <c r="BK947" s="135" t="str">
        <f t="shared" si="282"/>
        <v>Sapin pectiné_F1_Cas général_GS Arc Jurassien_77_</v>
      </c>
      <c r="BL947" s="319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97" t="str">
        <f>+VLOOKUP(G947,Liste!$A$7:$H$69,8,FALSE)</f>
        <v>Résineux</v>
      </c>
      <c r="BU947" s="297">
        <f t="shared" si="283"/>
        <v>0</v>
      </c>
      <c r="BV947" s="299">
        <f t="shared" si="284"/>
        <v>1</v>
      </c>
      <c r="BW947" s="318">
        <v>0</v>
      </c>
      <c r="BX947" s="297">
        <f t="shared" si="285"/>
        <v>0.43</v>
      </c>
      <c r="BY947">
        <f t="shared" si="286"/>
        <v>0</v>
      </c>
      <c r="BZ947" s="303">
        <f t="shared" si="287"/>
        <v>0</v>
      </c>
      <c r="CB947" s="298">
        <v>0.6</v>
      </c>
      <c r="CC947" s="298">
        <v>0.4</v>
      </c>
      <c r="CD947">
        <f t="shared" si="288"/>
        <v>0</v>
      </c>
      <c r="CE947">
        <f t="shared" si="289"/>
        <v>0</v>
      </c>
      <c r="CF947">
        <f t="shared" si="290"/>
        <v>0</v>
      </c>
      <c r="CG947">
        <f t="shared" si="291"/>
        <v>0</v>
      </c>
      <c r="CH947">
        <f t="shared" si="292"/>
        <v>0</v>
      </c>
      <c r="CI947">
        <f t="shared" si="293"/>
        <v>0</v>
      </c>
      <c r="CJ947">
        <f t="shared" si="294"/>
        <v>0</v>
      </c>
      <c r="CK947">
        <f t="shared" si="295"/>
        <v>0</v>
      </c>
      <c r="CL947">
        <f t="shared" si="296"/>
        <v>0</v>
      </c>
      <c r="CM947">
        <f t="shared" si="298"/>
        <v>0</v>
      </c>
      <c r="CN947">
        <f t="shared" si="297"/>
        <v>0</v>
      </c>
      <c r="CO947">
        <f t="shared" si="281"/>
        <v>0</v>
      </c>
    </row>
    <row r="948" spans="1:93" s="12" customFormat="1" hidden="1" x14ac:dyDescent="0.25">
      <c r="A948" s="4">
        <v>2013</v>
      </c>
      <c r="B948" s="315">
        <v>44265</v>
      </c>
      <c r="C948" s="4" t="s">
        <v>429</v>
      </c>
      <c r="D948" s="4" t="s">
        <v>430</v>
      </c>
      <c r="E948" s="4"/>
      <c r="F948" s="4" t="s">
        <v>1491</v>
      </c>
      <c r="G948" s="5" t="s">
        <v>431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+VLOOKUP(G948,Liste!$A$7:$G$69,3,FALSE)</f>
        <v>Sapin pectiné</v>
      </c>
      <c r="BI948" s="96" t="str">
        <f>+VLOOKUP(H948,Liste!$B$7:$G$69,5,FALSE)</f>
        <v>GS Arc Jurassien</v>
      </c>
      <c r="BJ948" s="135">
        <f t="shared" si="280"/>
        <v>78</v>
      </c>
      <c r="BK948" s="135" t="str">
        <f t="shared" si="282"/>
        <v>Sapin pectiné_F1_Cas général_GS Arc Jurassien_78_</v>
      </c>
      <c r="BL948" s="319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97" t="str">
        <f>+VLOOKUP(G948,Liste!$A$7:$H$69,8,FALSE)</f>
        <v>Résineux</v>
      </c>
      <c r="BU948" s="297">
        <f t="shared" si="283"/>
        <v>0</v>
      </c>
      <c r="BV948" s="299">
        <f t="shared" si="284"/>
        <v>1</v>
      </c>
      <c r="BW948" s="318">
        <v>0</v>
      </c>
      <c r="BX948" s="297">
        <f t="shared" si="285"/>
        <v>0.43</v>
      </c>
      <c r="BY948">
        <f t="shared" si="286"/>
        <v>0</v>
      </c>
      <c r="BZ948" s="303">
        <f t="shared" si="287"/>
        <v>0</v>
      </c>
      <c r="CB948" s="298">
        <v>0.6</v>
      </c>
      <c r="CC948" s="298">
        <v>0.4</v>
      </c>
      <c r="CD948">
        <f t="shared" si="288"/>
        <v>0</v>
      </c>
      <c r="CE948">
        <f t="shared" si="289"/>
        <v>0</v>
      </c>
      <c r="CF948">
        <f t="shared" si="290"/>
        <v>0</v>
      </c>
      <c r="CG948">
        <f t="shared" si="291"/>
        <v>0</v>
      </c>
      <c r="CH948">
        <f t="shared" si="292"/>
        <v>0</v>
      </c>
      <c r="CI948">
        <f t="shared" si="293"/>
        <v>0</v>
      </c>
      <c r="CJ948">
        <f t="shared" si="294"/>
        <v>0</v>
      </c>
      <c r="CK948">
        <f t="shared" si="295"/>
        <v>0</v>
      </c>
      <c r="CL948">
        <f t="shared" si="296"/>
        <v>0</v>
      </c>
      <c r="CM948">
        <f t="shared" si="298"/>
        <v>0</v>
      </c>
      <c r="CN948">
        <f t="shared" si="297"/>
        <v>0</v>
      </c>
      <c r="CO948">
        <f t="shared" si="281"/>
        <v>0</v>
      </c>
    </row>
    <row r="949" spans="1:93" s="12" customFormat="1" hidden="1" x14ac:dyDescent="0.25">
      <c r="A949" s="4">
        <v>2013</v>
      </c>
      <c r="B949" s="315">
        <v>44265</v>
      </c>
      <c r="C949" s="4" t="s">
        <v>429</v>
      </c>
      <c r="D949" s="4" t="s">
        <v>430</v>
      </c>
      <c r="E949" s="4"/>
      <c r="F949" s="4" t="s">
        <v>1491</v>
      </c>
      <c r="G949" s="5" t="s">
        <v>431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+VLOOKUP(G949,Liste!$A$7:$G$69,3,FALSE)</f>
        <v>Sapin pectiné</v>
      </c>
      <c r="BI949" s="96" t="str">
        <f>+VLOOKUP(H949,Liste!$B$7:$G$69,5,FALSE)</f>
        <v>GS Arc Jurassien</v>
      </c>
      <c r="BJ949" s="135">
        <f t="shared" si="280"/>
        <v>79</v>
      </c>
      <c r="BK949" s="135" t="str">
        <f t="shared" si="282"/>
        <v>Sapin pectiné_F1_Cas général_GS Arc Jurassien_79_</v>
      </c>
      <c r="BL949" s="319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97" t="str">
        <f>+VLOOKUP(G949,Liste!$A$7:$H$69,8,FALSE)</f>
        <v>Résineux</v>
      </c>
      <c r="BU949" s="297">
        <f t="shared" si="283"/>
        <v>0</v>
      </c>
      <c r="BV949" s="299">
        <f t="shared" si="284"/>
        <v>1</v>
      </c>
      <c r="BW949" s="318">
        <v>0</v>
      </c>
      <c r="BX949" s="297">
        <f t="shared" si="285"/>
        <v>0.43</v>
      </c>
      <c r="BY949">
        <f t="shared" si="286"/>
        <v>0</v>
      </c>
      <c r="BZ949" s="303">
        <f t="shared" si="287"/>
        <v>0</v>
      </c>
      <c r="CB949" s="298">
        <v>0.6</v>
      </c>
      <c r="CC949" s="298">
        <v>0.4</v>
      </c>
      <c r="CD949">
        <f t="shared" si="288"/>
        <v>0</v>
      </c>
      <c r="CE949">
        <f t="shared" si="289"/>
        <v>0</v>
      </c>
      <c r="CF949">
        <f t="shared" si="290"/>
        <v>0</v>
      </c>
      <c r="CG949">
        <f t="shared" si="291"/>
        <v>0</v>
      </c>
      <c r="CH949">
        <f t="shared" si="292"/>
        <v>0</v>
      </c>
      <c r="CI949">
        <f t="shared" si="293"/>
        <v>0</v>
      </c>
      <c r="CJ949">
        <f t="shared" si="294"/>
        <v>0</v>
      </c>
      <c r="CK949">
        <f t="shared" si="295"/>
        <v>0</v>
      </c>
      <c r="CL949">
        <f t="shared" si="296"/>
        <v>0</v>
      </c>
      <c r="CM949">
        <f t="shared" si="298"/>
        <v>0</v>
      </c>
      <c r="CN949">
        <f t="shared" si="297"/>
        <v>0</v>
      </c>
      <c r="CO949">
        <f t="shared" si="281"/>
        <v>0</v>
      </c>
    </row>
    <row r="950" spans="1:93" s="12" customFormat="1" hidden="1" x14ac:dyDescent="0.25">
      <c r="A950" s="4">
        <v>2013</v>
      </c>
      <c r="B950" s="315">
        <v>44265</v>
      </c>
      <c r="C950" s="4" t="s">
        <v>429</v>
      </c>
      <c r="D950" s="4" t="s">
        <v>430</v>
      </c>
      <c r="E950" s="4"/>
      <c r="F950" s="4" t="s">
        <v>1491</v>
      </c>
      <c r="G950" s="5" t="s">
        <v>431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+VLOOKUP(G950,Liste!$A$7:$G$69,3,FALSE)</f>
        <v>Sapin pectiné</v>
      </c>
      <c r="BI950" s="96" t="str">
        <f>+VLOOKUP(H950,Liste!$B$7:$G$69,5,FALSE)</f>
        <v>GS Arc Jurassien</v>
      </c>
      <c r="BJ950" s="135">
        <f t="shared" si="280"/>
        <v>80</v>
      </c>
      <c r="BK950" s="135" t="str">
        <f t="shared" si="282"/>
        <v>Sapin pectiné_F1_Cas général_GS Arc Jurassien_80_</v>
      </c>
      <c r="BL950" s="319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97" t="str">
        <f>+VLOOKUP(G950,Liste!$A$7:$H$69,8,FALSE)</f>
        <v>Résineux</v>
      </c>
      <c r="BU950" s="297">
        <f t="shared" si="283"/>
        <v>0</v>
      </c>
      <c r="BV950" s="299">
        <f t="shared" si="284"/>
        <v>1</v>
      </c>
      <c r="BW950" s="318">
        <v>0</v>
      </c>
      <c r="BX950" s="297">
        <f t="shared" si="285"/>
        <v>0.43</v>
      </c>
      <c r="BY950">
        <f t="shared" si="286"/>
        <v>0</v>
      </c>
      <c r="BZ950" s="303">
        <f t="shared" si="287"/>
        <v>0</v>
      </c>
      <c r="CB950" s="298">
        <v>0.6</v>
      </c>
      <c r="CC950" s="298">
        <v>0.4</v>
      </c>
      <c r="CD950">
        <f t="shared" si="288"/>
        <v>0</v>
      </c>
      <c r="CE950">
        <f t="shared" si="289"/>
        <v>0</v>
      </c>
      <c r="CF950">
        <f t="shared" si="290"/>
        <v>0</v>
      </c>
      <c r="CG950">
        <f t="shared" si="291"/>
        <v>0</v>
      </c>
      <c r="CH950">
        <f t="shared" si="292"/>
        <v>0</v>
      </c>
      <c r="CI950">
        <f t="shared" si="293"/>
        <v>0</v>
      </c>
      <c r="CJ950">
        <f t="shared" si="294"/>
        <v>0</v>
      </c>
      <c r="CK950">
        <f t="shared" si="295"/>
        <v>0</v>
      </c>
      <c r="CL950">
        <f t="shared" si="296"/>
        <v>0</v>
      </c>
      <c r="CM950">
        <f t="shared" si="298"/>
        <v>0</v>
      </c>
      <c r="CN950">
        <f t="shared" si="297"/>
        <v>0</v>
      </c>
      <c r="CO950">
        <f t="shared" si="281"/>
        <v>0</v>
      </c>
    </row>
    <row r="951" spans="1:93" s="12" customFormat="1" hidden="1" x14ac:dyDescent="0.25">
      <c r="A951" s="4">
        <v>2013</v>
      </c>
      <c r="B951" s="315">
        <v>44265</v>
      </c>
      <c r="C951" s="4" t="s">
        <v>429</v>
      </c>
      <c r="D951" s="4" t="s">
        <v>430</v>
      </c>
      <c r="E951" s="4"/>
      <c r="F951" s="4" t="s">
        <v>1491</v>
      </c>
      <c r="G951" s="5" t="s">
        <v>431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+VLOOKUP(G951,Liste!$A$7:$G$69,3,FALSE)</f>
        <v>Sapin pectiné</v>
      </c>
      <c r="BI951" s="96" t="str">
        <f>+VLOOKUP(H951,Liste!$B$7:$G$69,5,FALSE)</f>
        <v>GS Arc Jurassien</v>
      </c>
      <c r="BJ951" s="135">
        <f t="shared" si="280"/>
        <v>81</v>
      </c>
      <c r="BK951" s="135" t="str">
        <f t="shared" si="282"/>
        <v>Sapin pectiné_F1_Cas général_GS Arc Jurassien_81_</v>
      </c>
      <c r="BL951" s="319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97" t="str">
        <f>+VLOOKUP(G951,Liste!$A$7:$H$69,8,FALSE)</f>
        <v>Résineux</v>
      </c>
      <c r="BU951" s="297">
        <f t="shared" si="283"/>
        <v>0</v>
      </c>
      <c r="BV951" s="299">
        <f t="shared" si="284"/>
        <v>1</v>
      </c>
      <c r="BW951" s="318">
        <v>0</v>
      </c>
      <c r="BX951" s="297">
        <f t="shared" si="285"/>
        <v>0.43</v>
      </c>
      <c r="BY951">
        <f t="shared" si="286"/>
        <v>0</v>
      </c>
      <c r="BZ951" s="303">
        <f t="shared" si="287"/>
        <v>0</v>
      </c>
      <c r="CB951" s="298">
        <v>0.6</v>
      </c>
      <c r="CC951" s="298">
        <v>0.4</v>
      </c>
      <c r="CD951">
        <f t="shared" si="288"/>
        <v>0</v>
      </c>
      <c r="CE951">
        <f t="shared" si="289"/>
        <v>0</v>
      </c>
      <c r="CF951">
        <f t="shared" si="290"/>
        <v>0</v>
      </c>
      <c r="CG951">
        <f t="shared" si="291"/>
        <v>0</v>
      </c>
      <c r="CH951">
        <f t="shared" si="292"/>
        <v>0</v>
      </c>
      <c r="CI951">
        <f t="shared" si="293"/>
        <v>0</v>
      </c>
      <c r="CJ951">
        <f t="shared" si="294"/>
        <v>0</v>
      </c>
      <c r="CK951">
        <f t="shared" si="295"/>
        <v>0</v>
      </c>
      <c r="CL951">
        <f t="shared" si="296"/>
        <v>0</v>
      </c>
      <c r="CM951">
        <f t="shared" si="298"/>
        <v>0</v>
      </c>
      <c r="CN951">
        <f t="shared" si="297"/>
        <v>0</v>
      </c>
      <c r="CO951">
        <f t="shared" si="281"/>
        <v>0</v>
      </c>
    </row>
    <row r="952" spans="1:93" s="12" customFormat="1" hidden="1" x14ac:dyDescent="0.25">
      <c r="A952" s="4">
        <v>2013</v>
      </c>
      <c r="B952" s="315">
        <v>44265</v>
      </c>
      <c r="C952" s="4" t="s">
        <v>429</v>
      </c>
      <c r="D952" s="4" t="s">
        <v>430</v>
      </c>
      <c r="E952" s="4"/>
      <c r="F952" s="4" t="s">
        <v>1491</v>
      </c>
      <c r="G952" s="5" t="s">
        <v>431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+VLOOKUP(G952,Liste!$A$7:$G$69,3,FALSE)</f>
        <v>Sapin pectiné</v>
      </c>
      <c r="BI952" s="96" t="str">
        <f>+VLOOKUP(H952,Liste!$B$7:$G$69,5,FALSE)</f>
        <v>GS Arc Jurassien</v>
      </c>
      <c r="BJ952" s="135">
        <f t="shared" si="280"/>
        <v>82</v>
      </c>
      <c r="BK952" s="135" t="str">
        <f t="shared" si="282"/>
        <v>Sapin pectiné_F1_Cas général_GS Arc Jurassien_82_</v>
      </c>
      <c r="BL952" s="319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97" t="str">
        <f>+VLOOKUP(G952,Liste!$A$7:$H$69,8,FALSE)</f>
        <v>Résineux</v>
      </c>
      <c r="BU952" s="297">
        <f t="shared" si="283"/>
        <v>0</v>
      </c>
      <c r="BV952" s="299">
        <f t="shared" si="284"/>
        <v>1</v>
      </c>
      <c r="BW952" s="318">
        <v>0</v>
      </c>
      <c r="BX952" s="297">
        <f t="shared" si="285"/>
        <v>0.43</v>
      </c>
      <c r="BY952">
        <f t="shared" si="286"/>
        <v>0</v>
      </c>
      <c r="BZ952" s="303">
        <f t="shared" si="287"/>
        <v>0</v>
      </c>
      <c r="CB952" s="298">
        <v>0.6</v>
      </c>
      <c r="CC952" s="298">
        <v>0.4</v>
      </c>
      <c r="CD952">
        <f t="shared" si="288"/>
        <v>0</v>
      </c>
      <c r="CE952">
        <f t="shared" si="289"/>
        <v>0</v>
      </c>
      <c r="CF952">
        <f t="shared" si="290"/>
        <v>0</v>
      </c>
      <c r="CG952">
        <f t="shared" si="291"/>
        <v>0</v>
      </c>
      <c r="CH952">
        <f t="shared" si="292"/>
        <v>0</v>
      </c>
      <c r="CI952">
        <f t="shared" si="293"/>
        <v>0</v>
      </c>
      <c r="CJ952">
        <f t="shared" si="294"/>
        <v>0</v>
      </c>
      <c r="CK952">
        <f t="shared" si="295"/>
        <v>0</v>
      </c>
      <c r="CL952">
        <f t="shared" si="296"/>
        <v>0</v>
      </c>
      <c r="CM952">
        <f t="shared" si="298"/>
        <v>0</v>
      </c>
      <c r="CN952">
        <f t="shared" si="297"/>
        <v>0</v>
      </c>
      <c r="CO952">
        <f t="shared" si="281"/>
        <v>0</v>
      </c>
    </row>
    <row r="953" spans="1:93" s="12" customFormat="1" hidden="1" x14ac:dyDescent="0.25">
      <c r="A953" s="4">
        <v>2013</v>
      </c>
      <c r="B953" s="315">
        <v>44265</v>
      </c>
      <c r="C953" s="4" t="s">
        <v>429</v>
      </c>
      <c r="D953" s="4" t="s">
        <v>430</v>
      </c>
      <c r="E953" s="4"/>
      <c r="F953" s="4" t="s">
        <v>1491</v>
      </c>
      <c r="G953" s="5" t="s">
        <v>431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+VLOOKUP(G953,Liste!$A$7:$G$69,3,FALSE)</f>
        <v>Sapin pectiné</v>
      </c>
      <c r="BI953" s="96" t="str">
        <f>+VLOOKUP(H953,Liste!$B$7:$G$69,5,FALSE)</f>
        <v>GS Arc Jurassien</v>
      </c>
      <c r="BJ953" s="135">
        <f t="shared" si="280"/>
        <v>83</v>
      </c>
      <c r="BK953" s="135" t="str">
        <f t="shared" si="282"/>
        <v>Sapin pectiné_F1_Cas général_GS Arc Jurassien_83_</v>
      </c>
      <c r="BL953" s="319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97" t="str">
        <f>+VLOOKUP(G953,Liste!$A$7:$H$69,8,FALSE)</f>
        <v>Résineux</v>
      </c>
      <c r="BU953" s="297">
        <f t="shared" si="283"/>
        <v>0</v>
      </c>
      <c r="BV953" s="299">
        <f t="shared" si="284"/>
        <v>1</v>
      </c>
      <c r="BW953" s="318">
        <v>0</v>
      </c>
      <c r="BX953" s="297">
        <f t="shared" si="285"/>
        <v>0.43</v>
      </c>
      <c r="BY953">
        <f t="shared" si="286"/>
        <v>0</v>
      </c>
      <c r="BZ953" s="303">
        <f t="shared" si="287"/>
        <v>0</v>
      </c>
      <c r="CB953" s="298">
        <v>0.6</v>
      </c>
      <c r="CC953" s="298">
        <v>0.4</v>
      </c>
      <c r="CD953">
        <f t="shared" si="288"/>
        <v>0</v>
      </c>
      <c r="CE953">
        <f t="shared" si="289"/>
        <v>0</v>
      </c>
      <c r="CF953">
        <f t="shared" si="290"/>
        <v>0</v>
      </c>
      <c r="CG953">
        <f t="shared" si="291"/>
        <v>0</v>
      </c>
      <c r="CH953">
        <f t="shared" si="292"/>
        <v>0</v>
      </c>
      <c r="CI953">
        <f t="shared" si="293"/>
        <v>0</v>
      </c>
      <c r="CJ953">
        <f t="shared" si="294"/>
        <v>0</v>
      </c>
      <c r="CK953">
        <f t="shared" si="295"/>
        <v>0</v>
      </c>
      <c r="CL953">
        <f t="shared" si="296"/>
        <v>0</v>
      </c>
      <c r="CM953">
        <f t="shared" si="298"/>
        <v>0</v>
      </c>
      <c r="CN953">
        <f t="shared" si="297"/>
        <v>0</v>
      </c>
      <c r="CO953">
        <f t="shared" si="281"/>
        <v>0</v>
      </c>
    </row>
    <row r="954" spans="1:93" s="12" customFormat="1" hidden="1" x14ac:dyDescent="0.25">
      <c r="A954" s="4">
        <v>2013</v>
      </c>
      <c r="B954" s="315">
        <v>44265</v>
      </c>
      <c r="C954" s="4" t="s">
        <v>429</v>
      </c>
      <c r="D954" s="4" t="s">
        <v>430</v>
      </c>
      <c r="E954" s="4"/>
      <c r="F954" s="4" t="s">
        <v>1491</v>
      </c>
      <c r="G954" s="5" t="s">
        <v>431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+VLOOKUP(G954,Liste!$A$7:$G$69,3,FALSE)</f>
        <v>Sapin pectiné</v>
      </c>
      <c r="BI954" s="96" t="str">
        <f>+VLOOKUP(H954,Liste!$B$7:$G$69,5,FALSE)</f>
        <v>GS Arc Jurassien</v>
      </c>
      <c r="BJ954" s="135">
        <f t="shared" si="280"/>
        <v>83</v>
      </c>
      <c r="BK954" s="135" t="str">
        <f t="shared" si="282"/>
        <v>Sapin pectiné_F1_Cas général_GS Arc Jurassien_83_</v>
      </c>
      <c r="BL954" s="319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97" t="str">
        <f>+VLOOKUP(G954,Liste!$A$7:$H$69,8,FALSE)</f>
        <v>Résineux</v>
      </c>
      <c r="BU954" s="297">
        <f t="shared" si="283"/>
        <v>0</v>
      </c>
      <c r="BV954" s="299">
        <f t="shared" si="284"/>
        <v>1</v>
      </c>
      <c r="BW954" s="318">
        <v>0</v>
      </c>
      <c r="BX954" s="297">
        <f t="shared" si="285"/>
        <v>0.43</v>
      </c>
      <c r="BY954">
        <f t="shared" si="286"/>
        <v>0</v>
      </c>
      <c r="BZ954" s="303">
        <f t="shared" si="287"/>
        <v>0</v>
      </c>
      <c r="CB954" s="298">
        <v>0.6</v>
      </c>
      <c r="CC954" s="298">
        <v>0.4</v>
      </c>
      <c r="CD954">
        <f t="shared" si="288"/>
        <v>0</v>
      </c>
      <c r="CE954">
        <f t="shared" si="289"/>
        <v>0</v>
      </c>
      <c r="CF954">
        <f t="shared" si="290"/>
        <v>0</v>
      </c>
      <c r="CG954">
        <f t="shared" si="291"/>
        <v>0</v>
      </c>
      <c r="CH954">
        <f t="shared" si="292"/>
        <v>0</v>
      </c>
      <c r="CI954">
        <f t="shared" si="293"/>
        <v>0</v>
      </c>
      <c r="CJ954">
        <f t="shared" si="294"/>
        <v>0</v>
      </c>
      <c r="CK954">
        <f t="shared" si="295"/>
        <v>0</v>
      </c>
      <c r="CL954">
        <f t="shared" si="296"/>
        <v>0</v>
      </c>
      <c r="CM954">
        <f t="shared" si="298"/>
        <v>0</v>
      </c>
      <c r="CN954">
        <f t="shared" si="297"/>
        <v>0</v>
      </c>
      <c r="CO954">
        <f t="shared" si="281"/>
        <v>0</v>
      </c>
    </row>
    <row r="955" spans="1:93" s="12" customFormat="1" hidden="1" x14ac:dyDescent="0.25">
      <c r="A955" s="4">
        <v>2013</v>
      </c>
      <c r="B955" s="315">
        <v>44265</v>
      </c>
      <c r="C955" s="4" t="s">
        <v>429</v>
      </c>
      <c r="D955" s="4" t="s">
        <v>430</v>
      </c>
      <c r="E955" s="4"/>
      <c r="F955" s="4" t="s">
        <v>1491</v>
      </c>
      <c r="G955" s="5" t="s">
        <v>431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+VLOOKUP(G955,Liste!$A$7:$G$69,3,FALSE)</f>
        <v>Sapin pectiné</v>
      </c>
      <c r="BI955" s="96" t="str">
        <f>+VLOOKUP(H955,Liste!$B$7:$G$69,5,FALSE)</f>
        <v>GS Arc Jurassien</v>
      </c>
      <c r="BJ955" s="135">
        <f t="shared" si="280"/>
        <v>84</v>
      </c>
      <c r="BK955" s="135" t="str">
        <f t="shared" si="282"/>
        <v>Sapin pectiné_F1_Cas général_GS Arc Jurassien_84_</v>
      </c>
      <c r="BL955" s="319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97" t="str">
        <f>+VLOOKUP(G955,Liste!$A$7:$H$69,8,FALSE)</f>
        <v>Résineux</v>
      </c>
      <c r="BU955" s="297">
        <f t="shared" si="283"/>
        <v>0</v>
      </c>
      <c r="BV955" s="299">
        <f t="shared" si="284"/>
        <v>1</v>
      </c>
      <c r="BW955" s="318">
        <v>0</v>
      </c>
      <c r="BX955" s="297">
        <f t="shared" si="285"/>
        <v>0.43</v>
      </c>
      <c r="BY955">
        <f t="shared" si="286"/>
        <v>0</v>
      </c>
      <c r="BZ955" s="303">
        <f t="shared" si="287"/>
        <v>0</v>
      </c>
      <c r="CB955" s="298">
        <v>0.6</v>
      </c>
      <c r="CC955" s="298">
        <v>0.4</v>
      </c>
      <c r="CD955">
        <f t="shared" si="288"/>
        <v>0</v>
      </c>
      <c r="CE955">
        <f t="shared" si="289"/>
        <v>0</v>
      </c>
      <c r="CF955">
        <f t="shared" si="290"/>
        <v>0</v>
      </c>
      <c r="CG955">
        <f t="shared" si="291"/>
        <v>0</v>
      </c>
      <c r="CH955">
        <f t="shared" si="292"/>
        <v>0</v>
      </c>
      <c r="CI955">
        <f t="shared" si="293"/>
        <v>0</v>
      </c>
      <c r="CJ955">
        <f t="shared" si="294"/>
        <v>0</v>
      </c>
      <c r="CK955">
        <f t="shared" si="295"/>
        <v>0</v>
      </c>
      <c r="CL955">
        <f t="shared" si="296"/>
        <v>0</v>
      </c>
      <c r="CM955">
        <f t="shared" si="298"/>
        <v>0</v>
      </c>
      <c r="CN955">
        <f t="shared" si="297"/>
        <v>0</v>
      </c>
      <c r="CO955">
        <f t="shared" si="281"/>
        <v>0</v>
      </c>
    </row>
    <row r="956" spans="1:93" s="12" customFormat="1" hidden="1" x14ac:dyDescent="0.25">
      <c r="A956" s="4">
        <v>2013</v>
      </c>
      <c r="B956" s="315">
        <v>44265</v>
      </c>
      <c r="C956" s="4" t="s">
        <v>429</v>
      </c>
      <c r="D956" s="4" t="s">
        <v>430</v>
      </c>
      <c r="E956" s="4"/>
      <c r="F956" s="4" t="s">
        <v>1491</v>
      </c>
      <c r="G956" s="5" t="s">
        <v>431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+VLOOKUP(G956,Liste!$A$7:$G$69,3,FALSE)</f>
        <v>Sapin pectiné</v>
      </c>
      <c r="BI956" s="96" t="str">
        <f>+VLOOKUP(H956,Liste!$B$7:$G$69,5,FALSE)</f>
        <v>GS Arc Jurassien</v>
      </c>
      <c r="BJ956" s="135">
        <f t="shared" si="280"/>
        <v>85</v>
      </c>
      <c r="BK956" s="135" t="str">
        <f t="shared" si="282"/>
        <v>Sapin pectiné_F1_Cas général_GS Arc Jurassien_85_</v>
      </c>
      <c r="BL956" s="319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97" t="str">
        <f>+VLOOKUP(G956,Liste!$A$7:$H$69,8,FALSE)</f>
        <v>Résineux</v>
      </c>
      <c r="BU956" s="297">
        <f t="shared" si="283"/>
        <v>0</v>
      </c>
      <c r="BV956" s="299">
        <f t="shared" si="284"/>
        <v>1</v>
      </c>
      <c r="BW956" s="318">
        <v>0</v>
      </c>
      <c r="BX956" s="297">
        <f t="shared" si="285"/>
        <v>0.43</v>
      </c>
      <c r="BY956">
        <f t="shared" si="286"/>
        <v>0</v>
      </c>
      <c r="BZ956" s="303">
        <f t="shared" si="287"/>
        <v>0</v>
      </c>
      <c r="CB956" s="298">
        <v>0.6</v>
      </c>
      <c r="CC956" s="298">
        <v>0.4</v>
      </c>
      <c r="CD956">
        <f t="shared" si="288"/>
        <v>0</v>
      </c>
      <c r="CE956">
        <f t="shared" si="289"/>
        <v>0</v>
      </c>
      <c r="CF956">
        <f t="shared" si="290"/>
        <v>0</v>
      </c>
      <c r="CG956">
        <f t="shared" si="291"/>
        <v>0</v>
      </c>
      <c r="CH956">
        <f t="shared" si="292"/>
        <v>0</v>
      </c>
      <c r="CI956">
        <f t="shared" si="293"/>
        <v>0</v>
      </c>
      <c r="CJ956">
        <f t="shared" si="294"/>
        <v>0</v>
      </c>
      <c r="CK956">
        <f t="shared" si="295"/>
        <v>0</v>
      </c>
      <c r="CL956">
        <f t="shared" si="296"/>
        <v>0</v>
      </c>
      <c r="CM956">
        <f t="shared" si="298"/>
        <v>0</v>
      </c>
      <c r="CN956">
        <f t="shared" si="297"/>
        <v>0</v>
      </c>
      <c r="CO956">
        <f t="shared" si="281"/>
        <v>0</v>
      </c>
    </row>
    <row r="957" spans="1:93" s="12" customFormat="1" hidden="1" x14ac:dyDescent="0.25">
      <c r="A957" s="4">
        <v>2013</v>
      </c>
      <c r="B957" s="315">
        <v>44265</v>
      </c>
      <c r="C957" s="4" t="s">
        <v>429</v>
      </c>
      <c r="D957" s="4" t="s">
        <v>430</v>
      </c>
      <c r="E957" s="4"/>
      <c r="F957" s="4" t="s">
        <v>1491</v>
      </c>
      <c r="G957" s="5" t="s">
        <v>431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+VLOOKUP(G957,Liste!$A$7:$G$69,3,FALSE)</f>
        <v>Sapin pectiné</v>
      </c>
      <c r="BI957" s="96" t="str">
        <f>+VLOOKUP(H957,Liste!$B$7:$G$69,5,FALSE)</f>
        <v>GS Arc Jurassien</v>
      </c>
      <c r="BJ957" s="135">
        <f t="shared" si="280"/>
        <v>86</v>
      </c>
      <c r="BK957" s="135" t="str">
        <f t="shared" si="282"/>
        <v>Sapin pectiné_F1_Cas général_GS Arc Jurassien_86_</v>
      </c>
      <c r="BL957" s="319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97" t="str">
        <f>+VLOOKUP(G957,Liste!$A$7:$H$69,8,FALSE)</f>
        <v>Résineux</v>
      </c>
      <c r="BU957" s="297">
        <f t="shared" si="283"/>
        <v>0</v>
      </c>
      <c r="BV957" s="299">
        <f t="shared" si="284"/>
        <v>1</v>
      </c>
      <c r="BW957" s="318">
        <v>0</v>
      </c>
      <c r="BX957" s="297">
        <f t="shared" si="285"/>
        <v>0.43</v>
      </c>
      <c r="BY957">
        <f t="shared" si="286"/>
        <v>0</v>
      </c>
      <c r="BZ957" s="303">
        <f t="shared" si="287"/>
        <v>0</v>
      </c>
      <c r="CB957" s="298">
        <v>0.6</v>
      </c>
      <c r="CC957" s="298">
        <v>0.4</v>
      </c>
      <c r="CD957">
        <f t="shared" si="288"/>
        <v>0</v>
      </c>
      <c r="CE957">
        <f t="shared" si="289"/>
        <v>0</v>
      </c>
      <c r="CF957">
        <f t="shared" si="290"/>
        <v>0</v>
      </c>
      <c r="CG957">
        <f t="shared" si="291"/>
        <v>0</v>
      </c>
      <c r="CH957">
        <f t="shared" si="292"/>
        <v>0</v>
      </c>
      <c r="CI957">
        <f t="shared" si="293"/>
        <v>0</v>
      </c>
      <c r="CJ957">
        <f t="shared" si="294"/>
        <v>0</v>
      </c>
      <c r="CK957">
        <f t="shared" si="295"/>
        <v>0</v>
      </c>
      <c r="CL957">
        <f t="shared" si="296"/>
        <v>0</v>
      </c>
      <c r="CM957">
        <f t="shared" si="298"/>
        <v>0</v>
      </c>
      <c r="CN957">
        <f t="shared" si="297"/>
        <v>0</v>
      </c>
      <c r="CO957">
        <f t="shared" si="281"/>
        <v>0</v>
      </c>
    </row>
    <row r="958" spans="1:93" s="12" customFormat="1" hidden="1" x14ac:dyDescent="0.25">
      <c r="A958" s="4">
        <v>2013</v>
      </c>
      <c r="B958" s="315">
        <v>44265</v>
      </c>
      <c r="C958" s="4" t="s">
        <v>429</v>
      </c>
      <c r="D958" s="4" t="s">
        <v>430</v>
      </c>
      <c r="E958" s="4"/>
      <c r="F958" s="4" t="s">
        <v>1491</v>
      </c>
      <c r="G958" s="5" t="s">
        <v>431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+VLOOKUP(G958,Liste!$A$7:$G$69,3,FALSE)</f>
        <v>Sapin pectiné</v>
      </c>
      <c r="BI958" s="96" t="str">
        <f>+VLOOKUP(H958,Liste!$B$7:$G$69,5,FALSE)</f>
        <v>GS Arc Jurassien</v>
      </c>
      <c r="BJ958" s="135">
        <f t="shared" si="280"/>
        <v>87</v>
      </c>
      <c r="BK958" s="135" t="str">
        <f t="shared" si="282"/>
        <v>Sapin pectiné_F1_Cas général_GS Arc Jurassien_87_</v>
      </c>
      <c r="BL958" s="319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97" t="str">
        <f>+VLOOKUP(G958,Liste!$A$7:$H$69,8,FALSE)</f>
        <v>Résineux</v>
      </c>
      <c r="BU958" s="297">
        <f t="shared" si="283"/>
        <v>0</v>
      </c>
      <c r="BV958" s="299">
        <f t="shared" si="284"/>
        <v>1</v>
      </c>
      <c r="BW958" s="318">
        <v>0</v>
      </c>
      <c r="BX958" s="297">
        <f t="shared" si="285"/>
        <v>0.43</v>
      </c>
      <c r="BY958">
        <f t="shared" si="286"/>
        <v>0</v>
      </c>
      <c r="BZ958" s="303">
        <f t="shared" si="287"/>
        <v>0</v>
      </c>
      <c r="CB958" s="298">
        <v>0.6</v>
      </c>
      <c r="CC958" s="298">
        <v>0.4</v>
      </c>
      <c r="CD958">
        <f t="shared" si="288"/>
        <v>0</v>
      </c>
      <c r="CE958">
        <f t="shared" si="289"/>
        <v>0</v>
      </c>
      <c r="CF958">
        <f t="shared" si="290"/>
        <v>0</v>
      </c>
      <c r="CG958">
        <f t="shared" si="291"/>
        <v>0</v>
      </c>
      <c r="CH958">
        <f t="shared" si="292"/>
        <v>0</v>
      </c>
      <c r="CI958">
        <f t="shared" si="293"/>
        <v>0</v>
      </c>
      <c r="CJ958">
        <f t="shared" si="294"/>
        <v>0</v>
      </c>
      <c r="CK958">
        <f t="shared" si="295"/>
        <v>0</v>
      </c>
      <c r="CL958">
        <f t="shared" si="296"/>
        <v>0</v>
      </c>
      <c r="CM958">
        <f t="shared" si="298"/>
        <v>0</v>
      </c>
      <c r="CN958">
        <f t="shared" si="297"/>
        <v>0</v>
      </c>
      <c r="CO958">
        <f t="shared" si="281"/>
        <v>0</v>
      </c>
    </row>
    <row r="959" spans="1:93" s="12" customFormat="1" hidden="1" x14ac:dyDescent="0.25">
      <c r="A959" s="4">
        <v>2013</v>
      </c>
      <c r="B959" s="315">
        <v>44265</v>
      </c>
      <c r="C959" s="4" t="s">
        <v>429</v>
      </c>
      <c r="D959" s="4" t="s">
        <v>430</v>
      </c>
      <c r="E959" s="4"/>
      <c r="F959" s="4" t="s">
        <v>1491</v>
      </c>
      <c r="G959" s="5" t="s">
        <v>431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+VLOOKUP(G959,Liste!$A$7:$G$69,3,FALSE)</f>
        <v>Sapin pectiné</v>
      </c>
      <c r="BI959" s="96" t="str">
        <f>+VLOOKUP(H959,Liste!$B$7:$G$69,5,FALSE)</f>
        <v>GS Arc Jurassien</v>
      </c>
      <c r="BJ959" s="135">
        <f t="shared" si="280"/>
        <v>88</v>
      </c>
      <c r="BK959" s="135" t="str">
        <f t="shared" si="282"/>
        <v>Sapin pectiné_F1_Cas général_GS Arc Jurassien_88_</v>
      </c>
      <c r="BL959" s="319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97" t="str">
        <f>+VLOOKUP(G959,Liste!$A$7:$H$69,8,FALSE)</f>
        <v>Résineux</v>
      </c>
      <c r="BU959" s="297">
        <f t="shared" si="283"/>
        <v>0</v>
      </c>
      <c r="BV959" s="299">
        <f t="shared" si="284"/>
        <v>1</v>
      </c>
      <c r="BW959" s="318">
        <v>0</v>
      </c>
      <c r="BX959" s="297">
        <f t="shared" si="285"/>
        <v>0.43</v>
      </c>
      <c r="BY959">
        <f t="shared" si="286"/>
        <v>0</v>
      </c>
      <c r="BZ959" s="303">
        <f t="shared" si="287"/>
        <v>0</v>
      </c>
      <c r="CB959" s="298">
        <v>0.6</v>
      </c>
      <c r="CC959" s="298">
        <v>0.4</v>
      </c>
      <c r="CD959">
        <f t="shared" si="288"/>
        <v>0</v>
      </c>
      <c r="CE959">
        <f t="shared" si="289"/>
        <v>0</v>
      </c>
      <c r="CF959">
        <f t="shared" si="290"/>
        <v>0</v>
      </c>
      <c r="CG959">
        <f t="shared" si="291"/>
        <v>0</v>
      </c>
      <c r="CH959">
        <f t="shared" si="292"/>
        <v>0</v>
      </c>
      <c r="CI959">
        <f t="shared" si="293"/>
        <v>0</v>
      </c>
      <c r="CJ959">
        <f t="shared" si="294"/>
        <v>0</v>
      </c>
      <c r="CK959">
        <f t="shared" si="295"/>
        <v>0</v>
      </c>
      <c r="CL959">
        <f t="shared" si="296"/>
        <v>0</v>
      </c>
      <c r="CM959">
        <f t="shared" si="298"/>
        <v>0</v>
      </c>
      <c r="CN959">
        <f t="shared" si="297"/>
        <v>0</v>
      </c>
      <c r="CO959">
        <f t="shared" si="281"/>
        <v>0</v>
      </c>
    </row>
    <row r="960" spans="1:93" s="12" customFormat="1" hidden="1" x14ac:dyDescent="0.25">
      <c r="A960" s="4">
        <v>2013</v>
      </c>
      <c r="B960" s="315">
        <v>44265</v>
      </c>
      <c r="C960" s="4" t="s">
        <v>429</v>
      </c>
      <c r="D960" s="4" t="s">
        <v>430</v>
      </c>
      <c r="E960" s="4"/>
      <c r="F960" s="4" t="s">
        <v>1491</v>
      </c>
      <c r="G960" s="5" t="s">
        <v>431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+VLOOKUP(G960,Liste!$A$7:$G$69,3,FALSE)</f>
        <v>Sapin pectiné</v>
      </c>
      <c r="BI960" s="96" t="str">
        <f>+VLOOKUP(H960,Liste!$B$7:$G$69,5,FALSE)</f>
        <v>GS Arc Jurassien</v>
      </c>
      <c r="BJ960" s="135">
        <f t="shared" si="280"/>
        <v>89</v>
      </c>
      <c r="BK960" s="135" t="str">
        <f t="shared" si="282"/>
        <v>Sapin pectiné_F1_Cas général_GS Arc Jurassien_89_</v>
      </c>
      <c r="BL960" s="319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97" t="str">
        <f>+VLOOKUP(G960,Liste!$A$7:$H$69,8,FALSE)</f>
        <v>Résineux</v>
      </c>
      <c r="BU960" s="297">
        <f t="shared" si="283"/>
        <v>0</v>
      </c>
      <c r="BV960" s="299">
        <f t="shared" si="284"/>
        <v>1</v>
      </c>
      <c r="BW960" s="318">
        <v>0</v>
      </c>
      <c r="BX960" s="297">
        <f t="shared" si="285"/>
        <v>0.43</v>
      </c>
      <c r="BY960">
        <f t="shared" si="286"/>
        <v>0</v>
      </c>
      <c r="BZ960" s="303">
        <f t="shared" si="287"/>
        <v>0</v>
      </c>
      <c r="CB960" s="298">
        <v>0.6</v>
      </c>
      <c r="CC960" s="298">
        <v>0.4</v>
      </c>
      <c r="CD960">
        <f t="shared" si="288"/>
        <v>0</v>
      </c>
      <c r="CE960">
        <f t="shared" si="289"/>
        <v>0</v>
      </c>
      <c r="CF960">
        <f t="shared" si="290"/>
        <v>0</v>
      </c>
      <c r="CG960">
        <f t="shared" si="291"/>
        <v>0</v>
      </c>
      <c r="CH960">
        <f t="shared" si="292"/>
        <v>0</v>
      </c>
      <c r="CI960">
        <f t="shared" si="293"/>
        <v>0</v>
      </c>
      <c r="CJ960">
        <f t="shared" si="294"/>
        <v>0</v>
      </c>
      <c r="CK960">
        <f t="shared" si="295"/>
        <v>0</v>
      </c>
      <c r="CL960">
        <f t="shared" si="296"/>
        <v>0</v>
      </c>
      <c r="CM960">
        <f t="shared" si="298"/>
        <v>0</v>
      </c>
      <c r="CN960">
        <f t="shared" si="297"/>
        <v>0</v>
      </c>
      <c r="CO960">
        <f t="shared" si="281"/>
        <v>0</v>
      </c>
    </row>
    <row r="961" spans="1:93" s="12" customFormat="1" hidden="1" x14ac:dyDescent="0.25">
      <c r="A961" s="4">
        <v>2013</v>
      </c>
      <c r="B961" s="315">
        <v>44265</v>
      </c>
      <c r="C961" s="4" t="s">
        <v>429</v>
      </c>
      <c r="D961" s="4" t="s">
        <v>430</v>
      </c>
      <c r="E961" s="4"/>
      <c r="F961" s="4" t="s">
        <v>1491</v>
      </c>
      <c r="G961" s="5" t="s">
        <v>431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+VLOOKUP(G961,Liste!$A$7:$G$69,3,FALSE)</f>
        <v>Sapin pectiné</v>
      </c>
      <c r="BI961" s="96" t="str">
        <f>+VLOOKUP(H961,Liste!$B$7:$G$69,5,FALSE)</f>
        <v>GS Arc Jurassien</v>
      </c>
      <c r="BJ961" s="135">
        <f t="shared" si="280"/>
        <v>90</v>
      </c>
      <c r="BK961" s="135" t="str">
        <f t="shared" si="282"/>
        <v>Sapin pectiné_F1_Cas général_GS Arc Jurassien_90_</v>
      </c>
      <c r="BL961" s="319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97" t="str">
        <f>+VLOOKUP(G961,Liste!$A$7:$H$69,8,FALSE)</f>
        <v>Résineux</v>
      </c>
      <c r="BU961" s="297">
        <f t="shared" si="283"/>
        <v>0</v>
      </c>
      <c r="BV961" s="299">
        <f t="shared" si="284"/>
        <v>1</v>
      </c>
      <c r="BW961" s="318">
        <v>0</v>
      </c>
      <c r="BX961" s="297">
        <f t="shared" si="285"/>
        <v>0.43</v>
      </c>
      <c r="BY961">
        <f t="shared" si="286"/>
        <v>0</v>
      </c>
      <c r="BZ961" s="303">
        <f t="shared" si="287"/>
        <v>0</v>
      </c>
      <c r="CB961" s="298">
        <v>0.6</v>
      </c>
      <c r="CC961" s="298">
        <v>0.4</v>
      </c>
      <c r="CD961">
        <f t="shared" si="288"/>
        <v>0</v>
      </c>
      <c r="CE961">
        <f t="shared" si="289"/>
        <v>0</v>
      </c>
      <c r="CF961">
        <f t="shared" si="290"/>
        <v>0</v>
      </c>
      <c r="CG961">
        <f t="shared" si="291"/>
        <v>0</v>
      </c>
      <c r="CH961">
        <f t="shared" si="292"/>
        <v>0</v>
      </c>
      <c r="CI961">
        <f t="shared" si="293"/>
        <v>0</v>
      </c>
      <c r="CJ961">
        <f t="shared" si="294"/>
        <v>0</v>
      </c>
      <c r="CK961">
        <f t="shared" si="295"/>
        <v>0</v>
      </c>
      <c r="CL961">
        <f t="shared" si="296"/>
        <v>0</v>
      </c>
      <c r="CM961">
        <f t="shared" si="298"/>
        <v>0</v>
      </c>
      <c r="CN961">
        <f t="shared" si="297"/>
        <v>0</v>
      </c>
      <c r="CO961">
        <f t="shared" si="281"/>
        <v>0</v>
      </c>
    </row>
    <row r="962" spans="1:93" s="12" customFormat="1" hidden="1" x14ac:dyDescent="0.25">
      <c r="A962" s="4">
        <v>2013</v>
      </c>
      <c r="B962" s="315">
        <v>44265</v>
      </c>
      <c r="C962" s="4" t="s">
        <v>429</v>
      </c>
      <c r="D962" s="4" t="s">
        <v>430</v>
      </c>
      <c r="E962" s="4"/>
      <c r="F962" s="4" t="s">
        <v>1491</v>
      </c>
      <c r="G962" s="5" t="s">
        <v>431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+VLOOKUP(G962,Liste!$A$7:$G$69,3,FALSE)</f>
        <v>Sapin pectiné</v>
      </c>
      <c r="BI962" s="96" t="str">
        <f>+VLOOKUP(H962,Liste!$B$7:$G$69,5,FALSE)</f>
        <v>GS Arc Jurassien</v>
      </c>
      <c r="BJ962" s="135">
        <f t="shared" si="280"/>
        <v>91</v>
      </c>
      <c r="BK962" s="135" t="str">
        <f t="shared" si="282"/>
        <v>Sapin pectiné_F1_Cas général_GS Arc Jurassien_91_</v>
      </c>
      <c r="BL962" s="319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97" t="str">
        <f>+VLOOKUP(G962,Liste!$A$7:$H$69,8,FALSE)</f>
        <v>Résineux</v>
      </c>
      <c r="BU962" s="297">
        <f t="shared" si="283"/>
        <v>0</v>
      </c>
      <c r="BV962" s="299">
        <f t="shared" si="284"/>
        <v>1</v>
      </c>
      <c r="BW962" s="318">
        <v>0</v>
      </c>
      <c r="BX962" s="297">
        <f t="shared" si="285"/>
        <v>0.43</v>
      </c>
      <c r="BY962">
        <f t="shared" si="286"/>
        <v>0</v>
      </c>
      <c r="BZ962" s="303">
        <f t="shared" si="287"/>
        <v>0</v>
      </c>
      <c r="CB962" s="298">
        <v>0.6</v>
      </c>
      <c r="CC962" s="298">
        <v>0.4</v>
      </c>
      <c r="CD962">
        <f t="shared" si="288"/>
        <v>0</v>
      </c>
      <c r="CE962">
        <f t="shared" si="289"/>
        <v>0</v>
      </c>
      <c r="CF962">
        <f t="shared" si="290"/>
        <v>0</v>
      </c>
      <c r="CG962">
        <f t="shared" si="291"/>
        <v>0</v>
      </c>
      <c r="CH962">
        <f t="shared" si="292"/>
        <v>0</v>
      </c>
      <c r="CI962">
        <f t="shared" si="293"/>
        <v>0</v>
      </c>
      <c r="CJ962">
        <f t="shared" si="294"/>
        <v>0</v>
      </c>
      <c r="CK962">
        <f t="shared" si="295"/>
        <v>0</v>
      </c>
      <c r="CL962">
        <f t="shared" si="296"/>
        <v>0</v>
      </c>
      <c r="CM962">
        <f t="shared" si="298"/>
        <v>0</v>
      </c>
      <c r="CN962">
        <f t="shared" si="297"/>
        <v>0</v>
      </c>
      <c r="CO962">
        <f t="shared" si="281"/>
        <v>0</v>
      </c>
    </row>
    <row r="963" spans="1:93" s="12" customFormat="1" hidden="1" x14ac:dyDescent="0.25">
      <c r="A963" s="4">
        <v>2013</v>
      </c>
      <c r="B963" s="315">
        <v>44265</v>
      </c>
      <c r="C963" s="4" t="s">
        <v>429</v>
      </c>
      <c r="D963" s="4" t="s">
        <v>430</v>
      </c>
      <c r="E963" s="4"/>
      <c r="F963" s="4" t="s">
        <v>1491</v>
      </c>
      <c r="G963" s="5" t="s">
        <v>431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+VLOOKUP(G963,Liste!$A$7:$G$69,3,FALSE)</f>
        <v>Sapin pectiné</v>
      </c>
      <c r="BI963" s="96" t="str">
        <f>+VLOOKUP(H963,Liste!$B$7:$G$69,5,FALSE)</f>
        <v>GS Arc Jurassien</v>
      </c>
      <c r="BJ963" s="135">
        <f t="shared" ref="BJ963:BJ1026" si="299">+AC963</f>
        <v>91</v>
      </c>
      <c r="BK963" s="135" t="str">
        <f t="shared" si="282"/>
        <v>Sapin pectiné_F1_Cas général_GS Arc Jurassien_91_</v>
      </c>
      <c r="BL963" s="319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97" t="str">
        <f>+VLOOKUP(G963,Liste!$A$7:$H$69,8,FALSE)</f>
        <v>Résineux</v>
      </c>
      <c r="BU963" s="297">
        <f t="shared" si="283"/>
        <v>0</v>
      </c>
      <c r="BV963" s="299">
        <f t="shared" si="284"/>
        <v>1</v>
      </c>
      <c r="BW963" s="318">
        <v>0</v>
      </c>
      <c r="BX963" s="297">
        <f t="shared" si="285"/>
        <v>0.43</v>
      </c>
      <c r="BY963">
        <f t="shared" si="286"/>
        <v>0</v>
      </c>
      <c r="BZ963" s="303">
        <f t="shared" si="287"/>
        <v>0</v>
      </c>
      <c r="CB963" s="298">
        <v>0.6</v>
      </c>
      <c r="CC963" s="298">
        <v>0.4</v>
      </c>
      <c r="CD963">
        <f t="shared" si="288"/>
        <v>0</v>
      </c>
      <c r="CE963">
        <f t="shared" si="289"/>
        <v>0</v>
      </c>
      <c r="CF963">
        <f t="shared" si="290"/>
        <v>0</v>
      </c>
      <c r="CG963">
        <f t="shared" si="291"/>
        <v>0</v>
      </c>
      <c r="CH963">
        <f t="shared" si="292"/>
        <v>0</v>
      </c>
      <c r="CI963">
        <f t="shared" si="293"/>
        <v>0</v>
      </c>
      <c r="CJ963">
        <f t="shared" si="294"/>
        <v>0</v>
      </c>
      <c r="CK963">
        <f t="shared" si="295"/>
        <v>0</v>
      </c>
      <c r="CL963">
        <f t="shared" si="296"/>
        <v>0</v>
      </c>
      <c r="CM963">
        <f t="shared" si="298"/>
        <v>0</v>
      </c>
      <c r="CN963">
        <f t="shared" si="297"/>
        <v>0</v>
      </c>
      <c r="CO963">
        <f t="shared" ref="CO963:CO1026" si="300">+IF(BJ963=30,CN963/30,0)</f>
        <v>0</v>
      </c>
    </row>
    <row r="964" spans="1:93" s="12" customFormat="1" hidden="1" x14ac:dyDescent="0.25">
      <c r="A964" s="4">
        <v>2013</v>
      </c>
      <c r="B964" s="315">
        <v>44265</v>
      </c>
      <c r="C964" s="4" t="s">
        <v>429</v>
      </c>
      <c r="D964" s="4" t="s">
        <v>430</v>
      </c>
      <c r="E964" s="4"/>
      <c r="F964" s="4" t="s">
        <v>1491</v>
      </c>
      <c r="G964" s="5" t="s">
        <v>431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+VLOOKUP(G964,Liste!$A$7:$G$69,3,FALSE)</f>
        <v>Sapin pectiné</v>
      </c>
      <c r="BI964" s="96" t="str">
        <f>+VLOOKUP(H964,Liste!$B$7:$G$69,5,FALSE)</f>
        <v>GS Arc Jurassien</v>
      </c>
      <c r="BJ964" s="135">
        <f t="shared" si="299"/>
        <v>92</v>
      </c>
      <c r="BK964" s="135" t="str">
        <f t="shared" ref="BK964:BK1027" si="301">+_xlfn.CONCAT(BH964,"_",J964,"_",I964,"_",BI964,"_",BJ964,"_")</f>
        <v>Sapin pectiné_F1_Cas général_GS Arc Jurassien_92_</v>
      </c>
      <c r="BL964" s="319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97" t="str">
        <f>+VLOOKUP(G964,Liste!$A$7:$H$69,8,FALSE)</f>
        <v>Résineux</v>
      </c>
      <c r="BU964" s="297">
        <f t="shared" ref="BU964:BU1027" si="302">IF(BT964="Résineux",0%,100%)</f>
        <v>0</v>
      </c>
      <c r="BV964" s="299">
        <f t="shared" ref="BV964:BV1027" si="303">+IF(BT964="Résineux",100%,0%)</f>
        <v>1</v>
      </c>
      <c r="BW964" s="318">
        <v>0</v>
      </c>
      <c r="BX964" s="297">
        <f t="shared" ref="BX964:BX1027" si="304">+IF(BV964&lt;&gt;0,0.43,0.25)</f>
        <v>0.43</v>
      </c>
      <c r="BY964">
        <f t="shared" ref="BY964:BY1027" si="305">+IF(BJ964&lt;=30,AV964*BX964,0)</f>
        <v>0</v>
      </c>
      <c r="BZ964" s="303">
        <f t="shared" ref="BZ964:BZ1027" si="306">+IF(BJ964&gt;=31,0,BY964+BZ963)</f>
        <v>0</v>
      </c>
      <c r="CB964" s="298">
        <v>0.6</v>
      </c>
      <c r="CC964" s="298">
        <v>0.4</v>
      </c>
      <c r="CD964">
        <f t="shared" ref="CD964:CD1027" si="307">+IF(BJ964&lt;=31,AV964*CA964*0.5,0)</f>
        <v>0</v>
      </c>
      <c r="CE964">
        <f t="shared" ref="CE964:CE1027" si="308">IF(BJ964&lt;=31,AV964*CB964,0)</f>
        <v>0</v>
      </c>
      <c r="CF964">
        <f t="shared" ref="CF964:CF1027" si="309">IF(BJ964&lt;=31,AV964*CC964,0)</f>
        <v>0</v>
      </c>
      <c r="CG964">
        <f t="shared" ref="CG964:CG1027" si="310">CD964*44/12*0.475*BF964</f>
        <v>0</v>
      </c>
      <c r="CH964">
        <f t="shared" ref="CH964:CH1027" si="311">CE964*44/12*0.475*BF964</f>
        <v>0</v>
      </c>
      <c r="CI964">
        <f t="shared" ref="CI964:CI1027" si="312">CF964*44/12*0.475*BF964</f>
        <v>0</v>
      </c>
      <c r="CJ964">
        <f t="shared" ref="CJ964:CJ1027" si="313">+IF(BJ964&lt;=31,CJ963*EXP(-$CJ$1)+CG963*(1-EXP(-$CJ$1))/$CJ$1,0)</f>
        <v>0</v>
      </c>
      <c r="CK964">
        <f t="shared" ref="CK964:CK1027" si="314">+IF(BJ964&lt;=31,CK963*EXP(-$CK$1)+CH963*(1-EXP(-$CK$1))/$CK$1,0)</f>
        <v>0</v>
      </c>
      <c r="CL964">
        <f t="shared" ref="CL964:CL1027" si="315">+IF(BJ964&lt;=31,CL963*EXP(-$CL$1)+CI963*(1-EXP(-$CL$1))/$CL$1,0)</f>
        <v>0</v>
      </c>
      <c r="CM964">
        <f t="shared" si="298"/>
        <v>0</v>
      </c>
      <c r="CN964">
        <f t="shared" ref="CN964:CN1027" si="316">+IF(BJ964&lt;=31,CM964+CN963,0)</f>
        <v>0</v>
      </c>
      <c r="CO964">
        <f t="shared" si="300"/>
        <v>0</v>
      </c>
    </row>
    <row r="965" spans="1:93" s="12" customFormat="1" hidden="1" x14ac:dyDescent="0.25">
      <c r="A965" s="4">
        <v>2013</v>
      </c>
      <c r="B965" s="315">
        <v>44265</v>
      </c>
      <c r="C965" s="4" t="s">
        <v>429</v>
      </c>
      <c r="D965" s="4" t="s">
        <v>430</v>
      </c>
      <c r="E965" s="4"/>
      <c r="F965" s="4" t="s">
        <v>1491</v>
      </c>
      <c r="G965" s="5" t="s">
        <v>431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+VLOOKUP(G965,Liste!$A$7:$G$69,3,FALSE)</f>
        <v>Sapin pectiné</v>
      </c>
      <c r="BI965" s="96" t="str">
        <f>+VLOOKUP(H965,Liste!$B$7:$G$69,5,FALSE)</f>
        <v>GS Arc Jurassien</v>
      </c>
      <c r="BJ965" s="135">
        <f t="shared" si="299"/>
        <v>93</v>
      </c>
      <c r="BK965" s="135" t="str">
        <f t="shared" si="301"/>
        <v>Sapin pectiné_F1_Cas général_GS Arc Jurassien_93_</v>
      </c>
      <c r="BL965" s="319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97" t="str">
        <f>+VLOOKUP(G965,Liste!$A$7:$H$69,8,FALSE)</f>
        <v>Résineux</v>
      </c>
      <c r="BU965" s="297">
        <f t="shared" si="302"/>
        <v>0</v>
      </c>
      <c r="BV965" s="299">
        <f t="shared" si="303"/>
        <v>1</v>
      </c>
      <c r="BW965" s="318">
        <v>0</v>
      </c>
      <c r="BX965" s="297">
        <f t="shared" si="304"/>
        <v>0.43</v>
      </c>
      <c r="BY965">
        <f t="shared" si="305"/>
        <v>0</v>
      </c>
      <c r="BZ965" s="303">
        <f t="shared" si="306"/>
        <v>0</v>
      </c>
      <c r="CB965" s="298">
        <v>0.6</v>
      </c>
      <c r="CC965" s="298">
        <v>0.4</v>
      </c>
      <c r="CD965">
        <f t="shared" si="307"/>
        <v>0</v>
      </c>
      <c r="CE965">
        <f t="shared" si="308"/>
        <v>0</v>
      </c>
      <c r="CF965">
        <f t="shared" si="309"/>
        <v>0</v>
      </c>
      <c r="CG965">
        <f t="shared" si="310"/>
        <v>0</v>
      </c>
      <c r="CH965">
        <f t="shared" si="311"/>
        <v>0</v>
      </c>
      <c r="CI965">
        <f t="shared" si="312"/>
        <v>0</v>
      </c>
      <c r="CJ965">
        <f t="shared" si="313"/>
        <v>0</v>
      </c>
      <c r="CK965">
        <f t="shared" si="314"/>
        <v>0</v>
      </c>
      <c r="CL965">
        <f t="shared" si="315"/>
        <v>0</v>
      </c>
      <c r="CM965">
        <f t="shared" ref="CM965:CM1028" si="317">+CJ965+CK965+CL965</f>
        <v>0</v>
      </c>
      <c r="CN965">
        <f t="shared" si="316"/>
        <v>0</v>
      </c>
      <c r="CO965">
        <f t="shared" si="300"/>
        <v>0</v>
      </c>
    </row>
    <row r="966" spans="1:93" s="12" customFormat="1" hidden="1" x14ac:dyDescent="0.25">
      <c r="A966" s="4">
        <v>2013</v>
      </c>
      <c r="B966" s="315">
        <v>44265</v>
      </c>
      <c r="C966" s="4" t="s">
        <v>429</v>
      </c>
      <c r="D966" s="4" t="s">
        <v>430</v>
      </c>
      <c r="E966" s="4"/>
      <c r="F966" s="4" t="s">
        <v>1491</v>
      </c>
      <c r="G966" s="5" t="s">
        <v>431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+VLOOKUP(G966,Liste!$A$7:$G$69,3,FALSE)</f>
        <v>Sapin pectiné</v>
      </c>
      <c r="BI966" s="96" t="str">
        <f>+VLOOKUP(H966,Liste!$B$7:$G$69,5,FALSE)</f>
        <v>GS Arc Jurassien</v>
      </c>
      <c r="BJ966" s="135">
        <f t="shared" si="299"/>
        <v>94</v>
      </c>
      <c r="BK966" s="135" t="str">
        <f t="shared" si="301"/>
        <v>Sapin pectiné_F1_Cas général_GS Arc Jurassien_94_</v>
      </c>
      <c r="BL966" s="319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97" t="str">
        <f>+VLOOKUP(G966,Liste!$A$7:$H$69,8,FALSE)</f>
        <v>Résineux</v>
      </c>
      <c r="BU966" s="297">
        <f t="shared" si="302"/>
        <v>0</v>
      </c>
      <c r="BV966" s="299">
        <f t="shared" si="303"/>
        <v>1</v>
      </c>
      <c r="BW966" s="318">
        <v>0</v>
      </c>
      <c r="BX966" s="297">
        <f t="shared" si="304"/>
        <v>0.43</v>
      </c>
      <c r="BY966">
        <f t="shared" si="305"/>
        <v>0</v>
      </c>
      <c r="BZ966" s="303">
        <f t="shared" si="306"/>
        <v>0</v>
      </c>
      <c r="CB966" s="298">
        <v>0.6</v>
      </c>
      <c r="CC966" s="298">
        <v>0.4</v>
      </c>
      <c r="CD966">
        <f t="shared" si="307"/>
        <v>0</v>
      </c>
      <c r="CE966">
        <f t="shared" si="308"/>
        <v>0</v>
      </c>
      <c r="CF966">
        <f t="shared" si="309"/>
        <v>0</v>
      </c>
      <c r="CG966">
        <f t="shared" si="310"/>
        <v>0</v>
      </c>
      <c r="CH966">
        <f t="shared" si="311"/>
        <v>0</v>
      </c>
      <c r="CI966">
        <f t="shared" si="312"/>
        <v>0</v>
      </c>
      <c r="CJ966">
        <f t="shared" si="313"/>
        <v>0</v>
      </c>
      <c r="CK966">
        <f t="shared" si="314"/>
        <v>0</v>
      </c>
      <c r="CL966">
        <f t="shared" si="315"/>
        <v>0</v>
      </c>
      <c r="CM966">
        <f t="shared" si="317"/>
        <v>0</v>
      </c>
      <c r="CN966">
        <f t="shared" si="316"/>
        <v>0</v>
      </c>
      <c r="CO966">
        <f t="shared" si="300"/>
        <v>0</v>
      </c>
    </row>
    <row r="967" spans="1:93" s="12" customFormat="1" hidden="1" x14ac:dyDescent="0.25">
      <c r="A967" s="4">
        <v>2013</v>
      </c>
      <c r="B967" s="315">
        <v>44265</v>
      </c>
      <c r="C967" s="4" t="s">
        <v>429</v>
      </c>
      <c r="D967" s="4" t="s">
        <v>430</v>
      </c>
      <c r="E967" s="4"/>
      <c r="F967" s="4" t="s">
        <v>1491</v>
      </c>
      <c r="G967" s="5" t="s">
        <v>431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+VLOOKUP(G967,Liste!$A$7:$G$69,3,FALSE)</f>
        <v>Sapin pectiné</v>
      </c>
      <c r="BI967" s="96" t="str">
        <f>+VLOOKUP(H967,Liste!$B$7:$G$69,5,FALSE)</f>
        <v>GS Arc Jurassien</v>
      </c>
      <c r="BJ967" s="135">
        <f t="shared" si="299"/>
        <v>95</v>
      </c>
      <c r="BK967" s="135" t="str">
        <f t="shared" si="301"/>
        <v>Sapin pectiné_F1_Cas général_GS Arc Jurassien_95_</v>
      </c>
      <c r="BL967" s="319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97" t="str">
        <f>+VLOOKUP(G967,Liste!$A$7:$H$69,8,FALSE)</f>
        <v>Résineux</v>
      </c>
      <c r="BU967" s="297">
        <f t="shared" si="302"/>
        <v>0</v>
      </c>
      <c r="BV967" s="299">
        <f t="shared" si="303"/>
        <v>1</v>
      </c>
      <c r="BW967" s="318">
        <v>0</v>
      </c>
      <c r="BX967" s="297">
        <f t="shared" si="304"/>
        <v>0.43</v>
      </c>
      <c r="BY967">
        <f t="shared" si="305"/>
        <v>0</v>
      </c>
      <c r="BZ967" s="303">
        <f t="shared" si="306"/>
        <v>0</v>
      </c>
      <c r="CB967" s="298">
        <v>0.6</v>
      </c>
      <c r="CC967" s="298">
        <v>0.4</v>
      </c>
      <c r="CD967">
        <f t="shared" si="307"/>
        <v>0</v>
      </c>
      <c r="CE967">
        <f t="shared" si="308"/>
        <v>0</v>
      </c>
      <c r="CF967">
        <f t="shared" si="309"/>
        <v>0</v>
      </c>
      <c r="CG967">
        <f t="shared" si="310"/>
        <v>0</v>
      </c>
      <c r="CH967">
        <f t="shared" si="311"/>
        <v>0</v>
      </c>
      <c r="CI967">
        <f t="shared" si="312"/>
        <v>0</v>
      </c>
      <c r="CJ967">
        <f t="shared" si="313"/>
        <v>0</v>
      </c>
      <c r="CK967">
        <f t="shared" si="314"/>
        <v>0</v>
      </c>
      <c r="CL967">
        <f t="shared" si="315"/>
        <v>0</v>
      </c>
      <c r="CM967">
        <f t="shared" si="317"/>
        <v>0</v>
      </c>
      <c r="CN967">
        <f t="shared" si="316"/>
        <v>0</v>
      </c>
      <c r="CO967">
        <f t="shared" si="300"/>
        <v>0</v>
      </c>
    </row>
    <row r="968" spans="1:93" s="12" customFormat="1" hidden="1" x14ac:dyDescent="0.25">
      <c r="A968" s="4">
        <v>2013</v>
      </c>
      <c r="B968" s="315">
        <v>44265</v>
      </c>
      <c r="C968" s="4" t="s">
        <v>429</v>
      </c>
      <c r="D968" s="4" t="s">
        <v>430</v>
      </c>
      <c r="E968" s="4"/>
      <c r="F968" s="4" t="s">
        <v>1491</v>
      </c>
      <c r="G968" s="5" t="s">
        <v>431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+VLOOKUP(G968,Liste!$A$7:$G$69,3,FALSE)</f>
        <v>Sapin pectiné</v>
      </c>
      <c r="BI968" s="96" t="str">
        <f>+VLOOKUP(H968,Liste!$B$7:$G$69,5,FALSE)</f>
        <v>GS Arc Jurassien</v>
      </c>
      <c r="BJ968" s="135">
        <f t="shared" si="299"/>
        <v>96</v>
      </c>
      <c r="BK968" s="135" t="str">
        <f t="shared" si="301"/>
        <v>Sapin pectiné_F1_Cas général_GS Arc Jurassien_96_</v>
      </c>
      <c r="BL968" s="319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97" t="str">
        <f>+VLOOKUP(G968,Liste!$A$7:$H$69,8,FALSE)</f>
        <v>Résineux</v>
      </c>
      <c r="BU968" s="297">
        <f t="shared" si="302"/>
        <v>0</v>
      </c>
      <c r="BV968" s="299">
        <f t="shared" si="303"/>
        <v>1</v>
      </c>
      <c r="BW968" s="318">
        <v>0</v>
      </c>
      <c r="BX968" s="297">
        <f t="shared" si="304"/>
        <v>0.43</v>
      </c>
      <c r="BY968">
        <f t="shared" si="305"/>
        <v>0</v>
      </c>
      <c r="BZ968" s="303">
        <f t="shared" si="306"/>
        <v>0</v>
      </c>
      <c r="CB968" s="298">
        <v>0.6</v>
      </c>
      <c r="CC968" s="298">
        <v>0.4</v>
      </c>
      <c r="CD968">
        <f t="shared" si="307"/>
        <v>0</v>
      </c>
      <c r="CE968">
        <f t="shared" si="308"/>
        <v>0</v>
      </c>
      <c r="CF968">
        <f t="shared" si="309"/>
        <v>0</v>
      </c>
      <c r="CG968">
        <f t="shared" si="310"/>
        <v>0</v>
      </c>
      <c r="CH968">
        <f t="shared" si="311"/>
        <v>0</v>
      </c>
      <c r="CI968">
        <f t="shared" si="312"/>
        <v>0</v>
      </c>
      <c r="CJ968">
        <f t="shared" si="313"/>
        <v>0</v>
      </c>
      <c r="CK968">
        <f t="shared" si="314"/>
        <v>0</v>
      </c>
      <c r="CL968">
        <f t="shared" si="315"/>
        <v>0</v>
      </c>
      <c r="CM968">
        <f t="shared" si="317"/>
        <v>0</v>
      </c>
      <c r="CN968">
        <f t="shared" si="316"/>
        <v>0</v>
      </c>
      <c r="CO968">
        <f t="shared" si="300"/>
        <v>0</v>
      </c>
    </row>
    <row r="969" spans="1:93" s="12" customFormat="1" hidden="1" x14ac:dyDescent="0.25">
      <c r="A969" s="4">
        <v>2013</v>
      </c>
      <c r="B969" s="315">
        <v>44265</v>
      </c>
      <c r="C969" s="4" t="s">
        <v>429</v>
      </c>
      <c r="D969" s="4" t="s">
        <v>430</v>
      </c>
      <c r="E969" s="4"/>
      <c r="F969" s="4" t="s">
        <v>1491</v>
      </c>
      <c r="G969" s="5" t="s">
        <v>431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+VLOOKUP(G969,Liste!$A$7:$G$69,3,FALSE)</f>
        <v>Sapin pectiné</v>
      </c>
      <c r="BI969" s="96" t="str">
        <f>+VLOOKUP(H969,Liste!$B$7:$G$69,5,FALSE)</f>
        <v>GS Arc Jurassien</v>
      </c>
      <c r="BJ969" s="135">
        <f t="shared" si="299"/>
        <v>97</v>
      </c>
      <c r="BK969" s="135" t="str">
        <f t="shared" si="301"/>
        <v>Sapin pectiné_F1_Cas général_GS Arc Jurassien_97_</v>
      </c>
      <c r="BL969" s="319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97" t="str">
        <f>+VLOOKUP(G969,Liste!$A$7:$H$69,8,FALSE)</f>
        <v>Résineux</v>
      </c>
      <c r="BU969" s="297">
        <f t="shared" si="302"/>
        <v>0</v>
      </c>
      <c r="BV969" s="299">
        <f t="shared" si="303"/>
        <v>1</v>
      </c>
      <c r="BW969" s="318">
        <v>0</v>
      </c>
      <c r="BX969" s="297">
        <f t="shared" si="304"/>
        <v>0.43</v>
      </c>
      <c r="BY969">
        <f t="shared" si="305"/>
        <v>0</v>
      </c>
      <c r="BZ969" s="303">
        <f t="shared" si="306"/>
        <v>0</v>
      </c>
      <c r="CB969" s="298">
        <v>0.6</v>
      </c>
      <c r="CC969" s="298">
        <v>0.4</v>
      </c>
      <c r="CD969">
        <f t="shared" si="307"/>
        <v>0</v>
      </c>
      <c r="CE969">
        <f t="shared" si="308"/>
        <v>0</v>
      </c>
      <c r="CF969">
        <f t="shared" si="309"/>
        <v>0</v>
      </c>
      <c r="CG969">
        <f t="shared" si="310"/>
        <v>0</v>
      </c>
      <c r="CH969">
        <f t="shared" si="311"/>
        <v>0</v>
      </c>
      <c r="CI969">
        <f t="shared" si="312"/>
        <v>0</v>
      </c>
      <c r="CJ969">
        <f t="shared" si="313"/>
        <v>0</v>
      </c>
      <c r="CK969">
        <f t="shared" si="314"/>
        <v>0</v>
      </c>
      <c r="CL969">
        <f t="shared" si="315"/>
        <v>0</v>
      </c>
      <c r="CM969">
        <f t="shared" si="317"/>
        <v>0</v>
      </c>
      <c r="CN969">
        <f t="shared" si="316"/>
        <v>0</v>
      </c>
      <c r="CO969">
        <f t="shared" si="300"/>
        <v>0</v>
      </c>
    </row>
    <row r="970" spans="1:93" s="12" customFormat="1" hidden="1" x14ac:dyDescent="0.25">
      <c r="A970" s="4">
        <v>2013</v>
      </c>
      <c r="B970" s="315">
        <v>44265</v>
      </c>
      <c r="C970" s="4" t="s">
        <v>429</v>
      </c>
      <c r="D970" s="4" t="s">
        <v>430</v>
      </c>
      <c r="E970" s="4"/>
      <c r="F970" s="4" t="s">
        <v>1491</v>
      </c>
      <c r="G970" s="5" t="s">
        <v>431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+VLOOKUP(G970,Liste!$A$7:$G$69,3,FALSE)</f>
        <v>Sapin pectiné</v>
      </c>
      <c r="BI970" s="96" t="str">
        <f>+VLOOKUP(H970,Liste!$B$7:$G$69,5,FALSE)</f>
        <v>GS Arc Jurassien</v>
      </c>
      <c r="BJ970" s="135">
        <f t="shared" si="299"/>
        <v>98</v>
      </c>
      <c r="BK970" s="135" t="str">
        <f t="shared" si="301"/>
        <v>Sapin pectiné_F1_Cas général_GS Arc Jurassien_98_</v>
      </c>
      <c r="BL970" s="319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97" t="str">
        <f>+VLOOKUP(G970,Liste!$A$7:$H$69,8,FALSE)</f>
        <v>Résineux</v>
      </c>
      <c r="BU970" s="297">
        <f t="shared" si="302"/>
        <v>0</v>
      </c>
      <c r="BV970" s="299">
        <f t="shared" si="303"/>
        <v>1</v>
      </c>
      <c r="BW970" s="318">
        <v>0</v>
      </c>
      <c r="BX970" s="297">
        <f t="shared" si="304"/>
        <v>0.43</v>
      </c>
      <c r="BY970">
        <f t="shared" si="305"/>
        <v>0</v>
      </c>
      <c r="BZ970" s="303">
        <f t="shared" si="306"/>
        <v>0</v>
      </c>
      <c r="CB970" s="298">
        <v>0.6</v>
      </c>
      <c r="CC970" s="298">
        <v>0.4</v>
      </c>
      <c r="CD970">
        <f t="shared" si="307"/>
        <v>0</v>
      </c>
      <c r="CE970">
        <f t="shared" si="308"/>
        <v>0</v>
      </c>
      <c r="CF970">
        <f t="shared" si="309"/>
        <v>0</v>
      </c>
      <c r="CG970">
        <f t="shared" si="310"/>
        <v>0</v>
      </c>
      <c r="CH970">
        <f t="shared" si="311"/>
        <v>0</v>
      </c>
      <c r="CI970">
        <f t="shared" si="312"/>
        <v>0</v>
      </c>
      <c r="CJ970">
        <f t="shared" si="313"/>
        <v>0</v>
      </c>
      <c r="CK970">
        <f t="shared" si="314"/>
        <v>0</v>
      </c>
      <c r="CL970">
        <f t="shared" si="315"/>
        <v>0</v>
      </c>
      <c r="CM970">
        <f t="shared" si="317"/>
        <v>0</v>
      </c>
      <c r="CN970">
        <f t="shared" si="316"/>
        <v>0</v>
      </c>
      <c r="CO970">
        <f t="shared" si="300"/>
        <v>0</v>
      </c>
    </row>
    <row r="971" spans="1:93" s="12" customFormat="1" hidden="1" x14ac:dyDescent="0.25">
      <c r="A971" s="4">
        <v>2013</v>
      </c>
      <c r="B971" s="315">
        <v>44265</v>
      </c>
      <c r="C971" s="4" t="s">
        <v>429</v>
      </c>
      <c r="D971" s="4" t="s">
        <v>430</v>
      </c>
      <c r="E971" s="4"/>
      <c r="F971" s="4" t="s">
        <v>1491</v>
      </c>
      <c r="G971" s="5" t="s">
        <v>431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+VLOOKUP(G971,Liste!$A$7:$G$69,3,FALSE)</f>
        <v>Sapin pectiné</v>
      </c>
      <c r="BI971" s="96" t="str">
        <f>+VLOOKUP(H971,Liste!$B$7:$G$69,5,FALSE)</f>
        <v>GS Arc Jurassien</v>
      </c>
      <c r="BJ971" s="135">
        <f t="shared" si="299"/>
        <v>99</v>
      </c>
      <c r="BK971" s="135" t="str">
        <f t="shared" si="301"/>
        <v>Sapin pectiné_F1_Cas général_GS Arc Jurassien_99_</v>
      </c>
      <c r="BL971" s="319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97" t="str">
        <f>+VLOOKUP(G971,Liste!$A$7:$H$69,8,FALSE)</f>
        <v>Résineux</v>
      </c>
      <c r="BU971" s="297">
        <f t="shared" si="302"/>
        <v>0</v>
      </c>
      <c r="BV971" s="299">
        <f t="shared" si="303"/>
        <v>1</v>
      </c>
      <c r="BW971" s="318">
        <v>0</v>
      </c>
      <c r="BX971" s="297">
        <f t="shared" si="304"/>
        <v>0.43</v>
      </c>
      <c r="BY971">
        <f t="shared" si="305"/>
        <v>0</v>
      </c>
      <c r="BZ971" s="303">
        <f t="shared" si="306"/>
        <v>0</v>
      </c>
      <c r="CB971" s="298">
        <v>0.6</v>
      </c>
      <c r="CC971" s="298">
        <v>0.4</v>
      </c>
      <c r="CD971">
        <f t="shared" si="307"/>
        <v>0</v>
      </c>
      <c r="CE971">
        <f t="shared" si="308"/>
        <v>0</v>
      </c>
      <c r="CF971">
        <f t="shared" si="309"/>
        <v>0</v>
      </c>
      <c r="CG971">
        <f t="shared" si="310"/>
        <v>0</v>
      </c>
      <c r="CH971">
        <f t="shared" si="311"/>
        <v>0</v>
      </c>
      <c r="CI971">
        <f t="shared" si="312"/>
        <v>0</v>
      </c>
      <c r="CJ971">
        <f t="shared" si="313"/>
        <v>0</v>
      </c>
      <c r="CK971">
        <f t="shared" si="314"/>
        <v>0</v>
      </c>
      <c r="CL971">
        <f t="shared" si="315"/>
        <v>0</v>
      </c>
      <c r="CM971">
        <f t="shared" si="317"/>
        <v>0</v>
      </c>
      <c r="CN971">
        <f t="shared" si="316"/>
        <v>0</v>
      </c>
      <c r="CO971">
        <f t="shared" si="300"/>
        <v>0</v>
      </c>
    </row>
    <row r="972" spans="1:93" s="12" customFormat="1" hidden="1" x14ac:dyDescent="0.25">
      <c r="A972" s="4">
        <v>2013</v>
      </c>
      <c r="B972" s="315">
        <v>44265</v>
      </c>
      <c r="C972" s="4" t="s">
        <v>429</v>
      </c>
      <c r="D972" s="4" t="s">
        <v>430</v>
      </c>
      <c r="E972" s="4"/>
      <c r="F972" s="4" t="s">
        <v>1491</v>
      </c>
      <c r="G972" s="5" t="s">
        <v>431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+VLOOKUP(G972,Liste!$A$7:$G$69,3,FALSE)</f>
        <v>Sapin pectiné</v>
      </c>
      <c r="BI972" s="96" t="str">
        <f>+VLOOKUP(H972,Liste!$B$7:$G$69,5,FALSE)</f>
        <v>GS Arc Jurassien</v>
      </c>
      <c r="BJ972" s="135">
        <f t="shared" si="299"/>
        <v>99</v>
      </c>
      <c r="BK972" s="135" t="str">
        <f t="shared" si="301"/>
        <v>Sapin pectiné_F1_Cas général_GS Arc Jurassien_99_</v>
      </c>
      <c r="BL972" s="319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97" t="str">
        <f>+VLOOKUP(G972,Liste!$A$7:$H$69,8,FALSE)</f>
        <v>Résineux</v>
      </c>
      <c r="BU972" s="297">
        <f t="shared" si="302"/>
        <v>0</v>
      </c>
      <c r="BV972" s="299">
        <f t="shared" si="303"/>
        <v>1</v>
      </c>
      <c r="BW972" s="318">
        <v>0</v>
      </c>
      <c r="BX972" s="297">
        <f t="shared" si="304"/>
        <v>0.43</v>
      </c>
      <c r="BY972">
        <f t="shared" si="305"/>
        <v>0</v>
      </c>
      <c r="BZ972" s="303">
        <f t="shared" si="306"/>
        <v>0</v>
      </c>
      <c r="CB972" s="298">
        <v>0.6</v>
      </c>
      <c r="CC972" s="298">
        <v>0.4</v>
      </c>
      <c r="CD972">
        <f t="shared" si="307"/>
        <v>0</v>
      </c>
      <c r="CE972">
        <f t="shared" si="308"/>
        <v>0</v>
      </c>
      <c r="CF972">
        <f t="shared" si="309"/>
        <v>0</v>
      </c>
      <c r="CG972">
        <f t="shared" si="310"/>
        <v>0</v>
      </c>
      <c r="CH972">
        <f t="shared" si="311"/>
        <v>0</v>
      </c>
      <c r="CI972">
        <f t="shared" si="312"/>
        <v>0</v>
      </c>
      <c r="CJ972">
        <f t="shared" si="313"/>
        <v>0</v>
      </c>
      <c r="CK972">
        <f t="shared" si="314"/>
        <v>0</v>
      </c>
      <c r="CL972">
        <f t="shared" si="315"/>
        <v>0</v>
      </c>
      <c r="CM972">
        <f t="shared" si="317"/>
        <v>0</v>
      </c>
      <c r="CN972">
        <f t="shared" si="316"/>
        <v>0</v>
      </c>
      <c r="CO972">
        <f t="shared" si="300"/>
        <v>0</v>
      </c>
    </row>
    <row r="973" spans="1:93" s="12" customFormat="1" hidden="1" x14ac:dyDescent="0.25">
      <c r="A973" s="4">
        <v>2021</v>
      </c>
      <c r="B973" s="315">
        <v>44279</v>
      </c>
      <c r="C973" s="4" t="s">
        <v>1492</v>
      </c>
      <c r="D973" s="4" t="s">
        <v>1493</v>
      </c>
      <c r="E973" s="4"/>
      <c r="F973" s="4" t="s">
        <v>1494</v>
      </c>
      <c r="G973" s="5" t="s">
        <v>1495</v>
      </c>
      <c r="H973" s="5" t="s">
        <v>1496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1497</v>
      </c>
      <c r="P973" s="6" t="s">
        <v>1498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+VLOOKUP(G973,Liste!$A$7:$G$69,3,FALSE)</f>
        <v>Pin Noir d'Autriche</v>
      </c>
      <c r="BI973" s="96" t="str">
        <f>+VLOOKUP(H973,Liste!$B$7:$G$69,5,FALSE)</f>
        <v>GSM Alpes du Sud</v>
      </c>
      <c r="BJ973" s="135">
        <f t="shared" si="299"/>
        <v>25</v>
      </c>
      <c r="BK973" s="135" t="str">
        <f t="shared" si="301"/>
        <v>Pin Noir d'Autriche_F1_PO1_d4_GSM Alpes du Sud_25_</v>
      </c>
      <c r="BL973" s="319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97" t="str">
        <f>+VLOOKUP(G973,Liste!$A$7:$H$69,8,FALSE)</f>
        <v>Résineux</v>
      </c>
      <c r="BU973" s="297">
        <f t="shared" si="302"/>
        <v>0</v>
      </c>
      <c r="BV973" s="299">
        <f t="shared" si="303"/>
        <v>1</v>
      </c>
      <c r="BW973" s="318">
        <v>0</v>
      </c>
      <c r="BX973" s="297">
        <f t="shared" si="304"/>
        <v>0.43</v>
      </c>
      <c r="BY973">
        <f t="shared" si="305"/>
        <v>0</v>
      </c>
      <c r="BZ973" s="303">
        <f t="shared" si="306"/>
        <v>0</v>
      </c>
      <c r="CB973" s="298">
        <v>0.6</v>
      </c>
      <c r="CC973" s="298">
        <v>0.4</v>
      </c>
      <c r="CD973">
        <f t="shared" si="307"/>
        <v>0</v>
      </c>
      <c r="CE973">
        <f t="shared" si="308"/>
        <v>0</v>
      </c>
      <c r="CF973">
        <f t="shared" si="309"/>
        <v>0</v>
      </c>
      <c r="CG973">
        <f t="shared" si="310"/>
        <v>0</v>
      </c>
      <c r="CH973">
        <f t="shared" si="311"/>
        <v>0</v>
      </c>
      <c r="CI973">
        <f t="shared" si="312"/>
        <v>0</v>
      </c>
      <c r="CJ973">
        <f t="shared" si="313"/>
        <v>0</v>
      </c>
      <c r="CK973">
        <f t="shared" si="314"/>
        <v>0</v>
      </c>
      <c r="CL973">
        <f t="shared" si="315"/>
        <v>0</v>
      </c>
      <c r="CM973">
        <f t="shared" si="317"/>
        <v>0</v>
      </c>
      <c r="CN973">
        <f t="shared" si="316"/>
        <v>0</v>
      </c>
      <c r="CO973">
        <f t="shared" si="300"/>
        <v>0</v>
      </c>
    </row>
    <row r="974" spans="1:93" s="12" customFormat="1" hidden="1" x14ac:dyDescent="0.25">
      <c r="A974" s="4">
        <v>2021</v>
      </c>
      <c r="B974" s="315">
        <v>44279</v>
      </c>
      <c r="C974" s="4" t="s">
        <v>1492</v>
      </c>
      <c r="D974" s="4" t="s">
        <v>1493</v>
      </c>
      <c r="E974" s="4"/>
      <c r="F974" s="4" t="s">
        <v>1494</v>
      </c>
      <c r="G974" s="5" t="s">
        <v>1495</v>
      </c>
      <c r="H974" s="5" t="s">
        <v>1496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1497</v>
      </c>
      <c r="P974" s="6" t="s">
        <v>1498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+VLOOKUP(G974,Liste!$A$7:$G$69,3,FALSE)</f>
        <v>Pin Noir d'Autriche</v>
      </c>
      <c r="BI974" s="96" t="str">
        <f>+VLOOKUP(H974,Liste!$B$7:$G$69,5,FALSE)</f>
        <v>GSM Alpes du Sud</v>
      </c>
      <c r="BJ974" s="135">
        <f t="shared" si="299"/>
        <v>30</v>
      </c>
      <c r="BK974" s="135" t="str">
        <f t="shared" si="301"/>
        <v>Pin Noir d'Autriche_F1_PO1_d4_GSM Alpes du Sud_30_</v>
      </c>
      <c r="BL974" s="319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97" t="str">
        <f>+VLOOKUP(G974,Liste!$A$7:$H$69,8,FALSE)</f>
        <v>Résineux</v>
      </c>
      <c r="BU974" s="297">
        <f t="shared" si="302"/>
        <v>0</v>
      </c>
      <c r="BV974" s="299">
        <f t="shared" si="303"/>
        <v>1</v>
      </c>
      <c r="BW974" s="318">
        <v>0</v>
      </c>
      <c r="BX974" s="297">
        <f t="shared" si="304"/>
        <v>0.43</v>
      </c>
      <c r="BY974">
        <f t="shared" si="305"/>
        <v>0</v>
      </c>
      <c r="BZ974" s="303">
        <f t="shared" si="306"/>
        <v>0</v>
      </c>
      <c r="CB974" s="298">
        <v>0.6</v>
      </c>
      <c r="CC974" s="298">
        <v>0.4</v>
      </c>
      <c r="CD974">
        <f t="shared" si="307"/>
        <v>0</v>
      </c>
      <c r="CE974">
        <f t="shared" si="308"/>
        <v>0</v>
      </c>
      <c r="CF974">
        <f t="shared" si="309"/>
        <v>0</v>
      </c>
      <c r="CG974">
        <f t="shared" si="310"/>
        <v>0</v>
      </c>
      <c r="CH974">
        <f t="shared" si="311"/>
        <v>0</v>
      </c>
      <c r="CI974">
        <f t="shared" si="312"/>
        <v>0</v>
      </c>
      <c r="CJ974">
        <f t="shared" si="313"/>
        <v>0</v>
      </c>
      <c r="CK974">
        <f t="shared" si="314"/>
        <v>0</v>
      </c>
      <c r="CL974">
        <f t="shared" si="315"/>
        <v>0</v>
      </c>
      <c r="CM974">
        <f t="shared" si="317"/>
        <v>0</v>
      </c>
      <c r="CN974">
        <f t="shared" si="316"/>
        <v>0</v>
      </c>
      <c r="CO974">
        <f t="shared" si="300"/>
        <v>0</v>
      </c>
    </row>
    <row r="975" spans="1:93" s="12" customFormat="1" hidden="1" x14ac:dyDescent="0.25">
      <c r="A975" s="4">
        <v>2021</v>
      </c>
      <c r="B975" s="315">
        <v>44279</v>
      </c>
      <c r="C975" s="4" t="s">
        <v>1492</v>
      </c>
      <c r="D975" s="4" t="s">
        <v>1493</v>
      </c>
      <c r="E975" s="4"/>
      <c r="F975" s="4" t="s">
        <v>1494</v>
      </c>
      <c r="G975" s="5" t="s">
        <v>1495</v>
      </c>
      <c r="H975" s="5" t="s">
        <v>1496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1497</v>
      </c>
      <c r="P975" s="6" t="s">
        <v>1498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+VLOOKUP(G975,Liste!$A$7:$G$69,3,FALSE)</f>
        <v>Pin Noir d'Autriche</v>
      </c>
      <c r="BI975" s="96" t="str">
        <f>+VLOOKUP(H975,Liste!$B$7:$G$69,5,FALSE)</f>
        <v>GSM Alpes du Sud</v>
      </c>
      <c r="BJ975" s="135">
        <f t="shared" si="299"/>
        <v>35</v>
      </c>
      <c r="BK975" s="135" t="str">
        <f t="shared" si="301"/>
        <v>Pin Noir d'Autriche_F1_PO1_d4_GSM Alpes du Sud_35_</v>
      </c>
      <c r="BL975" s="319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97" t="str">
        <f>+VLOOKUP(G975,Liste!$A$7:$H$69,8,FALSE)</f>
        <v>Résineux</v>
      </c>
      <c r="BU975" s="297">
        <f t="shared" si="302"/>
        <v>0</v>
      </c>
      <c r="BV975" s="299">
        <f t="shared" si="303"/>
        <v>1</v>
      </c>
      <c r="BW975" s="318">
        <v>0</v>
      </c>
      <c r="BX975" s="297">
        <f t="shared" si="304"/>
        <v>0.43</v>
      </c>
      <c r="BY975">
        <f t="shared" si="305"/>
        <v>0</v>
      </c>
      <c r="BZ975" s="303">
        <f t="shared" si="306"/>
        <v>0</v>
      </c>
      <c r="CB975" s="298">
        <v>0.6</v>
      </c>
      <c r="CC975" s="298">
        <v>0.4</v>
      </c>
      <c r="CD975">
        <f t="shared" si="307"/>
        <v>0</v>
      </c>
      <c r="CE975">
        <f t="shared" si="308"/>
        <v>0</v>
      </c>
      <c r="CF975">
        <f t="shared" si="309"/>
        <v>0</v>
      </c>
      <c r="CG975">
        <f t="shared" si="310"/>
        <v>0</v>
      </c>
      <c r="CH975">
        <f t="shared" si="311"/>
        <v>0</v>
      </c>
      <c r="CI975">
        <f t="shared" si="312"/>
        <v>0</v>
      </c>
      <c r="CJ975">
        <f t="shared" si="313"/>
        <v>0</v>
      </c>
      <c r="CK975">
        <f t="shared" si="314"/>
        <v>0</v>
      </c>
      <c r="CL975">
        <f t="shared" si="315"/>
        <v>0</v>
      </c>
      <c r="CM975">
        <f t="shared" si="317"/>
        <v>0</v>
      </c>
      <c r="CN975">
        <f t="shared" si="316"/>
        <v>0</v>
      </c>
      <c r="CO975">
        <f t="shared" si="300"/>
        <v>0</v>
      </c>
    </row>
    <row r="976" spans="1:93" s="12" customFormat="1" hidden="1" x14ac:dyDescent="0.25">
      <c r="A976" s="4">
        <v>2021</v>
      </c>
      <c r="B976" s="315">
        <v>44279</v>
      </c>
      <c r="C976" s="4" t="s">
        <v>1492</v>
      </c>
      <c r="D976" s="4" t="s">
        <v>1493</v>
      </c>
      <c r="E976" s="4"/>
      <c r="F976" s="4" t="s">
        <v>1494</v>
      </c>
      <c r="G976" s="5" t="s">
        <v>1495</v>
      </c>
      <c r="H976" s="5" t="s">
        <v>1496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1497</v>
      </c>
      <c r="P976" s="6" t="s">
        <v>1498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+VLOOKUP(G976,Liste!$A$7:$G$69,3,FALSE)</f>
        <v>Pin Noir d'Autriche</v>
      </c>
      <c r="BI976" s="96" t="str">
        <f>+VLOOKUP(H976,Liste!$B$7:$G$69,5,FALSE)</f>
        <v>GSM Alpes du Sud</v>
      </c>
      <c r="BJ976" s="135">
        <f t="shared" si="299"/>
        <v>40</v>
      </c>
      <c r="BK976" s="135" t="str">
        <f t="shared" si="301"/>
        <v>Pin Noir d'Autriche_F1_PO1_d4_GSM Alpes du Sud_40_</v>
      </c>
      <c r="BL976" s="319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97" t="str">
        <f>+VLOOKUP(G976,Liste!$A$7:$H$69,8,FALSE)</f>
        <v>Résineux</v>
      </c>
      <c r="BU976" s="297">
        <f t="shared" si="302"/>
        <v>0</v>
      </c>
      <c r="BV976" s="299">
        <f t="shared" si="303"/>
        <v>1</v>
      </c>
      <c r="BW976" s="318">
        <v>0</v>
      </c>
      <c r="BX976" s="297">
        <f t="shared" si="304"/>
        <v>0.43</v>
      </c>
      <c r="BY976">
        <f t="shared" si="305"/>
        <v>0</v>
      </c>
      <c r="BZ976" s="303">
        <f t="shared" si="306"/>
        <v>0</v>
      </c>
      <c r="CB976" s="298">
        <v>0.6</v>
      </c>
      <c r="CC976" s="298">
        <v>0.4</v>
      </c>
      <c r="CD976">
        <f t="shared" si="307"/>
        <v>0</v>
      </c>
      <c r="CE976">
        <f t="shared" si="308"/>
        <v>0</v>
      </c>
      <c r="CF976">
        <f t="shared" si="309"/>
        <v>0</v>
      </c>
      <c r="CG976">
        <f t="shared" si="310"/>
        <v>0</v>
      </c>
      <c r="CH976">
        <f t="shared" si="311"/>
        <v>0</v>
      </c>
      <c r="CI976">
        <f t="shared" si="312"/>
        <v>0</v>
      </c>
      <c r="CJ976">
        <f t="shared" si="313"/>
        <v>0</v>
      </c>
      <c r="CK976">
        <f t="shared" si="314"/>
        <v>0</v>
      </c>
      <c r="CL976">
        <f t="shared" si="315"/>
        <v>0</v>
      </c>
      <c r="CM976">
        <f t="shared" si="317"/>
        <v>0</v>
      </c>
      <c r="CN976">
        <f t="shared" si="316"/>
        <v>0</v>
      </c>
      <c r="CO976">
        <f t="shared" si="300"/>
        <v>0</v>
      </c>
    </row>
    <row r="977" spans="1:93" s="12" customFormat="1" hidden="1" x14ac:dyDescent="0.25">
      <c r="A977" s="4">
        <v>2021</v>
      </c>
      <c r="B977" s="315">
        <v>44279</v>
      </c>
      <c r="C977" s="4" t="s">
        <v>1492</v>
      </c>
      <c r="D977" s="4" t="s">
        <v>1493</v>
      </c>
      <c r="E977" s="4"/>
      <c r="F977" s="4" t="s">
        <v>1494</v>
      </c>
      <c r="G977" s="5" t="s">
        <v>1495</v>
      </c>
      <c r="H977" s="5" t="s">
        <v>1496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1497</v>
      </c>
      <c r="P977" s="6" t="s">
        <v>1498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+VLOOKUP(G977,Liste!$A$7:$G$69,3,FALSE)</f>
        <v>Pin Noir d'Autriche</v>
      </c>
      <c r="BI977" s="96" t="str">
        <f>+VLOOKUP(H977,Liste!$B$7:$G$69,5,FALSE)</f>
        <v>GSM Alpes du Sud</v>
      </c>
      <c r="BJ977" s="135">
        <f t="shared" si="299"/>
        <v>40</v>
      </c>
      <c r="BK977" s="135" t="str">
        <f t="shared" si="301"/>
        <v>Pin Noir d'Autriche_F1_PO1_d4_GSM Alpes du Sud_40_</v>
      </c>
      <c r="BL977" s="319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97" t="str">
        <f>+VLOOKUP(G977,Liste!$A$7:$H$69,8,FALSE)</f>
        <v>Résineux</v>
      </c>
      <c r="BU977" s="297">
        <f t="shared" si="302"/>
        <v>0</v>
      </c>
      <c r="BV977" s="299">
        <f t="shared" si="303"/>
        <v>1</v>
      </c>
      <c r="BW977" s="318">
        <v>0</v>
      </c>
      <c r="BX977" s="297">
        <f t="shared" si="304"/>
        <v>0.43</v>
      </c>
      <c r="BY977">
        <f t="shared" si="305"/>
        <v>0</v>
      </c>
      <c r="BZ977" s="303">
        <f t="shared" si="306"/>
        <v>0</v>
      </c>
      <c r="CB977" s="298">
        <v>0.6</v>
      </c>
      <c r="CC977" s="298">
        <v>0.4</v>
      </c>
      <c r="CD977">
        <f t="shared" si="307"/>
        <v>0</v>
      </c>
      <c r="CE977">
        <f t="shared" si="308"/>
        <v>0</v>
      </c>
      <c r="CF977">
        <f t="shared" si="309"/>
        <v>0</v>
      </c>
      <c r="CG977">
        <f t="shared" si="310"/>
        <v>0</v>
      </c>
      <c r="CH977">
        <f t="shared" si="311"/>
        <v>0</v>
      </c>
      <c r="CI977">
        <f t="shared" si="312"/>
        <v>0</v>
      </c>
      <c r="CJ977">
        <f t="shared" si="313"/>
        <v>0</v>
      </c>
      <c r="CK977">
        <f t="shared" si="314"/>
        <v>0</v>
      </c>
      <c r="CL977">
        <f t="shared" si="315"/>
        <v>0</v>
      </c>
      <c r="CM977">
        <f t="shared" si="317"/>
        <v>0</v>
      </c>
      <c r="CN977">
        <f t="shared" si="316"/>
        <v>0</v>
      </c>
      <c r="CO977">
        <f t="shared" si="300"/>
        <v>0</v>
      </c>
    </row>
    <row r="978" spans="1:93" s="12" customFormat="1" hidden="1" x14ac:dyDescent="0.25">
      <c r="A978" s="4">
        <v>2021</v>
      </c>
      <c r="B978" s="315">
        <v>44279</v>
      </c>
      <c r="C978" s="4" t="s">
        <v>1492</v>
      </c>
      <c r="D978" s="4" t="s">
        <v>1493</v>
      </c>
      <c r="E978" s="4"/>
      <c r="F978" s="4" t="s">
        <v>1494</v>
      </c>
      <c r="G978" s="5" t="s">
        <v>1495</v>
      </c>
      <c r="H978" s="5" t="s">
        <v>1496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1497</v>
      </c>
      <c r="P978" s="6" t="s">
        <v>1498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+VLOOKUP(G978,Liste!$A$7:$G$69,3,FALSE)</f>
        <v>Pin Noir d'Autriche</v>
      </c>
      <c r="BI978" s="96" t="str">
        <f>+VLOOKUP(H978,Liste!$B$7:$G$69,5,FALSE)</f>
        <v>GSM Alpes du Sud</v>
      </c>
      <c r="BJ978" s="135">
        <f t="shared" si="299"/>
        <v>45</v>
      </c>
      <c r="BK978" s="135" t="str">
        <f t="shared" si="301"/>
        <v>Pin Noir d'Autriche_F1_PO1_d4_GSM Alpes du Sud_45_</v>
      </c>
      <c r="BL978" s="319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97" t="str">
        <f>+VLOOKUP(G978,Liste!$A$7:$H$69,8,FALSE)</f>
        <v>Résineux</v>
      </c>
      <c r="BU978" s="297">
        <f t="shared" si="302"/>
        <v>0</v>
      </c>
      <c r="BV978" s="299">
        <f t="shared" si="303"/>
        <v>1</v>
      </c>
      <c r="BW978" s="318">
        <v>0</v>
      </c>
      <c r="BX978" s="297">
        <f t="shared" si="304"/>
        <v>0.43</v>
      </c>
      <c r="BY978">
        <f t="shared" si="305"/>
        <v>0</v>
      </c>
      <c r="BZ978" s="303">
        <f t="shared" si="306"/>
        <v>0</v>
      </c>
      <c r="CB978" s="298">
        <v>0.6</v>
      </c>
      <c r="CC978" s="298">
        <v>0.4</v>
      </c>
      <c r="CD978">
        <f t="shared" si="307"/>
        <v>0</v>
      </c>
      <c r="CE978">
        <f t="shared" si="308"/>
        <v>0</v>
      </c>
      <c r="CF978">
        <f t="shared" si="309"/>
        <v>0</v>
      </c>
      <c r="CG978">
        <f t="shared" si="310"/>
        <v>0</v>
      </c>
      <c r="CH978">
        <f t="shared" si="311"/>
        <v>0</v>
      </c>
      <c r="CI978">
        <f t="shared" si="312"/>
        <v>0</v>
      </c>
      <c r="CJ978">
        <f t="shared" si="313"/>
        <v>0</v>
      </c>
      <c r="CK978">
        <f t="shared" si="314"/>
        <v>0</v>
      </c>
      <c r="CL978">
        <f t="shared" si="315"/>
        <v>0</v>
      </c>
      <c r="CM978">
        <f t="shared" si="317"/>
        <v>0</v>
      </c>
      <c r="CN978">
        <f t="shared" si="316"/>
        <v>0</v>
      </c>
      <c r="CO978">
        <f t="shared" si="300"/>
        <v>0</v>
      </c>
    </row>
    <row r="979" spans="1:93" s="12" customFormat="1" hidden="1" x14ac:dyDescent="0.25">
      <c r="A979" s="4">
        <v>2021</v>
      </c>
      <c r="B979" s="315">
        <v>44279</v>
      </c>
      <c r="C979" s="4" t="s">
        <v>1492</v>
      </c>
      <c r="D979" s="4" t="s">
        <v>1493</v>
      </c>
      <c r="E979" s="4"/>
      <c r="F979" s="4" t="s">
        <v>1494</v>
      </c>
      <c r="G979" s="5" t="s">
        <v>1495</v>
      </c>
      <c r="H979" s="5" t="s">
        <v>1496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1497</v>
      </c>
      <c r="P979" s="6" t="s">
        <v>1498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+VLOOKUP(G979,Liste!$A$7:$G$69,3,FALSE)</f>
        <v>Pin Noir d'Autriche</v>
      </c>
      <c r="BI979" s="96" t="str">
        <f>+VLOOKUP(H979,Liste!$B$7:$G$69,5,FALSE)</f>
        <v>GSM Alpes du Sud</v>
      </c>
      <c r="BJ979" s="135">
        <f t="shared" si="299"/>
        <v>50</v>
      </c>
      <c r="BK979" s="135" t="str">
        <f t="shared" si="301"/>
        <v>Pin Noir d'Autriche_F1_PO1_d4_GSM Alpes du Sud_50_</v>
      </c>
      <c r="BL979" s="319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97" t="str">
        <f>+VLOOKUP(G979,Liste!$A$7:$H$69,8,FALSE)</f>
        <v>Résineux</v>
      </c>
      <c r="BU979" s="297">
        <f t="shared" si="302"/>
        <v>0</v>
      </c>
      <c r="BV979" s="299">
        <f t="shared" si="303"/>
        <v>1</v>
      </c>
      <c r="BW979" s="318">
        <v>0</v>
      </c>
      <c r="BX979" s="297">
        <f t="shared" si="304"/>
        <v>0.43</v>
      </c>
      <c r="BY979">
        <f t="shared" si="305"/>
        <v>0</v>
      </c>
      <c r="BZ979" s="303">
        <f t="shared" si="306"/>
        <v>0</v>
      </c>
      <c r="CB979" s="298">
        <v>0.6</v>
      </c>
      <c r="CC979" s="298">
        <v>0.4</v>
      </c>
      <c r="CD979">
        <f t="shared" si="307"/>
        <v>0</v>
      </c>
      <c r="CE979">
        <f t="shared" si="308"/>
        <v>0</v>
      </c>
      <c r="CF979">
        <f t="shared" si="309"/>
        <v>0</v>
      </c>
      <c r="CG979">
        <f t="shared" si="310"/>
        <v>0</v>
      </c>
      <c r="CH979">
        <f t="shared" si="311"/>
        <v>0</v>
      </c>
      <c r="CI979">
        <f t="shared" si="312"/>
        <v>0</v>
      </c>
      <c r="CJ979">
        <f t="shared" si="313"/>
        <v>0</v>
      </c>
      <c r="CK979">
        <f t="shared" si="314"/>
        <v>0</v>
      </c>
      <c r="CL979">
        <f t="shared" si="315"/>
        <v>0</v>
      </c>
      <c r="CM979">
        <f t="shared" si="317"/>
        <v>0</v>
      </c>
      <c r="CN979">
        <f t="shared" si="316"/>
        <v>0</v>
      </c>
      <c r="CO979">
        <f t="shared" si="300"/>
        <v>0</v>
      </c>
    </row>
    <row r="980" spans="1:93" s="12" customFormat="1" hidden="1" x14ac:dyDescent="0.25">
      <c r="A980" s="4">
        <v>2021</v>
      </c>
      <c r="B980" s="315">
        <v>44279</v>
      </c>
      <c r="C980" s="4" t="s">
        <v>1492</v>
      </c>
      <c r="D980" s="4" t="s">
        <v>1493</v>
      </c>
      <c r="E980" s="4"/>
      <c r="F980" s="4" t="s">
        <v>1494</v>
      </c>
      <c r="G980" s="5" t="s">
        <v>1495</v>
      </c>
      <c r="H980" s="5" t="s">
        <v>1496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1497</v>
      </c>
      <c r="P980" s="6" t="s">
        <v>1498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+VLOOKUP(G980,Liste!$A$7:$G$69,3,FALSE)</f>
        <v>Pin Noir d'Autriche</v>
      </c>
      <c r="BI980" s="96" t="str">
        <f>+VLOOKUP(H980,Liste!$B$7:$G$69,5,FALSE)</f>
        <v>GSM Alpes du Sud</v>
      </c>
      <c r="BJ980" s="135">
        <f t="shared" si="299"/>
        <v>55</v>
      </c>
      <c r="BK980" s="135" t="str">
        <f t="shared" si="301"/>
        <v>Pin Noir d'Autriche_F1_PO1_d4_GSM Alpes du Sud_55_</v>
      </c>
      <c r="BL980" s="319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97" t="str">
        <f>+VLOOKUP(G980,Liste!$A$7:$H$69,8,FALSE)</f>
        <v>Résineux</v>
      </c>
      <c r="BU980" s="297">
        <f t="shared" si="302"/>
        <v>0</v>
      </c>
      <c r="BV980" s="299">
        <f t="shared" si="303"/>
        <v>1</v>
      </c>
      <c r="BW980" s="318">
        <v>0</v>
      </c>
      <c r="BX980" s="297">
        <f t="shared" si="304"/>
        <v>0.43</v>
      </c>
      <c r="BY980">
        <f t="shared" si="305"/>
        <v>0</v>
      </c>
      <c r="BZ980" s="303">
        <f t="shared" si="306"/>
        <v>0</v>
      </c>
      <c r="CB980" s="298">
        <v>0.6</v>
      </c>
      <c r="CC980" s="298">
        <v>0.4</v>
      </c>
      <c r="CD980">
        <f t="shared" si="307"/>
        <v>0</v>
      </c>
      <c r="CE980">
        <f t="shared" si="308"/>
        <v>0</v>
      </c>
      <c r="CF980">
        <f t="shared" si="309"/>
        <v>0</v>
      </c>
      <c r="CG980">
        <f t="shared" si="310"/>
        <v>0</v>
      </c>
      <c r="CH980">
        <f t="shared" si="311"/>
        <v>0</v>
      </c>
      <c r="CI980">
        <f t="shared" si="312"/>
        <v>0</v>
      </c>
      <c r="CJ980">
        <f t="shared" si="313"/>
        <v>0</v>
      </c>
      <c r="CK980">
        <f t="shared" si="314"/>
        <v>0</v>
      </c>
      <c r="CL980">
        <f t="shared" si="315"/>
        <v>0</v>
      </c>
      <c r="CM980">
        <f t="shared" si="317"/>
        <v>0</v>
      </c>
      <c r="CN980">
        <f t="shared" si="316"/>
        <v>0</v>
      </c>
      <c r="CO980">
        <f t="shared" si="300"/>
        <v>0</v>
      </c>
    </row>
    <row r="981" spans="1:93" s="12" customFormat="1" hidden="1" x14ac:dyDescent="0.25">
      <c r="A981" s="4">
        <v>2021</v>
      </c>
      <c r="B981" s="315">
        <v>44279</v>
      </c>
      <c r="C981" s="4" t="s">
        <v>1492</v>
      </c>
      <c r="D981" s="4" t="s">
        <v>1493</v>
      </c>
      <c r="E981" s="4"/>
      <c r="F981" s="4" t="s">
        <v>1494</v>
      </c>
      <c r="G981" s="5" t="s">
        <v>1495</v>
      </c>
      <c r="H981" s="5" t="s">
        <v>1496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1497</v>
      </c>
      <c r="P981" s="6" t="s">
        <v>1498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+VLOOKUP(G981,Liste!$A$7:$G$69,3,FALSE)</f>
        <v>Pin Noir d'Autriche</v>
      </c>
      <c r="BI981" s="96" t="str">
        <f>+VLOOKUP(H981,Liste!$B$7:$G$69,5,FALSE)</f>
        <v>GSM Alpes du Sud</v>
      </c>
      <c r="BJ981" s="135">
        <f t="shared" si="299"/>
        <v>55</v>
      </c>
      <c r="BK981" s="135" t="str">
        <f t="shared" si="301"/>
        <v>Pin Noir d'Autriche_F1_PO1_d4_GSM Alpes du Sud_55_</v>
      </c>
      <c r="BL981" s="319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97" t="str">
        <f>+VLOOKUP(G981,Liste!$A$7:$H$69,8,FALSE)</f>
        <v>Résineux</v>
      </c>
      <c r="BU981" s="297">
        <f t="shared" si="302"/>
        <v>0</v>
      </c>
      <c r="BV981" s="299">
        <f t="shared" si="303"/>
        <v>1</v>
      </c>
      <c r="BW981" s="318">
        <v>0</v>
      </c>
      <c r="BX981" s="297">
        <f t="shared" si="304"/>
        <v>0.43</v>
      </c>
      <c r="BY981">
        <f t="shared" si="305"/>
        <v>0</v>
      </c>
      <c r="BZ981" s="303">
        <f t="shared" si="306"/>
        <v>0</v>
      </c>
      <c r="CB981" s="298">
        <v>0.6</v>
      </c>
      <c r="CC981" s="298">
        <v>0.4</v>
      </c>
      <c r="CD981">
        <f t="shared" si="307"/>
        <v>0</v>
      </c>
      <c r="CE981">
        <f t="shared" si="308"/>
        <v>0</v>
      </c>
      <c r="CF981">
        <f t="shared" si="309"/>
        <v>0</v>
      </c>
      <c r="CG981">
        <f t="shared" si="310"/>
        <v>0</v>
      </c>
      <c r="CH981">
        <f t="shared" si="311"/>
        <v>0</v>
      </c>
      <c r="CI981">
        <f t="shared" si="312"/>
        <v>0</v>
      </c>
      <c r="CJ981">
        <f t="shared" si="313"/>
        <v>0</v>
      </c>
      <c r="CK981">
        <f t="shared" si="314"/>
        <v>0</v>
      </c>
      <c r="CL981">
        <f t="shared" si="315"/>
        <v>0</v>
      </c>
      <c r="CM981">
        <f t="shared" si="317"/>
        <v>0</v>
      </c>
      <c r="CN981">
        <f t="shared" si="316"/>
        <v>0</v>
      </c>
      <c r="CO981">
        <f t="shared" si="300"/>
        <v>0</v>
      </c>
    </row>
    <row r="982" spans="1:93" s="12" customFormat="1" hidden="1" x14ac:dyDescent="0.25">
      <c r="A982" s="4">
        <v>2021</v>
      </c>
      <c r="B982" s="315">
        <v>44279</v>
      </c>
      <c r="C982" s="4" t="s">
        <v>1492</v>
      </c>
      <c r="D982" s="4" t="s">
        <v>1493</v>
      </c>
      <c r="E982" s="4"/>
      <c r="F982" s="4" t="s">
        <v>1494</v>
      </c>
      <c r="G982" s="5" t="s">
        <v>1495</v>
      </c>
      <c r="H982" s="5" t="s">
        <v>1496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1497</v>
      </c>
      <c r="P982" s="6" t="s">
        <v>1498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+VLOOKUP(G982,Liste!$A$7:$G$69,3,FALSE)</f>
        <v>Pin Noir d'Autriche</v>
      </c>
      <c r="BI982" s="96" t="str">
        <f>+VLOOKUP(H982,Liste!$B$7:$G$69,5,FALSE)</f>
        <v>GSM Alpes du Sud</v>
      </c>
      <c r="BJ982" s="135">
        <f t="shared" si="299"/>
        <v>60</v>
      </c>
      <c r="BK982" s="135" t="str">
        <f t="shared" si="301"/>
        <v>Pin Noir d'Autriche_F1_PO1_d4_GSM Alpes du Sud_60_</v>
      </c>
      <c r="BL982" s="319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97" t="str">
        <f>+VLOOKUP(G982,Liste!$A$7:$H$69,8,FALSE)</f>
        <v>Résineux</v>
      </c>
      <c r="BU982" s="297">
        <f t="shared" si="302"/>
        <v>0</v>
      </c>
      <c r="BV982" s="299">
        <f t="shared" si="303"/>
        <v>1</v>
      </c>
      <c r="BW982" s="318">
        <v>0</v>
      </c>
      <c r="BX982" s="297">
        <f t="shared" si="304"/>
        <v>0.43</v>
      </c>
      <c r="BY982">
        <f t="shared" si="305"/>
        <v>0</v>
      </c>
      <c r="BZ982" s="303">
        <f t="shared" si="306"/>
        <v>0</v>
      </c>
      <c r="CB982" s="298">
        <v>0.6</v>
      </c>
      <c r="CC982" s="298">
        <v>0.4</v>
      </c>
      <c r="CD982">
        <f t="shared" si="307"/>
        <v>0</v>
      </c>
      <c r="CE982">
        <f t="shared" si="308"/>
        <v>0</v>
      </c>
      <c r="CF982">
        <f t="shared" si="309"/>
        <v>0</v>
      </c>
      <c r="CG982">
        <f t="shared" si="310"/>
        <v>0</v>
      </c>
      <c r="CH982">
        <f t="shared" si="311"/>
        <v>0</v>
      </c>
      <c r="CI982">
        <f t="shared" si="312"/>
        <v>0</v>
      </c>
      <c r="CJ982">
        <f t="shared" si="313"/>
        <v>0</v>
      </c>
      <c r="CK982">
        <f t="shared" si="314"/>
        <v>0</v>
      </c>
      <c r="CL982">
        <f t="shared" si="315"/>
        <v>0</v>
      </c>
      <c r="CM982">
        <f t="shared" si="317"/>
        <v>0</v>
      </c>
      <c r="CN982">
        <f t="shared" si="316"/>
        <v>0</v>
      </c>
      <c r="CO982">
        <f t="shared" si="300"/>
        <v>0</v>
      </c>
    </row>
    <row r="983" spans="1:93" s="12" customFormat="1" hidden="1" x14ac:dyDescent="0.25">
      <c r="A983" s="4">
        <v>2021</v>
      </c>
      <c r="B983" s="315">
        <v>44279</v>
      </c>
      <c r="C983" s="4" t="s">
        <v>1492</v>
      </c>
      <c r="D983" s="4" t="s">
        <v>1493</v>
      </c>
      <c r="E983" s="4"/>
      <c r="F983" s="4" t="s">
        <v>1494</v>
      </c>
      <c r="G983" s="5" t="s">
        <v>1495</v>
      </c>
      <c r="H983" s="5" t="s">
        <v>1496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1497</v>
      </c>
      <c r="P983" s="6" t="s">
        <v>1498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+VLOOKUP(G983,Liste!$A$7:$G$69,3,FALSE)</f>
        <v>Pin Noir d'Autriche</v>
      </c>
      <c r="BI983" s="96" t="str">
        <f>+VLOOKUP(H983,Liste!$B$7:$G$69,5,FALSE)</f>
        <v>GSM Alpes du Sud</v>
      </c>
      <c r="BJ983" s="135">
        <f t="shared" si="299"/>
        <v>65</v>
      </c>
      <c r="BK983" s="135" t="str">
        <f t="shared" si="301"/>
        <v>Pin Noir d'Autriche_F1_PO1_d4_GSM Alpes du Sud_65_</v>
      </c>
      <c r="BL983" s="319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97" t="str">
        <f>+VLOOKUP(G983,Liste!$A$7:$H$69,8,FALSE)</f>
        <v>Résineux</v>
      </c>
      <c r="BU983" s="297">
        <f t="shared" si="302"/>
        <v>0</v>
      </c>
      <c r="BV983" s="299">
        <f t="shared" si="303"/>
        <v>1</v>
      </c>
      <c r="BW983" s="318">
        <v>0</v>
      </c>
      <c r="BX983" s="297">
        <f t="shared" si="304"/>
        <v>0.43</v>
      </c>
      <c r="BY983">
        <f t="shared" si="305"/>
        <v>0</v>
      </c>
      <c r="BZ983" s="303">
        <f t="shared" si="306"/>
        <v>0</v>
      </c>
      <c r="CB983" s="298">
        <v>0.6</v>
      </c>
      <c r="CC983" s="298">
        <v>0.4</v>
      </c>
      <c r="CD983">
        <f t="shared" si="307"/>
        <v>0</v>
      </c>
      <c r="CE983">
        <f t="shared" si="308"/>
        <v>0</v>
      </c>
      <c r="CF983">
        <f t="shared" si="309"/>
        <v>0</v>
      </c>
      <c r="CG983">
        <f t="shared" si="310"/>
        <v>0</v>
      </c>
      <c r="CH983">
        <f t="shared" si="311"/>
        <v>0</v>
      </c>
      <c r="CI983">
        <f t="shared" si="312"/>
        <v>0</v>
      </c>
      <c r="CJ983">
        <f t="shared" si="313"/>
        <v>0</v>
      </c>
      <c r="CK983">
        <f t="shared" si="314"/>
        <v>0</v>
      </c>
      <c r="CL983">
        <f t="shared" si="315"/>
        <v>0</v>
      </c>
      <c r="CM983">
        <f t="shared" si="317"/>
        <v>0</v>
      </c>
      <c r="CN983">
        <f t="shared" si="316"/>
        <v>0</v>
      </c>
      <c r="CO983">
        <f t="shared" si="300"/>
        <v>0</v>
      </c>
    </row>
    <row r="984" spans="1:93" s="12" customFormat="1" hidden="1" x14ac:dyDescent="0.25">
      <c r="A984" s="4">
        <v>2021</v>
      </c>
      <c r="B984" s="315">
        <v>44279</v>
      </c>
      <c r="C984" s="4" t="s">
        <v>1492</v>
      </c>
      <c r="D984" s="4" t="s">
        <v>1493</v>
      </c>
      <c r="E984" s="4"/>
      <c r="F984" s="4" t="s">
        <v>1494</v>
      </c>
      <c r="G984" s="5" t="s">
        <v>1495</v>
      </c>
      <c r="H984" s="5" t="s">
        <v>1496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1497</v>
      </c>
      <c r="P984" s="6" t="s">
        <v>1498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+VLOOKUP(G984,Liste!$A$7:$G$69,3,FALSE)</f>
        <v>Pin Noir d'Autriche</v>
      </c>
      <c r="BI984" s="96" t="str">
        <f>+VLOOKUP(H984,Liste!$B$7:$G$69,5,FALSE)</f>
        <v>GSM Alpes du Sud</v>
      </c>
      <c r="BJ984" s="135">
        <f t="shared" si="299"/>
        <v>70</v>
      </c>
      <c r="BK984" s="135" t="str">
        <f t="shared" si="301"/>
        <v>Pin Noir d'Autriche_F1_PO1_d4_GSM Alpes du Sud_70_</v>
      </c>
      <c r="BL984" s="319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97" t="str">
        <f>+VLOOKUP(G984,Liste!$A$7:$H$69,8,FALSE)</f>
        <v>Résineux</v>
      </c>
      <c r="BU984" s="297">
        <f t="shared" si="302"/>
        <v>0</v>
      </c>
      <c r="BV984" s="299">
        <f t="shared" si="303"/>
        <v>1</v>
      </c>
      <c r="BW984" s="318">
        <v>0</v>
      </c>
      <c r="BX984" s="297">
        <f t="shared" si="304"/>
        <v>0.43</v>
      </c>
      <c r="BY984">
        <f t="shared" si="305"/>
        <v>0</v>
      </c>
      <c r="BZ984" s="303">
        <f t="shared" si="306"/>
        <v>0</v>
      </c>
      <c r="CB984" s="298">
        <v>0.6</v>
      </c>
      <c r="CC984" s="298">
        <v>0.4</v>
      </c>
      <c r="CD984">
        <f t="shared" si="307"/>
        <v>0</v>
      </c>
      <c r="CE984">
        <f t="shared" si="308"/>
        <v>0</v>
      </c>
      <c r="CF984">
        <f t="shared" si="309"/>
        <v>0</v>
      </c>
      <c r="CG984">
        <f t="shared" si="310"/>
        <v>0</v>
      </c>
      <c r="CH984">
        <f t="shared" si="311"/>
        <v>0</v>
      </c>
      <c r="CI984">
        <f t="shared" si="312"/>
        <v>0</v>
      </c>
      <c r="CJ984">
        <f t="shared" si="313"/>
        <v>0</v>
      </c>
      <c r="CK984">
        <f t="shared" si="314"/>
        <v>0</v>
      </c>
      <c r="CL984">
        <f t="shared" si="315"/>
        <v>0</v>
      </c>
      <c r="CM984">
        <f t="shared" si="317"/>
        <v>0</v>
      </c>
      <c r="CN984">
        <f t="shared" si="316"/>
        <v>0</v>
      </c>
      <c r="CO984">
        <f t="shared" si="300"/>
        <v>0</v>
      </c>
    </row>
    <row r="985" spans="1:93" s="12" customFormat="1" hidden="1" x14ac:dyDescent="0.25">
      <c r="A985" s="4">
        <v>2021</v>
      </c>
      <c r="B985" s="315">
        <v>44279</v>
      </c>
      <c r="C985" s="4" t="s">
        <v>1492</v>
      </c>
      <c r="D985" s="4" t="s">
        <v>1493</v>
      </c>
      <c r="E985" s="4"/>
      <c r="F985" s="4" t="s">
        <v>1494</v>
      </c>
      <c r="G985" s="5" t="s">
        <v>1495</v>
      </c>
      <c r="H985" s="5" t="s">
        <v>1496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1497</v>
      </c>
      <c r="P985" s="6" t="s">
        <v>1498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+VLOOKUP(G985,Liste!$A$7:$G$69,3,FALSE)</f>
        <v>Pin Noir d'Autriche</v>
      </c>
      <c r="BI985" s="96" t="str">
        <f>+VLOOKUP(H985,Liste!$B$7:$G$69,5,FALSE)</f>
        <v>GSM Alpes du Sud</v>
      </c>
      <c r="BJ985" s="135">
        <f t="shared" si="299"/>
        <v>70</v>
      </c>
      <c r="BK985" s="135" t="str">
        <f t="shared" si="301"/>
        <v>Pin Noir d'Autriche_F1_PO1_d4_GSM Alpes du Sud_70_</v>
      </c>
      <c r="BL985" s="319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97" t="str">
        <f>+VLOOKUP(G985,Liste!$A$7:$H$69,8,FALSE)</f>
        <v>Résineux</v>
      </c>
      <c r="BU985" s="297">
        <f t="shared" si="302"/>
        <v>0</v>
      </c>
      <c r="BV985" s="299">
        <f t="shared" si="303"/>
        <v>1</v>
      </c>
      <c r="BW985" s="318">
        <v>0</v>
      </c>
      <c r="BX985" s="297">
        <f t="shared" si="304"/>
        <v>0.43</v>
      </c>
      <c r="BY985">
        <f t="shared" si="305"/>
        <v>0</v>
      </c>
      <c r="BZ985" s="303">
        <f t="shared" si="306"/>
        <v>0</v>
      </c>
      <c r="CB985" s="298">
        <v>0.6</v>
      </c>
      <c r="CC985" s="298">
        <v>0.4</v>
      </c>
      <c r="CD985">
        <f t="shared" si="307"/>
        <v>0</v>
      </c>
      <c r="CE985">
        <f t="shared" si="308"/>
        <v>0</v>
      </c>
      <c r="CF985">
        <f t="shared" si="309"/>
        <v>0</v>
      </c>
      <c r="CG985">
        <f t="shared" si="310"/>
        <v>0</v>
      </c>
      <c r="CH985">
        <f t="shared" si="311"/>
        <v>0</v>
      </c>
      <c r="CI985">
        <f t="shared" si="312"/>
        <v>0</v>
      </c>
      <c r="CJ985">
        <f t="shared" si="313"/>
        <v>0</v>
      </c>
      <c r="CK985">
        <f t="shared" si="314"/>
        <v>0</v>
      </c>
      <c r="CL985">
        <f t="shared" si="315"/>
        <v>0</v>
      </c>
      <c r="CM985">
        <f t="shared" si="317"/>
        <v>0</v>
      </c>
      <c r="CN985">
        <f t="shared" si="316"/>
        <v>0</v>
      </c>
      <c r="CO985">
        <f t="shared" si="300"/>
        <v>0</v>
      </c>
    </row>
    <row r="986" spans="1:93" s="12" customFormat="1" hidden="1" x14ac:dyDescent="0.25">
      <c r="A986" s="4">
        <v>2021</v>
      </c>
      <c r="B986" s="315">
        <v>44279</v>
      </c>
      <c r="C986" s="4" t="s">
        <v>1492</v>
      </c>
      <c r="D986" s="4" t="s">
        <v>1493</v>
      </c>
      <c r="E986" s="4"/>
      <c r="F986" s="4" t="s">
        <v>1494</v>
      </c>
      <c r="G986" s="5" t="s">
        <v>1495</v>
      </c>
      <c r="H986" s="5" t="s">
        <v>1496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1497</v>
      </c>
      <c r="P986" s="6" t="s">
        <v>1498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+VLOOKUP(G986,Liste!$A$7:$G$69,3,FALSE)</f>
        <v>Pin Noir d'Autriche</v>
      </c>
      <c r="BI986" s="96" t="str">
        <f>+VLOOKUP(H986,Liste!$B$7:$G$69,5,FALSE)</f>
        <v>GSM Alpes du Sud</v>
      </c>
      <c r="BJ986" s="135">
        <f t="shared" si="299"/>
        <v>75</v>
      </c>
      <c r="BK986" s="135" t="str">
        <f t="shared" si="301"/>
        <v>Pin Noir d'Autriche_F1_PO1_d4_GSM Alpes du Sud_75_</v>
      </c>
      <c r="BL986" s="319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97" t="str">
        <f>+VLOOKUP(G986,Liste!$A$7:$H$69,8,FALSE)</f>
        <v>Résineux</v>
      </c>
      <c r="BU986" s="297">
        <f t="shared" si="302"/>
        <v>0</v>
      </c>
      <c r="BV986" s="299">
        <f t="shared" si="303"/>
        <v>1</v>
      </c>
      <c r="BW986" s="318">
        <v>0</v>
      </c>
      <c r="BX986" s="297">
        <f t="shared" si="304"/>
        <v>0.43</v>
      </c>
      <c r="BY986">
        <f t="shared" si="305"/>
        <v>0</v>
      </c>
      <c r="BZ986" s="303">
        <f t="shared" si="306"/>
        <v>0</v>
      </c>
      <c r="CB986" s="298">
        <v>0.6</v>
      </c>
      <c r="CC986" s="298">
        <v>0.4</v>
      </c>
      <c r="CD986">
        <f t="shared" si="307"/>
        <v>0</v>
      </c>
      <c r="CE986">
        <f t="shared" si="308"/>
        <v>0</v>
      </c>
      <c r="CF986">
        <f t="shared" si="309"/>
        <v>0</v>
      </c>
      <c r="CG986">
        <f t="shared" si="310"/>
        <v>0</v>
      </c>
      <c r="CH986">
        <f t="shared" si="311"/>
        <v>0</v>
      </c>
      <c r="CI986">
        <f t="shared" si="312"/>
        <v>0</v>
      </c>
      <c r="CJ986">
        <f t="shared" si="313"/>
        <v>0</v>
      </c>
      <c r="CK986">
        <f t="shared" si="314"/>
        <v>0</v>
      </c>
      <c r="CL986">
        <f t="shared" si="315"/>
        <v>0</v>
      </c>
      <c r="CM986">
        <f t="shared" si="317"/>
        <v>0</v>
      </c>
      <c r="CN986">
        <f t="shared" si="316"/>
        <v>0</v>
      </c>
      <c r="CO986">
        <f t="shared" si="300"/>
        <v>0</v>
      </c>
    </row>
    <row r="987" spans="1:93" s="12" customFormat="1" hidden="1" x14ac:dyDescent="0.25">
      <c r="A987" s="4">
        <v>2021</v>
      </c>
      <c r="B987" s="315">
        <v>44279</v>
      </c>
      <c r="C987" s="4" t="s">
        <v>1492</v>
      </c>
      <c r="D987" s="4" t="s">
        <v>1493</v>
      </c>
      <c r="E987" s="4"/>
      <c r="F987" s="4" t="s">
        <v>1494</v>
      </c>
      <c r="G987" s="5" t="s">
        <v>1495</v>
      </c>
      <c r="H987" s="5" t="s">
        <v>1496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1497</v>
      </c>
      <c r="P987" s="6" t="s">
        <v>1498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+VLOOKUP(G987,Liste!$A$7:$G$69,3,FALSE)</f>
        <v>Pin Noir d'Autriche</v>
      </c>
      <c r="BI987" s="96" t="str">
        <f>+VLOOKUP(H987,Liste!$B$7:$G$69,5,FALSE)</f>
        <v>GSM Alpes du Sud</v>
      </c>
      <c r="BJ987" s="135">
        <f t="shared" si="299"/>
        <v>80</v>
      </c>
      <c r="BK987" s="135" t="str">
        <f t="shared" si="301"/>
        <v>Pin Noir d'Autriche_F1_PO1_d4_GSM Alpes du Sud_80_</v>
      </c>
      <c r="BL987" s="319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97" t="str">
        <f>+VLOOKUP(G987,Liste!$A$7:$H$69,8,FALSE)</f>
        <v>Résineux</v>
      </c>
      <c r="BU987" s="297">
        <f t="shared" si="302"/>
        <v>0</v>
      </c>
      <c r="BV987" s="299">
        <f t="shared" si="303"/>
        <v>1</v>
      </c>
      <c r="BW987" s="318">
        <v>0</v>
      </c>
      <c r="BX987" s="297">
        <f t="shared" si="304"/>
        <v>0.43</v>
      </c>
      <c r="BY987">
        <f t="shared" si="305"/>
        <v>0</v>
      </c>
      <c r="BZ987" s="303">
        <f t="shared" si="306"/>
        <v>0</v>
      </c>
      <c r="CB987" s="298">
        <v>0.6</v>
      </c>
      <c r="CC987" s="298">
        <v>0.4</v>
      </c>
      <c r="CD987">
        <f t="shared" si="307"/>
        <v>0</v>
      </c>
      <c r="CE987">
        <f t="shared" si="308"/>
        <v>0</v>
      </c>
      <c r="CF987">
        <f t="shared" si="309"/>
        <v>0</v>
      </c>
      <c r="CG987">
        <f t="shared" si="310"/>
        <v>0</v>
      </c>
      <c r="CH987">
        <f t="shared" si="311"/>
        <v>0</v>
      </c>
      <c r="CI987">
        <f t="shared" si="312"/>
        <v>0</v>
      </c>
      <c r="CJ987">
        <f t="shared" si="313"/>
        <v>0</v>
      </c>
      <c r="CK987">
        <f t="shared" si="314"/>
        <v>0</v>
      </c>
      <c r="CL987">
        <f t="shared" si="315"/>
        <v>0</v>
      </c>
      <c r="CM987">
        <f t="shared" si="317"/>
        <v>0</v>
      </c>
      <c r="CN987">
        <f t="shared" si="316"/>
        <v>0</v>
      </c>
      <c r="CO987">
        <f t="shared" si="300"/>
        <v>0</v>
      </c>
    </row>
    <row r="988" spans="1:93" s="12" customFormat="1" hidden="1" x14ac:dyDescent="0.25">
      <c r="A988" s="4">
        <v>2021</v>
      </c>
      <c r="B988" s="315">
        <v>44279</v>
      </c>
      <c r="C988" s="4" t="s">
        <v>1492</v>
      </c>
      <c r="D988" s="4" t="s">
        <v>1493</v>
      </c>
      <c r="E988" s="4"/>
      <c r="F988" s="4" t="s">
        <v>1494</v>
      </c>
      <c r="G988" s="5" t="s">
        <v>1495</v>
      </c>
      <c r="H988" s="5" t="s">
        <v>1496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1497</v>
      </c>
      <c r="P988" s="6" t="s">
        <v>1498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+VLOOKUP(G988,Liste!$A$7:$G$69,3,FALSE)</f>
        <v>Pin Noir d'Autriche</v>
      </c>
      <c r="BI988" s="96" t="str">
        <f>+VLOOKUP(H988,Liste!$B$7:$G$69,5,FALSE)</f>
        <v>GSM Alpes du Sud</v>
      </c>
      <c r="BJ988" s="135">
        <f t="shared" si="299"/>
        <v>80</v>
      </c>
      <c r="BK988" s="135" t="str">
        <f t="shared" si="301"/>
        <v>Pin Noir d'Autriche_F1_PO1_d4_GSM Alpes du Sud_80_</v>
      </c>
      <c r="BL988" s="319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97" t="str">
        <f>+VLOOKUP(G988,Liste!$A$7:$H$69,8,FALSE)</f>
        <v>Résineux</v>
      </c>
      <c r="BU988" s="297">
        <f t="shared" si="302"/>
        <v>0</v>
      </c>
      <c r="BV988" s="299">
        <f t="shared" si="303"/>
        <v>1</v>
      </c>
      <c r="BW988" s="318">
        <v>0</v>
      </c>
      <c r="BX988" s="297">
        <f t="shared" si="304"/>
        <v>0.43</v>
      </c>
      <c r="BY988">
        <f t="shared" si="305"/>
        <v>0</v>
      </c>
      <c r="BZ988" s="303">
        <f t="shared" si="306"/>
        <v>0</v>
      </c>
      <c r="CB988" s="298">
        <v>0.6</v>
      </c>
      <c r="CC988" s="298">
        <v>0.4</v>
      </c>
      <c r="CD988">
        <f t="shared" si="307"/>
        <v>0</v>
      </c>
      <c r="CE988">
        <f t="shared" si="308"/>
        <v>0</v>
      </c>
      <c r="CF988">
        <f t="shared" si="309"/>
        <v>0</v>
      </c>
      <c r="CG988">
        <f t="shared" si="310"/>
        <v>0</v>
      </c>
      <c r="CH988">
        <f t="shared" si="311"/>
        <v>0</v>
      </c>
      <c r="CI988">
        <f t="shared" si="312"/>
        <v>0</v>
      </c>
      <c r="CJ988">
        <f t="shared" si="313"/>
        <v>0</v>
      </c>
      <c r="CK988">
        <f t="shared" si="314"/>
        <v>0</v>
      </c>
      <c r="CL988">
        <f t="shared" si="315"/>
        <v>0</v>
      </c>
      <c r="CM988">
        <f t="shared" si="317"/>
        <v>0</v>
      </c>
      <c r="CN988">
        <f t="shared" si="316"/>
        <v>0</v>
      </c>
      <c r="CO988">
        <f t="shared" si="300"/>
        <v>0</v>
      </c>
    </row>
    <row r="989" spans="1:93" s="12" customFormat="1" hidden="1" x14ac:dyDescent="0.25">
      <c r="A989" s="4">
        <v>2021</v>
      </c>
      <c r="B989" s="315">
        <v>44279</v>
      </c>
      <c r="C989" s="4" t="s">
        <v>1492</v>
      </c>
      <c r="D989" s="4" t="s">
        <v>1493</v>
      </c>
      <c r="E989" s="4"/>
      <c r="F989" s="4" t="s">
        <v>1494</v>
      </c>
      <c r="G989" s="5" t="s">
        <v>1495</v>
      </c>
      <c r="H989" s="5" t="s">
        <v>1496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1497</v>
      </c>
      <c r="P989" s="6" t="s">
        <v>1498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+VLOOKUP(G989,Liste!$A$7:$G$69,3,FALSE)</f>
        <v>Pin Noir d'Autriche</v>
      </c>
      <c r="BI989" s="96" t="str">
        <f>+VLOOKUP(H989,Liste!$B$7:$G$69,5,FALSE)</f>
        <v>GSM Alpes du Sud</v>
      </c>
      <c r="BJ989" s="135">
        <f t="shared" si="299"/>
        <v>85</v>
      </c>
      <c r="BK989" s="135" t="str">
        <f t="shared" si="301"/>
        <v>Pin Noir d'Autriche_F1_PO1_d4_GSM Alpes du Sud_85_</v>
      </c>
      <c r="BL989" s="319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97" t="str">
        <f>+VLOOKUP(G989,Liste!$A$7:$H$69,8,FALSE)</f>
        <v>Résineux</v>
      </c>
      <c r="BU989" s="297">
        <f t="shared" si="302"/>
        <v>0</v>
      </c>
      <c r="BV989" s="299">
        <f t="shared" si="303"/>
        <v>1</v>
      </c>
      <c r="BW989" s="318">
        <v>0</v>
      </c>
      <c r="BX989" s="297">
        <f t="shared" si="304"/>
        <v>0.43</v>
      </c>
      <c r="BY989">
        <f t="shared" si="305"/>
        <v>0</v>
      </c>
      <c r="BZ989" s="303">
        <f t="shared" si="306"/>
        <v>0</v>
      </c>
      <c r="CB989" s="298">
        <v>0.6</v>
      </c>
      <c r="CC989" s="298">
        <v>0.4</v>
      </c>
      <c r="CD989">
        <f t="shared" si="307"/>
        <v>0</v>
      </c>
      <c r="CE989">
        <f t="shared" si="308"/>
        <v>0</v>
      </c>
      <c r="CF989">
        <f t="shared" si="309"/>
        <v>0</v>
      </c>
      <c r="CG989">
        <f t="shared" si="310"/>
        <v>0</v>
      </c>
      <c r="CH989">
        <f t="shared" si="311"/>
        <v>0</v>
      </c>
      <c r="CI989">
        <f t="shared" si="312"/>
        <v>0</v>
      </c>
      <c r="CJ989">
        <f t="shared" si="313"/>
        <v>0</v>
      </c>
      <c r="CK989">
        <f t="shared" si="314"/>
        <v>0</v>
      </c>
      <c r="CL989">
        <f t="shared" si="315"/>
        <v>0</v>
      </c>
      <c r="CM989">
        <f t="shared" si="317"/>
        <v>0</v>
      </c>
      <c r="CN989">
        <f t="shared" si="316"/>
        <v>0</v>
      </c>
      <c r="CO989">
        <f t="shared" si="300"/>
        <v>0</v>
      </c>
    </row>
    <row r="990" spans="1:93" s="12" customFormat="1" hidden="1" x14ac:dyDescent="0.25">
      <c r="A990" s="4">
        <v>2021</v>
      </c>
      <c r="B990" s="315">
        <v>44279</v>
      </c>
      <c r="C990" s="4" t="s">
        <v>1492</v>
      </c>
      <c r="D990" s="4" t="s">
        <v>1493</v>
      </c>
      <c r="E990" s="4"/>
      <c r="F990" s="4" t="s">
        <v>1494</v>
      </c>
      <c r="G990" s="5" t="s">
        <v>1495</v>
      </c>
      <c r="H990" s="5" t="s">
        <v>1496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1497</v>
      </c>
      <c r="P990" s="6" t="s">
        <v>1498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+VLOOKUP(G990,Liste!$A$7:$G$69,3,FALSE)</f>
        <v>Pin Noir d'Autriche</v>
      </c>
      <c r="BI990" s="96" t="str">
        <f>+VLOOKUP(H990,Liste!$B$7:$G$69,5,FALSE)</f>
        <v>GSM Alpes du Sud</v>
      </c>
      <c r="BJ990" s="135">
        <f t="shared" si="299"/>
        <v>90</v>
      </c>
      <c r="BK990" s="135" t="str">
        <f t="shared" si="301"/>
        <v>Pin Noir d'Autriche_F1_PO1_d4_GSM Alpes du Sud_90_</v>
      </c>
      <c r="BL990" s="319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97" t="str">
        <f>+VLOOKUP(G990,Liste!$A$7:$H$69,8,FALSE)</f>
        <v>Résineux</v>
      </c>
      <c r="BU990" s="297">
        <f t="shared" si="302"/>
        <v>0</v>
      </c>
      <c r="BV990" s="299">
        <f t="shared" si="303"/>
        <v>1</v>
      </c>
      <c r="BW990" s="318">
        <v>0</v>
      </c>
      <c r="BX990" s="297">
        <f t="shared" si="304"/>
        <v>0.43</v>
      </c>
      <c r="BY990">
        <f t="shared" si="305"/>
        <v>0</v>
      </c>
      <c r="BZ990" s="303">
        <f t="shared" si="306"/>
        <v>0</v>
      </c>
      <c r="CB990" s="298">
        <v>0.6</v>
      </c>
      <c r="CC990" s="298">
        <v>0.4</v>
      </c>
      <c r="CD990">
        <f t="shared" si="307"/>
        <v>0</v>
      </c>
      <c r="CE990">
        <f t="shared" si="308"/>
        <v>0</v>
      </c>
      <c r="CF990">
        <f t="shared" si="309"/>
        <v>0</v>
      </c>
      <c r="CG990">
        <f t="shared" si="310"/>
        <v>0</v>
      </c>
      <c r="CH990">
        <f t="shared" si="311"/>
        <v>0</v>
      </c>
      <c r="CI990">
        <f t="shared" si="312"/>
        <v>0</v>
      </c>
      <c r="CJ990">
        <f t="shared" si="313"/>
        <v>0</v>
      </c>
      <c r="CK990">
        <f t="shared" si="314"/>
        <v>0</v>
      </c>
      <c r="CL990">
        <f t="shared" si="315"/>
        <v>0</v>
      </c>
      <c r="CM990">
        <f t="shared" si="317"/>
        <v>0</v>
      </c>
      <c r="CN990">
        <f t="shared" si="316"/>
        <v>0</v>
      </c>
      <c r="CO990">
        <f t="shared" si="300"/>
        <v>0</v>
      </c>
    </row>
    <row r="991" spans="1:93" s="12" customFormat="1" hidden="1" x14ac:dyDescent="0.25">
      <c r="A991" s="4">
        <v>2021</v>
      </c>
      <c r="B991" s="315">
        <v>44279</v>
      </c>
      <c r="C991" s="4" t="s">
        <v>1492</v>
      </c>
      <c r="D991" s="4" t="s">
        <v>1493</v>
      </c>
      <c r="E991" s="4"/>
      <c r="F991" s="4" t="s">
        <v>1494</v>
      </c>
      <c r="G991" s="5" t="s">
        <v>1495</v>
      </c>
      <c r="H991" s="5" t="s">
        <v>1496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1497</v>
      </c>
      <c r="P991" s="6" t="s">
        <v>1498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+VLOOKUP(G991,Liste!$A$7:$G$69,3,FALSE)</f>
        <v>Pin Noir d'Autriche</v>
      </c>
      <c r="BI991" s="96" t="str">
        <f>+VLOOKUP(H991,Liste!$B$7:$G$69,5,FALSE)</f>
        <v>GSM Alpes du Sud</v>
      </c>
      <c r="BJ991" s="135">
        <f t="shared" si="299"/>
        <v>95</v>
      </c>
      <c r="BK991" s="135" t="str">
        <f t="shared" si="301"/>
        <v>Pin Noir d'Autriche_F1_PO1_d4_GSM Alpes du Sud_95_</v>
      </c>
      <c r="BL991" s="319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97" t="str">
        <f>+VLOOKUP(G991,Liste!$A$7:$H$69,8,FALSE)</f>
        <v>Résineux</v>
      </c>
      <c r="BU991" s="297">
        <f t="shared" si="302"/>
        <v>0</v>
      </c>
      <c r="BV991" s="299">
        <f t="shared" si="303"/>
        <v>1</v>
      </c>
      <c r="BW991" s="318">
        <v>0</v>
      </c>
      <c r="BX991" s="297">
        <f t="shared" si="304"/>
        <v>0.43</v>
      </c>
      <c r="BY991">
        <f t="shared" si="305"/>
        <v>0</v>
      </c>
      <c r="BZ991" s="303">
        <f t="shared" si="306"/>
        <v>0</v>
      </c>
      <c r="CB991" s="298">
        <v>0.6</v>
      </c>
      <c r="CC991" s="298">
        <v>0.4</v>
      </c>
      <c r="CD991">
        <f t="shared" si="307"/>
        <v>0</v>
      </c>
      <c r="CE991">
        <f t="shared" si="308"/>
        <v>0</v>
      </c>
      <c r="CF991">
        <f t="shared" si="309"/>
        <v>0</v>
      </c>
      <c r="CG991">
        <f t="shared" si="310"/>
        <v>0</v>
      </c>
      <c r="CH991">
        <f t="shared" si="311"/>
        <v>0</v>
      </c>
      <c r="CI991">
        <f t="shared" si="312"/>
        <v>0</v>
      </c>
      <c r="CJ991">
        <f t="shared" si="313"/>
        <v>0</v>
      </c>
      <c r="CK991">
        <f t="shared" si="314"/>
        <v>0</v>
      </c>
      <c r="CL991">
        <f t="shared" si="315"/>
        <v>0</v>
      </c>
      <c r="CM991">
        <f t="shared" si="317"/>
        <v>0</v>
      </c>
      <c r="CN991">
        <f t="shared" si="316"/>
        <v>0</v>
      </c>
      <c r="CO991">
        <f t="shared" si="300"/>
        <v>0</v>
      </c>
    </row>
    <row r="992" spans="1:93" s="12" customFormat="1" hidden="1" x14ac:dyDescent="0.25">
      <c r="A992" s="4">
        <v>2021</v>
      </c>
      <c r="B992" s="315">
        <v>44279</v>
      </c>
      <c r="C992" s="4" t="s">
        <v>1492</v>
      </c>
      <c r="D992" s="4" t="s">
        <v>1493</v>
      </c>
      <c r="E992" s="4"/>
      <c r="F992" s="4" t="s">
        <v>1494</v>
      </c>
      <c r="G992" s="5" t="s">
        <v>1495</v>
      </c>
      <c r="H992" s="5" t="s">
        <v>1496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1497</v>
      </c>
      <c r="P992" s="6" t="s">
        <v>1498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+VLOOKUP(G992,Liste!$A$7:$G$69,3,FALSE)</f>
        <v>Pin Noir d'Autriche</v>
      </c>
      <c r="BI992" s="96" t="str">
        <f>+VLOOKUP(H992,Liste!$B$7:$G$69,5,FALSE)</f>
        <v>GSM Alpes du Sud</v>
      </c>
      <c r="BJ992" s="135">
        <f t="shared" si="299"/>
        <v>95</v>
      </c>
      <c r="BK992" s="135" t="str">
        <f t="shared" si="301"/>
        <v>Pin Noir d'Autriche_F1_PO1_d4_GSM Alpes du Sud_95_</v>
      </c>
      <c r="BL992" s="319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97" t="str">
        <f>+VLOOKUP(G992,Liste!$A$7:$H$69,8,FALSE)</f>
        <v>Résineux</v>
      </c>
      <c r="BU992" s="297">
        <f t="shared" si="302"/>
        <v>0</v>
      </c>
      <c r="BV992" s="299">
        <f t="shared" si="303"/>
        <v>1</v>
      </c>
      <c r="BW992" s="318">
        <v>0</v>
      </c>
      <c r="BX992" s="297">
        <f t="shared" si="304"/>
        <v>0.43</v>
      </c>
      <c r="BY992">
        <f t="shared" si="305"/>
        <v>0</v>
      </c>
      <c r="BZ992" s="303">
        <f t="shared" si="306"/>
        <v>0</v>
      </c>
      <c r="CB992" s="298">
        <v>0.6</v>
      </c>
      <c r="CC992" s="298">
        <v>0.4</v>
      </c>
      <c r="CD992">
        <f t="shared" si="307"/>
        <v>0</v>
      </c>
      <c r="CE992">
        <f t="shared" si="308"/>
        <v>0</v>
      </c>
      <c r="CF992">
        <f t="shared" si="309"/>
        <v>0</v>
      </c>
      <c r="CG992">
        <f t="shared" si="310"/>
        <v>0</v>
      </c>
      <c r="CH992">
        <f t="shared" si="311"/>
        <v>0</v>
      </c>
      <c r="CI992">
        <f t="shared" si="312"/>
        <v>0</v>
      </c>
      <c r="CJ992">
        <f t="shared" si="313"/>
        <v>0</v>
      </c>
      <c r="CK992">
        <f t="shared" si="314"/>
        <v>0</v>
      </c>
      <c r="CL992">
        <f t="shared" si="315"/>
        <v>0</v>
      </c>
      <c r="CM992">
        <f t="shared" si="317"/>
        <v>0</v>
      </c>
      <c r="CN992">
        <f t="shared" si="316"/>
        <v>0</v>
      </c>
      <c r="CO992">
        <f t="shared" si="300"/>
        <v>0</v>
      </c>
    </row>
    <row r="993" spans="1:93" s="12" customFormat="1" hidden="1" x14ac:dyDescent="0.25">
      <c r="A993" s="4">
        <v>2021</v>
      </c>
      <c r="B993" s="315">
        <v>44279</v>
      </c>
      <c r="C993" s="4" t="s">
        <v>1492</v>
      </c>
      <c r="D993" s="4" t="s">
        <v>1493</v>
      </c>
      <c r="E993" s="4"/>
      <c r="F993" s="4" t="s">
        <v>1494</v>
      </c>
      <c r="G993" s="5" t="s">
        <v>1495</v>
      </c>
      <c r="H993" s="5" t="s">
        <v>1496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1497</v>
      </c>
      <c r="P993" s="6" t="s">
        <v>1498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+VLOOKUP(G993,Liste!$A$7:$G$69,3,FALSE)</f>
        <v>Pin Noir d'Autriche</v>
      </c>
      <c r="BI993" s="96" t="str">
        <f>+VLOOKUP(H993,Liste!$B$7:$G$69,5,FALSE)</f>
        <v>GSM Alpes du Sud</v>
      </c>
      <c r="BJ993" s="135">
        <f t="shared" si="299"/>
        <v>100</v>
      </c>
      <c r="BK993" s="135" t="str">
        <f t="shared" si="301"/>
        <v>Pin Noir d'Autriche_F1_PO1_d4_GSM Alpes du Sud_100_</v>
      </c>
      <c r="BL993" s="319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97" t="str">
        <f>+VLOOKUP(G993,Liste!$A$7:$H$69,8,FALSE)</f>
        <v>Résineux</v>
      </c>
      <c r="BU993" s="297">
        <f t="shared" si="302"/>
        <v>0</v>
      </c>
      <c r="BV993" s="299">
        <f t="shared" si="303"/>
        <v>1</v>
      </c>
      <c r="BW993" s="318">
        <v>0</v>
      </c>
      <c r="BX993" s="297">
        <f t="shared" si="304"/>
        <v>0.43</v>
      </c>
      <c r="BY993">
        <f t="shared" si="305"/>
        <v>0</v>
      </c>
      <c r="BZ993" s="303">
        <f t="shared" si="306"/>
        <v>0</v>
      </c>
      <c r="CB993" s="298">
        <v>0.6</v>
      </c>
      <c r="CC993" s="298">
        <v>0.4</v>
      </c>
      <c r="CD993">
        <f t="shared" si="307"/>
        <v>0</v>
      </c>
      <c r="CE993">
        <f t="shared" si="308"/>
        <v>0</v>
      </c>
      <c r="CF993">
        <f t="shared" si="309"/>
        <v>0</v>
      </c>
      <c r="CG993">
        <f t="shared" si="310"/>
        <v>0</v>
      </c>
      <c r="CH993">
        <f t="shared" si="311"/>
        <v>0</v>
      </c>
      <c r="CI993">
        <f t="shared" si="312"/>
        <v>0</v>
      </c>
      <c r="CJ993">
        <f t="shared" si="313"/>
        <v>0</v>
      </c>
      <c r="CK993">
        <f t="shared" si="314"/>
        <v>0</v>
      </c>
      <c r="CL993">
        <f t="shared" si="315"/>
        <v>0</v>
      </c>
      <c r="CM993">
        <f t="shared" si="317"/>
        <v>0</v>
      </c>
      <c r="CN993">
        <f t="shared" si="316"/>
        <v>0</v>
      </c>
      <c r="CO993">
        <f t="shared" si="300"/>
        <v>0</v>
      </c>
    </row>
    <row r="994" spans="1:93" s="12" customFormat="1" hidden="1" x14ac:dyDescent="0.25">
      <c r="A994" s="4">
        <v>2021</v>
      </c>
      <c r="B994" s="315">
        <v>44279</v>
      </c>
      <c r="C994" s="4" t="s">
        <v>1492</v>
      </c>
      <c r="D994" s="4" t="s">
        <v>1493</v>
      </c>
      <c r="E994" s="4"/>
      <c r="F994" s="4" t="s">
        <v>1494</v>
      </c>
      <c r="G994" s="5" t="s">
        <v>1495</v>
      </c>
      <c r="H994" s="5" t="s">
        <v>1496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1497</v>
      </c>
      <c r="P994" s="6" t="s">
        <v>1498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+VLOOKUP(G994,Liste!$A$7:$G$69,3,FALSE)</f>
        <v>Pin Noir d'Autriche</v>
      </c>
      <c r="BI994" s="96" t="str">
        <f>+VLOOKUP(H994,Liste!$B$7:$G$69,5,FALSE)</f>
        <v>GSM Alpes du Sud</v>
      </c>
      <c r="BJ994" s="135">
        <f t="shared" si="299"/>
        <v>105</v>
      </c>
      <c r="BK994" s="135" t="str">
        <f t="shared" si="301"/>
        <v>Pin Noir d'Autriche_F1_PO1_d4_GSM Alpes du Sud_105_</v>
      </c>
      <c r="BL994" s="319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97" t="str">
        <f>+VLOOKUP(G994,Liste!$A$7:$H$69,8,FALSE)</f>
        <v>Résineux</v>
      </c>
      <c r="BU994" s="297">
        <f t="shared" si="302"/>
        <v>0</v>
      </c>
      <c r="BV994" s="299">
        <f t="shared" si="303"/>
        <v>1</v>
      </c>
      <c r="BW994" s="318">
        <v>0</v>
      </c>
      <c r="BX994" s="297">
        <f t="shared" si="304"/>
        <v>0.43</v>
      </c>
      <c r="BY994">
        <f t="shared" si="305"/>
        <v>0</v>
      </c>
      <c r="BZ994" s="303">
        <f t="shared" si="306"/>
        <v>0</v>
      </c>
      <c r="CB994" s="298">
        <v>0.6</v>
      </c>
      <c r="CC994" s="298">
        <v>0.4</v>
      </c>
      <c r="CD994">
        <f t="shared" si="307"/>
        <v>0</v>
      </c>
      <c r="CE994">
        <f t="shared" si="308"/>
        <v>0</v>
      </c>
      <c r="CF994">
        <f t="shared" si="309"/>
        <v>0</v>
      </c>
      <c r="CG994">
        <f t="shared" si="310"/>
        <v>0</v>
      </c>
      <c r="CH994">
        <f t="shared" si="311"/>
        <v>0</v>
      </c>
      <c r="CI994">
        <f t="shared" si="312"/>
        <v>0</v>
      </c>
      <c r="CJ994">
        <f t="shared" si="313"/>
        <v>0</v>
      </c>
      <c r="CK994">
        <f t="shared" si="314"/>
        <v>0</v>
      </c>
      <c r="CL994">
        <f t="shared" si="315"/>
        <v>0</v>
      </c>
      <c r="CM994">
        <f t="shared" si="317"/>
        <v>0</v>
      </c>
      <c r="CN994">
        <f t="shared" si="316"/>
        <v>0</v>
      </c>
      <c r="CO994">
        <f t="shared" si="300"/>
        <v>0</v>
      </c>
    </row>
    <row r="995" spans="1:93" s="12" customFormat="1" hidden="1" x14ac:dyDescent="0.25">
      <c r="A995" s="4">
        <v>2021</v>
      </c>
      <c r="B995" s="315">
        <v>44279</v>
      </c>
      <c r="C995" s="4" t="s">
        <v>1492</v>
      </c>
      <c r="D995" s="4" t="s">
        <v>1493</v>
      </c>
      <c r="E995" s="4"/>
      <c r="F995" s="4" t="s">
        <v>1494</v>
      </c>
      <c r="G995" s="5" t="s">
        <v>1495</v>
      </c>
      <c r="H995" s="5" t="s">
        <v>1496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1497</v>
      </c>
      <c r="P995" s="6" t="s">
        <v>1498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+VLOOKUP(G995,Liste!$A$7:$G$69,3,FALSE)</f>
        <v>Pin Noir d'Autriche</v>
      </c>
      <c r="BI995" s="96" t="str">
        <f>+VLOOKUP(H995,Liste!$B$7:$G$69,5,FALSE)</f>
        <v>GSM Alpes du Sud</v>
      </c>
      <c r="BJ995" s="135">
        <f t="shared" si="299"/>
        <v>105</v>
      </c>
      <c r="BK995" s="135" t="str">
        <f t="shared" si="301"/>
        <v>Pin Noir d'Autriche_F1_PO1_d4_GSM Alpes du Sud_105_</v>
      </c>
      <c r="BL995" s="319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97" t="str">
        <f>+VLOOKUP(G995,Liste!$A$7:$H$69,8,FALSE)</f>
        <v>Résineux</v>
      </c>
      <c r="BU995" s="297">
        <f t="shared" si="302"/>
        <v>0</v>
      </c>
      <c r="BV995" s="299">
        <f t="shared" si="303"/>
        <v>1</v>
      </c>
      <c r="BW995" s="318">
        <v>0</v>
      </c>
      <c r="BX995" s="297">
        <f t="shared" si="304"/>
        <v>0.43</v>
      </c>
      <c r="BY995">
        <f t="shared" si="305"/>
        <v>0</v>
      </c>
      <c r="BZ995" s="303">
        <f t="shared" si="306"/>
        <v>0</v>
      </c>
      <c r="CB995" s="298">
        <v>0.6</v>
      </c>
      <c r="CC995" s="298">
        <v>0.4</v>
      </c>
      <c r="CD995">
        <f t="shared" si="307"/>
        <v>0</v>
      </c>
      <c r="CE995">
        <f t="shared" si="308"/>
        <v>0</v>
      </c>
      <c r="CF995">
        <f t="shared" si="309"/>
        <v>0</v>
      </c>
      <c r="CG995">
        <f t="shared" si="310"/>
        <v>0</v>
      </c>
      <c r="CH995">
        <f t="shared" si="311"/>
        <v>0</v>
      </c>
      <c r="CI995">
        <f t="shared" si="312"/>
        <v>0</v>
      </c>
      <c r="CJ995">
        <f t="shared" si="313"/>
        <v>0</v>
      </c>
      <c r="CK995">
        <f t="shared" si="314"/>
        <v>0</v>
      </c>
      <c r="CL995">
        <f t="shared" si="315"/>
        <v>0</v>
      </c>
      <c r="CM995">
        <f t="shared" si="317"/>
        <v>0</v>
      </c>
      <c r="CN995">
        <f t="shared" si="316"/>
        <v>0</v>
      </c>
      <c r="CO995">
        <f t="shared" si="300"/>
        <v>0</v>
      </c>
    </row>
    <row r="996" spans="1:93" s="12" customFormat="1" hidden="1" x14ac:dyDescent="0.25">
      <c r="A996" s="4">
        <v>2021</v>
      </c>
      <c r="B996" s="315">
        <v>44279</v>
      </c>
      <c r="C996" s="4" t="s">
        <v>1492</v>
      </c>
      <c r="D996" s="4" t="s">
        <v>1493</v>
      </c>
      <c r="E996" s="4"/>
      <c r="F996" s="4" t="s">
        <v>1494</v>
      </c>
      <c r="G996" s="5" t="s">
        <v>1495</v>
      </c>
      <c r="H996" s="5" t="s">
        <v>1496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1497</v>
      </c>
      <c r="P996" s="6" t="s">
        <v>1498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+VLOOKUP(G996,Liste!$A$7:$G$69,3,FALSE)</f>
        <v>Pin Noir d'Autriche</v>
      </c>
      <c r="BI996" s="96" t="str">
        <f>+VLOOKUP(H996,Liste!$B$7:$G$69,5,FALSE)</f>
        <v>GSM Alpes du Sud</v>
      </c>
      <c r="BJ996" s="135">
        <f t="shared" si="299"/>
        <v>25</v>
      </c>
      <c r="BK996" s="135" t="str">
        <f t="shared" si="301"/>
        <v>Pin Noir d'Autriche_F2_PO2_d4_GSM Alpes du Sud_25_</v>
      </c>
      <c r="BL996" s="319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97" t="str">
        <f>+VLOOKUP(G996,Liste!$A$7:$H$69,8,FALSE)</f>
        <v>Résineux</v>
      </c>
      <c r="BU996" s="297">
        <f t="shared" si="302"/>
        <v>0</v>
      </c>
      <c r="BV996" s="299">
        <f t="shared" si="303"/>
        <v>1</v>
      </c>
      <c r="BW996" s="318">
        <v>0</v>
      </c>
      <c r="BX996" s="297">
        <f t="shared" si="304"/>
        <v>0.43</v>
      </c>
      <c r="BY996">
        <f t="shared" si="305"/>
        <v>0</v>
      </c>
      <c r="BZ996" s="303">
        <f t="shared" si="306"/>
        <v>0</v>
      </c>
      <c r="CB996" s="298">
        <v>0.6</v>
      </c>
      <c r="CC996" s="298">
        <v>0.4</v>
      </c>
      <c r="CD996">
        <f t="shared" si="307"/>
        <v>0</v>
      </c>
      <c r="CE996">
        <f t="shared" si="308"/>
        <v>0</v>
      </c>
      <c r="CF996">
        <f t="shared" si="309"/>
        <v>0</v>
      </c>
      <c r="CG996">
        <f t="shared" si="310"/>
        <v>0</v>
      </c>
      <c r="CH996">
        <f t="shared" si="311"/>
        <v>0</v>
      </c>
      <c r="CI996">
        <f t="shared" si="312"/>
        <v>0</v>
      </c>
      <c r="CJ996">
        <f t="shared" si="313"/>
        <v>0</v>
      </c>
      <c r="CK996">
        <f t="shared" si="314"/>
        <v>0</v>
      </c>
      <c r="CL996">
        <f t="shared" si="315"/>
        <v>0</v>
      </c>
      <c r="CM996">
        <f t="shared" si="317"/>
        <v>0</v>
      </c>
      <c r="CN996">
        <f t="shared" si="316"/>
        <v>0</v>
      </c>
      <c r="CO996">
        <f t="shared" si="300"/>
        <v>0</v>
      </c>
    </row>
    <row r="997" spans="1:93" s="12" customFormat="1" hidden="1" x14ac:dyDescent="0.25">
      <c r="A997" s="4">
        <v>2021</v>
      </c>
      <c r="B997" s="315">
        <v>44279</v>
      </c>
      <c r="C997" s="4" t="s">
        <v>1492</v>
      </c>
      <c r="D997" s="4" t="s">
        <v>1493</v>
      </c>
      <c r="E997" s="4"/>
      <c r="F997" s="4" t="s">
        <v>1494</v>
      </c>
      <c r="G997" s="5" t="s">
        <v>1495</v>
      </c>
      <c r="H997" s="5" t="s">
        <v>1496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1497</v>
      </c>
      <c r="P997" s="6" t="s">
        <v>1498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+VLOOKUP(G997,Liste!$A$7:$G$69,3,FALSE)</f>
        <v>Pin Noir d'Autriche</v>
      </c>
      <c r="BI997" s="96" t="str">
        <f>+VLOOKUP(H997,Liste!$B$7:$G$69,5,FALSE)</f>
        <v>GSM Alpes du Sud</v>
      </c>
      <c r="BJ997" s="135">
        <f t="shared" si="299"/>
        <v>30</v>
      </c>
      <c r="BK997" s="135" t="str">
        <f t="shared" si="301"/>
        <v>Pin Noir d'Autriche_F2_PO2_d4_GSM Alpes du Sud_30_</v>
      </c>
      <c r="BL997" s="319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97" t="str">
        <f>+VLOOKUP(G997,Liste!$A$7:$H$69,8,FALSE)</f>
        <v>Résineux</v>
      </c>
      <c r="BU997" s="297">
        <f t="shared" si="302"/>
        <v>0</v>
      </c>
      <c r="BV997" s="299">
        <f t="shared" si="303"/>
        <v>1</v>
      </c>
      <c r="BW997" s="318">
        <v>0</v>
      </c>
      <c r="BX997" s="297">
        <f t="shared" si="304"/>
        <v>0.43</v>
      </c>
      <c r="BY997">
        <f t="shared" si="305"/>
        <v>0</v>
      </c>
      <c r="BZ997" s="303">
        <f t="shared" si="306"/>
        <v>0</v>
      </c>
      <c r="CB997" s="298">
        <v>0.6</v>
      </c>
      <c r="CC997" s="298">
        <v>0.4</v>
      </c>
      <c r="CD997">
        <f t="shared" si="307"/>
        <v>0</v>
      </c>
      <c r="CE997">
        <f t="shared" si="308"/>
        <v>0</v>
      </c>
      <c r="CF997">
        <f t="shared" si="309"/>
        <v>0</v>
      </c>
      <c r="CG997">
        <f t="shared" si="310"/>
        <v>0</v>
      </c>
      <c r="CH997">
        <f t="shared" si="311"/>
        <v>0</v>
      </c>
      <c r="CI997">
        <f t="shared" si="312"/>
        <v>0</v>
      </c>
      <c r="CJ997">
        <f t="shared" si="313"/>
        <v>0</v>
      </c>
      <c r="CK997">
        <f t="shared" si="314"/>
        <v>0</v>
      </c>
      <c r="CL997">
        <f t="shared" si="315"/>
        <v>0</v>
      </c>
      <c r="CM997">
        <f t="shared" si="317"/>
        <v>0</v>
      </c>
      <c r="CN997">
        <f t="shared" si="316"/>
        <v>0</v>
      </c>
      <c r="CO997">
        <f t="shared" si="300"/>
        <v>0</v>
      </c>
    </row>
    <row r="998" spans="1:93" s="12" customFormat="1" hidden="1" x14ac:dyDescent="0.25">
      <c r="A998" s="4">
        <v>2021</v>
      </c>
      <c r="B998" s="315">
        <v>44279</v>
      </c>
      <c r="C998" s="4" t="s">
        <v>1492</v>
      </c>
      <c r="D998" s="4" t="s">
        <v>1493</v>
      </c>
      <c r="E998" s="4"/>
      <c r="F998" s="4" t="s">
        <v>1494</v>
      </c>
      <c r="G998" s="5" t="s">
        <v>1495</v>
      </c>
      <c r="H998" s="5" t="s">
        <v>1496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1497</v>
      </c>
      <c r="P998" s="6" t="s">
        <v>1498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+VLOOKUP(G998,Liste!$A$7:$G$69,3,FALSE)</f>
        <v>Pin Noir d'Autriche</v>
      </c>
      <c r="BI998" s="96" t="str">
        <f>+VLOOKUP(H998,Liste!$B$7:$G$69,5,FALSE)</f>
        <v>GSM Alpes du Sud</v>
      </c>
      <c r="BJ998" s="135">
        <f t="shared" si="299"/>
        <v>35</v>
      </c>
      <c r="BK998" s="135" t="str">
        <f t="shared" si="301"/>
        <v>Pin Noir d'Autriche_F2_PO2_d4_GSM Alpes du Sud_35_</v>
      </c>
      <c r="BL998" s="319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97" t="str">
        <f>+VLOOKUP(G998,Liste!$A$7:$H$69,8,FALSE)</f>
        <v>Résineux</v>
      </c>
      <c r="BU998" s="297">
        <f t="shared" si="302"/>
        <v>0</v>
      </c>
      <c r="BV998" s="299">
        <f t="shared" si="303"/>
        <v>1</v>
      </c>
      <c r="BW998" s="318">
        <v>0</v>
      </c>
      <c r="BX998" s="297">
        <f t="shared" si="304"/>
        <v>0.43</v>
      </c>
      <c r="BY998">
        <f t="shared" si="305"/>
        <v>0</v>
      </c>
      <c r="BZ998" s="303">
        <f t="shared" si="306"/>
        <v>0</v>
      </c>
      <c r="CB998" s="298">
        <v>0.6</v>
      </c>
      <c r="CC998" s="298">
        <v>0.4</v>
      </c>
      <c r="CD998">
        <f t="shared" si="307"/>
        <v>0</v>
      </c>
      <c r="CE998">
        <f t="shared" si="308"/>
        <v>0</v>
      </c>
      <c r="CF998">
        <f t="shared" si="309"/>
        <v>0</v>
      </c>
      <c r="CG998">
        <f t="shared" si="310"/>
        <v>0</v>
      </c>
      <c r="CH998">
        <f t="shared" si="311"/>
        <v>0</v>
      </c>
      <c r="CI998">
        <f t="shared" si="312"/>
        <v>0</v>
      </c>
      <c r="CJ998">
        <f t="shared" si="313"/>
        <v>0</v>
      </c>
      <c r="CK998">
        <f t="shared" si="314"/>
        <v>0</v>
      </c>
      <c r="CL998">
        <f t="shared" si="315"/>
        <v>0</v>
      </c>
      <c r="CM998">
        <f t="shared" si="317"/>
        <v>0</v>
      </c>
      <c r="CN998">
        <f t="shared" si="316"/>
        <v>0</v>
      </c>
      <c r="CO998">
        <f t="shared" si="300"/>
        <v>0</v>
      </c>
    </row>
    <row r="999" spans="1:93" s="12" customFormat="1" hidden="1" x14ac:dyDescent="0.25">
      <c r="A999" s="4">
        <v>2021</v>
      </c>
      <c r="B999" s="315">
        <v>44279</v>
      </c>
      <c r="C999" s="4" t="s">
        <v>1492</v>
      </c>
      <c r="D999" s="4" t="s">
        <v>1493</v>
      </c>
      <c r="E999" s="4"/>
      <c r="F999" s="4" t="s">
        <v>1494</v>
      </c>
      <c r="G999" s="5" t="s">
        <v>1495</v>
      </c>
      <c r="H999" s="5" t="s">
        <v>1496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1497</v>
      </c>
      <c r="P999" s="6" t="s">
        <v>1498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+VLOOKUP(G999,Liste!$A$7:$G$69,3,FALSE)</f>
        <v>Pin Noir d'Autriche</v>
      </c>
      <c r="BI999" s="96" t="str">
        <f>+VLOOKUP(H999,Liste!$B$7:$G$69,5,FALSE)</f>
        <v>GSM Alpes du Sud</v>
      </c>
      <c r="BJ999" s="135">
        <f t="shared" si="299"/>
        <v>40</v>
      </c>
      <c r="BK999" s="135" t="str">
        <f t="shared" si="301"/>
        <v>Pin Noir d'Autriche_F2_PO2_d4_GSM Alpes du Sud_40_</v>
      </c>
      <c r="BL999" s="319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97" t="str">
        <f>+VLOOKUP(G999,Liste!$A$7:$H$69,8,FALSE)</f>
        <v>Résineux</v>
      </c>
      <c r="BU999" s="297">
        <f t="shared" si="302"/>
        <v>0</v>
      </c>
      <c r="BV999" s="299">
        <f t="shared" si="303"/>
        <v>1</v>
      </c>
      <c r="BW999" s="318">
        <v>0</v>
      </c>
      <c r="BX999" s="297">
        <f t="shared" si="304"/>
        <v>0.43</v>
      </c>
      <c r="BY999">
        <f t="shared" si="305"/>
        <v>0</v>
      </c>
      <c r="BZ999" s="303">
        <f t="shared" si="306"/>
        <v>0</v>
      </c>
      <c r="CB999" s="298">
        <v>0.6</v>
      </c>
      <c r="CC999" s="298">
        <v>0.4</v>
      </c>
      <c r="CD999">
        <f t="shared" si="307"/>
        <v>0</v>
      </c>
      <c r="CE999">
        <f t="shared" si="308"/>
        <v>0</v>
      </c>
      <c r="CF999">
        <f t="shared" si="309"/>
        <v>0</v>
      </c>
      <c r="CG999">
        <f t="shared" si="310"/>
        <v>0</v>
      </c>
      <c r="CH999">
        <f t="shared" si="311"/>
        <v>0</v>
      </c>
      <c r="CI999">
        <f t="shared" si="312"/>
        <v>0</v>
      </c>
      <c r="CJ999">
        <f t="shared" si="313"/>
        <v>0</v>
      </c>
      <c r="CK999">
        <f t="shared" si="314"/>
        <v>0</v>
      </c>
      <c r="CL999">
        <f t="shared" si="315"/>
        <v>0</v>
      </c>
      <c r="CM999">
        <f t="shared" si="317"/>
        <v>0</v>
      </c>
      <c r="CN999">
        <f t="shared" si="316"/>
        <v>0</v>
      </c>
      <c r="CO999">
        <f t="shared" si="300"/>
        <v>0</v>
      </c>
    </row>
    <row r="1000" spans="1:93" s="12" customFormat="1" hidden="1" x14ac:dyDescent="0.25">
      <c r="A1000" s="4">
        <v>2021</v>
      </c>
      <c r="B1000" s="315">
        <v>44279</v>
      </c>
      <c r="C1000" s="4" t="s">
        <v>1492</v>
      </c>
      <c r="D1000" s="4" t="s">
        <v>1493</v>
      </c>
      <c r="E1000" s="4"/>
      <c r="F1000" s="4" t="s">
        <v>1494</v>
      </c>
      <c r="G1000" s="5" t="s">
        <v>1495</v>
      </c>
      <c r="H1000" s="5" t="s">
        <v>1496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1497</v>
      </c>
      <c r="P1000" s="6" t="s">
        <v>1498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+VLOOKUP(G1000,Liste!$A$7:$G$69,3,FALSE)</f>
        <v>Pin Noir d'Autriche</v>
      </c>
      <c r="BI1000" s="96" t="str">
        <f>+VLOOKUP(H1000,Liste!$B$7:$G$69,5,FALSE)</f>
        <v>GSM Alpes du Sud</v>
      </c>
      <c r="BJ1000" s="135">
        <f t="shared" si="299"/>
        <v>45</v>
      </c>
      <c r="BK1000" s="135" t="str">
        <f t="shared" si="301"/>
        <v>Pin Noir d'Autriche_F2_PO2_d4_GSM Alpes du Sud_45_</v>
      </c>
      <c r="BL1000" s="319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97" t="str">
        <f>+VLOOKUP(G1000,Liste!$A$7:$H$69,8,FALSE)</f>
        <v>Résineux</v>
      </c>
      <c r="BU1000" s="297">
        <f t="shared" si="302"/>
        <v>0</v>
      </c>
      <c r="BV1000" s="299">
        <f t="shared" si="303"/>
        <v>1</v>
      </c>
      <c r="BW1000" s="318">
        <v>0</v>
      </c>
      <c r="BX1000" s="297">
        <f t="shared" si="304"/>
        <v>0.43</v>
      </c>
      <c r="BY1000">
        <f t="shared" si="305"/>
        <v>0</v>
      </c>
      <c r="BZ1000" s="303">
        <f t="shared" si="306"/>
        <v>0</v>
      </c>
      <c r="CB1000" s="298">
        <v>0.6</v>
      </c>
      <c r="CC1000" s="298">
        <v>0.4</v>
      </c>
      <c r="CD1000">
        <f t="shared" si="307"/>
        <v>0</v>
      </c>
      <c r="CE1000">
        <f t="shared" si="308"/>
        <v>0</v>
      </c>
      <c r="CF1000">
        <f t="shared" si="309"/>
        <v>0</v>
      </c>
      <c r="CG1000">
        <f t="shared" si="310"/>
        <v>0</v>
      </c>
      <c r="CH1000">
        <f t="shared" si="311"/>
        <v>0</v>
      </c>
      <c r="CI1000">
        <f t="shared" si="312"/>
        <v>0</v>
      </c>
      <c r="CJ1000">
        <f t="shared" si="313"/>
        <v>0</v>
      </c>
      <c r="CK1000">
        <f t="shared" si="314"/>
        <v>0</v>
      </c>
      <c r="CL1000">
        <f t="shared" si="315"/>
        <v>0</v>
      </c>
      <c r="CM1000">
        <f t="shared" si="317"/>
        <v>0</v>
      </c>
      <c r="CN1000">
        <f t="shared" si="316"/>
        <v>0</v>
      </c>
      <c r="CO1000">
        <f t="shared" si="300"/>
        <v>0</v>
      </c>
    </row>
    <row r="1001" spans="1:93" s="12" customFormat="1" hidden="1" x14ac:dyDescent="0.25">
      <c r="A1001" s="4">
        <v>2021</v>
      </c>
      <c r="B1001" s="315">
        <v>44279</v>
      </c>
      <c r="C1001" s="4" t="s">
        <v>1492</v>
      </c>
      <c r="D1001" s="4" t="s">
        <v>1493</v>
      </c>
      <c r="E1001" s="4"/>
      <c r="F1001" s="4" t="s">
        <v>1494</v>
      </c>
      <c r="G1001" s="5" t="s">
        <v>1495</v>
      </c>
      <c r="H1001" s="5" t="s">
        <v>1496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1497</v>
      </c>
      <c r="P1001" s="6" t="s">
        <v>1498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+VLOOKUP(G1001,Liste!$A$7:$G$69,3,FALSE)</f>
        <v>Pin Noir d'Autriche</v>
      </c>
      <c r="BI1001" s="96" t="str">
        <f>+VLOOKUP(H1001,Liste!$B$7:$G$69,5,FALSE)</f>
        <v>GSM Alpes du Sud</v>
      </c>
      <c r="BJ1001" s="135">
        <f t="shared" si="299"/>
        <v>45</v>
      </c>
      <c r="BK1001" s="135" t="str">
        <f t="shared" si="301"/>
        <v>Pin Noir d'Autriche_F2_PO2_d4_GSM Alpes du Sud_45_</v>
      </c>
      <c r="BL1001" s="319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97" t="str">
        <f>+VLOOKUP(G1001,Liste!$A$7:$H$69,8,FALSE)</f>
        <v>Résineux</v>
      </c>
      <c r="BU1001" s="297">
        <f t="shared" si="302"/>
        <v>0</v>
      </c>
      <c r="BV1001" s="299">
        <f t="shared" si="303"/>
        <v>1</v>
      </c>
      <c r="BW1001" s="318">
        <v>0</v>
      </c>
      <c r="BX1001" s="297">
        <f t="shared" si="304"/>
        <v>0.43</v>
      </c>
      <c r="BY1001">
        <f t="shared" si="305"/>
        <v>0</v>
      </c>
      <c r="BZ1001" s="303">
        <f t="shared" si="306"/>
        <v>0</v>
      </c>
      <c r="CB1001" s="298">
        <v>0.6</v>
      </c>
      <c r="CC1001" s="298">
        <v>0.4</v>
      </c>
      <c r="CD1001">
        <f t="shared" si="307"/>
        <v>0</v>
      </c>
      <c r="CE1001">
        <f t="shared" si="308"/>
        <v>0</v>
      </c>
      <c r="CF1001">
        <f t="shared" si="309"/>
        <v>0</v>
      </c>
      <c r="CG1001">
        <f t="shared" si="310"/>
        <v>0</v>
      </c>
      <c r="CH1001">
        <f t="shared" si="311"/>
        <v>0</v>
      </c>
      <c r="CI1001">
        <f t="shared" si="312"/>
        <v>0</v>
      </c>
      <c r="CJ1001">
        <f t="shared" si="313"/>
        <v>0</v>
      </c>
      <c r="CK1001">
        <f t="shared" si="314"/>
        <v>0</v>
      </c>
      <c r="CL1001">
        <f t="shared" si="315"/>
        <v>0</v>
      </c>
      <c r="CM1001">
        <f t="shared" si="317"/>
        <v>0</v>
      </c>
      <c r="CN1001">
        <f t="shared" si="316"/>
        <v>0</v>
      </c>
      <c r="CO1001">
        <f t="shared" si="300"/>
        <v>0</v>
      </c>
    </row>
    <row r="1002" spans="1:93" s="12" customFormat="1" hidden="1" x14ac:dyDescent="0.25">
      <c r="A1002" s="4">
        <v>2021</v>
      </c>
      <c r="B1002" s="315">
        <v>44279</v>
      </c>
      <c r="C1002" s="4" t="s">
        <v>1492</v>
      </c>
      <c r="D1002" s="4" t="s">
        <v>1493</v>
      </c>
      <c r="E1002" s="4"/>
      <c r="F1002" s="4" t="s">
        <v>1494</v>
      </c>
      <c r="G1002" s="5" t="s">
        <v>1495</v>
      </c>
      <c r="H1002" s="5" t="s">
        <v>1496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1497</v>
      </c>
      <c r="P1002" s="6" t="s">
        <v>1498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+VLOOKUP(G1002,Liste!$A$7:$G$69,3,FALSE)</f>
        <v>Pin Noir d'Autriche</v>
      </c>
      <c r="BI1002" s="96" t="str">
        <f>+VLOOKUP(H1002,Liste!$B$7:$G$69,5,FALSE)</f>
        <v>GSM Alpes du Sud</v>
      </c>
      <c r="BJ1002" s="135">
        <f t="shared" si="299"/>
        <v>50</v>
      </c>
      <c r="BK1002" s="135" t="str">
        <f t="shared" si="301"/>
        <v>Pin Noir d'Autriche_F2_PO2_d4_GSM Alpes du Sud_50_</v>
      </c>
      <c r="BL1002" s="319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97" t="str">
        <f>+VLOOKUP(G1002,Liste!$A$7:$H$69,8,FALSE)</f>
        <v>Résineux</v>
      </c>
      <c r="BU1002" s="297">
        <f t="shared" si="302"/>
        <v>0</v>
      </c>
      <c r="BV1002" s="299">
        <f t="shared" si="303"/>
        <v>1</v>
      </c>
      <c r="BW1002" s="318">
        <v>0</v>
      </c>
      <c r="BX1002" s="297">
        <f t="shared" si="304"/>
        <v>0.43</v>
      </c>
      <c r="BY1002">
        <f t="shared" si="305"/>
        <v>0</v>
      </c>
      <c r="BZ1002" s="303">
        <f t="shared" si="306"/>
        <v>0</v>
      </c>
      <c r="CB1002" s="298">
        <v>0.6</v>
      </c>
      <c r="CC1002" s="298">
        <v>0.4</v>
      </c>
      <c r="CD1002">
        <f t="shared" si="307"/>
        <v>0</v>
      </c>
      <c r="CE1002">
        <f t="shared" si="308"/>
        <v>0</v>
      </c>
      <c r="CF1002">
        <f t="shared" si="309"/>
        <v>0</v>
      </c>
      <c r="CG1002">
        <f t="shared" si="310"/>
        <v>0</v>
      </c>
      <c r="CH1002">
        <f t="shared" si="311"/>
        <v>0</v>
      </c>
      <c r="CI1002">
        <f t="shared" si="312"/>
        <v>0</v>
      </c>
      <c r="CJ1002">
        <f t="shared" si="313"/>
        <v>0</v>
      </c>
      <c r="CK1002">
        <f t="shared" si="314"/>
        <v>0</v>
      </c>
      <c r="CL1002">
        <f t="shared" si="315"/>
        <v>0</v>
      </c>
      <c r="CM1002">
        <f t="shared" si="317"/>
        <v>0</v>
      </c>
      <c r="CN1002">
        <f t="shared" si="316"/>
        <v>0</v>
      </c>
      <c r="CO1002">
        <f t="shared" si="300"/>
        <v>0</v>
      </c>
    </row>
    <row r="1003" spans="1:93" s="12" customFormat="1" hidden="1" x14ac:dyDescent="0.25">
      <c r="A1003" s="4">
        <v>2021</v>
      </c>
      <c r="B1003" s="315">
        <v>44279</v>
      </c>
      <c r="C1003" s="4" t="s">
        <v>1492</v>
      </c>
      <c r="D1003" s="4" t="s">
        <v>1493</v>
      </c>
      <c r="E1003" s="4"/>
      <c r="F1003" s="4" t="s">
        <v>1494</v>
      </c>
      <c r="G1003" s="5" t="s">
        <v>1495</v>
      </c>
      <c r="H1003" s="5" t="s">
        <v>1496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1497</v>
      </c>
      <c r="P1003" s="6" t="s">
        <v>1498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+VLOOKUP(G1003,Liste!$A$7:$G$69,3,FALSE)</f>
        <v>Pin Noir d'Autriche</v>
      </c>
      <c r="BI1003" s="96" t="str">
        <f>+VLOOKUP(H1003,Liste!$B$7:$G$69,5,FALSE)</f>
        <v>GSM Alpes du Sud</v>
      </c>
      <c r="BJ1003" s="135">
        <f t="shared" si="299"/>
        <v>55</v>
      </c>
      <c r="BK1003" s="135" t="str">
        <f t="shared" si="301"/>
        <v>Pin Noir d'Autriche_F2_PO2_d4_GSM Alpes du Sud_55_</v>
      </c>
      <c r="BL1003" s="319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97" t="str">
        <f>+VLOOKUP(G1003,Liste!$A$7:$H$69,8,FALSE)</f>
        <v>Résineux</v>
      </c>
      <c r="BU1003" s="297">
        <f t="shared" si="302"/>
        <v>0</v>
      </c>
      <c r="BV1003" s="299">
        <f t="shared" si="303"/>
        <v>1</v>
      </c>
      <c r="BW1003" s="318">
        <v>0</v>
      </c>
      <c r="BX1003" s="297">
        <f t="shared" si="304"/>
        <v>0.43</v>
      </c>
      <c r="BY1003">
        <f t="shared" si="305"/>
        <v>0</v>
      </c>
      <c r="BZ1003" s="303">
        <f t="shared" si="306"/>
        <v>0</v>
      </c>
      <c r="CB1003" s="298">
        <v>0.6</v>
      </c>
      <c r="CC1003" s="298">
        <v>0.4</v>
      </c>
      <c r="CD1003">
        <f t="shared" si="307"/>
        <v>0</v>
      </c>
      <c r="CE1003">
        <f t="shared" si="308"/>
        <v>0</v>
      </c>
      <c r="CF1003">
        <f t="shared" si="309"/>
        <v>0</v>
      </c>
      <c r="CG1003">
        <f t="shared" si="310"/>
        <v>0</v>
      </c>
      <c r="CH1003">
        <f t="shared" si="311"/>
        <v>0</v>
      </c>
      <c r="CI1003">
        <f t="shared" si="312"/>
        <v>0</v>
      </c>
      <c r="CJ1003">
        <f t="shared" si="313"/>
        <v>0</v>
      </c>
      <c r="CK1003">
        <f t="shared" si="314"/>
        <v>0</v>
      </c>
      <c r="CL1003">
        <f t="shared" si="315"/>
        <v>0</v>
      </c>
      <c r="CM1003">
        <f t="shared" si="317"/>
        <v>0</v>
      </c>
      <c r="CN1003">
        <f t="shared" si="316"/>
        <v>0</v>
      </c>
      <c r="CO1003">
        <f t="shared" si="300"/>
        <v>0</v>
      </c>
    </row>
    <row r="1004" spans="1:93" s="12" customFormat="1" hidden="1" x14ac:dyDescent="0.25">
      <c r="A1004" s="4">
        <v>2021</v>
      </c>
      <c r="B1004" s="315">
        <v>44279</v>
      </c>
      <c r="C1004" s="4" t="s">
        <v>1492</v>
      </c>
      <c r="D1004" s="4" t="s">
        <v>1493</v>
      </c>
      <c r="E1004" s="4"/>
      <c r="F1004" s="4" t="s">
        <v>1494</v>
      </c>
      <c r="G1004" s="5" t="s">
        <v>1495</v>
      </c>
      <c r="H1004" s="5" t="s">
        <v>1496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1497</v>
      </c>
      <c r="P1004" s="6" t="s">
        <v>1498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+VLOOKUP(G1004,Liste!$A$7:$G$69,3,FALSE)</f>
        <v>Pin Noir d'Autriche</v>
      </c>
      <c r="BI1004" s="96" t="str">
        <f>+VLOOKUP(H1004,Liste!$B$7:$G$69,5,FALSE)</f>
        <v>GSM Alpes du Sud</v>
      </c>
      <c r="BJ1004" s="135">
        <f t="shared" si="299"/>
        <v>60</v>
      </c>
      <c r="BK1004" s="135" t="str">
        <f t="shared" si="301"/>
        <v>Pin Noir d'Autriche_F2_PO2_d4_GSM Alpes du Sud_60_</v>
      </c>
      <c r="BL1004" s="319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97" t="str">
        <f>+VLOOKUP(G1004,Liste!$A$7:$H$69,8,FALSE)</f>
        <v>Résineux</v>
      </c>
      <c r="BU1004" s="297">
        <f t="shared" si="302"/>
        <v>0</v>
      </c>
      <c r="BV1004" s="299">
        <f t="shared" si="303"/>
        <v>1</v>
      </c>
      <c r="BW1004" s="318">
        <v>0</v>
      </c>
      <c r="BX1004" s="297">
        <f t="shared" si="304"/>
        <v>0.43</v>
      </c>
      <c r="BY1004">
        <f t="shared" si="305"/>
        <v>0</v>
      </c>
      <c r="BZ1004" s="303">
        <f t="shared" si="306"/>
        <v>0</v>
      </c>
      <c r="CB1004" s="298">
        <v>0.6</v>
      </c>
      <c r="CC1004" s="298">
        <v>0.4</v>
      </c>
      <c r="CD1004">
        <f t="shared" si="307"/>
        <v>0</v>
      </c>
      <c r="CE1004">
        <f t="shared" si="308"/>
        <v>0</v>
      </c>
      <c r="CF1004">
        <f t="shared" si="309"/>
        <v>0</v>
      </c>
      <c r="CG1004">
        <f t="shared" si="310"/>
        <v>0</v>
      </c>
      <c r="CH1004">
        <f t="shared" si="311"/>
        <v>0</v>
      </c>
      <c r="CI1004">
        <f t="shared" si="312"/>
        <v>0</v>
      </c>
      <c r="CJ1004">
        <f t="shared" si="313"/>
        <v>0</v>
      </c>
      <c r="CK1004">
        <f t="shared" si="314"/>
        <v>0</v>
      </c>
      <c r="CL1004">
        <f t="shared" si="315"/>
        <v>0</v>
      </c>
      <c r="CM1004">
        <f t="shared" si="317"/>
        <v>0</v>
      </c>
      <c r="CN1004">
        <f t="shared" si="316"/>
        <v>0</v>
      </c>
      <c r="CO1004">
        <f t="shared" si="300"/>
        <v>0</v>
      </c>
    </row>
    <row r="1005" spans="1:93" s="12" customFormat="1" hidden="1" x14ac:dyDescent="0.25">
      <c r="A1005" s="4">
        <v>2021</v>
      </c>
      <c r="B1005" s="315">
        <v>44279</v>
      </c>
      <c r="C1005" s="4" t="s">
        <v>1492</v>
      </c>
      <c r="D1005" s="4" t="s">
        <v>1493</v>
      </c>
      <c r="E1005" s="4"/>
      <c r="F1005" s="4" t="s">
        <v>1494</v>
      </c>
      <c r="G1005" s="5" t="s">
        <v>1495</v>
      </c>
      <c r="H1005" s="5" t="s">
        <v>1496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1497</v>
      </c>
      <c r="P1005" s="6" t="s">
        <v>1498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+VLOOKUP(G1005,Liste!$A$7:$G$69,3,FALSE)</f>
        <v>Pin Noir d'Autriche</v>
      </c>
      <c r="BI1005" s="96" t="str">
        <f>+VLOOKUP(H1005,Liste!$B$7:$G$69,5,FALSE)</f>
        <v>GSM Alpes du Sud</v>
      </c>
      <c r="BJ1005" s="135">
        <f t="shared" si="299"/>
        <v>60</v>
      </c>
      <c r="BK1005" s="135" t="str">
        <f t="shared" si="301"/>
        <v>Pin Noir d'Autriche_F2_PO2_d4_GSM Alpes du Sud_60_</v>
      </c>
      <c r="BL1005" s="319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97" t="str">
        <f>+VLOOKUP(G1005,Liste!$A$7:$H$69,8,FALSE)</f>
        <v>Résineux</v>
      </c>
      <c r="BU1005" s="297">
        <f t="shared" si="302"/>
        <v>0</v>
      </c>
      <c r="BV1005" s="299">
        <f t="shared" si="303"/>
        <v>1</v>
      </c>
      <c r="BW1005" s="318">
        <v>0</v>
      </c>
      <c r="BX1005" s="297">
        <f t="shared" si="304"/>
        <v>0.43</v>
      </c>
      <c r="BY1005">
        <f t="shared" si="305"/>
        <v>0</v>
      </c>
      <c r="BZ1005" s="303">
        <f t="shared" si="306"/>
        <v>0</v>
      </c>
      <c r="CB1005" s="298">
        <v>0.6</v>
      </c>
      <c r="CC1005" s="298">
        <v>0.4</v>
      </c>
      <c r="CD1005">
        <f t="shared" si="307"/>
        <v>0</v>
      </c>
      <c r="CE1005">
        <f t="shared" si="308"/>
        <v>0</v>
      </c>
      <c r="CF1005">
        <f t="shared" si="309"/>
        <v>0</v>
      </c>
      <c r="CG1005">
        <f t="shared" si="310"/>
        <v>0</v>
      </c>
      <c r="CH1005">
        <f t="shared" si="311"/>
        <v>0</v>
      </c>
      <c r="CI1005">
        <f t="shared" si="312"/>
        <v>0</v>
      </c>
      <c r="CJ1005">
        <f t="shared" si="313"/>
        <v>0</v>
      </c>
      <c r="CK1005">
        <f t="shared" si="314"/>
        <v>0</v>
      </c>
      <c r="CL1005">
        <f t="shared" si="315"/>
        <v>0</v>
      </c>
      <c r="CM1005">
        <f t="shared" si="317"/>
        <v>0</v>
      </c>
      <c r="CN1005">
        <f t="shared" si="316"/>
        <v>0</v>
      </c>
      <c r="CO1005">
        <f t="shared" si="300"/>
        <v>0</v>
      </c>
    </row>
    <row r="1006" spans="1:93" s="12" customFormat="1" hidden="1" x14ac:dyDescent="0.25">
      <c r="A1006" s="4">
        <v>2021</v>
      </c>
      <c r="B1006" s="315">
        <v>44279</v>
      </c>
      <c r="C1006" s="4" t="s">
        <v>1492</v>
      </c>
      <c r="D1006" s="4" t="s">
        <v>1493</v>
      </c>
      <c r="E1006" s="4"/>
      <c r="F1006" s="4" t="s">
        <v>1494</v>
      </c>
      <c r="G1006" s="5" t="s">
        <v>1495</v>
      </c>
      <c r="H1006" s="5" t="s">
        <v>1496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1497</v>
      </c>
      <c r="P1006" s="6" t="s">
        <v>1498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+VLOOKUP(G1006,Liste!$A$7:$G$69,3,FALSE)</f>
        <v>Pin Noir d'Autriche</v>
      </c>
      <c r="BI1006" s="96" t="str">
        <f>+VLOOKUP(H1006,Liste!$B$7:$G$69,5,FALSE)</f>
        <v>GSM Alpes du Sud</v>
      </c>
      <c r="BJ1006" s="135">
        <f t="shared" si="299"/>
        <v>65</v>
      </c>
      <c r="BK1006" s="135" t="str">
        <f t="shared" si="301"/>
        <v>Pin Noir d'Autriche_F2_PO2_d4_GSM Alpes du Sud_65_</v>
      </c>
      <c r="BL1006" s="319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97" t="str">
        <f>+VLOOKUP(G1006,Liste!$A$7:$H$69,8,FALSE)</f>
        <v>Résineux</v>
      </c>
      <c r="BU1006" s="297">
        <f t="shared" si="302"/>
        <v>0</v>
      </c>
      <c r="BV1006" s="299">
        <f t="shared" si="303"/>
        <v>1</v>
      </c>
      <c r="BW1006" s="318">
        <v>0</v>
      </c>
      <c r="BX1006" s="297">
        <f t="shared" si="304"/>
        <v>0.43</v>
      </c>
      <c r="BY1006">
        <f t="shared" si="305"/>
        <v>0</v>
      </c>
      <c r="BZ1006" s="303">
        <f t="shared" si="306"/>
        <v>0</v>
      </c>
      <c r="CB1006" s="298">
        <v>0.6</v>
      </c>
      <c r="CC1006" s="298">
        <v>0.4</v>
      </c>
      <c r="CD1006">
        <f t="shared" si="307"/>
        <v>0</v>
      </c>
      <c r="CE1006">
        <f t="shared" si="308"/>
        <v>0</v>
      </c>
      <c r="CF1006">
        <f t="shared" si="309"/>
        <v>0</v>
      </c>
      <c r="CG1006">
        <f t="shared" si="310"/>
        <v>0</v>
      </c>
      <c r="CH1006">
        <f t="shared" si="311"/>
        <v>0</v>
      </c>
      <c r="CI1006">
        <f t="shared" si="312"/>
        <v>0</v>
      </c>
      <c r="CJ1006">
        <f t="shared" si="313"/>
        <v>0</v>
      </c>
      <c r="CK1006">
        <f t="shared" si="314"/>
        <v>0</v>
      </c>
      <c r="CL1006">
        <f t="shared" si="315"/>
        <v>0</v>
      </c>
      <c r="CM1006">
        <f t="shared" si="317"/>
        <v>0</v>
      </c>
      <c r="CN1006">
        <f t="shared" si="316"/>
        <v>0</v>
      </c>
      <c r="CO1006">
        <f t="shared" si="300"/>
        <v>0</v>
      </c>
    </row>
    <row r="1007" spans="1:93" s="12" customFormat="1" hidden="1" x14ac:dyDescent="0.25">
      <c r="A1007" s="4">
        <v>2021</v>
      </c>
      <c r="B1007" s="315">
        <v>44279</v>
      </c>
      <c r="C1007" s="4" t="s">
        <v>1492</v>
      </c>
      <c r="D1007" s="4" t="s">
        <v>1493</v>
      </c>
      <c r="E1007" s="4"/>
      <c r="F1007" s="4" t="s">
        <v>1494</v>
      </c>
      <c r="G1007" s="5" t="s">
        <v>1495</v>
      </c>
      <c r="H1007" s="5" t="s">
        <v>1496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1497</v>
      </c>
      <c r="P1007" s="6" t="s">
        <v>1498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+VLOOKUP(G1007,Liste!$A$7:$G$69,3,FALSE)</f>
        <v>Pin Noir d'Autriche</v>
      </c>
      <c r="BI1007" s="96" t="str">
        <f>+VLOOKUP(H1007,Liste!$B$7:$G$69,5,FALSE)</f>
        <v>GSM Alpes du Sud</v>
      </c>
      <c r="BJ1007" s="135">
        <f t="shared" si="299"/>
        <v>70</v>
      </c>
      <c r="BK1007" s="135" t="str">
        <f t="shared" si="301"/>
        <v>Pin Noir d'Autriche_F2_PO2_d4_GSM Alpes du Sud_70_</v>
      </c>
      <c r="BL1007" s="319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97" t="str">
        <f>+VLOOKUP(G1007,Liste!$A$7:$H$69,8,FALSE)</f>
        <v>Résineux</v>
      </c>
      <c r="BU1007" s="297">
        <f t="shared" si="302"/>
        <v>0</v>
      </c>
      <c r="BV1007" s="299">
        <f t="shared" si="303"/>
        <v>1</v>
      </c>
      <c r="BW1007" s="318">
        <v>0</v>
      </c>
      <c r="BX1007" s="297">
        <f t="shared" si="304"/>
        <v>0.43</v>
      </c>
      <c r="BY1007">
        <f t="shared" si="305"/>
        <v>0</v>
      </c>
      <c r="BZ1007" s="303">
        <f t="shared" si="306"/>
        <v>0</v>
      </c>
      <c r="CB1007" s="298">
        <v>0.6</v>
      </c>
      <c r="CC1007" s="298">
        <v>0.4</v>
      </c>
      <c r="CD1007">
        <f t="shared" si="307"/>
        <v>0</v>
      </c>
      <c r="CE1007">
        <f t="shared" si="308"/>
        <v>0</v>
      </c>
      <c r="CF1007">
        <f t="shared" si="309"/>
        <v>0</v>
      </c>
      <c r="CG1007">
        <f t="shared" si="310"/>
        <v>0</v>
      </c>
      <c r="CH1007">
        <f t="shared" si="311"/>
        <v>0</v>
      </c>
      <c r="CI1007">
        <f t="shared" si="312"/>
        <v>0</v>
      </c>
      <c r="CJ1007">
        <f t="shared" si="313"/>
        <v>0</v>
      </c>
      <c r="CK1007">
        <f t="shared" si="314"/>
        <v>0</v>
      </c>
      <c r="CL1007">
        <f t="shared" si="315"/>
        <v>0</v>
      </c>
      <c r="CM1007">
        <f t="shared" si="317"/>
        <v>0</v>
      </c>
      <c r="CN1007">
        <f t="shared" si="316"/>
        <v>0</v>
      </c>
      <c r="CO1007">
        <f t="shared" si="300"/>
        <v>0</v>
      </c>
    </row>
    <row r="1008" spans="1:93" s="12" customFormat="1" hidden="1" x14ac:dyDescent="0.25">
      <c r="A1008" s="4">
        <v>2021</v>
      </c>
      <c r="B1008" s="315">
        <v>44279</v>
      </c>
      <c r="C1008" s="4" t="s">
        <v>1492</v>
      </c>
      <c r="D1008" s="4" t="s">
        <v>1493</v>
      </c>
      <c r="E1008" s="4"/>
      <c r="F1008" s="4" t="s">
        <v>1494</v>
      </c>
      <c r="G1008" s="5" t="s">
        <v>1495</v>
      </c>
      <c r="H1008" s="5" t="s">
        <v>1496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1497</v>
      </c>
      <c r="P1008" s="6" t="s">
        <v>1498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+VLOOKUP(G1008,Liste!$A$7:$G$69,3,FALSE)</f>
        <v>Pin Noir d'Autriche</v>
      </c>
      <c r="BI1008" s="96" t="str">
        <f>+VLOOKUP(H1008,Liste!$B$7:$G$69,5,FALSE)</f>
        <v>GSM Alpes du Sud</v>
      </c>
      <c r="BJ1008" s="135">
        <f t="shared" si="299"/>
        <v>75</v>
      </c>
      <c r="BK1008" s="135" t="str">
        <f t="shared" si="301"/>
        <v>Pin Noir d'Autriche_F2_PO2_d4_GSM Alpes du Sud_75_</v>
      </c>
      <c r="BL1008" s="319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97" t="str">
        <f>+VLOOKUP(G1008,Liste!$A$7:$H$69,8,FALSE)</f>
        <v>Résineux</v>
      </c>
      <c r="BU1008" s="297">
        <f t="shared" si="302"/>
        <v>0</v>
      </c>
      <c r="BV1008" s="299">
        <f t="shared" si="303"/>
        <v>1</v>
      </c>
      <c r="BW1008" s="318">
        <v>0</v>
      </c>
      <c r="BX1008" s="297">
        <f t="shared" si="304"/>
        <v>0.43</v>
      </c>
      <c r="BY1008">
        <f t="shared" si="305"/>
        <v>0</v>
      </c>
      <c r="BZ1008" s="303">
        <f t="shared" si="306"/>
        <v>0</v>
      </c>
      <c r="CB1008" s="298">
        <v>0.6</v>
      </c>
      <c r="CC1008" s="298">
        <v>0.4</v>
      </c>
      <c r="CD1008">
        <f t="shared" si="307"/>
        <v>0</v>
      </c>
      <c r="CE1008">
        <f t="shared" si="308"/>
        <v>0</v>
      </c>
      <c r="CF1008">
        <f t="shared" si="309"/>
        <v>0</v>
      </c>
      <c r="CG1008">
        <f t="shared" si="310"/>
        <v>0</v>
      </c>
      <c r="CH1008">
        <f t="shared" si="311"/>
        <v>0</v>
      </c>
      <c r="CI1008">
        <f t="shared" si="312"/>
        <v>0</v>
      </c>
      <c r="CJ1008">
        <f t="shared" si="313"/>
        <v>0</v>
      </c>
      <c r="CK1008">
        <f t="shared" si="314"/>
        <v>0</v>
      </c>
      <c r="CL1008">
        <f t="shared" si="315"/>
        <v>0</v>
      </c>
      <c r="CM1008">
        <f t="shared" si="317"/>
        <v>0</v>
      </c>
      <c r="CN1008">
        <f t="shared" si="316"/>
        <v>0</v>
      </c>
      <c r="CO1008">
        <f t="shared" si="300"/>
        <v>0</v>
      </c>
    </row>
    <row r="1009" spans="1:93" s="12" customFormat="1" hidden="1" x14ac:dyDescent="0.25">
      <c r="A1009" s="4">
        <v>2021</v>
      </c>
      <c r="B1009" s="315">
        <v>44279</v>
      </c>
      <c r="C1009" s="4" t="s">
        <v>1492</v>
      </c>
      <c r="D1009" s="4" t="s">
        <v>1493</v>
      </c>
      <c r="E1009" s="4"/>
      <c r="F1009" s="4" t="s">
        <v>1494</v>
      </c>
      <c r="G1009" s="5" t="s">
        <v>1495</v>
      </c>
      <c r="H1009" s="5" t="s">
        <v>1496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1497</v>
      </c>
      <c r="P1009" s="6" t="s">
        <v>1498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+VLOOKUP(G1009,Liste!$A$7:$G$69,3,FALSE)</f>
        <v>Pin Noir d'Autriche</v>
      </c>
      <c r="BI1009" s="96" t="str">
        <f>+VLOOKUP(H1009,Liste!$B$7:$G$69,5,FALSE)</f>
        <v>GSM Alpes du Sud</v>
      </c>
      <c r="BJ1009" s="135">
        <f t="shared" si="299"/>
        <v>75</v>
      </c>
      <c r="BK1009" s="135" t="str">
        <f t="shared" si="301"/>
        <v>Pin Noir d'Autriche_F2_PO2_d4_GSM Alpes du Sud_75_</v>
      </c>
      <c r="BL1009" s="319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97" t="str">
        <f>+VLOOKUP(G1009,Liste!$A$7:$H$69,8,FALSE)</f>
        <v>Résineux</v>
      </c>
      <c r="BU1009" s="297">
        <f t="shared" si="302"/>
        <v>0</v>
      </c>
      <c r="BV1009" s="299">
        <f t="shared" si="303"/>
        <v>1</v>
      </c>
      <c r="BW1009" s="318">
        <v>0</v>
      </c>
      <c r="BX1009" s="297">
        <f t="shared" si="304"/>
        <v>0.43</v>
      </c>
      <c r="BY1009">
        <f t="shared" si="305"/>
        <v>0</v>
      </c>
      <c r="BZ1009" s="303">
        <f t="shared" si="306"/>
        <v>0</v>
      </c>
      <c r="CB1009" s="298">
        <v>0.6</v>
      </c>
      <c r="CC1009" s="298">
        <v>0.4</v>
      </c>
      <c r="CD1009">
        <f t="shared" si="307"/>
        <v>0</v>
      </c>
      <c r="CE1009">
        <f t="shared" si="308"/>
        <v>0</v>
      </c>
      <c r="CF1009">
        <f t="shared" si="309"/>
        <v>0</v>
      </c>
      <c r="CG1009">
        <f t="shared" si="310"/>
        <v>0</v>
      </c>
      <c r="CH1009">
        <f t="shared" si="311"/>
        <v>0</v>
      </c>
      <c r="CI1009">
        <f t="shared" si="312"/>
        <v>0</v>
      </c>
      <c r="CJ1009">
        <f t="shared" si="313"/>
        <v>0</v>
      </c>
      <c r="CK1009">
        <f t="shared" si="314"/>
        <v>0</v>
      </c>
      <c r="CL1009">
        <f t="shared" si="315"/>
        <v>0</v>
      </c>
      <c r="CM1009">
        <f t="shared" si="317"/>
        <v>0</v>
      </c>
      <c r="CN1009">
        <f t="shared" si="316"/>
        <v>0</v>
      </c>
      <c r="CO1009">
        <f t="shared" si="300"/>
        <v>0</v>
      </c>
    </row>
    <row r="1010" spans="1:93" s="12" customFormat="1" hidden="1" x14ac:dyDescent="0.25">
      <c r="A1010" s="4">
        <v>2021</v>
      </c>
      <c r="B1010" s="315">
        <v>44279</v>
      </c>
      <c r="C1010" s="4" t="s">
        <v>1492</v>
      </c>
      <c r="D1010" s="4" t="s">
        <v>1493</v>
      </c>
      <c r="E1010" s="4"/>
      <c r="F1010" s="4" t="s">
        <v>1494</v>
      </c>
      <c r="G1010" s="5" t="s">
        <v>1495</v>
      </c>
      <c r="H1010" s="5" t="s">
        <v>1496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1497</v>
      </c>
      <c r="P1010" s="6" t="s">
        <v>1498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+VLOOKUP(G1010,Liste!$A$7:$G$69,3,FALSE)</f>
        <v>Pin Noir d'Autriche</v>
      </c>
      <c r="BI1010" s="96" t="str">
        <f>+VLOOKUP(H1010,Liste!$B$7:$G$69,5,FALSE)</f>
        <v>GSM Alpes du Sud</v>
      </c>
      <c r="BJ1010" s="135">
        <f t="shared" si="299"/>
        <v>80</v>
      </c>
      <c r="BK1010" s="135" t="str">
        <f t="shared" si="301"/>
        <v>Pin Noir d'Autriche_F2_PO2_d4_GSM Alpes du Sud_80_</v>
      </c>
      <c r="BL1010" s="319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97" t="str">
        <f>+VLOOKUP(G1010,Liste!$A$7:$H$69,8,FALSE)</f>
        <v>Résineux</v>
      </c>
      <c r="BU1010" s="297">
        <f t="shared" si="302"/>
        <v>0</v>
      </c>
      <c r="BV1010" s="299">
        <f t="shared" si="303"/>
        <v>1</v>
      </c>
      <c r="BW1010" s="318">
        <v>0</v>
      </c>
      <c r="BX1010" s="297">
        <f t="shared" si="304"/>
        <v>0.43</v>
      </c>
      <c r="BY1010">
        <f t="shared" si="305"/>
        <v>0</v>
      </c>
      <c r="BZ1010" s="303">
        <f t="shared" si="306"/>
        <v>0</v>
      </c>
      <c r="CB1010" s="298">
        <v>0.6</v>
      </c>
      <c r="CC1010" s="298">
        <v>0.4</v>
      </c>
      <c r="CD1010">
        <f t="shared" si="307"/>
        <v>0</v>
      </c>
      <c r="CE1010">
        <f t="shared" si="308"/>
        <v>0</v>
      </c>
      <c r="CF1010">
        <f t="shared" si="309"/>
        <v>0</v>
      </c>
      <c r="CG1010">
        <f t="shared" si="310"/>
        <v>0</v>
      </c>
      <c r="CH1010">
        <f t="shared" si="311"/>
        <v>0</v>
      </c>
      <c r="CI1010">
        <f t="shared" si="312"/>
        <v>0</v>
      </c>
      <c r="CJ1010">
        <f t="shared" si="313"/>
        <v>0</v>
      </c>
      <c r="CK1010">
        <f t="shared" si="314"/>
        <v>0</v>
      </c>
      <c r="CL1010">
        <f t="shared" si="315"/>
        <v>0</v>
      </c>
      <c r="CM1010">
        <f t="shared" si="317"/>
        <v>0</v>
      </c>
      <c r="CN1010">
        <f t="shared" si="316"/>
        <v>0</v>
      </c>
      <c r="CO1010">
        <f t="shared" si="300"/>
        <v>0</v>
      </c>
    </row>
    <row r="1011" spans="1:93" s="12" customFormat="1" hidden="1" x14ac:dyDescent="0.25">
      <c r="A1011" s="4">
        <v>2021</v>
      </c>
      <c r="B1011" s="315">
        <v>44279</v>
      </c>
      <c r="C1011" s="4" t="s">
        <v>1492</v>
      </c>
      <c r="D1011" s="4" t="s">
        <v>1493</v>
      </c>
      <c r="E1011" s="4"/>
      <c r="F1011" s="4" t="s">
        <v>1494</v>
      </c>
      <c r="G1011" s="5" t="s">
        <v>1495</v>
      </c>
      <c r="H1011" s="5" t="s">
        <v>1496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1497</v>
      </c>
      <c r="P1011" s="6" t="s">
        <v>1498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+VLOOKUP(G1011,Liste!$A$7:$G$69,3,FALSE)</f>
        <v>Pin Noir d'Autriche</v>
      </c>
      <c r="BI1011" s="96" t="str">
        <f>+VLOOKUP(H1011,Liste!$B$7:$G$69,5,FALSE)</f>
        <v>GSM Alpes du Sud</v>
      </c>
      <c r="BJ1011" s="135">
        <f t="shared" si="299"/>
        <v>85</v>
      </c>
      <c r="BK1011" s="135" t="str">
        <f t="shared" si="301"/>
        <v>Pin Noir d'Autriche_F2_PO2_d4_GSM Alpes du Sud_85_</v>
      </c>
      <c r="BL1011" s="319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97" t="str">
        <f>+VLOOKUP(G1011,Liste!$A$7:$H$69,8,FALSE)</f>
        <v>Résineux</v>
      </c>
      <c r="BU1011" s="297">
        <f t="shared" si="302"/>
        <v>0</v>
      </c>
      <c r="BV1011" s="299">
        <f t="shared" si="303"/>
        <v>1</v>
      </c>
      <c r="BW1011" s="318">
        <v>0</v>
      </c>
      <c r="BX1011" s="297">
        <f t="shared" si="304"/>
        <v>0.43</v>
      </c>
      <c r="BY1011">
        <f t="shared" si="305"/>
        <v>0</v>
      </c>
      <c r="BZ1011" s="303">
        <f t="shared" si="306"/>
        <v>0</v>
      </c>
      <c r="CB1011" s="298">
        <v>0.6</v>
      </c>
      <c r="CC1011" s="298">
        <v>0.4</v>
      </c>
      <c r="CD1011">
        <f t="shared" si="307"/>
        <v>0</v>
      </c>
      <c r="CE1011">
        <f t="shared" si="308"/>
        <v>0</v>
      </c>
      <c r="CF1011">
        <f t="shared" si="309"/>
        <v>0</v>
      </c>
      <c r="CG1011">
        <f t="shared" si="310"/>
        <v>0</v>
      </c>
      <c r="CH1011">
        <f t="shared" si="311"/>
        <v>0</v>
      </c>
      <c r="CI1011">
        <f t="shared" si="312"/>
        <v>0</v>
      </c>
      <c r="CJ1011">
        <f t="shared" si="313"/>
        <v>0</v>
      </c>
      <c r="CK1011">
        <f t="shared" si="314"/>
        <v>0</v>
      </c>
      <c r="CL1011">
        <f t="shared" si="315"/>
        <v>0</v>
      </c>
      <c r="CM1011">
        <f t="shared" si="317"/>
        <v>0</v>
      </c>
      <c r="CN1011">
        <f t="shared" si="316"/>
        <v>0</v>
      </c>
      <c r="CO1011">
        <f t="shared" si="300"/>
        <v>0</v>
      </c>
    </row>
    <row r="1012" spans="1:93" s="12" customFormat="1" hidden="1" x14ac:dyDescent="0.25">
      <c r="A1012" s="4">
        <v>2021</v>
      </c>
      <c r="B1012" s="315">
        <v>44279</v>
      </c>
      <c r="C1012" s="4" t="s">
        <v>1492</v>
      </c>
      <c r="D1012" s="4" t="s">
        <v>1493</v>
      </c>
      <c r="E1012" s="4"/>
      <c r="F1012" s="4" t="s">
        <v>1494</v>
      </c>
      <c r="G1012" s="5" t="s">
        <v>1495</v>
      </c>
      <c r="H1012" s="5" t="s">
        <v>1496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1497</v>
      </c>
      <c r="P1012" s="6" t="s">
        <v>1498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+VLOOKUP(G1012,Liste!$A$7:$G$69,3,FALSE)</f>
        <v>Pin Noir d'Autriche</v>
      </c>
      <c r="BI1012" s="96" t="str">
        <f>+VLOOKUP(H1012,Liste!$B$7:$G$69,5,FALSE)</f>
        <v>GSM Alpes du Sud</v>
      </c>
      <c r="BJ1012" s="135">
        <f t="shared" si="299"/>
        <v>90</v>
      </c>
      <c r="BK1012" s="135" t="str">
        <f t="shared" si="301"/>
        <v>Pin Noir d'Autriche_F2_PO2_d4_GSM Alpes du Sud_90_</v>
      </c>
      <c r="BL1012" s="319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97" t="str">
        <f>+VLOOKUP(G1012,Liste!$A$7:$H$69,8,FALSE)</f>
        <v>Résineux</v>
      </c>
      <c r="BU1012" s="297">
        <f t="shared" si="302"/>
        <v>0</v>
      </c>
      <c r="BV1012" s="299">
        <f t="shared" si="303"/>
        <v>1</v>
      </c>
      <c r="BW1012" s="318">
        <v>0</v>
      </c>
      <c r="BX1012" s="297">
        <f t="shared" si="304"/>
        <v>0.43</v>
      </c>
      <c r="BY1012">
        <f t="shared" si="305"/>
        <v>0</v>
      </c>
      <c r="BZ1012" s="303">
        <f t="shared" si="306"/>
        <v>0</v>
      </c>
      <c r="CB1012" s="298">
        <v>0.6</v>
      </c>
      <c r="CC1012" s="298">
        <v>0.4</v>
      </c>
      <c r="CD1012">
        <f t="shared" si="307"/>
        <v>0</v>
      </c>
      <c r="CE1012">
        <f t="shared" si="308"/>
        <v>0</v>
      </c>
      <c r="CF1012">
        <f t="shared" si="309"/>
        <v>0</v>
      </c>
      <c r="CG1012">
        <f t="shared" si="310"/>
        <v>0</v>
      </c>
      <c r="CH1012">
        <f t="shared" si="311"/>
        <v>0</v>
      </c>
      <c r="CI1012">
        <f t="shared" si="312"/>
        <v>0</v>
      </c>
      <c r="CJ1012">
        <f t="shared" si="313"/>
        <v>0</v>
      </c>
      <c r="CK1012">
        <f t="shared" si="314"/>
        <v>0</v>
      </c>
      <c r="CL1012">
        <f t="shared" si="315"/>
        <v>0</v>
      </c>
      <c r="CM1012">
        <f t="shared" si="317"/>
        <v>0</v>
      </c>
      <c r="CN1012">
        <f t="shared" si="316"/>
        <v>0</v>
      </c>
      <c r="CO1012">
        <f t="shared" si="300"/>
        <v>0</v>
      </c>
    </row>
    <row r="1013" spans="1:93" s="12" customFormat="1" hidden="1" x14ac:dyDescent="0.25">
      <c r="A1013" s="4">
        <v>2021</v>
      </c>
      <c r="B1013" s="315">
        <v>44279</v>
      </c>
      <c r="C1013" s="4" t="s">
        <v>1492</v>
      </c>
      <c r="D1013" s="4" t="s">
        <v>1493</v>
      </c>
      <c r="E1013" s="4"/>
      <c r="F1013" s="4" t="s">
        <v>1494</v>
      </c>
      <c r="G1013" s="5" t="s">
        <v>1495</v>
      </c>
      <c r="H1013" s="5" t="s">
        <v>1496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1497</v>
      </c>
      <c r="P1013" s="6" t="s">
        <v>1498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+VLOOKUP(G1013,Liste!$A$7:$G$69,3,FALSE)</f>
        <v>Pin Noir d'Autriche</v>
      </c>
      <c r="BI1013" s="96" t="str">
        <f>+VLOOKUP(H1013,Liste!$B$7:$G$69,5,FALSE)</f>
        <v>GSM Alpes du Sud</v>
      </c>
      <c r="BJ1013" s="135">
        <f t="shared" si="299"/>
        <v>90</v>
      </c>
      <c r="BK1013" s="135" t="str">
        <f t="shared" si="301"/>
        <v>Pin Noir d'Autriche_F2_PO2_d4_GSM Alpes du Sud_90_</v>
      </c>
      <c r="BL1013" s="319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97" t="str">
        <f>+VLOOKUP(G1013,Liste!$A$7:$H$69,8,FALSE)</f>
        <v>Résineux</v>
      </c>
      <c r="BU1013" s="297">
        <f t="shared" si="302"/>
        <v>0</v>
      </c>
      <c r="BV1013" s="299">
        <f t="shared" si="303"/>
        <v>1</v>
      </c>
      <c r="BW1013" s="318">
        <v>0</v>
      </c>
      <c r="BX1013" s="297">
        <f t="shared" si="304"/>
        <v>0.43</v>
      </c>
      <c r="BY1013">
        <f t="shared" si="305"/>
        <v>0</v>
      </c>
      <c r="BZ1013" s="303">
        <f t="shared" si="306"/>
        <v>0</v>
      </c>
      <c r="CB1013" s="298">
        <v>0.6</v>
      </c>
      <c r="CC1013" s="298">
        <v>0.4</v>
      </c>
      <c r="CD1013">
        <f t="shared" si="307"/>
        <v>0</v>
      </c>
      <c r="CE1013">
        <f t="shared" si="308"/>
        <v>0</v>
      </c>
      <c r="CF1013">
        <f t="shared" si="309"/>
        <v>0</v>
      </c>
      <c r="CG1013">
        <f t="shared" si="310"/>
        <v>0</v>
      </c>
      <c r="CH1013">
        <f t="shared" si="311"/>
        <v>0</v>
      </c>
      <c r="CI1013">
        <f t="shared" si="312"/>
        <v>0</v>
      </c>
      <c r="CJ1013">
        <f t="shared" si="313"/>
        <v>0</v>
      </c>
      <c r="CK1013">
        <f t="shared" si="314"/>
        <v>0</v>
      </c>
      <c r="CL1013">
        <f t="shared" si="315"/>
        <v>0</v>
      </c>
      <c r="CM1013">
        <f t="shared" si="317"/>
        <v>0</v>
      </c>
      <c r="CN1013">
        <f t="shared" si="316"/>
        <v>0</v>
      </c>
      <c r="CO1013">
        <f t="shared" si="300"/>
        <v>0</v>
      </c>
    </row>
    <row r="1014" spans="1:93" s="12" customFormat="1" hidden="1" x14ac:dyDescent="0.25">
      <c r="A1014" s="4">
        <v>2021</v>
      </c>
      <c r="B1014" s="315">
        <v>44279</v>
      </c>
      <c r="C1014" s="4" t="s">
        <v>1492</v>
      </c>
      <c r="D1014" s="4" t="s">
        <v>1493</v>
      </c>
      <c r="E1014" s="4"/>
      <c r="F1014" s="4" t="s">
        <v>1494</v>
      </c>
      <c r="G1014" s="5" t="s">
        <v>1495</v>
      </c>
      <c r="H1014" s="5" t="s">
        <v>1496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1497</v>
      </c>
      <c r="P1014" s="6" t="s">
        <v>1498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+VLOOKUP(G1014,Liste!$A$7:$G$69,3,FALSE)</f>
        <v>Pin Noir d'Autriche</v>
      </c>
      <c r="BI1014" s="96" t="str">
        <f>+VLOOKUP(H1014,Liste!$B$7:$G$69,5,FALSE)</f>
        <v>GSM Alpes du Sud</v>
      </c>
      <c r="BJ1014" s="135">
        <f t="shared" si="299"/>
        <v>95</v>
      </c>
      <c r="BK1014" s="135" t="str">
        <f t="shared" si="301"/>
        <v>Pin Noir d'Autriche_F2_PO2_d4_GSM Alpes du Sud_95_</v>
      </c>
      <c r="BL1014" s="319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97" t="str">
        <f>+VLOOKUP(G1014,Liste!$A$7:$H$69,8,FALSE)</f>
        <v>Résineux</v>
      </c>
      <c r="BU1014" s="297">
        <f t="shared" si="302"/>
        <v>0</v>
      </c>
      <c r="BV1014" s="299">
        <f t="shared" si="303"/>
        <v>1</v>
      </c>
      <c r="BW1014" s="318">
        <v>0</v>
      </c>
      <c r="BX1014" s="297">
        <f t="shared" si="304"/>
        <v>0.43</v>
      </c>
      <c r="BY1014">
        <f t="shared" si="305"/>
        <v>0</v>
      </c>
      <c r="BZ1014" s="303">
        <f t="shared" si="306"/>
        <v>0</v>
      </c>
      <c r="CB1014" s="298">
        <v>0.6</v>
      </c>
      <c r="CC1014" s="298">
        <v>0.4</v>
      </c>
      <c r="CD1014">
        <f t="shared" si="307"/>
        <v>0</v>
      </c>
      <c r="CE1014">
        <f t="shared" si="308"/>
        <v>0</v>
      </c>
      <c r="CF1014">
        <f t="shared" si="309"/>
        <v>0</v>
      </c>
      <c r="CG1014">
        <f t="shared" si="310"/>
        <v>0</v>
      </c>
      <c r="CH1014">
        <f t="shared" si="311"/>
        <v>0</v>
      </c>
      <c r="CI1014">
        <f t="shared" si="312"/>
        <v>0</v>
      </c>
      <c r="CJ1014">
        <f t="shared" si="313"/>
        <v>0</v>
      </c>
      <c r="CK1014">
        <f t="shared" si="314"/>
        <v>0</v>
      </c>
      <c r="CL1014">
        <f t="shared" si="315"/>
        <v>0</v>
      </c>
      <c r="CM1014">
        <f t="shared" si="317"/>
        <v>0</v>
      </c>
      <c r="CN1014">
        <f t="shared" si="316"/>
        <v>0</v>
      </c>
      <c r="CO1014">
        <f t="shared" si="300"/>
        <v>0</v>
      </c>
    </row>
    <row r="1015" spans="1:93" s="12" customFormat="1" hidden="1" x14ac:dyDescent="0.25">
      <c r="A1015" s="4">
        <v>2021</v>
      </c>
      <c r="B1015" s="315">
        <v>44279</v>
      </c>
      <c r="C1015" s="4" t="s">
        <v>1492</v>
      </c>
      <c r="D1015" s="4" t="s">
        <v>1493</v>
      </c>
      <c r="E1015" s="4"/>
      <c r="F1015" s="4" t="s">
        <v>1494</v>
      </c>
      <c r="G1015" s="5" t="s">
        <v>1495</v>
      </c>
      <c r="H1015" s="5" t="s">
        <v>1496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1497</v>
      </c>
      <c r="P1015" s="6" t="s">
        <v>1498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+VLOOKUP(G1015,Liste!$A$7:$G$69,3,FALSE)</f>
        <v>Pin Noir d'Autriche</v>
      </c>
      <c r="BI1015" s="96" t="str">
        <f>+VLOOKUP(H1015,Liste!$B$7:$G$69,5,FALSE)</f>
        <v>GSM Alpes du Sud</v>
      </c>
      <c r="BJ1015" s="135">
        <f t="shared" si="299"/>
        <v>100</v>
      </c>
      <c r="BK1015" s="135" t="str">
        <f t="shared" si="301"/>
        <v>Pin Noir d'Autriche_F2_PO2_d4_GSM Alpes du Sud_100_</v>
      </c>
      <c r="BL1015" s="319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97" t="str">
        <f>+VLOOKUP(G1015,Liste!$A$7:$H$69,8,FALSE)</f>
        <v>Résineux</v>
      </c>
      <c r="BU1015" s="297">
        <f t="shared" si="302"/>
        <v>0</v>
      </c>
      <c r="BV1015" s="299">
        <f t="shared" si="303"/>
        <v>1</v>
      </c>
      <c r="BW1015" s="318">
        <v>0</v>
      </c>
      <c r="BX1015" s="297">
        <f t="shared" si="304"/>
        <v>0.43</v>
      </c>
      <c r="BY1015">
        <f t="shared" si="305"/>
        <v>0</v>
      </c>
      <c r="BZ1015" s="303">
        <f t="shared" si="306"/>
        <v>0</v>
      </c>
      <c r="CB1015" s="298">
        <v>0.6</v>
      </c>
      <c r="CC1015" s="298">
        <v>0.4</v>
      </c>
      <c r="CD1015">
        <f t="shared" si="307"/>
        <v>0</v>
      </c>
      <c r="CE1015">
        <f t="shared" si="308"/>
        <v>0</v>
      </c>
      <c r="CF1015">
        <f t="shared" si="309"/>
        <v>0</v>
      </c>
      <c r="CG1015">
        <f t="shared" si="310"/>
        <v>0</v>
      </c>
      <c r="CH1015">
        <f t="shared" si="311"/>
        <v>0</v>
      </c>
      <c r="CI1015">
        <f t="shared" si="312"/>
        <v>0</v>
      </c>
      <c r="CJ1015">
        <f t="shared" si="313"/>
        <v>0</v>
      </c>
      <c r="CK1015">
        <f t="shared" si="314"/>
        <v>0</v>
      </c>
      <c r="CL1015">
        <f t="shared" si="315"/>
        <v>0</v>
      </c>
      <c r="CM1015">
        <f t="shared" si="317"/>
        <v>0</v>
      </c>
      <c r="CN1015">
        <f t="shared" si="316"/>
        <v>0</v>
      </c>
      <c r="CO1015">
        <f t="shared" si="300"/>
        <v>0</v>
      </c>
    </row>
    <row r="1016" spans="1:93" s="12" customFormat="1" hidden="1" x14ac:dyDescent="0.25">
      <c r="A1016" s="4">
        <v>2021</v>
      </c>
      <c r="B1016" s="315">
        <v>44279</v>
      </c>
      <c r="C1016" s="4" t="s">
        <v>1492</v>
      </c>
      <c r="D1016" s="4" t="s">
        <v>1493</v>
      </c>
      <c r="E1016" s="4"/>
      <c r="F1016" s="4" t="s">
        <v>1494</v>
      </c>
      <c r="G1016" s="5" t="s">
        <v>1495</v>
      </c>
      <c r="H1016" s="5" t="s">
        <v>1496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1497</v>
      </c>
      <c r="P1016" s="6" t="s">
        <v>1498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+VLOOKUP(G1016,Liste!$A$7:$G$69,3,FALSE)</f>
        <v>Pin Noir d'Autriche</v>
      </c>
      <c r="BI1016" s="96" t="str">
        <f>+VLOOKUP(H1016,Liste!$B$7:$G$69,5,FALSE)</f>
        <v>GSM Alpes du Sud</v>
      </c>
      <c r="BJ1016" s="135">
        <f t="shared" si="299"/>
        <v>100</v>
      </c>
      <c r="BK1016" s="135" t="str">
        <f t="shared" si="301"/>
        <v>Pin Noir d'Autriche_F2_PO2_d4_GSM Alpes du Sud_100_</v>
      </c>
      <c r="BL1016" s="319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97" t="str">
        <f>+VLOOKUP(G1016,Liste!$A$7:$H$69,8,FALSE)</f>
        <v>Résineux</v>
      </c>
      <c r="BU1016" s="297">
        <f t="shared" si="302"/>
        <v>0</v>
      </c>
      <c r="BV1016" s="299">
        <f t="shared" si="303"/>
        <v>1</v>
      </c>
      <c r="BW1016" s="318">
        <v>0</v>
      </c>
      <c r="BX1016" s="297">
        <f t="shared" si="304"/>
        <v>0.43</v>
      </c>
      <c r="BY1016">
        <f t="shared" si="305"/>
        <v>0</v>
      </c>
      <c r="BZ1016" s="303">
        <f t="shared" si="306"/>
        <v>0</v>
      </c>
      <c r="CB1016" s="298">
        <v>0.6</v>
      </c>
      <c r="CC1016" s="298">
        <v>0.4</v>
      </c>
      <c r="CD1016">
        <f t="shared" si="307"/>
        <v>0</v>
      </c>
      <c r="CE1016">
        <f t="shared" si="308"/>
        <v>0</v>
      </c>
      <c r="CF1016">
        <f t="shared" si="309"/>
        <v>0</v>
      </c>
      <c r="CG1016">
        <f t="shared" si="310"/>
        <v>0</v>
      </c>
      <c r="CH1016">
        <f t="shared" si="311"/>
        <v>0</v>
      </c>
      <c r="CI1016">
        <f t="shared" si="312"/>
        <v>0</v>
      </c>
      <c r="CJ1016">
        <f t="shared" si="313"/>
        <v>0</v>
      </c>
      <c r="CK1016">
        <f t="shared" si="314"/>
        <v>0</v>
      </c>
      <c r="CL1016">
        <f t="shared" si="315"/>
        <v>0</v>
      </c>
      <c r="CM1016">
        <f t="shared" si="317"/>
        <v>0</v>
      </c>
      <c r="CN1016">
        <f t="shared" si="316"/>
        <v>0</v>
      </c>
      <c r="CO1016">
        <f t="shared" si="300"/>
        <v>0</v>
      </c>
    </row>
    <row r="1017" spans="1:93" s="12" customFormat="1" hidden="1" x14ac:dyDescent="0.25">
      <c r="A1017" s="4">
        <v>2021</v>
      </c>
      <c r="B1017" s="315">
        <v>44279</v>
      </c>
      <c r="C1017" s="4" t="s">
        <v>1492</v>
      </c>
      <c r="D1017" s="4" t="s">
        <v>1493</v>
      </c>
      <c r="E1017" s="4"/>
      <c r="F1017" s="4" t="s">
        <v>1494</v>
      </c>
      <c r="G1017" s="5" t="s">
        <v>1495</v>
      </c>
      <c r="H1017" s="5" t="s">
        <v>1496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1497</v>
      </c>
      <c r="P1017" s="6" t="s">
        <v>1498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+VLOOKUP(G1017,Liste!$A$7:$G$69,3,FALSE)</f>
        <v>Pin Noir d'Autriche</v>
      </c>
      <c r="BI1017" s="96" t="str">
        <f>+VLOOKUP(H1017,Liste!$B$7:$G$69,5,FALSE)</f>
        <v>GSM Alpes du Sud</v>
      </c>
      <c r="BJ1017" s="135">
        <f t="shared" si="299"/>
        <v>105</v>
      </c>
      <c r="BK1017" s="135" t="str">
        <f t="shared" si="301"/>
        <v>Pin Noir d'Autriche_F2_PO2_d4_GSM Alpes du Sud_105_</v>
      </c>
      <c r="BL1017" s="319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97" t="str">
        <f>+VLOOKUP(G1017,Liste!$A$7:$H$69,8,FALSE)</f>
        <v>Résineux</v>
      </c>
      <c r="BU1017" s="297">
        <f t="shared" si="302"/>
        <v>0</v>
      </c>
      <c r="BV1017" s="299">
        <f t="shared" si="303"/>
        <v>1</v>
      </c>
      <c r="BW1017" s="318">
        <v>0</v>
      </c>
      <c r="BX1017" s="297">
        <f t="shared" si="304"/>
        <v>0.43</v>
      </c>
      <c r="BY1017">
        <f t="shared" si="305"/>
        <v>0</v>
      </c>
      <c r="BZ1017" s="303">
        <f t="shared" si="306"/>
        <v>0</v>
      </c>
      <c r="CB1017" s="298">
        <v>0.6</v>
      </c>
      <c r="CC1017" s="298">
        <v>0.4</v>
      </c>
      <c r="CD1017">
        <f t="shared" si="307"/>
        <v>0</v>
      </c>
      <c r="CE1017">
        <f t="shared" si="308"/>
        <v>0</v>
      </c>
      <c r="CF1017">
        <f t="shared" si="309"/>
        <v>0</v>
      </c>
      <c r="CG1017">
        <f t="shared" si="310"/>
        <v>0</v>
      </c>
      <c r="CH1017">
        <f t="shared" si="311"/>
        <v>0</v>
      </c>
      <c r="CI1017">
        <f t="shared" si="312"/>
        <v>0</v>
      </c>
      <c r="CJ1017">
        <f t="shared" si="313"/>
        <v>0</v>
      </c>
      <c r="CK1017">
        <f t="shared" si="314"/>
        <v>0</v>
      </c>
      <c r="CL1017">
        <f t="shared" si="315"/>
        <v>0</v>
      </c>
      <c r="CM1017">
        <f t="shared" si="317"/>
        <v>0</v>
      </c>
      <c r="CN1017">
        <f t="shared" si="316"/>
        <v>0</v>
      </c>
      <c r="CO1017">
        <f t="shared" si="300"/>
        <v>0</v>
      </c>
    </row>
    <row r="1018" spans="1:93" s="12" customFormat="1" hidden="1" x14ac:dyDescent="0.25">
      <c r="A1018" s="4">
        <v>2021</v>
      </c>
      <c r="B1018" s="315">
        <v>44279</v>
      </c>
      <c r="C1018" s="4" t="s">
        <v>1492</v>
      </c>
      <c r="D1018" s="4" t="s">
        <v>1493</v>
      </c>
      <c r="E1018" s="4"/>
      <c r="F1018" s="4" t="s">
        <v>1494</v>
      </c>
      <c r="G1018" s="5" t="s">
        <v>1495</v>
      </c>
      <c r="H1018" s="5" t="s">
        <v>1496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1497</v>
      </c>
      <c r="P1018" s="6" t="s">
        <v>1498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+VLOOKUP(G1018,Liste!$A$7:$G$69,3,FALSE)</f>
        <v>Pin Noir d'Autriche</v>
      </c>
      <c r="BI1018" s="96" t="str">
        <f>+VLOOKUP(H1018,Liste!$B$7:$G$69,5,FALSE)</f>
        <v>GSM Alpes du Sud</v>
      </c>
      <c r="BJ1018" s="135">
        <f t="shared" si="299"/>
        <v>110</v>
      </c>
      <c r="BK1018" s="135" t="str">
        <f t="shared" si="301"/>
        <v>Pin Noir d'Autriche_F2_PO2_d4_GSM Alpes du Sud_110_</v>
      </c>
      <c r="BL1018" s="319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97" t="str">
        <f>+VLOOKUP(G1018,Liste!$A$7:$H$69,8,FALSE)</f>
        <v>Résineux</v>
      </c>
      <c r="BU1018" s="297">
        <f t="shared" si="302"/>
        <v>0</v>
      </c>
      <c r="BV1018" s="299">
        <f t="shared" si="303"/>
        <v>1</v>
      </c>
      <c r="BW1018" s="318">
        <v>0</v>
      </c>
      <c r="BX1018" s="297">
        <f t="shared" si="304"/>
        <v>0.43</v>
      </c>
      <c r="BY1018">
        <f t="shared" si="305"/>
        <v>0</v>
      </c>
      <c r="BZ1018" s="303">
        <f t="shared" si="306"/>
        <v>0</v>
      </c>
      <c r="CB1018" s="298">
        <v>0.6</v>
      </c>
      <c r="CC1018" s="298">
        <v>0.4</v>
      </c>
      <c r="CD1018">
        <f t="shared" si="307"/>
        <v>0</v>
      </c>
      <c r="CE1018">
        <f t="shared" si="308"/>
        <v>0</v>
      </c>
      <c r="CF1018">
        <f t="shared" si="309"/>
        <v>0</v>
      </c>
      <c r="CG1018">
        <f t="shared" si="310"/>
        <v>0</v>
      </c>
      <c r="CH1018">
        <f t="shared" si="311"/>
        <v>0</v>
      </c>
      <c r="CI1018">
        <f t="shared" si="312"/>
        <v>0</v>
      </c>
      <c r="CJ1018">
        <f t="shared" si="313"/>
        <v>0</v>
      </c>
      <c r="CK1018">
        <f t="shared" si="314"/>
        <v>0</v>
      </c>
      <c r="CL1018">
        <f t="shared" si="315"/>
        <v>0</v>
      </c>
      <c r="CM1018">
        <f t="shared" si="317"/>
        <v>0</v>
      </c>
      <c r="CN1018">
        <f t="shared" si="316"/>
        <v>0</v>
      </c>
      <c r="CO1018">
        <f t="shared" si="300"/>
        <v>0</v>
      </c>
    </row>
    <row r="1019" spans="1:93" s="12" customFormat="1" hidden="1" x14ac:dyDescent="0.25">
      <c r="A1019" s="4">
        <v>2021</v>
      </c>
      <c r="B1019" s="315">
        <v>44279</v>
      </c>
      <c r="C1019" s="4" t="s">
        <v>1492</v>
      </c>
      <c r="D1019" s="4" t="s">
        <v>1493</v>
      </c>
      <c r="E1019" s="4"/>
      <c r="F1019" s="4" t="s">
        <v>1494</v>
      </c>
      <c r="G1019" s="5" t="s">
        <v>1495</v>
      </c>
      <c r="H1019" s="5" t="s">
        <v>1496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1497</v>
      </c>
      <c r="P1019" s="6" t="s">
        <v>1498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+VLOOKUP(G1019,Liste!$A$7:$G$69,3,FALSE)</f>
        <v>Pin Noir d'Autriche</v>
      </c>
      <c r="BI1019" s="96" t="str">
        <f>+VLOOKUP(H1019,Liste!$B$7:$G$69,5,FALSE)</f>
        <v>GSM Alpes du Sud</v>
      </c>
      <c r="BJ1019" s="135">
        <f t="shared" si="299"/>
        <v>110</v>
      </c>
      <c r="BK1019" s="135" t="str">
        <f t="shared" si="301"/>
        <v>Pin Noir d'Autriche_F2_PO2_d4_GSM Alpes du Sud_110_</v>
      </c>
      <c r="BL1019" s="319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97" t="str">
        <f>+VLOOKUP(G1019,Liste!$A$7:$H$69,8,FALSE)</f>
        <v>Résineux</v>
      </c>
      <c r="BU1019" s="297">
        <f t="shared" si="302"/>
        <v>0</v>
      </c>
      <c r="BV1019" s="299">
        <f t="shared" si="303"/>
        <v>1</v>
      </c>
      <c r="BW1019" s="318">
        <v>0</v>
      </c>
      <c r="BX1019" s="297">
        <f t="shared" si="304"/>
        <v>0.43</v>
      </c>
      <c r="BY1019">
        <f t="shared" si="305"/>
        <v>0</v>
      </c>
      <c r="BZ1019" s="303">
        <f t="shared" si="306"/>
        <v>0</v>
      </c>
      <c r="CB1019" s="298">
        <v>0.6</v>
      </c>
      <c r="CC1019" s="298">
        <v>0.4</v>
      </c>
      <c r="CD1019">
        <f t="shared" si="307"/>
        <v>0</v>
      </c>
      <c r="CE1019">
        <f t="shared" si="308"/>
        <v>0</v>
      </c>
      <c r="CF1019">
        <f t="shared" si="309"/>
        <v>0</v>
      </c>
      <c r="CG1019">
        <f t="shared" si="310"/>
        <v>0</v>
      </c>
      <c r="CH1019">
        <f t="shared" si="311"/>
        <v>0</v>
      </c>
      <c r="CI1019">
        <f t="shared" si="312"/>
        <v>0</v>
      </c>
      <c r="CJ1019">
        <f t="shared" si="313"/>
        <v>0</v>
      </c>
      <c r="CK1019">
        <f t="shared" si="314"/>
        <v>0</v>
      </c>
      <c r="CL1019">
        <f t="shared" si="315"/>
        <v>0</v>
      </c>
      <c r="CM1019">
        <f t="shared" si="317"/>
        <v>0</v>
      </c>
      <c r="CN1019">
        <f t="shared" si="316"/>
        <v>0</v>
      </c>
      <c r="CO1019">
        <f t="shared" si="300"/>
        <v>0</v>
      </c>
    </row>
    <row r="1020" spans="1:93" s="12" customFormat="1" x14ac:dyDescent="0.25">
      <c r="A1020" s="4">
        <v>2021</v>
      </c>
      <c r="B1020" s="315">
        <v>44279</v>
      </c>
      <c r="C1020" s="4" t="s">
        <v>1492</v>
      </c>
      <c r="D1020" s="4" t="s">
        <v>1493</v>
      </c>
      <c r="E1020" s="4"/>
      <c r="F1020" s="4" t="s">
        <v>1494</v>
      </c>
      <c r="G1020" s="5" t="s">
        <v>15</v>
      </c>
      <c r="H1020" s="5" t="s">
        <v>1496</v>
      </c>
      <c r="I1020" s="5" t="s">
        <v>1499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1497</v>
      </c>
      <c r="P1020" s="6" t="s">
        <v>1498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+VLOOKUP(G1020,Liste!$A$7:$G$69,3,FALSE)</f>
        <v>Pin sylvestre</v>
      </c>
      <c r="BI1020" s="96" t="str">
        <f>+VLOOKUP(H1020,Liste!$B$7:$G$69,5,FALSE)</f>
        <v>GSM Alpes du Sud</v>
      </c>
      <c r="BJ1020" s="135">
        <f t="shared" si="299"/>
        <v>25</v>
      </c>
      <c r="BK1020" s="135" t="str">
        <f t="shared" si="301"/>
        <v>Pin sylvestre_F1_PS1_d3_GSM Alpes du Sud_25_</v>
      </c>
      <c r="BL1020" s="319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97" t="str">
        <f>+VLOOKUP(G1020,Liste!$A$7:$H$69,8,FALSE)</f>
        <v>Résineux</v>
      </c>
      <c r="BU1020" s="297">
        <f t="shared" si="302"/>
        <v>0</v>
      </c>
      <c r="BV1020" s="299">
        <f t="shared" si="303"/>
        <v>1</v>
      </c>
      <c r="BW1020" s="318">
        <v>0</v>
      </c>
      <c r="BX1020" s="297">
        <f t="shared" si="304"/>
        <v>0.43</v>
      </c>
      <c r="BY1020">
        <f t="shared" si="305"/>
        <v>0</v>
      </c>
      <c r="BZ1020" s="303">
        <f t="shared" si="306"/>
        <v>0</v>
      </c>
      <c r="CB1020" s="298">
        <v>0.6</v>
      </c>
      <c r="CC1020" s="298">
        <v>0.4</v>
      </c>
      <c r="CD1020">
        <f t="shared" si="307"/>
        <v>0</v>
      </c>
      <c r="CE1020">
        <f t="shared" si="308"/>
        <v>0</v>
      </c>
      <c r="CF1020">
        <f t="shared" si="309"/>
        <v>0</v>
      </c>
      <c r="CG1020">
        <f t="shared" si="310"/>
        <v>0</v>
      </c>
      <c r="CH1020">
        <f t="shared" si="311"/>
        <v>0</v>
      </c>
      <c r="CI1020">
        <f t="shared" si="312"/>
        <v>0</v>
      </c>
      <c r="CJ1020">
        <f t="shared" si="313"/>
        <v>0</v>
      </c>
      <c r="CK1020">
        <f t="shared" si="314"/>
        <v>0</v>
      </c>
      <c r="CL1020">
        <f t="shared" si="315"/>
        <v>0</v>
      </c>
      <c r="CM1020">
        <f t="shared" si="317"/>
        <v>0</v>
      </c>
      <c r="CN1020">
        <f t="shared" si="316"/>
        <v>0</v>
      </c>
      <c r="CO1020">
        <f t="shared" si="300"/>
        <v>0</v>
      </c>
    </row>
    <row r="1021" spans="1:93" s="12" customFormat="1" x14ac:dyDescent="0.25">
      <c r="A1021" s="4">
        <v>2021</v>
      </c>
      <c r="B1021" s="315">
        <v>44279</v>
      </c>
      <c r="C1021" s="4" t="s">
        <v>1492</v>
      </c>
      <c r="D1021" s="4" t="s">
        <v>1493</v>
      </c>
      <c r="E1021" s="4"/>
      <c r="F1021" s="4" t="s">
        <v>1494</v>
      </c>
      <c r="G1021" s="5" t="s">
        <v>15</v>
      </c>
      <c r="H1021" s="5" t="s">
        <v>1496</v>
      </c>
      <c r="I1021" s="5" t="s">
        <v>1499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1497</v>
      </c>
      <c r="P1021" s="6" t="s">
        <v>1498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+VLOOKUP(G1021,Liste!$A$7:$G$69,3,FALSE)</f>
        <v>Pin sylvestre</v>
      </c>
      <c r="BI1021" s="96" t="str">
        <f>+VLOOKUP(H1021,Liste!$B$7:$G$69,5,FALSE)</f>
        <v>GSM Alpes du Sud</v>
      </c>
      <c r="BJ1021" s="135">
        <f t="shared" si="299"/>
        <v>30</v>
      </c>
      <c r="BK1021" s="135" t="str">
        <f t="shared" si="301"/>
        <v>Pin sylvestre_F1_PS1_d3_GSM Alpes du Sud_30_</v>
      </c>
      <c r="BL1021" s="319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97" t="str">
        <f>+VLOOKUP(G1021,Liste!$A$7:$H$69,8,FALSE)</f>
        <v>Résineux</v>
      </c>
      <c r="BU1021" s="297">
        <f t="shared" si="302"/>
        <v>0</v>
      </c>
      <c r="BV1021" s="299">
        <f t="shared" si="303"/>
        <v>1</v>
      </c>
      <c r="BW1021" s="318">
        <v>0</v>
      </c>
      <c r="BX1021" s="297">
        <f t="shared" si="304"/>
        <v>0.43</v>
      </c>
      <c r="BY1021">
        <f t="shared" si="305"/>
        <v>0</v>
      </c>
      <c r="BZ1021" s="303">
        <f t="shared" si="306"/>
        <v>0</v>
      </c>
      <c r="CB1021" s="298">
        <v>0.6</v>
      </c>
      <c r="CC1021" s="298">
        <v>0.4</v>
      </c>
      <c r="CD1021">
        <f t="shared" si="307"/>
        <v>0</v>
      </c>
      <c r="CE1021">
        <f t="shared" si="308"/>
        <v>0</v>
      </c>
      <c r="CF1021">
        <f t="shared" si="309"/>
        <v>0</v>
      </c>
      <c r="CG1021">
        <f t="shared" si="310"/>
        <v>0</v>
      </c>
      <c r="CH1021">
        <f t="shared" si="311"/>
        <v>0</v>
      </c>
      <c r="CI1021">
        <f t="shared" si="312"/>
        <v>0</v>
      </c>
      <c r="CJ1021">
        <f t="shared" si="313"/>
        <v>0</v>
      </c>
      <c r="CK1021">
        <f t="shared" si="314"/>
        <v>0</v>
      </c>
      <c r="CL1021">
        <f t="shared" si="315"/>
        <v>0</v>
      </c>
      <c r="CM1021">
        <f t="shared" si="317"/>
        <v>0</v>
      </c>
      <c r="CN1021">
        <f t="shared" si="316"/>
        <v>0</v>
      </c>
      <c r="CO1021">
        <f t="shared" si="300"/>
        <v>0</v>
      </c>
    </row>
    <row r="1022" spans="1:93" s="12" customFormat="1" x14ac:dyDescent="0.25">
      <c r="A1022" s="4">
        <v>2021</v>
      </c>
      <c r="B1022" s="315">
        <v>44279</v>
      </c>
      <c r="C1022" s="4" t="s">
        <v>1492</v>
      </c>
      <c r="D1022" s="4" t="s">
        <v>1493</v>
      </c>
      <c r="E1022" s="4"/>
      <c r="F1022" s="4" t="s">
        <v>1494</v>
      </c>
      <c r="G1022" s="5" t="s">
        <v>15</v>
      </c>
      <c r="H1022" s="5" t="s">
        <v>1496</v>
      </c>
      <c r="I1022" s="5" t="s">
        <v>1499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1497</v>
      </c>
      <c r="P1022" s="6" t="s">
        <v>1498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+VLOOKUP(G1022,Liste!$A$7:$G$69,3,FALSE)</f>
        <v>Pin sylvestre</v>
      </c>
      <c r="BI1022" s="96" t="str">
        <f>+VLOOKUP(H1022,Liste!$B$7:$G$69,5,FALSE)</f>
        <v>GSM Alpes du Sud</v>
      </c>
      <c r="BJ1022" s="135">
        <f t="shared" si="299"/>
        <v>35</v>
      </c>
      <c r="BK1022" s="135" t="str">
        <f t="shared" si="301"/>
        <v>Pin sylvestre_F1_PS1_d3_GSM Alpes du Sud_35_</v>
      </c>
      <c r="BL1022" s="319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97" t="str">
        <f>+VLOOKUP(G1022,Liste!$A$7:$H$69,8,FALSE)</f>
        <v>Résineux</v>
      </c>
      <c r="BU1022" s="297">
        <f t="shared" si="302"/>
        <v>0</v>
      </c>
      <c r="BV1022" s="299">
        <f t="shared" si="303"/>
        <v>1</v>
      </c>
      <c r="BW1022" s="318">
        <v>0</v>
      </c>
      <c r="BX1022" s="297">
        <f t="shared" si="304"/>
        <v>0.43</v>
      </c>
      <c r="BY1022">
        <f t="shared" si="305"/>
        <v>0</v>
      </c>
      <c r="BZ1022" s="303">
        <f t="shared" si="306"/>
        <v>0</v>
      </c>
      <c r="CB1022" s="298">
        <v>0.6</v>
      </c>
      <c r="CC1022" s="298">
        <v>0.4</v>
      </c>
      <c r="CD1022">
        <f t="shared" si="307"/>
        <v>0</v>
      </c>
      <c r="CE1022">
        <f t="shared" si="308"/>
        <v>0</v>
      </c>
      <c r="CF1022">
        <f t="shared" si="309"/>
        <v>0</v>
      </c>
      <c r="CG1022">
        <f t="shared" si="310"/>
        <v>0</v>
      </c>
      <c r="CH1022">
        <f t="shared" si="311"/>
        <v>0</v>
      </c>
      <c r="CI1022">
        <f t="shared" si="312"/>
        <v>0</v>
      </c>
      <c r="CJ1022">
        <f t="shared" si="313"/>
        <v>0</v>
      </c>
      <c r="CK1022">
        <f t="shared" si="314"/>
        <v>0</v>
      </c>
      <c r="CL1022">
        <f t="shared" si="315"/>
        <v>0</v>
      </c>
      <c r="CM1022">
        <f t="shared" si="317"/>
        <v>0</v>
      </c>
      <c r="CN1022">
        <f t="shared" si="316"/>
        <v>0</v>
      </c>
      <c r="CO1022">
        <f t="shared" si="300"/>
        <v>0</v>
      </c>
    </row>
    <row r="1023" spans="1:93" s="12" customFormat="1" x14ac:dyDescent="0.25">
      <c r="A1023" s="4">
        <v>2021</v>
      </c>
      <c r="B1023" s="315">
        <v>44279</v>
      </c>
      <c r="C1023" s="4" t="s">
        <v>1492</v>
      </c>
      <c r="D1023" s="4" t="s">
        <v>1493</v>
      </c>
      <c r="E1023" s="4"/>
      <c r="F1023" s="4" t="s">
        <v>1494</v>
      </c>
      <c r="G1023" s="5" t="s">
        <v>15</v>
      </c>
      <c r="H1023" s="5" t="s">
        <v>1496</v>
      </c>
      <c r="I1023" s="5" t="s">
        <v>1499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1497</v>
      </c>
      <c r="P1023" s="6" t="s">
        <v>1498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+VLOOKUP(G1023,Liste!$A$7:$G$69,3,FALSE)</f>
        <v>Pin sylvestre</v>
      </c>
      <c r="BI1023" s="96" t="str">
        <f>+VLOOKUP(H1023,Liste!$B$7:$G$69,5,FALSE)</f>
        <v>GSM Alpes du Sud</v>
      </c>
      <c r="BJ1023" s="135">
        <f t="shared" si="299"/>
        <v>40</v>
      </c>
      <c r="BK1023" s="135" t="str">
        <f t="shared" si="301"/>
        <v>Pin sylvestre_F1_PS1_d3_GSM Alpes du Sud_40_</v>
      </c>
      <c r="BL1023" s="319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97" t="str">
        <f>+VLOOKUP(G1023,Liste!$A$7:$H$69,8,FALSE)</f>
        <v>Résineux</v>
      </c>
      <c r="BU1023" s="297">
        <f t="shared" si="302"/>
        <v>0</v>
      </c>
      <c r="BV1023" s="299">
        <f t="shared" si="303"/>
        <v>1</v>
      </c>
      <c r="BW1023" s="318">
        <v>0</v>
      </c>
      <c r="BX1023" s="297">
        <f t="shared" si="304"/>
        <v>0.43</v>
      </c>
      <c r="BY1023">
        <f t="shared" si="305"/>
        <v>0</v>
      </c>
      <c r="BZ1023" s="303">
        <f t="shared" si="306"/>
        <v>0</v>
      </c>
      <c r="CB1023" s="298">
        <v>0.6</v>
      </c>
      <c r="CC1023" s="298">
        <v>0.4</v>
      </c>
      <c r="CD1023">
        <f t="shared" si="307"/>
        <v>0</v>
      </c>
      <c r="CE1023">
        <f t="shared" si="308"/>
        <v>0</v>
      </c>
      <c r="CF1023">
        <f t="shared" si="309"/>
        <v>0</v>
      </c>
      <c r="CG1023">
        <f t="shared" si="310"/>
        <v>0</v>
      </c>
      <c r="CH1023">
        <f t="shared" si="311"/>
        <v>0</v>
      </c>
      <c r="CI1023">
        <f t="shared" si="312"/>
        <v>0</v>
      </c>
      <c r="CJ1023">
        <f t="shared" si="313"/>
        <v>0</v>
      </c>
      <c r="CK1023">
        <f t="shared" si="314"/>
        <v>0</v>
      </c>
      <c r="CL1023">
        <f t="shared" si="315"/>
        <v>0</v>
      </c>
      <c r="CM1023">
        <f t="shared" si="317"/>
        <v>0</v>
      </c>
      <c r="CN1023">
        <f t="shared" si="316"/>
        <v>0</v>
      </c>
      <c r="CO1023">
        <f t="shared" si="300"/>
        <v>0</v>
      </c>
    </row>
    <row r="1024" spans="1:93" s="12" customFormat="1" x14ac:dyDescent="0.25">
      <c r="A1024" s="4">
        <v>2021</v>
      </c>
      <c r="B1024" s="315">
        <v>44279</v>
      </c>
      <c r="C1024" s="4" t="s">
        <v>1492</v>
      </c>
      <c r="D1024" s="4" t="s">
        <v>1493</v>
      </c>
      <c r="E1024" s="4"/>
      <c r="F1024" s="4" t="s">
        <v>1494</v>
      </c>
      <c r="G1024" s="5" t="s">
        <v>15</v>
      </c>
      <c r="H1024" s="5" t="s">
        <v>1496</v>
      </c>
      <c r="I1024" s="5" t="s">
        <v>1499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1497</v>
      </c>
      <c r="P1024" s="6" t="s">
        <v>1498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+VLOOKUP(G1024,Liste!$A$7:$G$69,3,FALSE)</f>
        <v>Pin sylvestre</v>
      </c>
      <c r="BI1024" s="96" t="str">
        <f>+VLOOKUP(H1024,Liste!$B$7:$G$69,5,FALSE)</f>
        <v>GSM Alpes du Sud</v>
      </c>
      <c r="BJ1024" s="135">
        <f t="shared" si="299"/>
        <v>45</v>
      </c>
      <c r="BK1024" s="135" t="str">
        <f t="shared" si="301"/>
        <v>Pin sylvestre_F1_PS1_d3_GSM Alpes du Sud_45_</v>
      </c>
      <c r="BL1024" s="319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97" t="str">
        <f>+VLOOKUP(G1024,Liste!$A$7:$H$69,8,FALSE)</f>
        <v>Résineux</v>
      </c>
      <c r="BU1024" s="297">
        <f t="shared" si="302"/>
        <v>0</v>
      </c>
      <c r="BV1024" s="299">
        <f t="shared" si="303"/>
        <v>1</v>
      </c>
      <c r="BW1024" s="318">
        <v>0</v>
      </c>
      <c r="BX1024" s="297">
        <f t="shared" si="304"/>
        <v>0.43</v>
      </c>
      <c r="BY1024">
        <f t="shared" si="305"/>
        <v>0</v>
      </c>
      <c r="BZ1024" s="303">
        <f t="shared" si="306"/>
        <v>0</v>
      </c>
      <c r="CB1024" s="298">
        <v>0.6</v>
      </c>
      <c r="CC1024" s="298">
        <v>0.4</v>
      </c>
      <c r="CD1024">
        <f t="shared" si="307"/>
        <v>0</v>
      </c>
      <c r="CE1024">
        <f t="shared" si="308"/>
        <v>0</v>
      </c>
      <c r="CF1024">
        <f t="shared" si="309"/>
        <v>0</v>
      </c>
      <c r="CG1024">
        <f t="shared" si="310"/>
        <v>0</v>
      </c>
      <c r="CH1024">
        <f t="shared" si="311"/>
        <v>0</v>
      </c>
      <c r="CI1024">
        <f t="shared" si="312"/>
        <v>0</v>
      </c>
      <c r="CJ1024">
        <f t="shared" si="313"/>
        <v>0</v>
      </c>
      <c r="CK1024">
        <f t="shared" si="314"/>
        <v>0</v>
      </c>
      <c r="CL1024">
        <f t="shared" si="315"/>
        <v>0</v>
      </c>
      <c r="CM1024">
        <f t="shared" si="317"/>
        <v>0</v>
      </c>
      <c r="CN1024">
        <f t="shared" si="316"/>
        <v>0</v>
      </c>
      <c r="CO1024">
        <f t="shared" si="300"/>
        <v>0</v>
      </c>
    </row>
    <row r="1025" spans="1:93" s="12" customFormat="1" x14ac:dyDescent="0.25">
      <c r="A1025" s="4">
        <v>2021</v>
      </c>
      <c r="B1025" s="315">
        <v>44279</v>
      </c>
      <c r="C1025" s="4" t="s">
        <v>1492</v>
      </c>
      <c r="D1025" s="4" t="s">
        <v>1493</v>
      </c>
      <c r="E1025" s="4"/>
      <c r="F1025" s="4" t="s">
        <v>1494</v>
      </c>
      <c r="G1025" s="5" t="s">
        <v>15</v>
      </c>
      <c r="H1025" s="5" t="s">
        <v>1496</v>
      </c>
      <c r="I1025" s="5" t="s">
        <v>1499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1497</v>
      </c>
      <c r="P1025" s="6" t="s">
        <v>1498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+VLOOKUP(G1025,Liste!$A$7:$G$69,3,FALSE)</f>
        <v>Pin sylvestre</v>
      </c>
      <c r="BI1025" s="96" t="str">
        <f>+VLOOKUP(H1025,Liste!$B$7:$G$69,5,FALSE)</f>
        <v>GSM Alpes du Sud</v>
      </c>
      <c r="BJ1025" s="135">
        <f t="shared" si="299"/>
        <v>50</v>
      </c>
      <c r="BK1025" s="135" t="str">
        <f t="shared" si="301"/>
        <v>Pin sylvestre_F1_PS1_d3_GSM Alpes du Sud_50_</v>
      </c>
      <c r="BL1025" s="319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97" t="str">
        <f>+VLOOKUP(G1025,Liste!$A$7:$H$69,8,FALSE)</f>
        <v>Résineux</v>
      </c>
      <c r="BU1025" s="297">
        <f t="shared" si="302"/>
        <v>0</v>
      </c>
      <c r="BV1025" s="299">
        <f t="shared" si="303"/>
        <v>1</v>
      </c>
      <c r="BW1025" s="318">
        <v>0</v>
      </c>
      <c r="BX1025" s="297">
        <f t="shared" si="304"/>
        <v>0.43</v>
      </c>
      <c r="BY1025">
        <f t="shared" si="305"/>
        <v>0</v>
      </c>
      <c r="BZ1025" s="303">
        <f t="shared" si="306"/>
        <v>0</v>
      </c>
      <c r="CB1025" s="298">
        <v>0.6</v>
      </c>
      <c r="CC1025" s="298">
        <v>0.4</v>
      </c>
      <c r="CD1025">
        <f t="shared" si="307"/>
        <v>0</v>
      </c>
      <c r="CE1025">
        <f t="shared" si="308"/>
        <v>0</v>
      </c>
      <c r="CF1025">
        <f t="shared" si="309"/>
        <v>0</v>
      </c>
      <c r="CG1025">
        <f t="shared" si="310"/>
        <v>0</v>
      </c>
      <c r="CH1025">
        <f t="shared" si="311"/>
        <v>0</v>
      </c>
      <c r="CI1025">
        <f t="shared" si="312"/>
        <v>0</v>
      </c>
      <c r="CJ1025">
        <f t="shared" si="313"/>
        <v>0</v>
      </c>
      <c r="CK1025">
        <f t="shared" si="314"/>
        <v>0</v>
      </c>
      <c r="CL1025">
        <f t="shared" si="315"/>
        <v>0</v>
      </c>
      <c r="CM1025">
        <f t="shared" si="317"/>
        <v>0</v>
      </c>
      <c r="CN1025">
        <f t="shared" si="316"/>
        <v>0</v>
      </c>
      <c r="CO1025">
        <f t="shared" si="300"/>
        <v>0</v>
      </c>
    </row>
    <row r="1026" spans="1:93" s="12" customFormat="1" x14ac:dyDescent="0.25">
      <c r="A1026" s="4">
        <v>2021</v>
      </c>
      <c r="B1026" s="315">
        <v>44279</v>
      </c>
      <c r="C1026" s="4" t="s">
        <v>1492</v>
      </c>
      <c r="D1026" s="4" t="s">
        <v>1493</v>
      </c>
      <c r="E1026" s="4"/>
      <c r="F1026" s="4" t="s">
        <v>1494</v>
      </c>
      <c r="G1026" s="5" t="s">
        <v>15</v>
      </c>
      <c r="H1026" s="5" t="s">
        <v>1496</v>
      </c>
      <c r="I1026" s="5" t="s">
        <v>1499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1497</v>
      </c>
      <c r="P1026" s="6" t="s">
        <v>1498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+VLOOKUP(G1026,Liste!$A$7:$G$69,3,FALSE)</f>
        <v>Pin sylvestre</v>
      </c>
      <c r="BI1026" s="96" t="str">
        <f>+VLOOKUP(H1026,Liste!$B$7:$G$69,5,FALSE)</f>
        <v>GSM Alpes du Sud</v>
      </c>
      <c r="BJ1026" s="135">
        <f t="shared" si="299"/>
        <v>50</v>
      </c>
      <c r="BK1026" s="135" t="str">
        <f t="shared" si="301"/>
        <v>Pin sylvestre_F1_PS1_d3_GSM Alpes du Sud_50_</v>
      </c>
      <c r="BL1026" s="319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97" t="str">
        <f>+VLOOKUP(G1026,Liste!$A$7:$H$69,8,FALSE)</f>
        <v>Résineux</v>
      </c>
      <c r="BU1026" s="297">
        <f t="shared" si="302"/>
        <v>0</v>
      </c>
      <c r="BV1026" s="299">
        <f t="shared" si="303"/>
        <v>1</v>
      </c>
      <c r="BW1026" s="318">
        <v>0</v>
      </c>
      <c r="BX1026" s="297">
        <f t="shared" si="304"/>
        <v>0.43</v>
      </c>
      <c r="BY1026">
        <f t="shared" si="305"/>
        <v>0</v>
      </c>
      <c r="BZ1026" s="303">
        <f t="shared" si="306"/>
        <v>0</v>
      </c>
      <c r="CB1026" s="298">
        <v>0.6</v>
      </c>
      <c r="CC1026" s="298">
        <v>0.4</v>
      </c>
      <c r="CD1026">
        <f t="shared" si="307"/>
        <v>0</v>
      </c>
      <c r="CE1026">
        <f t="shared" si="308"/>
        <v>0</v>
      </c>
      <c r="CF1026">
        <f t="shared" si="309"/>
        <v>0</v>
      </c>
      <c r="CG1026">
        <f t="shared" si="310"/>
        <v>0</v>
      </c>
      <c r="CH1026">
        <f t="shared" si="311"/>
        <v>0</v>
      </c>
      <c r="CI1026">
        <f t="shared" si="312"/>
        <v>0</v>
      </c>
      <c r="CJ1026">
        <f t="shared" si="313"/>
        <v>0</v>
      </c>
      <c r="CK1026">
        <f t="shared" si="314"/>
        <v>0</v>
      </c>
      <c r="CL1026">
        <f t="shared" si="315"/>
        <v>0</v>
      </c>
      <c r="CM1026">
        <f t="shared" si="317"/>
        <v>0</v>
      </c>
      <c r="CN1026">
        <f t="shared" si="316"/>
        <v>0</v>
      </c>
      <c r="CO1026">
        <f t="shared" si="300"/>
        <v>0</v>
      </c>
    </row>
    <row r="1027" spans="1:93" s="12" customFormat="1" x14ac:dyDescent="0.25">
      <c r="A1027" s="4">
        <v>2021</v>
      </c>
      <c r="B1027" s="315">
        <v>44279</v>
      </c>
      <c r="C1027" s="4" t="s">
        <v>1492</v>
      </c>
      <c r="D1027" s="4" t="s">
        <v>1493</v>
      </c>
      <c r="E1027" s="4"/>
      <c r="F1027" s="4" t="s">
        <v>1494</v>
      </c>
      <c r="G1027" s="5" t="s">
        <v>15</v>
      </c>
      <c r="H1027" s="5" t="s">
        <v>1496</v>
      </c>
      <c r="I1027" s="5" t="s">
        <v>1499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1497</v>
      </c>
      <c r="P1027" s="6" t="s">
        <v>1498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+VLOOKUP(G1027,Liste!$A$7:$G$69,3,FALSE)</f>
        <v>Pin sylvestre</v>
      </c>
      <c r="BI1027" s="96" t="str">
        <f>+VLOOKUP(H1027,Liste!$B$7:$G$69,5,FALSE)</f>
        <v>GSM Alpes du Sud</v>
      </c>
      <c r="BJ1027" s="135">
        <f t="shared" ref="BJ1027:BJ1090" si="318">+AC1027</f>
        <v>55</v>
      </c>
      <c r="BK1027" s="135" t="str">
        <f t="shared" si="301"/>
        <v>Pin sylvestre_F1_PS1_d3_GSM Alpes du Sud_55_</v>
      </c>
      <c r="BL1027" s="319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97" t="str">
        <f>+VLOOKUP(G1027,Liste!$A$7:$H$69,8,FALSE)</f>
        <v>Résineux</v>
      </c>
      <c r="BU1027" s="297">
        <f t="shared" si="302"/>
        <v>0</v>
      </c>
      <c r="BV1027" s="299">
        <f t="shared" si="303"/>
        <v>1</v>
      </c>
      <c r="BW1027" s="318">
        <v>0</v>
      </c>
      <c r="BX1027" s="297">
        <f t="shared" si="304"/>
        <v>0.43</v>
      </c>
      <c r="BY1027">
        <f t="shared" si="305"/>
        <v>0</v>
      </c>
      <c r="BZ1027" s="303">
        <f t="shared" si="306"/>
        <v>0</v>
      </c>
      <c r="CB1027" s="298">
        <v>0.6</v>
      </c>
      <c r="CC1027" s="298">
        <v>0.4</v>
      </c>
      <c r="CD1027">
        <f t="shared" si="307"/>
        <v>0</v>
      </c>
      <c r="CE1027">
        <f t="shared" si="308"/>
        <v>0</v>
      </c>
      <c r="CF1027">
        <f t="shared" si="309"/>
        <v>0</v>
      </c>
      <c r="CG1027">
        <f t="shared" si="310"/>
        <v>0</v>
      </c>
      <c r="CH1027">
        <f t="shared" si="311"/>
        <v>0</v>
      </c>
      <c r="CI1027">
        <f t="shared" si="312"/>
        <v>0</v>
      </c>
      <c r="CJ1027">
        <f t="shared" si="313"/>
        <v>0</v>
      </c>
      <c r="CK1027">
        <f t="shared" si="314"/>
        <v>0</v>
      </c>
      <c r="CL1027">
        <f t="shared" si="315"/>
        <v>0</v>
      </c>
      <c r="CM1027">
        <f t="shared" si="317"/>
        <v>0</v>
      </c>
      <c r="CN1027">
        <f t="shared" si="316"/>
        <v>0</v>
      </c>
      <c r="CO1027">
        <f t="shared" ref="CO1027:CO1090" si="319">+IF(BJ1027=30,CN1027/30,0)</f>
        <v>0</v>
      </c>
    </row>
    <row r="1028" spans="1:93" s="12" customFormat="1" x14ac:dyDescent="0.25">
      <c r="A1028" s="4">
        <v>2021</v>
      </c>
      <c r="B1028" s="315">
        <v>44279</v>
      </c>
      <c r="C1028" s="4" t="s">
        <v>1492</v>
      </c>
      <c r="D1028" s="4" t="s">
        <v>1493</v>
      </c>
      <c r="E1028" s="4"/>
      <c r="F1028" s="4" t="s">
        <v>1494</v>
      </c>
      <c r="G1028" s="5" t="s">
        <v>15</v>
      </c>
      <c r="H1028" s="5" t="s">
        <v>1496</v>
      </c>
      <c r="I1028" s="5" t="s">
        <v>1499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1497</v>
      </c>
      <c r="P1028" s="6" t="s">
        <v>1498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+VLOOKUP(G1028,Liste!$A$7:$G$69,3,FALSE)</f>
        <v>Pin sylvestre</v>
      </c>
      <c r="BI1028" s="96" t="str">
        <f>+VLOOKUP(H1028,Liste!$B$7:$G$69,5,FALSE)</f>
        <v>GSM Alpes du Sud</v>
      </c>
      <c r="BJ1028" s="135">
        <f t="shared" si="318"/>
        <v>60</v>
      </c>
      <c r="BK1028" s="135" t="str">
        <f t="shared" ref="BK1028:BK1091" si="320">+_xlfn.CONCAT(BH1028,"_",J1028,"_",I1028,"_",BI1028,"_",BJ1028,"_")</f>
        <v>Pin sylvestre_F1_PS1_d3_GSM Alpes du Sud_60_</v>
      </c>
      <c r="BL1028" s="319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97" t="str">
        <f>+VLOOKUP(G1028,Liste!$A$7:$H$69,8,FALSE)</f>
        <v>Résineux</v>
      </c>
      <c r="BU1028" s="297">
        <f t="shared" ref="BU1028:BU1091" si="321">IF(BT1028="Résineux",0%,100%)</f>
        <v>0</v>
      </c>
      <c r="BV1028" s="299">
        <f t="shared" ref="BV1028:BV1091" si="322">+IF(BT1028="Résineux",100%,0%)</f>
        <v>1</v>
      </c>
      <c r="BW1028" s="318">
        <v>0</v>
      </c>
      <c r="BX1028" s="297">
        <f t="shared" ref="BX1028:BX1091" si="323">+IF(BV1028&lt;&gt;0,0.43,0.25)</f>
        <v>0.43</v>
      </c>
      <c r="BY1028">
        <f t="shared" ref="BY1028:BY1091" si="324">+IF(BJ1028&lt;=30,AV1028*BX1028,0)</f>
        <v>0</v>
      </c>
      <c r="BZ1028" s="303">
        <f t="shared" ref="BZ1028:BZ1091" si="325">+IF(BJ1028&gt;=31,0,BY1028+BZ1027)</f>
        <v>0</v>
      </c>
      <c r="CB1028" s="298">
        <v>0.6</v>
      </c>
      <c r="CC1028" s="298">
        <v>0.4</v>
      </c>
      <c r="CD1028">
        <f t="shared" ref="CD1028:CD1091" si="326">+IF(BJ1028&lt;=31,AV1028*CA1028*0.5,0)</f>
        <v>0</v>
      </c>
      <c r="CE1028">
        <f t="shared" ref="CE1028:CE1091" si="327">IF(BJ1028&lt;=31,AV1028*CB1028,0)</f>
        <v>0</v>
      </c>
      <c r="CF1028">
        <f t="shared" ref="CF1028:CF1091" si="328">IF(BJ1028&lt;=31,AV1028*CC1028,0)</f>
        <v>0</v>
      </c>
      <c r="CG1028">
        <f t="shared" ref="CG1028:CG1091" si="329">CD1028*44/12*0.475*BF1028</f>
        <v>0</v>
      </c>
      <c r="CH1028">
        <f t="shared" ref="CH1028:CH1091" si="330">CE1028*44/12*0.475*BF1028</f>
        <v>0</v>
      </c>
      <c r="CI1028">
        <f t="shared" ref="CI1028:CI1091" si="331">CF1028*44/12*0.475*BF1028</f>
        <v>0</v>
      </c>
      <c r="CJ1028">
        <f t="shared" ref="CJ1028:CJ1091" si="332">+IF(BJ1028&lt;=31,CJ1027*EXP(-$CJ$1)+CG1027*(1-EXP(-$CJ$1))/$CJ$1,0)</f>
        <v>0</v>
      </c>
      <c r="CK1028">
        <f t="shared" ref="CK1028:CK1091" si="333">+IF(BJ1028&lt;=31,CK1027*EXP(-$CK$1)+CH1027*(1-EXP(-$CK$1))/$CK$1,0)</f>
        <v>0</v>
      </c>
      <c r="CL1028">
        <f t="shared" ref="CL1028:CL1091" si="334">+IF(BJ1028&lt;=31,CL1027*EXP(-$CL$1)+CI1027*(1-EXP(-$CL$1))/$CL$1,0)</f>
        <v>0</v>
      </c>
      <c r="CM1028">
        <f t="shared" si="317"/>
        <v>0</v>
      </c>
      <c r="CN1028">
        <f t="shared" ref="CN1028:CN1091" si="335">+IF(BJ1028&lt;=31,CM1028+CN1027,0)</f>
        <v>0</v>
      </c>
      <c r="CO1028">
        <f t="shared" si="319"/>
        <v>0</v>
      </c>
    </row>
    <row r="1029" spans="1:93" s="12" customFormat="1" x14ac:dyDescent="0.25">
      <c r="A1029" s="4">
        <v>2021</v>
      </c>
      <c r="B1029" s="315">
        <v>44279</v>
      </c>
      <c r="C1029" s="4" t="s">
        <v>1492</v>
      </c>
      <c r="D1029" s="4" t="s">
        <v>1493</v>
      </c>
      <c r="E1029" s="4"/>
      <c r="F1029" s="4" t="s">
        <v>1494</v>
      </c>
      <c r="G1029" s="5" t="s">
        <v>15</v>
      </c>
      <c r="H1029" s="5" t="s">
        <v>1496</v>
      </c>
      <c r="I1029" s="5" t="s">
        <v>1499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1497</v>
      </c>
      <c r="P1029" s="6" t="s">
        <v>1498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+VLOOKUP(G1029,Liste!$A$7:$G$69,3,FALSE)</f>
        <v>Pin sylvestre</v>
      </c>
      <c r="BI1029" s="96" t="str">
        <f>+VLOOKUP(H1029,Liste!$B$7:$G$69,5,FALSE)</f>
        <v>GSM Alpes du Sud</v>
      </c>
      <c r="BJ1029" s="135">
        <f t="shared" si="318"/>
        <v>65</v>
      </c>
      <c r="BK1029" s="135" t="str">
        <f t="shared" si="320"/>
        <v>Pin sylvestre_F1_PS1_d3_GSM Alpes du Sud_65_</v>
      </c>
      <c r="BL1029" s="319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97" t="str">
        <f>+VLOOKUP(G1029,Liste!$A$7:$H$69,8,FALSE)</f>
        <v>Résineux</v>
      </c>
      <c r="BU1029" s="297">
        <f t="shared" si="321"/>
        <v>0</v>
      </c>
      <c r="BV1029" s="299">
        <f t="shared" si="322"/>
        <v>1</v>
      </c>
      <c r="BW1029" s="318">
        <v>0</v>
      </c>
      <c r="BX1029" s="297">
        <f t="shared" si="323"/>
        <v>0.43</v>
      </c>
      <c r="BY1029">
        <f t="shared" si="324"/>
        <v>0</v>
      </c>
      <c r="BZ1029" s="303">
        <f t="shared" si="325"/>
        <v>0</v>
      </c>
      <c r="CB1029" s="298">
        <v>0.6</v>
      </c>
      <c r="CC1029" s="298">
        <v>0.4</v>
      </c>
      <c r="CD1029">
        <f t="shared" si="326"/>
        <v>0</v>
      </c>
      <c r="CE1029">
        <f t="shared" si="327"/>
        <v>0</v>
      </c>
      <c r="CF1029">
        <f t="shared" si="328"/>
        <v>0</v>
      </c>
      <c r="CG1029">
        <f t="shared" si="329"/>
        <v>0</v>
      </c>
      <c r="CH1029">
        <f t="shared" si="330"/>
        <v>0</v>
      </c>
      <c r="CI1029">
        <f t="shared" si="331"/>
        <v>0</v>
      </c>
      <c r="CJ1029">
        <f t="shared" si="332"/>
        <v>0</v>
      </c>
      <c r="CK1029">
        <f t="shared" si="333"/>
        <v>0</v>
      </c>
      <c r="CL1029">
        <f t="shared" si="334"/>
        <v>0</v>
      </c>
      <c r="CM1029">
        <f t="shared" ref="CM1029:CM1092" si="336">+CJ1029+CK1029+CL1029</f>
        <v>0</v>
      </c>
      <c r="CN1029">
        <f t="shared" si="335"/>
        <v>0</v>
      </c>
      <c r="CO1029">
        <f t="shared" si="319"/>
        <v>0</v>
      </c>
    </row>
    <row r="1030" spans="1:93" s="12" customFormat="1" x14ac:dyDescent="0.25">
      <c r="A1030" s="4">
        <v>2021</v>
      </c>
      <c r="B1030" s="315">
        <v>44279</v>
      </c>
      <c r="C1030" s="4" t="s">
        <v>1492</v>
      </c>
      <c r="D1030" s="4" t="s">
        <v>1493</v>
      </c>
      <c r="E1030" s="4"/>
      <c r="F1030" s="4" t="s">
        <v>1494</v>
      </c>
      <c r="G1030" s="5" t="s">
        <v>15</v>
      </c>
      <c r="H1030" s="5" t="s">
        <v>1496</v>
      </c>
      <c r="I1030" s="5" t="s">
        <v>1499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1497</v>
      </c>
      <c r="P1030" s="6" t="s">
        <v>1498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+VLOOKUP(G1030,Liste!$A$7:$G$69,3,FALSE)</f>
        <v>Pin sylvestre</v>
      </c>
      <c r="BI1030" s="96" t="str">
        <f>+VLOOKUP(H1030,Liste!$B$7:$G$69,5,FALSE)</f>
        <v>GSM Alpes du Sud</v>
      </c>
      <c r="BJ1030" s="135">
        <f t="shared" si="318"/>
        <v>70</v>
      </c>
      <c r="BK1030" s="135" t="str">
        <f t="shared" si="320"/>
        <v>Pin sylvestre_F1_PS1_d3_GSM Alpes du Sud_70_</v>
      </c>
      <c r="BL1030" s="319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97" t="str">
        <f>+VLOOKUP(G1030,Liste!$A$7:$H$69,8,FALSE)</f>
        <v>Résineux</v>
      </c>
      <c r="BU1030" s="297">
        <f t="shared" si="321"/>
        <v>0</v>
      </c>
      <c r="BV1030" s="299">
        <f t="shared" si="322"/>
        <v>1</v>
      </c>
      <c r="BW1030" s="318">
        <v>0</v>
      </c>
      <c r="BX1030" s="297">
        <f t="shared" si="323"/>
        <v>0.43</v>
      </c>
      <c r="BY1030">
        <f t="shared" si="324"/>
        <v>0</v>
      </c>
      <c r="BZ1030" s="303">
        <f t="shared" si="325"/>
        <v>0</v>
      </c>
      <c r="CB1030" s="298">
        <v>0.6</v>
      </c>
      <c r="CC1030" s="298">
        <v>0.4</v>
      </c>
      <c r="CD1030">
        <f t="shared" si="326"/>
        <v>0</v>
      </c>
      <c r="CE1030">
        <f t="shared" si="327"/>
        <v>0</v>
      </c>
      <c r="CF1030">
        <f t="shared" si="328"/>
        <v>0</v>
      </c>
      <c r="CG1030">
        <f t="shared" si="329"/>
        <v>0</v>
      </c>
      <c r="CH1030">
        <f t="shared" si="330"/>
        <v>0</v>
      </c>
      <c r="CI1030">
        <f t="shared" si="331"/>
        <v>0</v>
      </c>
      <c r="CJ1030">
        <f t="shared" si="332"/>
        <v>0</v>
      </c>
      <c r="CK1030">
        <f t="shared" si="333"/>
        <v>0</v>
      </c>
      <c r="CL1030">
        <f t="shared" si="334"/>
        <v>0</v>
      </c>
      <c r="CM1030">
        <f t="shared" si="336"/>
        <v>0</v>
      </c>
      <c r="CN1030">
        <f t="shared" si="335"/>
        <v>0</v>
      </c>
      <c r="CO1030">
        <f t="shared" si="319"/>
        <v>0</v>
      </c>
    </row>
    <row r="1031" spans="1:93" s="12" customFormat="1" x14ac:dyDescent="0.25">
      <c r="A1031" s="4">
        <v>2021</v>
      </c>
      <c r="B1031" s="315">
        <v>44279</v>
      </c>
      <c r="C1031" s="4" t="s">
        <v>1492</v>
      </c>
      <c r="D1031" s="4" t="s">
        <v>1493</v>
      </c>
      <c r="E1031" s="4"/>
      <c r="F1031" s="4" t="s">
        <v>1494</v>
      </c>
      <c r="G1031" s="5" t="s">
        <v>15</v>
      </c>
      <c r="H1031" s="5" t="s">
        <v>1496</v>
      </c>
      <c r="I1031" s="5" t="s">
        <v>1499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1497</v>
      </c>
      <c r="P1031" s="6" t="s">
        <v>1498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+VLOOKUP(G1031,Liste!$A$7:$G$69,3,FALSE)</f>
        <v>Pin sylvestre</v>
      </c>
      <c r="BI1031" s="96" t="str">
        <f>+VLOOKUP(H1031,Liste!$B$7:$G$69,5,FALSE)</f>
        <v>GSM Alpes du Sud</v>
      </c>
      <c r="BJ1031" s="135">
        <f t="shared" si="318"/>
        <v>70</v>
      </c>
      <c r="BK1031" s="135" t="str">
        <f t="shared" si="320"/>
        <v>Pin sylvestre_F1_PS1_d3_GSM Alpes du Sud_70_</v>
      </c>
      <c r="BL1031" s="319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97" t="str">
        <f>+VLOOKUP(G1031,Liste!$A$7:$H$69,8,FALSE)</f>
        <v>Résineux</v>
      </c>
      <c r="BU1031" s="297">
        <f t="shared" si="321"/>
        <v>0</v>
      </c>
      <c r="BV1031" s="299">
        <f t="shared" si="322"/>
        <v>1</v>
      </c>
      <c r="BW1031" s="318">
        <v>0</v>
      </c>
      <c r="BX1031" s="297">
        <f t="shared" si="323"/>
        <v>0.43</v>
      </c>
      <c r="BY1031">
        <f t="shared" si="324"/>
        <v>0</v>
      </c>
      <c r="BZ1031" s="303">
        <f t="shared" si="325"/>
        <v>0</v>
      </c>
      <c r="CB1031" s="298">
        <v>0.6</v>
      </c>
      <c r="CC1031" s="298">
        <v>0.4</v>
      </c>
      <c r="CD1031">
        <f t="shared" si="326"/>
        <v>0</v>
      </c>
      <c r="CE1031">
        <f t="shared" si="327"/>
        <v>0</v>
      </c>
      <c r="CF1031">
        <f t="shared" si="328"/>
        <v>0</v>
      </c>
      <c r="CG1031">
        <f t="shared" si="329"/>
        <v>0</v>
      </c>
      <c r="CH1031">
        <f t="shared" si="330"/>
        <v>0</v>
      </c>
      <c r="CI1031">
        <f t="shared" si="331"/>
        <v>0</v>
      </c>
      <c r="CJ1031">
        <f t="shared" si="332"/>
        <v>0</v>
      </c>
      <c r="CK1031">
        <f t="shared" si="333"/>
        <v>0</v>
      </c>
      <c r="CL1031">
        <f t="shared" si="334"/>
        <v>0</v>
      </c>
      <c r="CM1031">
        <f t="shared" si="336"/>
        <v>0</v>
      </c>
      <c r="CN1031">
        <f t="shared" si="335"/>
        <v>0</v>
      </c>
      <c r="CO1031">
        <f t="shared" si="319"/>
        <v>0</v>
      </c>
    </row>
    <row r="1032" spans="1:93" s="12" customFormat="1" x14ac:dyDescent="0.25">
      <c r="A1032" s="4">
        <v>2021</v>
      </c>
      <c r="B1032" s="315">
        <v>44279</v>
      </c>
      <c r="C1032" s="4" t="s">
        <v>1492</v>
      </c>
      <c r="D1032" s="4" t="s">
        <v>1493</v>
      </c>
      <c r="E1032" s="4"/>
      <c r="F1032" s="4" t="s">
        <v>1494</v>
      </c>
      <c r="G1032" s="5" t="s">
        <v>15</v>
      </c>
      <c r="H1032" s="5" t="s">
        <v>1496</v>
      </c>
      <c r="I1032" s="5" t="s">
        <v>1499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1497</v>
      </c>
      <c r="P1032" s="6" t="s">
        <v>1498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+VLOOKUP(G1032,Liste!$A$7:$G$69,3,FALSE)</f>
        <v>Pin sylvestre</v>
      </c>
      <c r="BI1032" s="96" t="str">
        <f>+VLOOKUP(H1032,Liste!$B$7:$G$69,5,FALSE)</f>
        <v>GSM Alpes du Sud</v>
      </c>
      <c r="BJ1032" s="135">
        <f t="shared" si="318"/>
        <v>75</v>
      </c>
      <c r="BK1032" s="135" t="str">
        <f t="shared" si="320"/>
        <v>Pin sylvestre_F1_PS1_d3_GSM Alpes du Sud_75_</v>
      </c>
      <c r="BL1032" s="319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97" t="str">
        <f>+VLOOKUP(G1032,Liste!$A$7:$H$69,8,FALSE)</f>
        <v>Résineux</v>
      </c>
      <c r="BU1032" s="297">
        <f t="shared" si="321"/>
        <v>0</v>
      </c>
      <c r="BV1032" s="299">
        <f t="shared" si="322"/>
        <v>1</v>
      </c>
      <c r="BW1032" s="318">
        <v>0</v>
      </c>
      <c r="BX1032" s="297">
        <f t="shared" si="323"/>
        <v>0.43</v>
      </c>
      <c r="BY1032">
        <f t="shared" si="324"/>
        <v>0</v>
      </c>
      <c r="BZ1032" s="303">
        <f t="shared" si="325"/>
        <v>0</v>
      </c>
      <c r="CB1032" s="298">
        <v>0.6</v>
      </c>
      <c r="CC1032" s="298">
        <v>0.4</v>
      </c>
      <c r="CD1032">
        <f t="shared" si="326"/>
        <v>0</v>
      </c>
      <c r="CE1032">
        <f t="shared" si="327"/>
        <v>0</v>
      </c>
      <c r="CF1032">
        <f t="shared" si="328"/>
        <v>0</v>
      </c>
      <c r="CG1032">
        <f t="shared" si="329"/>
        <v>0</v>
      </c>
      <c r="CH1032">
        <f t="shared" si="330"/>
        <v>0</v>
      </c>
      <c r="CI1032">
        <f t="shared" si="331"/>
        <v>0</v>
      </c>
      <c r="CJ1032">
        <f t="shared" si="332"/>
        <v>0</v>
      </c>
      <c r="CK1032">
        <f t="shared" si="333"/>
        <v>0</v>
      </c>
      <c r="CL1032">
        <f t="shared" si="334"/>
        <v>0</v>
      </c>
      <c r="CM1032">
        <f t="shared" si="336"/>
        <v>0</v>
      </c>
      <c r="CN1032">
        <f t="shared" si="335"/>
        <v>0</v>
      </c>
      <c r="CO1032">
        <f t="shared" si="319"/>
        <v>0</v>
      </c>
    </row>
    <row r="1033" spans="1:93" s="12" customFormat="1" x14ac:dyDescent="0.25">
      <c r="A1033" s="4">
        <v>2021</v>
      </c>
      <c r="B1033" s="315">
        <v>44279</v>
      </c>
      <c r="C1033" s="4" t="s">
        <v>1492</v>
      </c>
      <c r="D1033" s="4" t="s">
        <v>1493</v>
      </c>
      <c r="E1033" s="4"/>
      <c r="F1033" s="4" t="s">
        <v>1494</v>
      </c>
      <c r="G1033" s="5" t="s">
        <v>15</v>
      </c>
      <c r="H1033" s="5" t="s">
        <v>1496</v>
      </c>
      <c r="I1033" s="5" t="s">
        <v>1499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1497</v>
      </c>
      <c r="P1033" s="6" t="s">
        <v>1498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+VLOOKUP(G1033,Liste!$A$7:$G$69,3,FALSE)</f>
        <v>Pin sylvestre</v>
      </c>
      <c r="BI1033" s="96" t="str">
        <f>+VLOOKUP(H1033,Liste!$B$7:$G$69,5,FALSE)</f>
        <v>GSM Alpes du Sud</v>
      </c>
      <c r="BJ1033" s="135">
        <f t="shared" si="318"/>
        <v>80</v>
      </c>
      <c r="BK1033" s="135" t="str">
        <f t="shared" si="320"/>
        <v>Pin sylvestre_F1_PS1_d3_GSM Alpes du Sud_80_</v>
      </c>
      <c r="BL1033" s="319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97" t="str">
        <f>+VLOOKUP(G1033,Liste!$A$7:$H$69,8,FALSE)</f>
        <v>Résineux</v>
      </c>
      <c r="BU1033" s="297">
        <f t="shared" si="321"/>
        <v>0</v>
      </c>
      <c r="BV1033" s="299">
        <f t="shared" si="322"/>
        <v>1</v>
      </c>
      <c r="BW1033" s="318">
        <v>0</v>
      </c>
      <c r="BX1033" s="297">
        <f t="shared" si="323"/>
        <v>0.43</v>
      </c>
      <c r="BY1033">
        <f t="shared" si="324"/>
        <v>0</v>
      </c>
      <c r="BZ1033" s="303">
        <f t="shared" si="325"/>
        <v>0</v>
      </c>
      <c r="CB1033" s="298">
        <v>0.6</v>
      </c>
      <c r="CC1033" s="298">
        <v>0.4</v>
      </c>
      <c r="CD1033">
        <f t="shared" si="326"/>
        <v>0</v>
      </c>
      <c r="CE1033">
        <f t="shared" si="327"/>
        <v>0</v>
      </c>
      <c r="CF1033">
        <f t="shared" si="328"/>
        <v>0</v>
      </c>
      <c r="CG1033">
        <f t="shared" si="329"/>
        <v>0</v>
      </c>
      <c r="CH1033">
        <f t="shared" si="330"/>
        <v>0</v>
      </c>
      <c r="CI1033">
        <f t="shared" si="331"/>
        <v>0</v>
      </c>
      <c r="CJ1033">
        <f t="shared" si="332"/>
        <v>0</v>
      </c>
      <c r="CK1033">
        <f t="shared" si="333"/>
        <v>0</v>
      </c>
      <c r="CL1033">
        <f t="shared" si="334"/>
        <v>0</v>
      </c>
      <c r="CM1033">
        <f t="shared" si="336"/>
        <v>0</v>
      </c>
      <c r="CN1033">
        <f t="shared" si="335"/>
        <v>0</v>
      </c>
      <c r="CO1033">
        <f t="shared" si="319"/>
        <v>0</v>
      </c>
    </row>
    <row r="1034" spans="1:93" s="12" customFormat="1" x14ac:dyDescent="0.25">
      <c r="A1034" s="4">
        <v>2021</v>
      </c>
      <c r="B1034" s="315">
        <v>44279</v>
      </c>
      <c r="C1034" s="4" t="s">
        <v>1492</v>
      </c>
      <c r="D1034" s="4" t="s">
        <v>1493</v>
      </c>
      <c r="E1034" s="4"/>
      <c r="F1034" s="4" t="s">
        <v>1494</v>
      </c>
      <c r="G1034" s="5" t="s">
        <v>15</v>
      </c>
      <c r="H1034" s="5" t="s">
        <v>1496</v>
      </c>
      <c r="I1034" s="5" t="s">
        <v>1499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1497</v>
      </c>
      <c r="P1034" s="6" t="s">
        <v>1498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+VLOOKUP(G1034,Liste!$A$7:$G$69,3,FALSE)</f>
        <v>Pin sylvestre</v>
      </c>
      <c r="BI1034" s="96" t="str">
        <f>+VLOOKUP(H1034,Liste!$B$7:$G$69,5,FALSE)</f>
        <v>GSM Alpes du Sud</v>
      </c>
      <c r="BJ1034" s="135">
        <f t="shared" si="318"/>
        <v>85</v>
      </c>
      <c r="BK1034" s="135" t="str">
        <f t="shared" si="320"/>
        <v>Pin sylvestre_F1_PS1_d3_GSM Alpes du Sud_85_</v>
      </c>
      <c r="BL1034" s="319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97" t="str">
        <f>+VLOOKUP(G1034,Liste!$A$7:$H$69,8,FALSE)</f>
        <v>Résineux</v>
      </c>
      <c r="BU1034" s="297">
        <f t="shared" si="321"/>
        <v>0</v>
      </c>
      <c r="BV1034" s="299">
        <f t="shared" si="322"/>
        <v>1</v>
      </c>
      <c r="BW1034" s="318">
        <v>0</v>
      </c>
      <c r="BX1034" s="297">
        <f t="shared" si="323"/>
        <v>0.43</v>
      </c>
      <c r="BY1034">
        <f t="shared" si="324"/>
        <v>0</v>
      </c>
      <c r="BZ1034" s="303">
        <f t="shared" si="325"/>
        <v>0</v>
      </c>
      <c r="CB1034" s="298">
        <v>0.6</v>
      </c>
      <c r="CC1034" s="298">
        <v>0.4</v>
      </c>
      <c r="CD1034">
        <f t="shared" si="326"/>
        <v>0</v>
      </c>
      <c r="CE1034">
        <f t="shared" si="327"/>
        <v>0</v>
      </c>
      <c r="CF1034">
        <f t="shared" si="328"/>
        <v>0</v>
      </c>
      <c r="CG1034">
        <f t="shared" si="329"/>
        <v>0</v>
      </c>
      <c r="CH1034">
        <f t="shared" si="330"/>
        <v>0</v>
      </c>
      <c r="CI1034">
        <f t="shared" si="331"/>
        <v>0</v>
      </c>
      <c r="CJ1034">
        <f t="shared" si="332"/>
        <v>0</v>
      </c>
      <c r="CK1034">
        <f t="shared" si="333"/>
        <v>0</v>
      </c>
      <c r="CL1034">
        <f t="shared" si="334"/>
        <v>0</v>
      </c>
      <c r="CM1034">
        <f t="shared" si="336"/>
        <v>0</v>
      </c>
      <c r="CN1034">
        <f t="shared" si="335"/>
        <v>0</v>
      </c>
      <c r="CO1034">
        <f t="shared" si="319"/>
        <v>0</v>
      </c>
    </row>
    <row r="1035" spans="1:93" s="12" customFormat="1" x14ac:dyDescent="0.25">
      <c r="A1035" s="4">
        <v>2021</v>
      </c>
      <c r="B1035" s="315">
        <v>44279</v>
      </c>
      <c r="C1035" s="4" t="s">
        <v>1492</v>
      </c>
      <c r="D1035" s="4" t="s">
        <v>1493</v>
      </c>
      <c r="E1035" s="4"/>
      <c r="F1035" s="4" t="s">
        <v>1494</v>
      </c>
      <c r="G1035" s="5" t="s">
        <v>15</v>
      </c>
      <c r="H1035" s="5" t="s">
        <v>1496</v>
      </c>
      <c r="I1035" s="5" t="s">
        <v>1499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1497</v>
      </c>
      <c r="P1035" s="6" t="s">
        <v>1498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+VLOOKUP(G1035,Liste!$A$7:$G$69,3,FALSE)</f>
        <v>Pin sylvestre</v>
      </c>
      <c r="BI1035" s="96" t="str">
        <f>+VLOOKUP(H1035,Liste!$B$7:$G$69,5,FALSE)</f>
        <v>GSM Alpes du Sud</v>
      </c>
      <c r="BJ1035" s="135">
        <f t="shared" si="318"/>
        <v>85</v>
      </c>
      <c r="BK1035" s="135" t="str">
        <f t="shared" si="320"/>
        <v>Pin sylvestre_F1_PS1_d3_GSM Alpes du Sud_85_</v>
      </c>
      <c r="BL1035" s="319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97" t="str">
        <f>+VLOOKUP(G1035,Liste!$A$7:$H$69,8,FALSE)</f>
        <v>Résineux</v>
      </c>
      <c r="BU1035" s="297">
        <f t="shared" si="321"/>
        <v>0</v>
      </c>
      <c r="BV1035" s="299">
        <f t="shared" si="322"/>
        <v>1</v>
      </c>
      <c r="BW1035" s="318">
        <v>0</v>
      </c>
      <c r="BX1035" s="297">
        <f t="shared" si="323"/>
        <v>0.43</v>
      </c>
      <c r="BY1035">
        <f t="shared" si="324"/>
        <v>0</v>
      </c>
      <c r="BZ1035" s="303">
        <f t="shared" si="325"/>
        <v>0</v>
      </c>
      <c r="CB1035" s="298">
        <v>0.6</v>
      </c>
      <c r="CC1035" s="298">
        <v>0.4</v>
      </c>
      <c r="CD1035">
        <f t="shared" si="326"/>
        <v>0</v>
      </c>
      <c r="CE1035">
        <f t="shared" si="327"/>
        <v>0</v>
      </c>
      <c r="CF1035">
        <f t="shared" si="328"/>
        <v>0</v>
      </c>
      <c r="CG1035">
        <f t="shared" si="329"/>
        <v>0</v>
      </c>
      <c r="CH1035">
        <f t="shared" si="330"/>
        <v>0</v>
      </c>
      <c r="CI1035">
        <f t="shared" si="331"/>
        <v>0</v>
      </c>
      <c r="CJ1035">
        <f t="shared" si="332"/>
        <v>0</v>
      </c>
      <c r="CK1035">
        <f t="shared" si="333"/>
        <v>0</v>
      </c>
      <c r="CL1035">
        <f t="shared" si="334"/>
        <v>0</v>
      </c>
      <c r="CM1035">
        <f t="shared" si="336"/>
        <v>0</v>
      </c>
      <c r="CN1035">
        <f t="shared" si="335"/>
        <v>0</v>
      </c>
      <c r="CO1035">
        <f t="shared" si="319"/>
        <v>0</v>
      </c>
    </row>
    <row r="1036" spans="1:93" s="12" customFormat="1" x14ac:dyDescent="0.25">
      <c r="A1036" s="4">
        <v>2021</v>
      </c>
      <c r="B1036" s="315">
        <v>44279</v>
      </c>
      <c r="C1036" s="4" t="s">
        <v>1492</v>
      </c>
      <c r="D1036" s="4" t="s">
        <v>1493</v>
      </c>
      <c r="E1036" s="4"/>
      <c r="F1036" s="4" t="s">
        <v>1494</v>
      </c>
      <c r="G1036" s="5" t="s">
        <v>15</v>
      </c>
      <c r="H1036" s="5" t="s">
        <v>1496</v>
      </c>
      <c r="I1036" s="5" t="s">
        <v>1499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1497</v>
      </c>
      <c r="P1036" s="6" t="s">
        <v>1498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+VLOOKUP(G1036,Liste!$A$7:$G$69,3,FALSE)</f>
        <v>Pin sylvestre</v>
      </c>
      <c r="BI1036" s="96" t="str">
        <f>+VLOOKUP(H1036,Liste!$B$7:$G$69,5,FALSE)</f>
        <v>GSM Alpes du Sud</v>
      </c>
      <c r="BJ1036" s="135">
        <f t="shared" si="318"/>
        <v>90</v>
      </c>
      <c r="BK1036" s="135" t="str">
        <f t="shared" si="320"/>
        <v>Pin sylvestre_F1_PS1_d3_GSM Alpes du Sud_90_</v>
      </c>
      <c r="BL1036" s="319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97" t="str">
        <f>+VLOOKUP(G1036,Liste!$A$7:$H$69,8,FALSE)</f>
        <v>Résineux</v>
      </c>
      <c r="BU1036" s="297">
        <f t="shared" si="321"/>
        <v>0</v>
      </c>
      <c r="BV1036" s="299">
        <f t="shared" si="322"/>
        <v>1</v>
      </c>
      <c r="BW1036" s="318">
        <v>0</v>
      </c>
      <c r="BX1036" s="297">
        <f t="shared" si="323"/>
        <v>0.43</v>
      </c>
      <c r="BY1036">
        <f t="shared" si="324"/>
        <v>0</v>
      </c>
      <c r="BZ1036" s="303">
        <f t="shared" si="325"/>
        <v>0</v>
      </c>
      <c r="CB1036" s="298">
        <v>0.6</v>
      </c>
      <c r="CC1036" s="298">
        <v>0.4</v>
      </c>
      <c r="CD1036">
        <f t="shared" si="326"/>
        <v>0</v>
      </c>
      <c r="CE1036">
        <f t="shared" si="327"/>
        <v>0</v>
      </c>
      <c r="CF1036">
        <f t="shared" si="328"/>
        <v>0</v>
      </c>
      <c r="CG1036">
        <f t="shared" si="329"/>
        <v>0</v>
      </c>
      <c r="CH1036">
        <f t="shared" si="330"/>
        <v>0</v>
      </c>
      <c r="CI1036">
        <f t="shared" si="331"/>
        <v>0</v>
      </c>
      <c r="CJ1036">
        <f t="shared" si="332"/>
        <v>0</v>
      </c>
      <c r="CK1036">
        <f t="shared" si="333"/>
        <v>0</v>
      </c>
      <c r="CL1036">
        <f t="shared" si="334"/>
        <v>0</v>
      </c>
      <c r="CM1036">
        <f t="shared" si="336"/>
        <v>0</v>
      </c>
      <c r="CN1036">
        <f t="shared" si="335"/>
        <v>0</v>
      </c>
      <c r="CO1036">
        <f t="shared" si="319"/>
        <v>0</v>
      </c>
    </row>
    <row r="1037" spans="1:93" s="12" customFormat="1" x14ac:dyDescent="0.25">
      <c r="A1037" s="4">
        <v>2021</v>
      </c>
      <c r="B1037" s="315">
        <v>44279</v>
      </c>
      <c r="C1037" s="4" t="s">
        <v>1492</v>
      </c>
      <c r="D1037" s="4" t="s">
        <v>1493</v>
      </c>
      <c r="E1037" s="4"/>
      <c r="F1037" s="4" t="s">
        <v>1494</v>
      </c>
      <c r="G1037" s="5" t="s">
        <v>15</v>
      </c>
      <c r="H1037" s="5" t="s">
        <v>1496</v>
      </c>
      <c r="I1037" s="5" t="s">
        <v>1499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1497</v>
      </c>
      <c r="P1037" s="6" t="s">
        <v>1498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+VLOOKUP(G1037,Liste!$A$7:$G$69,3,FALSE)</f>
        <v>Pin sylvestre</v>
      </c>
      <c r="BI1037" s="96" t="str">
        <f>+VLOOKUP(H1037,Liste!$B$7:$G$69,5,FALSE)</f>
        <v>GSM Alpes du Sud</v>
      </c>
      <c r="BJ1037" s="135">
        <f t="shared" si="318"/>
        <v>95</v>
      </c>
      <c r="BK1037" s="135" t="str">
        <f t="shared" si="320"/>
        <v>Pin sylvestre_F1_PS1_d3_GSM Alpes du Sud_95_</v>
      </c>
      <c r="BL1037" s="319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97" t="str">
        <f>+VLOOKUP(G1037,Liste!$A$7:$H$69,8,FALSE)</f>
        <v>Résineux</v>
      </c>
      <c r="BU1037" s="297">
        <f t="shared" si="321"/>
        <v>0</v>
      </c>
      <c r="BV1037" s="299">
        <f t="shared" si="322"/>
        <v>1</v>
      </c>
      <c r="BW1037" s="318">
        <v>0</v>
      </c>
      <c r="BX1037" s="297">
        <f t="shared" si="323"/>
        <v>0.43</v>
      </c>
      <c r="BY1037">
        <f t="shared" si="324"/>
        <v>0</v>
      </c>
      <c r="BZ1037" s="303">
        <f t="shared" si="325"/>
        <v>0</v>
      </c>
      <c r="CB1037" s="298">
        <v>0.6</v>
      </c>
      <c r="CC1037" s="298">
        <v>0.4</v>
      </c>
      <c r="CD1037">
        <f t="shared" si="326"/>
        <v>0</v>
      </c>
      <c r="CE1037">
        <f t="shared" si="327"/>
        <v>0</v>
      </c>
      <c r="CF1037">
        <f t="shared" si="328"/>
        <v>0</v>
      </c>
      <c r="CG1037">
        <f t="shared" si="329"/>
        <v>0</v>
      </c>
      <c r="CH1037">
        <f t="shared" si="330"/>
        <v>0</v>
      </c>
      <c r="CI1037">
        <f t="shared" si="331"/>
        <v>0</v>
      </c>
      <c r="CJ1037">
        <f t="shared" si="332"/>
        <v>0</v>
      </c>
      <c r="CK1037">
        <f t="shared" si="333"/>
        <v>0</v>
      </c>
      <c r="CL1037">
        <f t="shared" si="334"/>
        <v>0</v>
      </c>
      <c r="CM1037">
        <f t="shared" si="336"/>
        <v>0</v>
      </c>
      <c r="CN1037">
        <f t="shared" si="335"/>
        <v>0</v>
      </c>
      <c r="CO1037">
        <f t="shared" si="319"/>
        <v>0</v>
      </c>
    </row>
    <row r="1038" spans="1:93" s="12" customFormat="1" x14ac:dyDescent="0.25">
      <c r="A1038" s="4">
        <v>2021</v>
      </c>
      <c r="B1038" s="315">
        <v>44279</v>
      </c>
      <c r="C1038" s="4" t="s">
        <v>1492</v>
      </c>
      <c r="D1038" s="4" t="s">
        <v>1493</v>
      </c>
      <c r="E1038" s="4"/>
      <c r="F1038" s="4" t="s">
        <v>1494</v>
      </c>
      <c r="G1038" s="5" t="s">
        <v>15</v>
      </c>
      <c r="H1038" s="5" t="s">
        <v>1496</v>
      </c>
      <c r="I1038" s="5" t="s">
        <v>1499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1497</v>
      </c>
      <c r="P1038" s="6" t="s">
        <v>1498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+VLOOKUP(G1038,Liste!$A$7:$G$69,3,FALSE)</f>
        <v>Pin sylvestre</v>
      </c>
      <c r="BI1038" s="96" t="str">
        <f>+VLOOKUP(H1038,Liste!$B$7:$G$69,5,FALSE)</f>
        <v>GSM Alpes du Sud</v>
      </c>
      <c r="BJ1038" s="135">
        <f t="shared" si="318"/>
        <v>100</v>
      </c>
      <c r="BK1038" s="135" t="str">
        <f t="shared" si="320"/>
        <v>Pin sylvestre_F1_PS1_d3_GSM Alpes du Sud_100_</v>
      </c>
      <c r="BL1038" s="319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97" t="str">
        <f>+VLOOKUP(G1038,Liste!$A$7:$H$69,8,FALSE)</f>
        <v>Résineux</v>
      </c>
      <c r="BU1038" s="297">
        <f t="shared" si="321"/>
        <v>0</v>
      </c>
      <c r="BV1038" s="299">
        <f t="shared" si="322"/>
        <v>1</v>
      </c>
      <c r="BW1038" s="318">
        <v>0</v>
      </c>
      <c r="BX1038" s="297">
        <f t="shared" si="323"/>
        <v>0.43</v>
      </c>
      <c r="BY1038">
        <f t="shared" si="324"/>
        <v>0</v>
      </c>
      <c r="BZ1038" s="303">
        <f t="shared" si="325"/>
        <v>0</v>
      </c>
      <c r="CB1038" s="298">
        <v>0.6</v>
      </c>
      <c r="CC1038" s="298">
        <v>0.4</v>
      </c>
      <c r="CD1038">
        <f t="shared" si="326"/>
        <v>0</v>
      </c>
      <c r="CE1038">
        <f t="shared" si="327"/>
        <v>0</v>
      </c>
      <c r="CF1038">
        <f t="shared" si="328"/>
        <v>0</v>
      </c>
      <c r="CG1038">
        <f t="shared" si="329"/>
        <v>0</v>
      </c>
      <c r="CH1038">
        <f t="shared" si="330"/>
        <v>0</v>
      </c>
      <c r="CI1038">
        <f t="shared" si="331"/>
        <v>0</v>
      </c>
      <c r="CJ1038">
        <f t="shared" si="332"/>
        <v>0</v>
      </c>
      <c r="CK1038">
        <f t="shared" si="333"/>
        <v>0</v>
      </c>
      <c r="CL1038">
        <f t="shared" si="334"/>
        <v>0</v>
      </c>
      <c r="CM1038">
        <f t="shared" si="336"/>
        <v>0</v>
      </c>
      <c r="CN1038">
        <f t="shared" si="335"/>
        <v>0</v>
      </c>
      <c r="CO1038">
        <f t="shared" si="319"/>
        <v>0</v>
      </c>
    </row>
    <row r="1039" spans="1:93" s="12" customFormat="1" x14ac:dyDescent="0.25">
      <c r="A1039" s="4">
        <v>2021</v>
      </c>
      <c r="B1039" s="315">
        <v>44279</v>
      </c>
      <c r="C1039" s="4" t="s">
        <v>1492</v>
      </c>
      <c r="D1039" s="4" t="s">
        <v>1493</v>
      </c>
      <c r="E1039" s="4"/>
      <c r="F1039" s="4" t="s">
        <v>1494</v>
      </c>
      <c r="G1039" s="5" t="s">
        <v>15</v>
      </c>
      <c r="H1039" s="5" t="s">
        <v>1496</v>
      </c>
      <c r="I1039" s="5" t="s">
        <v>1499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1497</v>
      </c>
      <c r="P1039" s="6" t="s">
        <v>1498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+VLOOKUP(G1039,Liste!$A$7:$G$69,3,FALSE)</f>
        <v>Pin sylvestre</v>
      </c>
      <c r="BI1039" s="96" t="str">
        <f>+VLOOKUP(H1039,Liste!$B$7:$G$69,5,FALSE)</f>
        <v>GSM Alpes du Sud</v>
      </c>
      <c r="BJ1039" s="135">
        <f t="shared" si="318"/>
        <v>100</v>
      </c>
      <c r="BK1039" s="135" t="str">
        <f t="shared" si="320"/>
        <v>Pin sylvestre_F1_PS1_d3_GSM Alpes du Sud_100_</v>
      </c>
      <c r="BL1039" s="319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97" t="str">
        <f>+VLOOKUP(G1039,Liste!$A$7:$H$69,8,FALSE)</f>
        <v>Résineux</v>
      </c>
      <c r="BU1039" s="297">
        <f t="shared" si="321"/>
        <v>0</v>
      </c>
      <c r="BV1039" s="299">
        <f t="shared" si="322"/>
        <v>1</v>
      </c>
      <c r="BW1039" s="318">
        <v>0</v>
      </c>
      <c r="BX1039" s="297">
        <f t="shared" si="323"/>
        <v>0.43</v>
      </c>
      <c r="BY1039">
        <f t="shared" si="324"/>
        <v>0</v>
      </c>
      <c r="BZ1039" s="303">
        <f t="shared" si="325"/>
        <v>0</v>
      </c>
      <c r="CB1039" s="298">
        <v>0.6</v>
      </c>
      <c r="CC1039" s="298">
        <v>0.4</v>
      </c>
      <c r="CD1039">
        <f t="shared" si="326"/>
        <v>0</v>
      </c>
      <c r="CE1039">
        <f t="shared" si="327"/>
        <v>0</v>
      </c>
      <c r="CF1039">
        <f t="shared" si="328"/>
        <v>0</v>
      </c>
      <c r="CG1039">
        <f t="shared" si="329"/>
        <v>0</v>
      </c>
      <c r="CH1039">
        <f t="shared" si="330"/>
        <v>0</v>
      </c>
      <c r="CI1039">
        <f t="shared" si="331"/>
        <v>0</v>
      </c>
      <c r="CJ1039">
        <f t="shared" si="332"/>
        <v>0</v>
      </c>
      <c r="CK1039">
        <f t="shared" si="333"/>
        <v>0</v>
      </c>
      <c r="CL1039">
        <f t="shared" si="334"/>
        <v>0</v>
      </c>
      <c r="CM1039">
        <f t="shared" si="336"/>
        <v>0</v>
      </c>
      <c r="CN1039">
        <f t="shared" si="335"/>
        <v>0</v>
      </c>
      <c r="CO1039">
        <f t="shared" si="319"/>
        <v>0</v>
      </c>
    </row>
    <row r="1040" spans="1:93" s="12" customFormat="1" x14ac:dyDescent="0.25">
      <c r="A1040" s="4">
        <v>2021</v>
      </c>
      <c r="B1040" s="315">
        <v>44279</v>
      </c>
      <c r="C1040" s="4" t="s">
        <v>1492</v>
      </c>
      <c r="D1040" s="4" t="s">
        <v>1493</v>
      </c>
      <c r="E1040" s="4"/>
      <c r="F1040" s="4" t="s">
        <v>1494</v>
      </c>
      <c r="G1040" s="5" t="s">
        <v>15</v>
      </c>
      <c r="H1040" s="5" t="s">
        <v>1496</v>
      </c>
      <c r="I1040" s="5" t="s">
        <v>1499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1497</v>
      </c>
      <c r="P1040" s="6" t="s">
        <v>1498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+VLOOKUP(G1040,Liste!$A$7:$G$69,3,FALSE)</f>
        <v>Pin sylvestre</v>
      </c>
      <c r="BI1040" s="96" t="str">
        <f>+VLOOKUP(H1040,Liste!$B$7:$G$69,5,FALSE)</f>
        <v>GSM Alpes du Sud</v>
      </c>
      <c r="BJ1040" s="135">
        <f t="shared" si="318"/>
        <v>105</v>
      </c>
      <c r="BK1040" s="135" t="str">
        <f t="shared" si="320"/>
        <v>Pin sylvestre_F1_PS1_d3_GSM Alpes du Sud_105_</v>
      </c>
      <c r="BL1040" s="319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97" t="str">
        <f>+VLOOKUP(G1040,Liste!$A$7:$H$69,8,FALSE)</f>
        <v>Résineux</v>
      </c>
      <c r="BU1040" s="297">
        <f t="shared" si="321"/>
        <v>0</v>
      </c>
      <c r="BV1040" s="299">
        <f t="shared" si="322"/>
        <v>1</v>
      </c>
      <c r="BW1040" s="318">
        <v>0</v>
      </c>
      <c r="BX1040" s="297">
        <f t="shared" si="323"/>
        <v>0.43</v>
      </c>
      <c r="BY1040">
        <f t="shared" si="324"/>
        <v>0</v>
      </c>
      <c r="BZ1040" s="303">
        <f t="shared" si="325"/>
        <v>0</v>
      </c>
      <c r="CB1040" s="298">
        <v>0.6</v>
      </c>
      <c r="CC1040" s="298">
        <v>0.4</v>
      </c>
      <c r="CD1040">
        <f t="shared" si="326"/>
        <v>0</v>
      </c>
      <c r="CE1040">
        <f t="shared" si="327"/>
        <v>0</v>
      </c>
      <c r="CF1040">
        <f t="shared" si="328"/>
        <v>0</v>
      </c>
      <c r="CG1040">
        <f t="shared" si="329"/>
        <v>0</v>
      </c>
      <c r="CH1040">
        <f t="shared" si="330"/>
        <v>0</v>
      </c>
      <c r="CI1040">
        <f t="shared" si="331"/>
        <v>0</v>
      </c>
      <c r="CJ1040">
        <f t="shared" si="332"/>
        <v>0</v>
      </c>
      <c r="CK1040">
        <f t="shared" si="333"/>
        <v>0</v>
      </c>
      <c r="CL1040">
        <f t="shared" si="334"/>
        <v>0</v>
      </c>
      <c r="CM1040">
        <f t="shared" si="336"/>
        <v>0</v>
      </c>
      <c r="CN1040">
        <f t="shared" si="335"/>
        <v>0</v>
      </c>
      <c r="CO1040">
        <f t="shared" si="319"/>
        <v>0</v>
      </c>
    </row>
    <row r="1041" spans="1:93" s="12" customFormat="1" x14ac:dyDescent="0.25">
      <c r="A1041" s="4">
        <v>2021</v>
      </c>
      <c r="B1041" s="315">
        <v>44279</v>
      </c>
      <c r="C1041" s="4" t="s">
        <v>1492</v>
      </c>
      <c r="D1041" s="4" t="s">
        <v>1493</v>
      </c>
      <c r="E1041" s="4"/>
      <c r="F1041" s="4" t="s">
        <v>1494</v>
      </c>
      <c r="G1041" s="5" t="s">
        <v>15</v>
      </c>
      <c r="H1041" s="5" t="s">
        <v>1496</v>
      </c>
      <c r="I1041" s="5" t="s">
        <v>1499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1497</v>
      </c>
      <c r="P1041" s="6" t="s">
        <v>1498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+VLOOKUP(G1041,Liste!$A$7:$G$69,3,FALSE)</f>
        <v>Pin sylvestre</v>
      </c>
      <c r="BI1041" s="96" t="str">
        <f>+VLOOKUP(H1041,Liste!$B$7:$G$69,5,FALSE)</f>
        <v>GSM Alpes du Sud</v>
      </c>
      <c r="BJ1041" s="135">
        <f t="shared" si="318"/>
        <v>110</v>
      </c>
      <c r="BK1041" s="135" t="str">
        <f t="shared" si="320"/>
        <v>Pin sylvestre_F1_PS1_d3_GSM Alpes du Sud_110_</v>
      </c>
      <c r="BL1041" s="319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97" t="str">
        <f>+VLOOKUP(G1041,Liste!$A$7:$H$69,8,FALSE)</f>
        <v>Résineux</v>
      </c>
      <c r="BU1041" s="297">
        <f t="shared" si="321"/>
        <v>0</v>
      </c>
      <c r="BV1041" s="299">
        <f t="shared" si="322"/>
        <v>1</v>
      </c>
      <c r="BW1041" s="318">
        <v>0</v>
      </c>
      <c r="BX1041" s="297">
        <f t="shared" si="323"/>
        <v>0.43</v>
      </c>
      <c r="BY1041">
        <f t="shared" si="324"/>
        <v>0</v>
      </c>
      <c r="BZ1041" s="303">
        <f t="shared" si="325"/>
        <v>0</v>
      </c>
      <c r="CB1041" s="298">
        <v>0.6</v>
      </c>
      <c r="CC1041" s="298">
        <v>0.4</v>
      </c>
      <c r="CD1041">
        <f t="shared" si="326"/>
        <v>0</v>
      </c>
      <c r="CE1041">
        <f t="shared" si="327"/>
        <v>0</v>
      </c>
      <c r="CF1041">
        <f t="shared" si="328"/>
        <v>0</v>
      </c>
      <c r="CG1041">
        <f t="shared" si="329"/>
        <v>0</v>
      </c>
      <c r="CH1041">
        <f t="shared" si="330"/>
        <v>0</v>
      </c>
      <c r="CI1041">
        <f t="shared" si="331"/>
        <v>0</v>
      </c>
      <c r="CJ1041">
        <f t="shared" si="332"/>
        <v>0</v>
      </c>
      <c r="CK1041">
        <f t="shared" si="333"/>
        <v>0</v>
      </c>
      <c r="CL1041">
        <f t="shared" si="334"/>
        <v>0</v>
      </c>
      <c r="CM1041">
        <f t="shared" si="336"/>
        <v>0</v>
      </c>
      <c r="CN1041">
        <f t="shared" si="335"/>
        <v>0</v>
      </c>
      <c r="CO1041">
        <f t="shared" si="319"/>
        <v>0</v>
      </c>
    </row>
    <row r="1042" spans="1:93" s="12" customFormat="1" x14ac:dyDescent="0.25">
      <c r="A1042" s="4">
        <v>2021</v>
      </c>
      <c r="B1042" s="315">
        <v>44279</v>
      </c>
      <c r="C1042" s="4" t="s">
        <v>1492</v>
      </c>
      <c r="D1042" s="4" t="s">
        <v>1493</v>
      </c>
      <c r="E1042" s="4"/>
      <c r="F1042" s="4" t="s">
        <v>1494</v>
      </c>
      <c r="G1042" s="5" t="s">
        <v>15</v>
      </c>
      <c r="H1042" s="5" t="s">
        <v>1496</v>
      </c>
      <c r="I1042" s="5" t="s">
        <v>1499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1497</v>
      </c>
      <c r="P1042" s="6" t="s">
        <v>1498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+VLOOKUP(G1042,Liste!$A$7:$G$69,3,FALSE)</f>
        <v>Pin sylvestre</v>
      </c>
      <c r="BI1042" s="96" t="str">
        <f>+VLOOKUP(H1042,Liste!$B$7:$G$69,5,FALSE)</f>
        <v>GSM Alpes du Sud</v>
      </c>
      <c r="BJ1042" s="135">
        <f t="shared" si="318"/>
        <v>110</v>
      </c>
      <c r="BK1042" s="135" t="str">
        <f t="shared" si="320"/>
        <v>Pin sylvestre_F1_PS1_d3_GSM Alpes du Sud_110_</v>
      </c>
      <c r="BL1042" s="319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97" t="str">
        <f>+VLOOKUP(G1042,Liste!$A$7:$H$69,8,FALSE)</f>
        <v>Résineux</v>
      </c>
      <c r="BU1042" s="297">
        <f t="shared" si="321"/>
        <v>0</v>
      </c>
      <c r="BV1042" s="299">
        <f t="shared" si="322"/>
        <v>1</v>
      </c>
      <c r="BW1042" s="318">
        <v>0</v>
      </c>
      <c r="BX1042" s="297">
        <f t="shared" si="323"/>
        <v>0.43</v>
      </c>
      <c r="BY1042">
        <f t="shared" si="324"/>
        <v>0</v>
      </c>
      <c r="BZ1042" s="303">
        <f t="shared" si="325"/>
        <v>0</v>
      </c>
      <c r="CB1042" s="298">
        <v>0.6</v>
      </c>
      <c r="CC1042" s="298">
        <v>0.4</v>
      </c>
      <c r="CD1042">
        <f t="shared" si="326"/>
        <v>0</v>
      </c>
      <c r="CE1042">
        <f t="shared" si="327"/>
        <v>0</v>
      </c>
      <c r="CF1042">
        <f t="shared" si="328"/>
        <v>0</v>
      </c>
      <c r="CG1042">
        <f t="shared" si="329"/>
        <v>0</v>
      </c>
      <c r="CH1042">
        <f t="shared" si="330"/>
        <v>0</v>
      </c>
      <c r="CI1042">
        <f t="shared" si="331"/>
        <v>0</v>
      </c>
      <c r="CJ1042">
        <f t="shared" si="332"/>
        <v>0</v>
      </c>
      <c r="CK1042">
        <f t="shared" si="333"/>
        <v>0</v>
      </c>
      <c r="CL1042">
        <f t="shared" si="334"/>
        <v>0</v>
      </c>
      <c r="CM1042">
        <f t="shared" si="336"/>
        <v>0</v>
      </c>
      <c r="CN1042">
        <f t="shared" si="335"/>
        <v>0</v>
      </c>
      <c r="CO1042">
        <f t="shared" si="319"/>
        <v>0</v>
      </c>
    </row>
    <row r="1043" spans="1:93" s="12" customFormat="1" x14ac:dyDescent="0.25">
      <c r="A1043" s="4">
        <v>2021</v>
      </c>
      <c r="B1043" s="315">
        <v>44279</v>
      </c>
      <c r="C1043" s="4" t="s">
        <v>1492</v>
      </c>
      <c r="D1043" s="4" t="s">
        <v>1493</v>
      </c>
      <c r="E1043" s="4"/>
      <c r="F1043" s="4" t="s">
        <v>1494</v>
      </c>
      <c r="G1043" s="5" t="s">
        <v>15</v>
      </c>
      <c r="H1043" s="5" t="s">
        <v>1496</v>
      </c>
      <c r="I1043" s="5" t="s">
        <v>1500</v>
      </c>
      <c r="J1043" s="5" t="s">
        <v>10</v>
      </c>
      <c r="K1043" s="5">
        <v>11</v>
      </c>
      <c r="L1043" s="5" t="s">
        <v>1501</v>
      </c>
      <c r="M1043" s="5">
        <v>1100</v>
      </c>
      <c r="N1043" s="5" t="s">
        <v>170</v>
      </c>
      <c r="O1043" s="6" t="s">
        <v>1497</v>
      </c>
      <c r="P1043" s="6" t="s">
        <v>1498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+VLOOKUP(G1043,Liste!$A$7:$G$69,3,FALSE)</f>
        <v>Pin sylvestre</v>
      </c>
      <c r="BI1043" s="96" t="str">
        <f>+VLOOKUP(H1043,Liste!$B$7:$G$69,5,FALSE)</f>
        <v>GSM Alpes du Sud</v>
      </c>
      <c r="BJ1043" s="135">
        <f t="shared" si="318"/>
        <v>30</v>
      </c>
      <c r="BK1043" s="135" t="str">
        <f t="shared" si="320"/>
        <v>Pin sylvestre_F2_PS2_d2_GSM Alpes du Sud_30_</v>
      </c>
      <c r="BL1043" s="319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97" t="str">
        <f>+VLOOKUP(G1043,Liste!$A$7:$H$69,8,FALSE)</f>
        <v>Résineux</v>
      </c>
      <c r="BU1043" s="297">
        <f t="shared" si="321"/>
        <v>0</v>
      </c>
      <c r="BV1043" s="299">
        <f t="shared" si="322"/>
        <v>1</v>
      </c>
      <c r="BW1043" s="318">
        <v>0</v>
      </c>
      <c r="BX1043" s="297">
        <f t="shared" si="323"/>
        <v>0.43</v>
      </c>
      <c r="BY1043">
        <f t="shared" si="324"/>
        <v>0</v>
      </c>
      <c r="BZ1043" s="303">
        <f t="shared" si="325"/>
        <v>0</v>
      </c>
      <c r="CB1043" s="298">
        <v>0.6</v>
      </c>
      <c r="CC1043" s="298">
        <v>0.4</v>
      </c>
      <c r="CD1043">
        <f t="shared" si="326"/>
        <v>0</v>
      </c>
      <c r="CE1043">
        <f t="shared" si="327"/>
        <v>0</v>
      </c>
      <c r="CF1043">
        <f t="shared" si="328"/>
        <v>0</v>
      </c>
      <c r="CG1043">
        <f t="shared" si="329"/>
        <v>0</v>
      </c>
      <c r="CH1043">
        <f t="shared" si="330"/>
        <v>0</v>
      </c>
      <c r="CI1043">
        <f t="shared" si="331"/>
        <v>0</v>
      </c>
      <c r="CJ1043">
        <f t="shared" si="332"/>
        <v>0</v>
      </c>
      <c r="CK1043">
        <f t="shared" si="333"/>
        <v>0</v>
      </c>
      <c r="CL1043">
        <f t="shared" si="334"/>
        <v>0</v>
      </c>
      <c r="CM1043">
        <f t="shared" si="336"/>
        <v>0</v>
      </c>
      <c r="CN1043">
        <f t="shared" si="335"/>
        <v>0</v>
      </c>
      <c r="CO1043">
        <f t="shared" si="319"/>
        <v>0</v>
      </c>
    </row>
    <row r="1044" spans="1:93" s="12" customFormat="1" x14ac:dyDescent="0.25">
      <c r="A1044" s="4">
        <v>2021</v>
      </c>
      <c r="B1044" s="315">
        <v>44279</v>
      </c>
      <c r="C1044" s="4" t="s">
        <v>1492</v>
      </c>
      <c r="D1044" s="4" t="s">
        <v>1493</v>
      </c>
      <c r="E1044" s="4"/>
      <c r="F1044" s="4" t="s">
        <v>1494</v>
      </c>
      <c r="G1044" s="5" t="s">
        <v>15</v>
      </c>
      <c r="H1044" s="5" t="s">
        <v>1496</v>
      </c>
      <c r="I1044" s="5" t="s">
        <v>1500</v>
      </c>
      <c r="J1044" s="5" t="s">
        <v>10</v>
      </c>
      <c r="K1044" s="5">
        <v>11</v>
      </c>
      <c r="L1044" s="5" t="s">
        <v>1501</v>
      </c>
      <c r="M1044" s="5">
        <v>1100</v>
      </c>
      <c r="N1044" s="5" t="s">
        <v>170</v>
      </c>
      <c r="O1044" s="6" t="s">
        <v>1497</v>
      </c>
      <c r="P1044" s="6" t="s">
        <v>1498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+VLOOKUP(G1044,Liste!$A$7:$G$69,3,FALSE)</f>
        <v>Pin sylvestre</v>
      </c>
      <c r="BI1044" s="96" t="str">
        <f>+VLOOKUP(H1044,Liste!$B$7:$G$69,5,FALSE)</f>
        <v>GSM Alpes du Sud</v>
      </c>
      <c r="BJ1044" s="135">
        <f t="shared" si="318"/>
        <v>35</v>
      </c>
      <c r="BK1044" s="135" t="str">
        <f t="shared" si="320"/>
        <v>Pin sylvestre_F2_PS2_d2_GSM Alpes du Sud_35_</v>
      </c>
      <c r="BL1044" s="319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97" t="str">
        <f>+VLOOKUP(G1044,Liste!$A$7:$H$69,8,FALSE)</f>
        <v>Résineux</v>
      </c>
      <c r="BU1044" s="297">
        <f t="shared" si="321"/>
        <v>0</v>
      </c>
      <c r="BV1044" s="299">
        <f t="shared" si="322"/>
        <v>1</v>
      </c>
      <c r="BW1044" s="318">
        <v>0</v>
      </c>
      <c r="BX1044" s="297">
        <f t="shared" si="323"/>
        <v>0.43</v>
      </c>
      <c r="BY1044">
        <f t="shared" si="324"/>
        <v>0</v>
      </c>
      <c r="BZ1044" s="303">
        <f t="shared" si="325"/>
        <v>0</v>
      </c>
      <c r="CB1044" s="298">
        <v>0.6</v>
      </c>
      <c r="CC1044" s="298">
        <v>0.4</v>
      </c>
      <c r="CD1044">
        <f t="shared" si="326"/>
        <v>0</v>
      </c>
      <c r="CE1044">
        <f t="shared" si="327"/>
        <v>0</v>
      </c>
      <c r="CF1044">
        <f t="shared" si="328"/>
        <v>0</v>
      </c>
      <c r="CG1044">
        <f t="shared" si="329"/>
        <v>0</v>
      </c>
      <c r="CH1044">
        <f t="shared" si="330"/>
        <v>0</v>
      </c>
      <c r="CI1044">
        <f t="shared" si="331"/>
        <v>0</v>
      </c>
      <c r="CJ1044">
        <f t="shared" si="332"/>
        <v>0</v>
      </c>
      <c r="CK1044">
        <f t="shared" si="333"/>
        <v>0</v>
      </c>
      <c r="CL1044">
        <f t="shared" si="334"/>
        <v>0</v>
      </c>
      <c r="CM1044">
        <f t="shared" si="336"/>
        <v>0</v>
      </c>
      <c r="CN1044">
        <f t="shared" si="335"/>
        <v>0</v>
      </c>
      <c r="CO1044">
        <f t="shared" si="319"/>
        <v>0</v>
      </c>
    </row>
    <row r="1045" spans="1:93" s="12" customFormat="1" x14ac:dyDescent="0.25">
      <c r="A1045" s="4">
        <v>2021</v>
      </c>
      <c r="B1045" s="315">
        <v>44279</v>
      </c>
      <c r="C1045" s="4" t="s">
        <v>1492</v>
      </c>
      <c r="D1045" s="4" t="s">
        <v>1493</v>
      </c>
      <c r="E1045" s="4"/>
      <c r="F1045" s="4" t="s">
        <v>1494</v>
      </c>
      <c r="G1045" s="5" t="s">
        <v>15</v>
      </c>
      <c r="H1045" s="5" t="s">
        <v>1496</v>
      </c>
      <c r="I1045" s="5" t="s">
        <v>1500</v>
      </c>
      <c r="J1045" s="5" t="s">
        <v>10</v>
      </c>
      <c r="K1045" s="5">
        <v>11</v>
      </c>
      <c r="L1045" s="5" t="s">
        <v>1501</v>
      </c>
      <c r="M1045" s="5">
        <v>1100</v>
      </c>
      <c r="N1045" s="5" t="s">
        <v>170</v>
      </c>
      <c r="O1045" s="6" t="s">
        <v>1497</v>
      </c>
      <c r="P1045" s="6" t="s">
        <v>1498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7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+VLOOKUP(G1045,Liste!$A$7:$G$69,3,FALSE)</f>
        <v>Pin sylvestre</v>
      </c>
      <c r="BI1045" s="96" t="str">
        <f>+VLOOKUP(H1045,Liste!$B$7:$G$69,5,FALSE)</f>
        <v>GSM Alpes du Sud</v>
      </c>
      <c r="BJ1045" s="135">
        <f t="shared" si="318"/>
        <v>40</v>
      </c>
      <c r="BK1045" s="135" t="str">
        <f t="shared" si="320"/>
        <v>Pin sylvestre_F2_PS2_d2_GSM Alpes du Sud_40_</v>
      </c>
      <c r="BL1045" s="319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97" t="str">
        <f>+VLOOKUP(G1045,Liste!$A$7:$H$69,8,FALSE)</f>
        <v>Résineux</v>
      </c>
      <c r="BU1045" s="297">
        <f t="shared" si="321"/>
        <v>0</v>
      </c>
      <c r="BV1045" s="299">
        <f t="shared" si="322"/>
        <v>1</v>
      </c>
      <c r="BW1045" s="318">
        <v>0</v>
      </c>
      <c r="BX1045" s="297">
        <f t="shared" si="323"/>
        <v>0.43</v>
      </c>
      <c r="BY1045">
        <f t="shared" si="324"/>
        <v>0</v>
      </c>
      <c r="BZ1045" s="303">
        <f t="shared" si="325"/>
        <v>0</v>
      </c>
      <c r="CB1045" s="298">
        <v>0.6</v>
      </c>
      <c r="CC1045" s="298">
        <v>0.4</v>
      </c>
      <c r="CD1045">
        <f t="shared" si="326"/>
        <v>0</v>
      </c>
      <c r="CE1045">
        <f t="shared" si="327"/>
        <v>0</v>
      </c>
      <c r="CF1045">
        <f t="shared" si="328"/>
        <v>0</v>
      </c>
      <c r="CG1045">
        <f t="shared" si="329"/>
        <v>0</v>
      </c>
      <c r="CH1045">
        <f t="shared" si="330"/>
        <v>0</v>
      </c>
      <c r="CI1045">
        <f t="shared" si="331"/>
        <v>0</v>
      </c>
      <c r="CJ1045">
        <f t="shared" si="332"/>
        <v>0</v>
      </c>
      <c r="CK1045">
        <f t="shared" si="333"/>
        <v>0</v>
      </c>
      <c r="CL1045">
        <f t="shared" si="334"/>
        <v>0</v>
      </c>
      <c r="CM1045">
        <f t="shared" si="336"/>
        <v>0</v>
      </c>
      <c r="CN1045">
        <f t="shared" si="335"/>
        <v>0</v>
      </c>
      <c r="CO1045">
        <f t="shared" si="319"/>
        <v>0</v>
      </c>
    </row>
    <row r="1046" spans="1:93" s="12" customFormat="1" x14ac:dyDescent="0.25">
      <c r="A1046" s="4">
        <v>2021</v>
      </c>
      <c r="B1046" s="315">
        <v>44279</v>
      </c>
      <c r="C1046" s="4" t="s">
        <v>1492</v>
      </c>
      <c r="D1046" s="4" t="s">
        <v>1493</v>
      </c>
      <c r="E1046" s="4"/>
      <c r="F1046" s="4" t="s">
        <v>1494</v>
      </c>
      <c r="G1046" s="5" t="s">
        <v>15</v>
      </c>
      <c r="H1046" s="5" t="s">
        <v>1496</v>
      </c>
      <c r="I1046" s="5" t="s">
        <v>1500</v>
      </c>
      <c r="J1046" s="5" t="s">
        <v>10</v>
      </c>
      <c r="K1046" s="5">
        <v>11</v>
      </c>
      <c r="L1046" s="5" t="s">
        <v>1501</v>
      </c>
      <c r="M1046" s="5">
        <v>1100</v>
      </c>
      <c r="N1046" s="5" t="s">
        <v>170</v>
      </c>
      <c r="O1046" s="6" t="s">
        <v>1497</v>
      </c>
      <c r="P1046" s="6" t="s">
        <v>1498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7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+VLOOKUP(G1046,Liste!$A$7:$G$69,3,FALSE)</f>
        <v>Pin sylvestre</v>
      </c>
      <c r="BI1046" s="96" t="str">
        <f>+VLOOKUP(H1046,Liste!$B$7:$G$69,5,FALSE)</f>
        <v>GSM Alpes du Sud</v>
      </c>
      <c r="BJ1046" s="135">
        <f t="shared" si="318"/>
        <v>45</v>
      </c>
      <c r="BK1046" s="135" t="str">
        <f t="shared" si="320"/>
        <v>Pin sylvestre_F2_PS2_d2_GSM Alpes du Sud_45_</v>
      </c>
      <c r="BL1046" s="319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97" t="str">
        <f>+VLOOKUP(G1046,Liste!$A$7:$H$69,8,FALSE)</f>
        <v>Résineux</v>
      </c>
      <c r="BU1046" s="297">
        <f t="shared" si="321"/>
        <v>0</v>
      </c>
      <c r="BV1046" s="299">
        <f t="shared" si="322"/>
        <v>1</v>
      </c>
      <c r="BW1046" s="318">
        <v>0</v>
      </c>
      <c r="BX1046" s="297">
        <f t="shared" si="323"/>
        <v>0.43</v>
      </c>
      <c r="BY1046">
        <f t="shared" si="324"/>
        <v>0</v>
      </c>
      <c r="BZ1046" s="303">
        <f t="shared" si="325"/>
        <v>0</v>
      </c>
      <c r="CB1046" s="298">
        <v>0.6</v>
      </c>
      <c r="CC1046" s="298">
        <v>0.4</v>
      </c>
      <c r="CD1046">
        <f t="shared" si="326"/>
        <v>0</v>
      </c>
      <c r="CE1046">
        <f t="shared" si="327"/>
        <v>0</v>
      </c>
      <c r="CF1046">
        <f t="shared" si="328"/>
        <v>0</v>
      </c>
      <c r="CG1046">
        <f t="shared" si="329"/>
        <v>0</v>
      </c>
      <c r="CH1046">
        <f t="shared" si="330"/>
        <v>0</v>
      </c>
      <c r="CI1046">
        <f t="shared" si="331"/>
        <v>0</v>
      </c>
      <c r="CJ1046">
        <f t="shared" si="332"/>
        <v>0</v>
      </c>
      <c r="CK1046">
        <f t="shared" si="333"/>
        <v>0</v>
      </c>
      <c r="CL1046">
        <f t="shared" si="334"/>
        <v>0</v>
      </c>
      <c r="CM1046">
        <f t="shared" si="336"/>
        <v>0</v>
      </c>
      <c r="CN1046">
        <f t="shared" si="335"/>
        <v>0</v>
      </c>
      <c r="CO1046">
        <f t="shared" si="319"/>
        <v>0</v>
      </c>
    </row>
    <row r="1047" spans="1:93" s="12" customFormat="1" x14ac:dyDescent="0.25">
      <c r="A1047" s="4">
        <v>2021</v>
      </c>
      <c r="B1047" s="315">
        <v>44279</v>
      </c>
      <c r="C1047" s="4" t="s">
        <v>1492</v>
      </c>
      <c r="D1047" s="4" t="s">
        <v>1493</v>
      </c>
      <c r="E1047" s="4"/>
      <c r="F1047" s="4" t="s">
        <v>1494</v>
      </c>
      <c r="G1047" s="5" t="s">
        <v>15</v>
      </c>
      <c r="H1047" s="5" t="s">
        <v>1496</v>
      </c>
      <c r="I1047" s="5" t="s">
        <v>1500</v>
      </c>
      <c r="J1047" s="5" t="s">
        <v>10</v>
      </c>
      <c r="K1047" s="5">
        <v>11</v>
      </c>
      <c r="L1047" s="5" t="s">
        <v>1501</v>
      </c>
      <c r="M1047" s="5">
        <v>1100</v>
      </c>
      <c r="N1047" s="5" t="s">
        <v>170</v>
      </c>
      <c r="O1047" s="6" t="s">
        <v>1497</v>
      </c>
      <c r="P1047" s="6" t="s">
        <v>1498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7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+VLOOKUP(G1047,Liste!$A$7:$G$69,3,FALSE)</f>
        <v>Pin sylvestre</v>
      </c>
      <c r="BI1047" s="96" t="str">
        <f>+VLOOKUP(H1047,Liste!$B$7:$G$69,5,FALSE)</f>
        <v>GSM Alpes du Sud</v>
      </c>
      <c r="BJ1047" s="135">
        <f t="shared" si="318"/>
        <v>50</v>
      </c>
      <c r="BK1047" s="135" t="str">
        <f t="shared" si="320"/>
        <v>Pin sylvestre_F2_PS2_d2_GSM Alpes du Sud_50_</v>
      </c>
      <c r="BL1047" s="319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97" t="str">
        <f>+VLOOKUP(G1047,Liste!$A$7:$H$69,8,FALSE)</f>
        <v>Résineux</v>
      </c>
      <c r="BU1047" s="297">
        <f t="shared" si="321"/>
        <v>0</v>
      </c>
      <c r="BV1047" s="299">
        <f t="shared" si="322"/>
        <v>1</v>
      </c>
      <c r="BW1047" s="318">
        <v>0</v>
      </c>
      <c r="BX1047" s="297">
        <f t="shared" si="323"/>
        <v>0.43</v>
      </c>
      <c r="BY1047">
        <f t="shared" si="324"/>
        <v>0</v>
      </c>
      <c r="BZ1047" s="303">
        <f t="shared" si="325"/>
        <v>0</v>
      </c>
      <c r="CB1047" s="298">
        <v>0.6</v>
      </c>
      <c r="CC1047" s="298">
        <v>0.4</v>
      </c>
      <c r="CD1047">
        <f t="shared" si="326"/>
        <v>0</v>
      </c>
      <c r="CE1047">
        <f t="shared" si="327"/>
        <v>0</v>
      </c>
      <c r="CF1047">
        <f t="shared" si="328"/>
        <v>0</v>
      </c>
      <c r="CG1047">
        <f t="shared" si="329"/>
        <v>0</v>
      </c>
      <c r="CH1047">
        <f t="shared" si="330"/>
        <v>0</v>
      </c>
      <c r="CI1047">
        <f t="shared" si="331"/>
        <v>0</v>
      </c>
      <c r="CJ1047">
        <f t="shared" si="332"/>
        <v>0</v>
      </c>
      <c r="CK1047">
        <f t="shared" si="333"/>
        <v>0</v>
      </c>
      <c r="CL1047">
        <f t="shared" si="334"/>
        <v>0</v>
      </c>
      <c r="CM1047">
        <f t="shared" si="336"/>
        <v>0</v>
      </c>
      <c r="CN1047">
        <f t="shared" si="335"/>
        <v>0</v>
      </c>
      <c r="CO1047">
        <f t="shared" si="319"/>
        <v>0</v>
      </c>
    </row>
    <row r="1048" spans="1:93" s="12" customFormat="1" x14ac:dyDescent="0.25">
      <c r="A1048" s="4">
        <v>2021</v>
      </c>
      <c r="B1048" s="315">
        <v>44279</v>
      </c>
      <c r="C1048" s="4" t="s">
        <v>1492</v>
      </c>
      <c r="D1048" s="4" t="s">
        <v>1493</v>
      </c>
      <c r="E1048" s="4"/>
      <c r="F1048" s="4" t="s">
        <v>1494</v>
      </c>
      <c r="G1048" s="5" t="s">
        <v>15</v>
      </c>
      <c r="H1048" s="5" t="s">
        <v>1496</v>
      </c>
      <c r="I1048" s="5" t="s">
        <v>1500</v>
      </c>
      <c r="J1048" s="5" t="s">
        <v>10</v>
      </c>
      <c r="K1048" s="5">
        <v>11</v>
      </c>
      <c r="L1048" s="5" t="s">
        <v>1501</v>
      </c>
      <c r="M1048" s="5">
        <v>1100</v>
      </c>
      <c r="N1048" s="5" t="s">
        <v>170</v>
      </c>
      <c r="O1048" s="6" t="s">
        <v>1497</v>
      </c>
      <c r="P1048" s="6" t="s">
        <v>1498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7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+VLOOKUP(G1048,Liste!$A$7:$G$69,3,FALSE)</f>
        <v>Pin sylvestre</v>
      </c>
      <c r="BI1048" s="96" t="str">
        <f>+VLOOKUP(H1048,Liste!$B$7:$G$69,5,FALSE)</f>
        <v>GSM Alpes du Sud</v>
      </c>
      <c r="BJ1048" s="135">
        <f t="shared" si="318"/>
        <v>55</v>
      </c>
      <c r="BK1048" s="135" t="str">
        <f t="shared" si="320"/>
        <v>Pin sylvestre_F2_PS2_d2_GSM Alpes du Sud_55_</v>
      </c>
      <c r="BL1048" s="319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97" t="str">
        <f>+VLOOKUP(G1048,Liste!$A$7:$H$69,8,FALSE)</f>
        <v>Résineux</v>
      </c>
      <c r="BU1048" s="297">
        <f t="shared" si="321"/>
        <v>0</v>
      </c>
      <c r="BV1048" s="299">
        <f t="shared" si="322"/>
        <v>1</v>
      </c>
      <c r="BW1048" s="318">
        <v>0</v>
      </c>
      <c r="BX1048" s="297">
        <f t="shared" si="323"/>
        <v>0.43</v>
      </c>
      <c r="BY1048">
        <f t="shared" si="324"/>
        <v>0</v>
      </c>
      <c r="BZ1048" s="303">
        <f t="shared" si="325"/>
        <v>0</v>
      </c>
      <c r="CB1048" s="298">
        <v>0.6</v>
      </c>
      <c r="CC1048" s="298">
        <v>0.4</v>
      </c>
      <c r="CD1048">
        <f t="shared" si="326"/>
        <v>0</v>
      </c>
      <c r="CE1048">
        <f t="shared" si="327"/>
        <v>0</v>
      </c>
      <c r="CF1048">
        <f t="shared" si="328"/>
        <v>0</v>
      </c>
      <c r="CG1048">
        <f t="shared" si="329"/>
        <v>0</v>
      </c>
      <c r="CH1048">
        <f t="shared" si="330"/>
        <v>0</v>
      </c>
      <c r="CI1048">
        <f t="shared" si="331"/>
        <v>0</v>
      </c>
      <c r="CJ1048">
        <f t="shared" si="332"/>
        <v>0</v>
      </c>
      <c r="CK1048">
        <f t="shared" si="333"/>
        <v>0</v>
      </c>
      <c r="CL1048">
        <f t="shared" si="334"/>
        <v>0</v>
      </c>
      <c r="CM1048">
        <f t="shared" si="336"/>
        <v>0</v>
      </c>
      <c r="CN1048">
        <f t="shared" si="335"/>
        <v>0</v>
      </c>
      <c r="CO1048">
        <f t="shared" si="319"/>
        <v>0</v>
      </c>
    </row>
    <row r="1049" spans="1:93" s="12" customFormat="1" x14ac:dyDescent="0.25">
      <c r="A1049" s="4">
        <v>2021</v>
      </c>
      <c r="B1049" s="315">
        <v>44279</v>
      </c>
      <c r="C1049" s="4" t="s">
        <v>1492</v>
      </c>
      <c r="D1049" s="4" t="s">
        <v>1493</v>
      </c>
      <c r="E1049" s="4"/>
      <c r="F1049" s="4" t="s">
        <v>1494</v>
      </c>
      <c r="G1049" s="5" t="s">
        <v>15</v>
      </c>
      <c r="H1049" s="5" t="s">
        <v>1496</v>
      </c>
      <c r="I1049" s="5" t="s">
        <v>1500</v>
      </c>
      <c r="J1049" s="5" t="s">
        <v>10</v>
      </c>
      <c r="K1049" s="5">
        <v>11</v>
      </c>
      <c r="L1049" s="5" t="s">
        <v>1501</v>
      </c>
      <c r="M1049" s="5">
        <v>1100</v>
      </c>
      <c r="N1049" s="5" t="s">
        <v>170</v>
      </c>
      <c r="O1049" s="6" t="s">
        <v>1497</v>
      </c>
      <c r="P1049" s="6" t="s">
        <v>1498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7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+VLOOKUP(G1049,Liste!$A$7:$G$69,3,FALSE)</f>
        <v>Pin sylvestre</v>
      </c>
      <c r="BI1049" s="96" t="str">
        <f>+VLOOKUP(H1049,Liste!$B$7:$G$69,5,FALSE)</f>
        <v>GSM Alpes du Sud</v>
      </c>
      <c r="BJ1049" s="135">
        <f t="shared" si="318"/>
        <v>60</v>
      </c>
      <c r="BK1049" s="135" t="str">
        <f t="shared" si="320"/>
        <v>Pin sylvestre_F2_PS2_d2_GSM Alpes du Sud_60_</v>
      </c>
      <c r="BL1049" s="319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97" t="str">
        <f>+VLOOKUP(G1049,Liste!$A$7:$H$69,8,FALSE)</f>
        <v>Résineux</v>
      </c>
      <c r="BU1049" s="297">
        <f t="shared" si="321"/>
        <v>0</v>
      </c>
      <c r="BV1049" s="299">
        <f t="shared" si="322"/>
        <v>1</v>
      </c>
      <c r="BW1049" s="318">
        <v>0</v>
      </c>
      <c r="BX1049" s="297">
        <f t="shared" si="323"/>
        <v>0.43</v>
      </c>
      <c r="BY1049">
        <f t="shared" si="324"/>
        <v>0</v>
      </c>
      <c r="BZ1049" s="303">
        <f t="shared" si="325"/>
        <v>0</v>
      </c>
      <c r="CB1049" s="298">
        <v>0.6</v>
      </c>
      <c r="CC1049" s="298">
        <v>0.4</v>
      </c>
      <c r="CD1049">
        <f t="shared" si="326"/>
        <v>0</v>
      </c>
      <c r="CE1049">
        <f t="shared" si="327"/>
        <v>0</v>
      </c>
      <c r="CF1049">
        <f t="shared" si="328"/>
        <v>0</v>
      </c>
      <c r="CG1049">
        <f t="shared" si="329"/>
        <v>0</v>
      </c>
      <c r="CH1049">
        <f t="shared" si="330"/>
        <v>0</v>
      </c>
      <c r="CI1049">
        <f t="shared" si="331"/>
        <v>0</v>
      </c>
      <c r="CJ1049">
        <f t="shared" si="332"/>
        <v>0</v>
      </c>
      <c r="CK1049">
        <f t="shared" si="333"/>
        <v>0</v>
      </c>
      <c r="CL1049">
        <f t="shared" si="334"/>
        <v>0</v>
      </c>
      <c r="CM1049">
        <f t="shared" si="336"/>
        <v>0</v>
      </c>
      <c r="CN1049">
        <f t="shared" si="335"/>
        <v>0</v>
      </c>
      <c r="CO1049">
        <f t="shared" si="319"/>
        <v>0</v>
      </c>
    </row>
    <row r="1050" spans="1:93" s="12" customFormat="1" x14ac:dyDescent="0.25">
      <c r="A1050" s="4">
        <v>2021</v>
      </c>
      <c r="B1050" s="315">
        <v>44279</v>
      </c>
      <c r="C1050" s="4" t="s">
        <v>1492</v>
      </c>
      <c r="D1050" s="4" t="s">
        <v>1493</v>
      </c>
      <c r="E1050" s="4"/>
      <c r="F1050" s="4" t="s">
        <v>1494</v>
      </c>
      <c r="G1050" s="5" t="s">
        <v>15</v>
      </c>
      <c r="H1050" s="5" t="s">
        <v>1496</v>
      </c>
      <c r="I1050" s="5" t="s">
        <v>1500</v>
      </c>
      <c r="J1050" s="5" t="s">
        <v>10</v>
      </c>
      <c r="K1050" s="5">
        <v>11</v>
      </c>
      <c r="L1050" s="5" t="s">
        <v>1501</v>
      </c>
      <c r="M1050" s="5">
        <v>1100</v>
      </c>
      <c r="N1050" s="5" t="s">
        <v>170</v>
      </c>
      <c r="O1050" s="6" t="s">
        <v>1497</v>
      </c>
      <c r="P1050" s="6" t="s">
        <v>1498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7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+VLOOKUP(G1050,Liste!$A$7:$G$69,3,FALSE)</f>
        <v>Pin sylvestre</v>
      </c>
      <c r="BI1050" s="96" t="str">
        <f>+VLOOKUP(H1050,Liste!$B$7:$G$69,5,FALSE)</f>
        <v>GSM Alpes du Sud</v>
      </c>
      <c r="BJ1050" s="135">
        <f t="shared" si="318"/>
        <v>65</v>
      </c>
      <c r="BK1050" s="135" t="str">
        <f t="shared" si="320"/>
        <v>Pin sylvestre_F2_PS2_d2_GSM Alpes du Sud_65_</v>
      </c>
      <c r="BL1050" s="319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97" t="str">
        <f>+VLOOKUP(G1050,Liste!$A$7:$H$69,8,FALSE)</f>
        <v>Résineux</v>
      </c>
      <c r="BU1050" s="297">
        <f t="shared" si="321"/>
        <v>0</v>
      </c>
      <c r="BV1050" s="299">
        <f t="shared" si="322"/>
        <v>1</v>
      </c>
      <c r="BW1050" s="318">
        <v>0</v>
      </c>
      <c r="BX1050" s="297">
        <f t="shared" si="323"/>
        <v>0.43</v>
      </c>
      <c r="BY1050">
        <f t="shared" si="324"/>
        <v>0</v>
      </c>
      <c r="BZ1050" s="303">
        <f t="shared" si="325"/>
        <v>0</v>
      </c>
      <c r="CB1050" s="298">
        <v>0.6</v>
      </c>
      <c r="CC1050" s="298">
        <v>0.4</v>
      </c>
      <c r="CD1050">
        <f t="shared" si="326"/>
        <v>0</v>
      </c>
      <c r="CE1050">
        <f t="shared" si="327"/>
        <v>0</v>
      </c>
      <c r="CF1050">
        <f t="shared" si="328"/>
        <v>0</v>
      </c>
      <c r="CG1050">
        <f t="shared" si="329"/>
        <v>0</v>
      </c>
      <c r="CH1050">
        <f t="shared" si="330"/>
        <v>0</v>
      </c>
      <c r="CI1050">
        <f t="shared" si="331"/>
        <v>0</v>
      </c>
      <c r="CJ1050">
        <f t="shared" si="332"/>
        <v>0</v>
      </c>
      <c r="CK1050">
        <f t="shared" si="333"/>
        <v>0</v>
      </c>
      <c r="CL1050">
        <f t="shared" si="334"/>
        <v>0</v>
      </c>
      <c r="CM1050">
        <f t="shared" si="336"/>
        <v>0</v>
      </c>
      <c r="CN1050">
        <f t="shared" si="335"/>
        <v>0</v>
      </c>
      <c r="CO1050">
        <f t="shared" si="319"/>
        <v>0</v>
      </c>
    </row>
    <row r="1051" spans="1:93" s="12" customFormat="1" x14ac:dyDescent="0.25">
      <c r="A1051" s="4">
        <v>2021</v>
      </c>
      <c r="B1051" s="315">
        <v>44279</v>
      </c>
      <c r="C1051" s="4" t="s">
        <v>1492</v>
      </c>
      <c r="D1051" s="4" t="s">
        <v>1493</v>
      </c>
      <c r="E1051" s="4"/>
      <c r="F1051" s="4" t="s">
        <v>1494</v>
      </c>
      <c r="G1051" s="5" t="s">
        <v>15</v>
      </c>
      <c r="H1051" s="5" t="s">
        <v>1496</v>
      </c>
      <c r="I1051" s="5" t="s">
        <v>1500</v>
      </c>
      <c r="J1051" s="5" t="s">
        <v>10</v>
      </c>
      <c r="K1051" s="5">
        <v>11</v>
      </c>
      <c r="L1051" s="5" t="s">
        <v>1501</v>
      </c>
      <c r="M1051" s="5">
        <v>1100</v>
      </c>
      <c r="N1051" s="5" t="s">
        <v>170</v>
      </c>
      <c r="O1051" s="6" t="s">
        <v>1497</v>
      </c>
      <c r="P1051" s="6" t="s">
        <v>1498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7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+VLOOKUP(G1051,Liste!$A$7:$G$69,3,FALSE)</f>
        <v>Pin sylvestre</v>
      </c>
      <c r="BI1051" s="96" t="str">
        <f>+VLOOKUP(H1051,Liste!$B$7:$G$69,5,FALSE)</f>
        <v>GSM Alpes du Sud</v>
      </c>
      <c r="BJ1051" s="135">
        <f t="shared" si="318"/>
        <v>65</v>
      </c>
      <c r="BK1051" s="135" t="str">
        <f t="shared" si="320"/>
        <v>Pin sylvestre_F2_PS2_d2_GSM Alpes du Sud_65_</v>
      </c>
      <c r="BL1051" s="319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97" t="str">
        <f>+VLOOKUP(G1051,Liste!$A$7:$H$69,8,FALSE)</f>
        <v>Résineux</v>
      </c>
      <c r="BU1051" s="297">
        <f t="shared" si="321"/>
        <v>0</v>
      </c>
      <c r="BV1051" s="299">
        <f t="shared" si="322"/>
        <v>1</v>
      </c>
      <c r="BW1051" s="318">
        <v>0</v>
      </c>
      <c r="BX1051" s="297">
        <f t="shared" si="323"/>
        <v>0.43</v>
      </c>
      <c r="BY1051">
        <f t="shared" si="324"/>
        <v>0</v>
      </c>
      <c r="BZ1051" s="303">
        <f t="shared" si="325"/>
        <v>0</v>
      </c>
      <c r="CB1051" s="298">
        <v>0.6</v>
      </c>
      <c r="CC1051" s="298">
        <v>0.4</v>
      </c>
      <c r="CD1051">
        <f t="shared" si="326"/>
        <v>0</v>
      </c>
      <c r="CE1051">
        <f t="shared" si="327"/>
        <v>0</v>
      </c>
      <c r="CF1051">
        <f t="shared" si="328"/>
        <v>0</v>
      </c>
      <c r="CG1051">
        <f t="shared" si="329"/>
        <v>0</v>
      </c>
      <c r="CH1051">
        <f t="shared" si="330"/>
        <v>0</v>
      </c>
      <c r="CI1051">
        <f t="shared" si="331"/>
        <v>0</v>
      </c>
      <c r="CJ1051">
        <f t="shared" si="332"/>
        <v>0</v>
      </c>
      <c r="CK1051">
        <f t="shared" si="333"/>
        <v>0</v>
      </c>
      <c r="CL1051">
        <f t="shared" si="334"/>
        <v>0</v>
      </c>
      <c r="CM1051">
        <f t="shared" si="336"/>
        <v>0</v>
      </c>
      <c r="CN1051">
        <f t="shared" si="335"/>
        <v>0</v>
      </c>
      <c r="CO1051">
        <f t="shared" si="319"/>
        <v>0</v>
      </c>
    </row>
    <row r="1052" spans="1:93" s="12" customFormat="1" x14ac:dyDescent="0.25">
      <c r="A1052" s="4">
        <v>2021</v>
      </c>
      <c r="B1052" s="315">
        <v>44279</v>
      </c>
      <c r="C1052" s="4" t="s">
        <v>1492</v>
      </c>
      <c r="D1052" s="4" t="s">
        <v>1493</v>
      </c>
      <c r="E1052" s="4"/>
      <c r="F1052" s="4" t="s">
        <v>1494</v>
      </c>
      <c r="G1052" s="5" t="s">
        <v>15</v>
      </c>
      <c r="H1052" s="5" t="s">
        <v>1496</v>
      </c>
      <c r="I1052" s="5" t="s">
        <v>1500</v>
      </c>
      <c r="J1052" s="5" t="s">
        <v>10</v>
      </c>
      <c r="K1052" s="5">
        <v>11</v>
      </c>
      <c r="L1052" s="5" t="s">
        <v>1501</v>
      </c>
      <c r="M1052" s="5">
        <v>1100</v>
      </c>
      <c r="N1052" s="5" t="s">
        <v>170</v>
      </c>
      <c r="O1052" s="6" t="s">
        <v>1497</v>
      </c>
      <c r="P1052" s="6" t="s">
        <v>1498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7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+VLOOKUP(G1052,Liste!$A$7:$G$69,3,FALSE)</f>
        <v>Pin sylvestre</v>
      </c>
      <c r="BI1052" s="96" t="str">
        <f>+VLOOKUP(H1052,Liste!$B$7:$G$69,5,FALSE)</f>
        <v>GSM Alpes du Sud</v>
      </c>
      <c r="BJ1052" s="135">
        <f t="shared" si="318"/>
        <v>70</v>
      </c>
      <c r="BK1052" s="135" t="str">
        <f t="shared" si="320"/>
        <v>Pin sylvestre_F2_PS2_d2_GSM Alpes du Sud_70_</v>
      </c>
      <c r="BL1052" s="319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97" t="str">
        <f>+VLOOKUP(G1052,Liste!$A$7:$H$69,8,FALSE)</f>
        <v>Résineux</v>
      </c>
      <c r="BU1052" s="297">
        <f t="shared" si="321"/>
        <v>0</v>
      </c>
      <c r="BV1052" s="299">
        <f t="shared" si="322"/>
        <v>1</v>
      </c>
      <c r="BW1052" s="318">
        <v>0</v>
      </c>
      <c r="BX1052" s="297">
        <f t="shared" si="323"/>
        <v>0.43</v>
      </c>
      <c r="BY1052">
        <f t="shared" si="324"/>
        <v>0</v>
      </c>
      <c r="BZ1052" s="303">
        <f t="shared" si="325"/>
        <v>0</v>
      </c>
      <c r="CB1052" s="298">
        <v>0.6</v>
      </c>
      <c r="CC1052" s="298">
        <v>0.4</v>
      </c>
      <c r="CD1052">
        <f t="shared" si="326"/>
        <v>0</v>
      </c>
      <c r="CE1052">
        <f t="shared" si="327"/>
        <v>0</v>
      </c>
      <c r="CF1052">
        <f t="shared" si="328"/>
        <v>0</v>
      </c>
      <c r="CG1052">
        <f t="shared" si="329"/>
        <v>0</v>
      </c>
      <c r="CH1052">
        <f t="shared" si="330"/>
        <v>0</v>
      </c>
      <c r="CI1052">
        <f t="shared" si="331"/>
        <v>0</v>
      </c>
      <c r="CJ1052">
        <f t="shared" si="332"/>
        <v>0</v>
      </c>
      <c r="CK1052">
        <f t="shared" si="333"/>
        <v>0</v>
      </c>
      <c r="CL1052">
        <f t="shared" si="334"/>
        <v>0</v>
      </c>
      <c r="CM1052">
        <f t="shared" si="336"/>
        <v>0</v>
      </c>
      <c r="CN1052">
        <f t="shared" si="335"/>
        <v>0</v>
      </c>
      <c r="CO1052">
        <f t="shared" si="319"/>
        <v>0</v>
      </c>
    </row>
    <row r="1053" spans="1:93" s="12" customFormat="1" x14ac:dyDescent="0.25">
      <c r="A1053" s="4">
        <v>2021</v>
      </c>
      <c r="B1053" s="315">
        <v>44279</v>
      </c>
      <c r="C1053" s="4" t="s">
        <v>1492</v>
      </c>
      <c r="D1053" s="4" t="s">
        <v>1493</v>
      </c>
      <c r="E1053" s="4"/>
      <c r="F1053" s="4" t="s">
        <v>1494</v>
      </c>
      <c r="G1053" s="5" t="s">
        <v>15</v>
      </c>
      <c r="H1053" s="5" t="s">
        <v>1496</v>
      </c>
      <c r="I1053" s="5" t="s">
        <v>1500</v>
      </c>
      <c r="J1053" s="5" t="s">
        <v>10</v>
      </c>
      <c r="K1053" s="5">
        <v>11</v>
      </c>
      <c r="L1053" s="5" t="s">
        <v>1501</v>
      </c>
      <c r="M1053" s="5">
        <v>1100</v>
      </c>
      <c r="N1053" s="5" t="s">
        <v>170</v>
      </c>
      <c r="O1053" s="6" t="s">
        <v>1497</v>
      </c>
      <c r="P1053" s="6" t="s">
        <v>1498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7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+VLOOKUP(G1053,Liste!$A$7:$G$69,3,FALSE)</f>
        <v>Pin sylvestre</v>
      </c>
      <c r="BI1053" s="96" t="str">
        <f>+VLOOKUP(H1053,Liste!$B$7:$G$69,5,FALSE)</f>
        <v>GSM Alpes du Sud</v>
      </c>
      <c r="BJ1053" s="135">
        <f t="shared" si="318"/>
        <v>75</v>
      </c>
      <c r="BK1053" s="135" t="str">
        <f t="shared" si="320"/>
        <v>Pin sylvestre_F2_PS2_d2_GSM Alpes du Sud_75_</v>
      </c>
      <c r="BL1053" s="319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97" t="str">
        <f>+VLOOKUP(G1053,Liste!$A$7:$H$69,8,FALSE)</f>
        <v>Résineux</v>
      </c>
      <c r="BU1053" s="297">
        <f t="shared" si="321"/>
        <v>0</v>
      </c>
      <c r="BV1053" s="299">
        <f t="shared" si="322"/>
        <v>1</v>
      </c>
      <c r="BW1053" s="318">
        <v>0</v>
      </c>
      <c r="BX1053" s="297">
        <f t="shared" si="323"/>
        <v>0.43</v>
      </c>
      <c r="BY1053">
        <f t="shared" si="324"/>
        <v>0</v>
      </c>
      <c r="BZ1053" s="303">
        <f t="shared" si="325"/>
        <v>0</v>
      </c>
      <c r="CB1053" s="298">
        <v>0.6</v>
      </c>
      <c r="CC1053" s="298">
        <v>0.4</v>
      </c>
      <c r="CD1053">
        <f t="shared" si="326"/>
        <v>0</v>
      </c>
      <c r="CE1053">
        <f t="shared" si="327"/>
        <v>0</v>
      </c>
      <c r="CF1053">
        <f t="shared" si="328"/>
        <v>0</v>
      </c>
      <c r="CG1053">
        <f t="shared" si="329"/>
        <v>0</v>
      </c>
      <c r="CH1053">
        <f t="shared" si="330"/>
        <v>0</v>
      </c>
      <c r="CI1053">
        <f t="shared" si="331"/>
        <v>0</v>
      </c>
      <c r="CJ1053">
        <f t="shared" si="332"/>
        <v>0</v>
      </c>
      <c r="CK1053">
        <f t="shared" si="333"/>
        <v>0</v>
      </c>
      <c r="CL1053">
        <f t="shared" si="334"/>
        <v>0</v>
      </c>
      <c r="CM1053">
        <f t="shared" si="336"/>
        <v>0</v>
      </c>
      <c r="CN1053">
        <f t="shared" si="335"/>
        <v>0</v>
      </c>
      <c r="CO1053">
        <f t="shared" si="319"/>
        <v>0</v>
      </c>
    </row>
    <row r="1054" spans="1:93" s="12" customFormat="1" x14ac:dyDescent="0.25">
      <c r="A1054" s="4">
        <v>2021</v>
      </c>
      <c r="B1054" s="315">
        <v>44279</v>
      </c>
      <c r="C1054" s="4" t="s">
        <v>1492</v>
      </c>
      <c r="D1054" s="4" t="s">
        <v>1493</v>
      </c>
      <c r="E1054" s="4"/>
      <c r="F1054" s="4" t="s">
        <v>1494</v>
      </c>
      <c r="G1054" s="5" t="s">
        <v>15</v>
      </c>
      <c r="H1054" s="5" t="s">
        <v>1496</v>
      </c>
      <c r="I1054" s="5" t="s">
        <v>1500</v>
      </c>
      <c r="J1054" s="5" t="s">
        <v>10</v>
      </c>
      <c r="K1054" s="5">
        <v>11</v>
      </c>
      <c r="L1054" s="5" t="s">
        <v>1501</v>
      </c>
      <c r="M1054" s="5">
        <v>1100</v>
      </c>
      <c r="N1054" s="5" t="s">
        <v>170</v>
      </c>
      <c r="O1054" s="6" t="s">
        <v>1497</v>
      </c>
      <c r="P1054" s="6" t="s">
        <v>1498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7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+VLOOKUP(G1054,Liste!$A$7:$G$69,3,FALSE)</f>
        <v>Pin sylvestre</v>
      </c>
      <c r="BI1054" s="96" t="str">
        <f>+VLOOKUP(H1054,Liste!$B$7:$G$69,5,FALSE)</f>
        <v>GSM Alpes du Sud</v>
      </c>
      <c r="BJ1054" s="135">
        <f t="shared" si="318"/>
        <v>80</v>
      </c>
      <c r="BK1054" s="135" t="str">
        <f t="shared" si="320"/>
        <v>Pin sylvestre_F2_PS2_d2_GSM Alpes du Sud_80_</v>
      </c>
      <c r="BL1054" s="319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97" t="str">
        <f>+VLOOKUP(G1054,Liste!$A$7:$H$69,8,FALSE)</f>
        <v>Résineux</v>
      </c>
      <c r="BU1054" s="297">
        <f t="shared" si="321"/>
        <v>0</v>
      </c>
      <c r="BV1054" s="299">
        <f t="shared" si="322"/>
        <v>1</v>
      </c>
      <c r="BW1054" s="318">
        <v>0</v>
      </c>
      <c r="BX1054" s="297">
        <f t="shared" si="323"/>
        <v>0.43</v>
      </c>
      <c r="BY1054">
        <f t="shared" si="324"/>
        <v>0</v>
      </c>
      <c r="BZ1054" s="303">
        <f t="shared" si="325"/>
        <v>0</v>
      </c>
      <c r="CB1054" s="298">
        <v>0.6</v>
      </c>
      <c r="CC1054" s="298">
        <v>0.4</v>
      </c>
      <c r="CD1054">
        <f t="shared" si="326"/>
        <v>0</v>
      </c>
      <c r="CE1054">
        <f t="shared" si="327"/>
        <v>0</v>
      </c>
      <c r="CF1054">
        <f t="shared" si="328"/>
        <v>0</v>
      </c>
      <c r="CG1054">
        <f t="shared" si="329"/>
        <v>0</v>
      </c>
      <c r="CH1054">
        <f t="shared" si="330"/>
        <v>0</v>
      </c>
      <c r="CI1054">
        <f t="shared" si="331"/>
        <v>0</v>
      </c>
      <c r="CJ1054">
        <f t="shared" si="332"/>
        <v>0</v>
      </c>
      <c r="CK1054">
        <f t="shared" si="333"/>
        <v>0</v>
      </c>
      <c r="CL1054">
        <f t="shared" si="334"/>
        <v>0</v>
      </c>
      <c r="CM1054">
        <f t="shared" si="336"/>
        <v>0</v>
      </c>
      <c r="CN1054">
        <f t="shared" si="335"/>
        <v>0</v>
      </c>
      <c r="CO1054">
        <f t="shared" si="319"/>
        <v>0</v>
      </c>
    </row>
    <row r="1055" spans="1:93" s="12" customFormat="1" x14ac:dyDescent="0.25">
      <c r="A1055" s="4">
        <v>2021</v>
      </c>
      <c r="B1055" s="315">
        <v>44279</v>
      </c>
      <c r="C1055" s="4" t="s">
        <v>1492</v>
      </c>
      <c r="D1055" s="4" t="s">
        <v>1493</v>
      </c>
      <c r="E1055" s="4"/>
      <c r="F1055" s="4" t="s">
        <v>1494</v>
      </c>
      <c r="G1055" s="5" t="s">
        <v>15</v>
      </c>
      <c r="H1055" s="5" t="s">
        <v>1496</v>
      </c>
      <c r="I1055" s="5" t="s">
        <v>1500</v>
      </c>
      <c r="J1055" s="5" t="s">
        <v>10</v>
      </c>
      <c r="K1055" s="5">
        <v>11</v>
      </c>
      <c r="L1055" s="5" t="s">
        <v>1501</v>
      </c>
      <c r="M1055" s="5">
        <v>1100</v>
      </c>
      <c r="N1055" s="5" t="s">
        <v>170</v>
      </c>
      <c r="O1055" s="6" t="s">
        <v>1497</v>
      </c>
      <c r="P1055" s="6" t="s">
        <v>1498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7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+VLOOKUP(G1055,Liste!$A$7:$G$69,3,FALSE)</f>
        <v>Pin sylvestre</v>
      </c>
      <c r="BI1055" s="96" t="str">
        <f>+VLOOKUP(H1055,Liste!$B$7:$G$69,5,FALSE)</f>
        <v>GSM Alpes du Sud</v>
      </c>
      <c r="BJ1055" s="135">
        <f t="shared" si="318"/>
        <v>85</v>
      </c>
      <c r="BK1055" s="135" t="str">
        <f t="shared" si="320"/>
        <v>Pin sylvestre_F2_PS2_d2_GSM Alpes du Sud_85_</v>
      </c>
      <c r="BL1055" s="319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97" t="str">
        <f>+VLOOKUP(G1055,Liste!$A$7:$H$69,8,FALSE)</f>
        <v>Résineux</v>
      </c>
      <c r="BU1055" s="297">
        <f t="shared" si="321"/>
        <v>0</v>
      </c>
      <c r="BV1055" s="299">
        <f t="shared" si="322"/>
        <v>1</v>
      </c>
      <c r="BW1055" s="318">
        <v>0</v>
      </c>
      <c r="BX1055" s="297">
        <f t="shared" si="323"/>
        <v>0.43</v>
      </c>
      <c r="BY1055">
        <f t="shared" si="324"/>
        <v>0</v>
      </c>
      <c r="BZ1055" s="303">
        <f t="shared" si="325"/>
        <v>0</v>
      </c>
      <c r="CB1055" s="298">
        <v>0.6</v>
      </c>
      <c r="CC1055" s="298">
        <v>0.4</v>
      </c>
      <c r="CD1055">
        <f t="shared" si="326"/>
        <v>0</v>
      </c>
      <c r="CE1055">
        <f t="shared" si="327"/>
        <v>0</v>
      </c>
      <c r="CF1055">
        <f t="shared" si="328"/>
        <v>0</v>
      </c>
      <c r="CG1055">
        <f t="shared" si="329"/>
        <v>0</v>
      </c>
      <c r="CH1055">
        <f t="shared" si="330"/>
        <v>0</v>
      </c>
      <c r="CI1055">
        <f t="shared" si="331"/>
        <v>0</v>
      </c>
      <c r="CJ1055">
        <f t="shared" si="332"/>
        <v>0</v>
      </c>
      <c r="CK1055">
        <f t="shared" si="333"/>
        <v>0</v>
      </c>
      <c r="CL1055">
        <f t="shared" si="334"/>
        <v>0</v>
      </c>
      <c r="CM1055">
        <f t="shared" si="336"/>
        <v>0</v>
      </c>
      <c r="CN1055">
        <f t="shared" si="335"/>
        <v>0</v>
      </c>
      <c r="CO1055">
        <f t="shared" si="319"/>
        <v>0</v>
      </c>
    </row>
    <row r="1056" spans="1:93" x14ac:dyDescent="0.25">
      <c r="A1056" s="4">
        <v>2021</v>
      </c>
      <c r="B1056" s="315">
        <v>44279</v>
      </c>
      <c r="C1056" s="4" t="s">
        <v>1492</v>
      </c>
      <c r="D1056" s="4" t="s">
        <v>1493</v>
      </c>
      <c r="F1056" s="4" t="s">
        <v>1494</v>
      </c>
      <c r="G1056" s="5" t="s">
        <v>15</v>
      </c>
      <c r="H1056" s="5" t="s">
        <v>1496</v>
      </c>
      <c r="I1056" s="5" t="s">
        <v>1500</v>
      </c>
      <c r="J1056" s="5" t="s">
        <v>10</v>
      </c>
      <c r="K1056" s="5">
        <v>11</v>
      </c>
      <c r="L1056" s="5" t="s">
        <v>1501</v>
      </c>
      <c r="M1056" s="5">
        <v>1100</v>
      </c>
      <c r="N1056" s="5" t="s">
        <v>170</v>
      </c>
      <c r="O1056" s="6" t="s">
        <v>1497</v>
      </c>
      <c r="P1056" s="6" t="s">
        <v>1498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7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+VLOOKUP(G1056,Liste!$A$7:$G$69,3,FALSE)</f>
        <v>Pin sylvestre</v>
      </c>
      <c r="BI1056" s="96" t="str">
        <f>+VLOOKUP(H1056,Liste!$B$7:$G$69,5,FALSE)</f>
        <v>GSM Alpes du Sud</v>
      </c>
      <c r="BJ1056" s="135">
        <f t="shared" si="318"/>
        <v>85</v>
      </c>
      <c r="BK1056" s="135" t="str">
        <f t="shared" si="320"/>
        <v>Pin sylvestre_F2_PS2_d2_GSM Alpes du Sud_85_</v>
      </c>
      <c r="BL1056" s="319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97" t="str">
        <f>+VLOOKUP(G1056,Liste!$A$7:$H$69,8,FALSE)</f>
        <v>Résineux</v>
      </c>
      <c r="BU1056" s="297">
        <f t="shared" si="321"/>
        <v>0</v>
      </c>
      <c r="BV1056" s="299">
        <f t="shared" si="322"/>
        <v>1</v>
      </c>
      <c r="BW1056" s="318">
        <v>0</v>
      </c>
      <c r="BX1056" s="297">
        <f t="shared" si="323"/>
        <v>0.43</v>
      </c>
      <c r="BY1056">
        <f t="shared" si="324"/>
        <v>0</v>
      </c>
      <c r="BZ1056" s="303">
        <f t="shared" si="325"/>
        <v>0</v>
      </c>
      <c r="CB1056" s="298">
        <v>0.6</v>
      </c>
      <c r="CC1056" s="298">
        <v>0.4</v>
      </c>
      <c r="CD1056">
        <f t="shared" si="326"/>
        <v>0</v>
      </c>
      <c r="CE1056">
        <f t="shared" si="327"/>
        <v>0</v>
      </c>
      <c r="CF1056">
        <f t="shared" si="328"/>
        <v>0</v>
      </c>
      <c r="CG1056">
        <f t="shared" si="329"/>
        <v>0</v>
      </c>
      <c r="CH1056">
        <f t="shared" si="330"/>
        <v>0</v>
      </c>
      <c r="CI1056">
        <f t="shared" si="331"/>
        <v>0</v>
      </c>
      <c r="CJ1056">
        <f t="shared" si="332"/>
        <v>0</v>
      </c>
      <c r="CK1056">
        <f t="shared" si="333"/>
        <v>0</v>
      </c>
      <c r="CL1056">
        <f t="shared" si="334"/>
        <v>0</v>
      </c>
      <c r="CM1056">
        <f t="shared" si="336"/>
        <v>0</v>
      </c>
      <c r="CN1056">
        <f t="shared" si="335"/>
        <v>0</v>
      </c>
      <c r="CO1056">
        <f t="shared" si="319"/>
        <v>0</v>
      </c>
    </row>
    <row r="1057" spans="1:93" x14ac:dyDescent="0.25">
      <c r="A1057" s="4">
        <v>2021</v>
      </c>
      <c r="B1057" s="315">
        <v>44279</v>
      </c>
      <c r="C1057" s="4" t="s">
        <v>1492</v>
      </c>
      <c r="D1057" s="4" t="s">
        <v>1493</v>
      </c>
      <c r="F1057" s="4" t="s">
        <v>1494</v>
      </c>
      <c r="G1057" s="5" t="s">
        <v>15</v>
      </c>
      <c r="H1057" s="5" t="s">
        <v>1496</v>
      </c>
      <c r="I1057" s="5" t="s">
        <v>1500</v>
      </c>
      <c r="J1057" s="5" t="s">
        <v>10</v>
      </c>
      <c r="K1057" s="5">
        <v>11</v>
      </c>
      <c r="L1057" s="5" t="s">
        <v>1501</v>
      </c>
      <c r="M1057" s="5">
        <v>1100</v>
      </c>
      <c r="N1057" s="5" t="s">
        <v>170</v>
      </c>
      <c r="O1057" s="6" t="s">
        <v>1497</v>
      </c>
      <c r="P1057" s="6" t="s">
        <v>1498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7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+VLOOKUP(G1057,Liste!$A$7:$G$69,3,FALSE)</f>
        <v>Pin sylvestre</v>
      </c>
      <c r="BI1057" s="96" t="str">
        <f>+VLOOKUP(H1057,Liste!$B$7:$G$69,5,FALSE)</f>
        <v>GSM Alpes du Sud</v>
      </c>
      <c r="BJ1057" s="135">
        <f t="shared" si="318"/>
        <v>90</v>
      </c>
      <c r="BK1057" s="135" t="str">
        <f t="shared" si="320"/>
        <v>Pin sylvestre_F2_PS2_d2_GSM Alpes du Sud_90_</v>
      </c>
      <c r="BL1057" s="319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97" t="str">
        <f>+VLOOKUP(G1057,Liste!$A$7:$H$69,8,FALSE)</f>
        <v>Résineux</v>
      </c>
      <c r="BU1057" s="297">
        <f t="shared" si="321"/>
        <v>0</v>
      </c>
      <c r="BV1057" s="299">
        <f t="shared" si="322"/>
        <v>1</v>
      </c>
      <c r="BW1057" s="318">
        <v>0</v>
      </c>
      <c r="BX1057" s="297">
        <f t="shared" si="323"/>
        <v>0.43</v>
      </c>
      <c r="BY1057">
        <f t="shared" si="324"/>
        <v>0</v>
      </c>
      <c r="BZ1057" s="303">
        <f t="shared" si="325"/>
        <v>0</v>
      </c>
      <c r="CB1057" s="298">
        <v>0.6</v>
      </c>
      <c r="CC1057" s="298">
        <v>0.4</v>
      </c>
      <c r="CD1057">
        <f t="shared" si="326"/>
        <v>0</v>
      </c>
      <c r="CE1057">
        <f t="shared" si="327"/>
        <v>0</v>
      </c>
      <c r="CF1057">
        <f t="shared" si="328"/>
        <v>0</v>
      </c>
      <c r="CG1057">
        <f t="shared" si="329"/>
        <v>0</v>
      </c>
      <c r="CH1057">
        <f t="shared" si="330"/>
        <v>0</v>
      </c>
      <c r="CI1057">
        <f t="shared" si="331"/>
        <v>0</v>
      </c>
      <c r="CJ1057">
        <f t="shared" si="332"/>
        <v>0</v>
      </c>
      <c r="CK1057">
        <f t="shared" si="333"/>
        <v>0</v>
      </c>
      <c r="CL1057">
        <f t="shared" si="334"/>
        <v>0</v>
      </c>
      <c r="CM1057">
        <f t="shared" si="336"/>
        <v>0</v>
      </c>
      <c r="CN1057">
        <f t="shared" si="335"/>
        <v>0</v>
      </c>
      <c r="CO1057">
        <f t="shared" si="319"/>
        <v>0</v>
      </c>
    </row>
    <row r="1058" spans="1:93" x14ac:dyDescent="0.25">
      <c r="A1058" s="4">
        <v>2021</v>
      </c>
      <c r="B1058" s="315">
        <v>44279</v>
      </c>
      <c r="C1058" s="4" t="s">
        <v>1492</v>
      </c>
      <c r="D1058" s="4" t="s">
        <v>1493</v>
      </c>
      <c r="F1058" s="4" t="s">
        <v>1494</v>
      </c>
      <c r="G1058" s="5" t="s">
        <v>15</v>
      </c>
      <c r="H1058" s="5" t="s">
        <v>1496</v>
      </c>
      <c r="I1058" s="5" t="s">
        <v>1500</v>
      </c>
      <c r="J1058" s="5" t="s">
        <v>10</v>
      </c>
      <c r="K1058" s="5">
        <v>11</v>
      </c>
      <c r="L1058" s="5" t="s">
        <v>1501</v>
      </c>
      <c r="M1058" s="5">
        <v>1100</v>
      </c>
      <c r="N1058" s="5" t="s">
        <v>170</v>
      </c>
      <c r="O1058" s="6" t="s">
        <v>1497</v>
      </c>
      <c r="P1058" s="6" t="s">
        <v>1498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7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+VLOOKUP(G1058,Liste!$A$7:$G$69,3,FALSE)</f>
        <v>Pin sylvestre</v>
      </c>
      <c r="BI1058" s="96" t="str">
        <f>+VLOOKUP(H1058,Liste!$B$7:$G$69,5,FALSE)</f>
        <v>GSM Alpes du Sud</v>
      </c>
      <c r="BJ1058" s="135">
        <f t="shared" si="318"/>
        <v>95</v>
      </c>
      <c r="BK1058" s="135" t="str">
        <f t="shared" si="320"/>
        <v>Pin sylvestre_F2_PS2_d2_GSM Alpes du Sud_95_</v>
      </c>
      <c r="BL1058" s="319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97" t="str">
        <f>+VLOOKUP(G1058,Liste!$A$7:$H$69,8,FALSE)</f>
        <v>Résineux</v>
      </c>
      <c r="BU1058" s="297">
        <f t="shared" si="321"/>
        <v>0</v>
      </c>
      <c r="BV1058" s="299">
        <f t="shared" si="322"/>
        <v>1</v>
      </c>
      <c r="BW1058" s="318">
        <v>0</v>
      </c>
      <c r="BX1058" s="297">
        <f t="shared" si="323"/>
        <v>0.43</v>
      </c>
      <c r="BY1058">
        <f t="shared" si="324"/>
        <v>0</v>
      </c>
      <c r="BZ1058" s="303">
        <f t="shared" si="325"/>
        <v>0</v>
      </c>
      <c r="CB1058" s="298">
        <v>0.6</v>
      </c>
      <c r="CC1058" s="298">
        <v>0.4</v>
      </c>
      <c r="CD1058">
        <f t="shared" si="326"/>
        <v>0</v>
      </c>
      <c r="CE1058">
        <f t="shared" si="327"/>
        <v>0</v>
      </c>
      <c r="CF1058">
        <f t="shared" si="328"/>
        <v>0</v>
      </c>
      <c r="CG1058">
        <f t="shared" si="329"/>
        <v>0</v>
      </c>
      <c r="CH1058">
        <f t="shared" si="330"/>
        <v>0</v>
      </c>
      <c r="CI1058">
        <f t="shared" si="331"/>
        <v>0</v>
      </c>
      <c r="CJ1058">
        <f t="shared" si="332"/>
        <v>0</v>
      </c>
      <c r="CK1058">
        <f t="shared" si="333"/>
        <v>0</v>
      </c>
      <c r="CL1058">
        <f t="shared" si="334"/>
        <v>0</v>
      </c>
      <c r="CM1058">
        <f t="shared" si="336"/>
        <v>0</v>
      </c>
      <c r="CN1058">
        <f t="shared" si="335"/>
        <v>0</v>
      </c>
      <c r="CO1058">
        <f t="shared" si="319"/>
        <v>0</v>
      </c>
    </row>
    <row r="1059" spans="1:93" x14ac:dyDescent="0.25">
      <c r="A1059" s="4">
        <v>2021</v>
      </c>
      <c r="B1059" s="315">
        <v>44279</v>
      </c>
      <c r="C1059" s="4" t="s">
        <v>1492</v>
      </c>
      <c r="D1059" s="4" t="s">
        <v>1493</v>
      </c>
      <c r="F1059" s="4" t="s">
        <v>1494</v>
      </c>
      <c r="G1059" s="5" t="s">
        <v>15</v>
      </c>
      <c r="H1059" s="5" t="s">
        <v>1496</v>
      </c>
      <c r="I1059" s="5" t="s">
        <v>1500</v>
      </c>
      <c r="J1059" s="5" t="s">
        <v>10</v>
      </c>
      <c r="K1059" s="5">
        <v>11</v>
      </c>
      <c r="L1059" s="5" t="s">
        <v>1501</v>
      </c>
      <c r="M1059" s="5">
        <v>1100</v>
      </c>
      <c r="N1059" s="5" t="s">
        <v>170</v>
      </c>
      <c r="O1059" s="6" t="s">
        <v>1497</v>
      </c>
      <c r="P1059" s="6" t="s">
        <v>1498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7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+VLOOKUP(G1059,Liste!$A$7:$G$69,3,FALSE)</f>
        <v>Pin sylvestre</v>
      </c>
      <c r="BI1059" s="96" t="str">
        <f>+VLOOKUP(H1059,Liste!$B$7:$G$69,5,FALSE)</f>
        <v>GSM Alpes du Sud</v>
      </c>
      <c r="BJ1059" s="135">
        <f t="shared" si="318"/>
        <v>100</v>
      </c>
      <c r="BK1059" s="135" t="str">
        <f t="shared" si="320"/>
        <v>Pin sylvestre_F2_PS2_d2_GSM Alpes du Sud_100_</v>
      </c>
      <c r="BL1059" s="319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97" t="str">
        <f>+VLOOKUP(G1059,Liste!$A$7:$H$69,8,FALSE)</f>
        <v>Résineux</v>
      </c>
      <c r="BU1059" s="297">
        <f t="shared" si="321"/>
        <v>0</v>
      </c>
      <c r="BV1059" s="299">
        <f t="shared" si="322"/>
        <v>1</v>
      </c>
      <c r="BW1059" s="318">
        <v>0</v>
      </c>
      <c r="BX1059" s="297">
        <f t="shared" si="323"/>
        <v>0.43</v>
      </c>
      <c r="BY1059">
        <f t="shared" si="324"/>
        <v>0</v>
      </c>
      <c r="BZ1059" s="303">
        <f t="shared" si="325"/>
        <v>0</v>
      </c>
      <c r="CB1059" s="298">
        <v>0.6</v>
      </c>
      <c r="CC1059" s="298">
        <v>0.4</v>
      </c>
      <c r="CD1059">
        <f t="shared" si="326"/>
        <v>0</v>
      </c>
      <c r="CE1059">
        <f t="shared" si="327"/>
        <v>0</v>
      </c>
      <c r="CF1059">
        <f t="shared" si="328"/>
        <v>0</v>
      </c>
      <c r="CG1059">
        <f t="shared" si="329"/>
        <v>0</v>
      </c>
      <c r="CH1059">
        <f t="shared" si="330"/>
        <v>0</v>
      </c>
      <c r="CI1059">
        <f t="shared" si="331"/>
        <v>0</v>
      </c>
      <c r="CJ1059">
        <f t="shared" si="332"/>
        <v>0</v>
      </c>
      <c r="CK1059">
        <f t="shared" si="333"/>
        <v>0</v>
      </c>
      <c r="CL1059">
        <f t="shared" si="334"/>
        <v>0</v>
      </c>
      <c r="CM1059">
        <f t="shared" si="336"/>
        <v>0</v>
      </c>
      <c r="CN1059">
        <f t="shared" si="335"/>
        <v>0</v>
      </c>
      <c r="CO1059">
        <f t="shared" si="319"/>
        <v>0</v>
      </c>
    </row>
    <row r="1060" spans="1:93" x14ac:dyDescent="0.25">
      <c r="A1060" s="4">
        <v>2021</v>
      </c>
      <c r="B1060" s="315">
        <v>44279</v>
      </c>
      <c r="C1060" s="4" t="s">
        <v>1492</v>
      </c>
      <c r="D1060" s="4" t="s">
        <v>1493</v>
      </c>
      <c r="F1060" s="4" t="s">
        <v>1494</v>
      </c>
      <c r="G1060" s="5" t="s">
        <v>15</v>
      </c>
      <c r="H1060" s="5" t="s">
        <v>1496</v>
      </c>
      <c r="I1060" s="5" t="s">
        <v>1500</v>
      </c>
      <c r="J1060" s="5" t="s">
        <v>10</v>
      </c>
      <c r="K1060" s="5">
        <v>11</v>
      </c>
      <c r="L1060" s="5" t="s">
        <v>1501</v>
      </c>
      <c r="M1060" s="5">
        <v>1100</v>
      </c>
      <c r="N1060" s="5" t="s">
        <v>170</v>
      </c>
      <c r="O1060" s="6" t="s">
        <v>1497</v>
      </c>
      <c r="P1060" s="6" t="s">
        <v>1498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7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+VLOOKUP(G1060,Liste!$A$7:$G$69,3,FALSE)</f>
        <v>Pin sylvestre</v>
      </c>
      <c r="BI1060" s="96" t="str">
        <f>+VLOOKUP(H1060,Liste!$B$7:$G$69,5,FALSE)</f>
        <v>GSM Alpes du Sud</v>
      </c>
      <c r="BJ1060" s="135">
        <f t="shared" si="318"/>
        <v>105</v>
      </c>
      <c r="BK1060" s="135" t="str">
        <f t="shared" si="320"/>
        <v>Pin sylvestre_F2_PS2_d2_GSM Alpes du Sud_105_</v>
      </c>
      <c r="BL1060" s="319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97" t="str">
        <f>+VLOOKUP(G1060,Liste!$A$7:$H$69,8,FALSE)</f>
        <v>Résineux</v>
      </c>
      <c r="BU1060" s="297">
        <f t="shared" si="321"/>
        <v>0</v>
      </c>
      <c r="BV1060" s="299">
        <f t="shared" si="322"/>
        <v>1</v>
      </c>
      <c r="BW1060" s="318">
        <v>0</v>
      </c>
      <c r="BX1060" s="297">
        <f t="shared" si="323"/>
        <v>0.43</v>
      </c>
      <c r="BY1060">
        <f t="shared" si="324"/>
        <v>0</v>
      </c>
      <c r="BZ1060" s="303">
        <f t="shared" si="325"/>
        <v>0</v>
      </c>
      <c r="CB1060" s="298">
        <v>0.6</v>
      </c>
      <c r="CC1060" s="298">
        <v>0.4</v>
      </c>
      <c r="CD1060">
        <f t="shared" si="326"/>
        <v>0</v>
      </c>
      <c r="CE1060">
        <f t="shared" si="327"/>
        <v>0</v>
      </c>
      <c r="CF1060">
        <f t="shared" si="328"/>
        <v>0</v>
      </c>
      <c r="CG1060">
        <f t="shared" si="329"/>
        <v>0</v>
      </c>
      <c r="CH1060">
        <f t="shared" si="330"/>
        <v>0</v>
      </c>
      <c r="CI1060">
        <f t="shared" si="331"/>
        <v>0</v>
      </c>
      <c r="CJ1060">
        <f t="shared" si="332"/>
        <v>0</v>
      </c>
      <c r="CK1060">
        <f t="shared" si="333"/>
        <v>0</v>
      </c>
      <c r="CL1060">
        <f t="shared" si="334"/>
        <v>0</v>
      </c>
      <c r="CM1060">
        <f t="shared" si="336"/>
        <v>0</v>
      </c>
      <c r="CN1060">
        <f t="shared" si="335"/>
        <v>0</v>
      </c>
      <c r="CO1060">
        <f t="shared" si="319"/>
        <v>0</v>
      </c>
    </row>
    <row r="1061" spans="1:93" x14ac:dyDescent="0.25">
      <c r="A1061" s="4">
        <v>2021</v>
      </c>
      <c r="B1061" s="315">
        <v>44279</v>
      </c>
      <c r="C1061" s="4" t="s">
        <v>1492</v>
      </c>
      <c r="D1061" s="4" t="s">
        <v>1493</v>
      </c>
      <c r="F1061" s="4" t="s">
        <v>1494</v>
      </c>
      <c r="G1061" s="5" t="s">
        <v>15</v>
      </c>
      <c r="H1061" s="5" t="s">
        <v>1496</v>
      </c>
      <c r="I1061" s="5" t="s">
        <v>1500</v>
      </c>
      <c r="J1061" s="5" t="s">
        <v>10</v>
      </c>
      <c r="K1061" s="5">
        <v>11</v>
      </c>
      <c r="L1061" s="5" t="s">
        <v>1501</v>
      </c>
      <c r="M1061" s="5">
        <v>1100</v>
      </c>
      <c r="N1061" s="5" t="s">
        <v>170</v>
      </c>
      <c r="O1061" s="6" t="s">
        <v>1497</v>
      </c>
      <c r="P1061" s="6" t="s">
        <v>1498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7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+VLOOKUP(G1061,Liste!$A$7:$G$69,3,FALSE)</f>
        <v>Pin sylvestre</v>
      </c>
      <c r="BI1061" s="96" t="str">
        <f>+VLOOKUP(H1061,Liste!$B$7:$G$69,5,FALSE)</f>
        <v>GSM Alpes du Sud</v>
      </c>
      <c r="BJ1061" s="135">
        <f t="shared" si="318"/>
        <v>105</v>
      </c>
      <c r="BK1061" s="135" t="str">
        <f t="shared" si="320"/>
        <v>Pin sylvestre_F2_PS2_d2_GSM Alpes du Sud_105_</v>
      </c>
      <c r="BL1061" s="319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97" t="str">
        <f>+VLOOKUP(G1061,Liste!$A$7:$H$69,8,FALSE)</f>
        <v>Résineux</v>
      </c>
      <c r="BU1061" s="297">
        <f t="shared" si="321"/>
        <v>0</v>
      </c>
      <c r="BV1061" s="299">
        <f t="shared" si="322"/>
        <v>1</v>
      </c>
      <c r="BW1061" s="318">
        <v>0</v>
      </c>
      <c r="BX1061" s="297">
        <f t="shared" si="323"/>
        <v>0.43</v>
      </c>
      <c r="BY1061">
        <f t="shared" si="324"/>
        <v>0</v>
      </c>
      <c r="BZ1061" s="303">
        <f t="shared" si="325"/>
        <v>0</v>
      </c>
      <c r="CB1061" s="298">
        <v>0.6</v>
      </c>
      <c r="CC1061" s="298">
        <v>0.4</v>
      </c>
      <c r="CD1061">
        <f t="shared" si="326"/>
        <v>0</v>
      </c>
      <c r="CE1061">
        <f t="shared" si="327"/>
        <v>0</v>
      </c>
      <c r="CF1061">
        <f t="shared" si="328"/>
        <v>0</v>
      </c>
      <c r="CG1061">
        <f t="shared" si="329"/>
        <v>0</v>
      </c>
      <c r="CH1061">
        <f t="shared" si="330"/>
        <v>0</v>
      </c>
      <c r="CI1061">
        <f t="shared" si="331"/>
        <v>0</v>
      </c>
      <c r="CJ1061">
        <f t="shared" si="332"/>
        <v>0</v>
      </c>
      <c r="CK1061">
        <f t="shared" si="333"/>
        <v>0</v>
      </c>
      <c r="CL1061">
        <f t="shared" si="334"/>
        <v>0</v>
      </c>
      <c r="CM1061">
        <f t="shared" si="336"/>
        <v>0</v>
      </c>
      <c r="CN1061">
        <f t="shared" si="335"/>
        <v>0</v>
      </c>
      <c r="CO1061">
        <f t="shared" si="319"/>
        <v>0</v>
      </c>
    </row>
    <row r="1062" spans="1:93" x14ac:dyDescent="0.25">
      <c r="A1062" s="4">
        <v>2021</v>
      </c>
      <c r="B1062" s="315">
        <v>44279</v>
      </c>
      <c r="C1062" s="4" t="s">
        <v>1492</v>
      </c>
      <c r="D1062" s="4" t="s">
        <v>1493</v>
      </c>
      <c r="F1062" s="4" t="s">
        <v>1494</v>
      </c>
      <c r="G1062" s="5" t="s">
        <v>15</v>
      </c>
      <c r="H1062" s="5" t="s">
        <v>1496</v>
      </c>
      <c r="I1062" s="5" t="s">
        <v>1500</v>
      </c>
      <c r="J1062" s="5" t="s">
        <v>10</v>
      </c>
      <c r="K1062" s="5">
        <v>11</v>
      </c>
      <c r="L1062" s="5" t="s">
        <v>1501</v>
      </c>
      <c r="M1062" s="5">
        <v>1100</v>
      </c>
      <c r="N1062" s="5" t="s">
        <v>170</v>
      </c>
      <c r="O1062" s="6" t="s">
        <v>1497</v>
      </c>
      <c r="P1062" s="6" t="s">
        <v>1498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7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+VLOOKUP(G1062,Liste!$A$7:$G$69,3,FALSE)</f>
        <v>Pin sylvestre</v>
      </c>
      <c r="BI1062" s="96" t="str">
        <f>+VLOOKUP(H1062,Liste!$B$7:$G$69,5,FALSE)</f>
        <v>GSM Alpes du Sud</v>
      </c>
      <c r="BJ1062" s="135">
        <f t="shared" si="318"/>
        <v>110</v>
      </c>
      <c r="BK1062" s="135" t="str">
        <f t="shared" si="320"/>
        <v>Pin sylvestre_F2_PS2_d2_GSM Alpes du Sud_110_</v>
      </c>
      <c r="BL1062" s="319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97" t="str">
        <f>+VLOOKUP(G1062,Liste!$A$7:$H$69,8,FALSE)</f>
        <v>Résineux</v>
      </c>
      <c r="BU1062" s="297">
        <f t="shared" si="321"/>
        <v>0</v>
      </c>
      <c r="BV1062" s="299">
        <f t="shared" si="322"/>
        <v>1</v>
      </c>
      <c r="BW1062" s="318">
        <v>0</v>
      </c>
      <c r="BX1062" s="297">
        <f t="shared" si="323"/>
        <v>0.43</v>
      </c>
      <c r="BY1062">
        <f t="shared" si="324"/>
        <v>0</v>
      </c>
      <c r="BZ1062" s="303">
        <f t="shared" si="325"/>
        <v>0</v>
      </c>
      <c r="CB1062" s="298">
        <v>0.6</v>
      </c>
      <c r="CC1062" s="298">
        <v>0.4</v>
      </c>
      <c r="CD1062">
        <f t="shared" si="326"/>
        <v>0</v>
      </c>
      <c r="CE1062">
        <f t="shared" si="327"/>
        <v>0</v>
      </c>
      <c r="CF1062">
        <f t="shared" si="328"/>
        <v>0</v>
      </c>
      <c r="CG1062">
        <f t="shared" si="329"/>
        <v>0</v>
      </c>
      <c r="CH1062">
        <f t="shared" si="330"/>
        <v>0</v>
      </c>
      <c r="CI1062">
        <f t="shared" si="331"/>
        <v>0</v>
      </c>
      <c r="CJ1062">
        <f t="shared" si="332"/>
        <v>0</v>
      </c>
      <c r="CK1062">
        <f t="shared" si="333"/>
        <v>0</v>
      </c>
      <c r="CL1062">
        <f t="shared" si="334"/>
        <v>0</v>
      </c>
      <c r="CM1062">
        <f t="shared" si="336"/>
        <v>0</v>
      </c>
      <c r="CN1062">
        <f t="shared" si="335"/>
        <v>0</v>
      </c>
      <c r="CO1062">
        <f t="shared" si="319"/>
        <v>0</v>
      </c>
    </row>
    <row r="1063" spans="1:93" x14ac:dyDescent="0.25">
      <c r="A1063" s="4">
        <v>2021</v>
      </c>
      <c r="B1063" s="315">
        <v>44279</v>
      </c>
      <c r="C1063" s="4" t="s">
        <v>1492</v>
      </c>
      <c r="D1063" s="4" t="s">
        <v>1493</v>
      </c>
      <c r="F1063" s="4" t="s">
        <v>1494</v>
      </c>
      <c r="G1063" s="5" t="s">
        <v>15</v>
      </c>
      <c r="H1063" s="5" t="s">
        <v>1496</v>
      </c>
      <c r="I1063" s="5" t="s">
        <v>1500</v>
      </c>
      <c r="J1063" s="5" t="s">
        <v>10</v>
      </c>
      <c r="K1063" s="5">
        <v>11</v>
      </c>
      <c r="L1063" s="5" t="s">
        <v>1501</v>
      </c>
      <c r="M1063" s="5">
        <v>1100</v>
      </c>
      <c r="N1063" s="5" t="s">
        <v>170</v>
      </c>
      <c r="O1063" s="6" t="s">
        <v>1497</v>
      </c>
      <c r="P1063" s="6" t="s">
        <v>1498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7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+VLOOKUP(G1063,Liste!$A$7:$G$69,3,FALSE)</f>
        <v>Pin sylvestre</v>
      </c>
      <c r="BI1063" s="96" t="str">
        <f>+VLOOKUP(H1063,Liste!$B$7:$G$69,5,FALSE)</f>
        <v>GSM Alpes du Sud</v>
      </c>
      <c r="BJ1063" s="135">
        <f t="shared" si="318"/>
        <v>115</v>
      </c>
      <c r="BK1063" s="135" t="str">
        <f t="shared" si="320"/>
        <v>Pin sylvestre_F2_PS2_d2_GSM Alpes du Sud_115_</v>
      </c>
      <c r="BL1063" s="319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97" t="str">
        <f>+VLOOKUP(G1063,Liste!$A$7:$H$69,8,FALSE)</f>
        <v>Résineux</v>
      </c>
      <c r="BU1063" s="297">
        <f t="shared" si="321"/>
        <v>0</v>
      </c>
      <c r="BV1063" s="299">
        <f t="shared" si="322"/>
        <v>1</v>
      </c>
      <c r="BW1063" s="318">
        <v>0</v>
      </c>
      <c r="BX1063" s="297">
        <f t="shared" si="323"/>
        <v>0.43</v>
      </c>
      <c r="BY1063">
        <f t="shared" si="324"/>
        <v>0</v>
      </c>
      <c r="BZ1063" s="303">
        <f t="shared" si="325"/>
        <v>0</v>
      </c>
      <c r="CB1063" s="298">
        <v>0.6</v>
      </c>
      <c r="CC1063" s="298">
        <v>0.4</v>
      </c>
      <c r="CD1063">
        <f t="shared" si="326"/>
        <v>0</v>
      </c>
      <c r="CE1063">
        <f t="shared" si="327"/>
        <v>0</v>
      </c>
      <c r="CF1063">
        <f t="shared" si="328"/>
        <v>0</v>
      </c>
      <c r="CG1063">
        <f t="shared" si="329"/>
        <v>0</v>
      </c>
      <c r="CH1063">
        <f t="shared" si="330"/>
        <v>0</v>
      </c>
      <c r="CI1063">
        <f t="shared" si="331"/>
        <v>0</v>
      </c>
      <c r="CJ1063">
        <f t="shared" si="332"/>
        <v>0</v>
      </c>
      <c r="CK1063">
        <f t="shared" si="333"/>
        <v>0</v>
      </c>
      <c r="CL1063">
        <f t="shared" si="334"/>
        <v>0</v>
      </c>
      <c r="CM1063">
        <f t="shared" si="336"/>
        <v>0</v>
      </c>
      <c r="CN1063">
        <f t="shared" si="335"/>
        <v>0</v>
      </c>
      <c r="CO1063">
        <f t="shared" si="319"/>
        <v>0</v>
      </c>
    </row>
    <row r="1064" spans="1:93" x14ac:dyDescent="0.25">
      <c r="A1064" s="4">
        <v>2021</v>
      </c>
      <c r="B1064" s="315">
        <v>44279</v>
      </c>
      <c r="C1064" s="4" t="s">
        <v>1492</v>
      </c>
      <c r="D1064" s="4" t="s">
        <v>1493</v>
      </c>
      <c r="F1064" s="4" t="s">
        <v>1494</v>
      </c>
      <c r="G1064" s="5" t="s">
        <v>15</v>
      </c>
      <c r="H1064" s="5" t="s">
        <v>1496</v>
      </c>
      <c r="I1064" s="5" t="s">
        <v>1500</v>
      </c>
      <c r="J1064" s="5" t="s">
        <v>10</v>
      </c>
      <c r="K1064" s="5">
        <v>11</v>
      </c>
      <c r="L1064" s="5" t="s">
        <v>1501</v>
      </c>
      <c r="M1064" s="5">
        <v>1100</v>
      </c>
      <c r="N1064" s="5" t="s">
        <v>170</v>
      </c>
      <c r="O1064" s="6" t="s">
        <v>1497</v>
      </c>
      <c r="P1064" s="6" t="s">
        <v>1498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7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+VLOOKUP(G1064,Liste!$A$7:$G$69,3,FALSE)</f>
        <v>Pin sylvestre</v>
      </c>
      <c r="BI1064" s="96" t="str">
        <f>+VLOOKUP(H1064,Liste!$B$7:$G$69,5,FALSE)</f>
        <v>GSM Alpes du Sud</v>
      </c>
      <c r="BJ1064" s="135">
        <f t="shared" si="318"/>
        <v>115</v>
      </c>
      <c r="BK1064" s="135" t="str">
        <f t="shared" si="320"/>
        <v>Pin sylvestre_F2_PS2_d2_GSM Alpes du Sud_115_</v>
      </c>
      <c r="BL1064" s="319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97" t="str">
        <f>+VLOOKUP(G1064,Liste!$A$7:$H$69,8,FALSE)</f>
        <v>Résineux</v>
      </c>
      <c r="BU1064" s="297">
        <f t="shared" si="321"/>
        <v>0</v>
      </c>
      <c r="BV1064" s="299">
        <f t="shared" si="322"/>
        <v>1</v>
      </c>
      <c r="BW1064" s="318">
        <v>0</v>
      </c>
      <c r="BX1064" s="297">
        <f t="shared" si="323"/>
        <v>0.43</v>
      </c>
      <c r="BY1064">
        <f t="shared" si="324"/>
        <v>0</v>
      </c>
      <c r="BZ1064" s="303">
        <f t="shared" si="325"/>
        <v>0</v>
      </c>
      <c r="CB1064" s="298">
        <v>0.6</v>
      </c>
      <c r="CC1064" s="298">
        <v>0.4</v>
      </c>
      <c r="CD1064">
        <f t="shared" si="326"/>
        <v>0</v>
      </c>
      <c r="CE1064">
        <f t="shared" si="327"/>
        <v>0</v>
      </c>
      <c r="CF1064">
        <f t="shared" si="328"/>
        <v>0</v>
      </c>
      <c r="CG1064">
        <f t="shared" si="329"/>
        <v>0</v>
      </c>
      <c r="CH1064">
        <f t="shared" si="330"/>
        <v>0</v>
      </c>
      <c r="CI1064">
        <f t="shared" si="331"/>
        <v>0</v>
      </c>
      <c r="CJ1064">
        <f t="shared" si="332"/>
        <v>0</v>
      </c>
      <c r="CK1064">
        <f t="shared" si="333"/>
        <v>0</v>
      </c>
      <c r="CL1064">
        <f t="shared" si="334"/>
        <v>0</v>
      </c>
      <c r="CM1064">
        <f t="shared" si="336"/>
        <v>0</v>
      </c>
      <c r="CN1064">
        <f t="shared" si="335"/>
        <v>0</v>
      </c>
      <c r="CO1064">
        <f t="shared" si="319"/>
        <v>0</v>
      </c>
    </row>
    <row r="1065" spans="1:93" hidden="1" x14ac:dyDescent="0.25">
      <c r="A1065" s="4">
        <v>2021</v>
      </c>
      <c r="B1065" s="315">
        <v>44279</v>
      </c>
      <c r="C1065" s="4" t="s">
        <v>1492</v>
      </c>
      <c r="D1065" s="4" t="s">
        <v>1493</v>
      </c>
      <c r="F1065" s="4" t="s">
        <v>1494</v>
      </c>
      <c r="G1065" s="5" t="s">
        <v>431</v>
      </c>
      <c r="H1065" s="5" t="s">
        <v>1496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1497</v>
      </c>
      <c r="P1065" s="6" t="s">
        <v>1498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6" t="str">
        <f>+VLOOKUP(G1065,Liste!$A$7:$G$69,3,FALSE)</f>
        <v>Sapin pectiné</v>
      </c>
      <c r="BI1065" s="96" t="str">
        <f>+VLOOKUP(H1065,Liste!$B$7:$G$69,5,FALSE)</f>
        <v>GSM Alpes du Sud</v>
      </c>
      <c r="BJ1065" s="135">
        <f t="shared" si="318"/>
        <v>30</v>
      </c>
      <c r="BK1065" s="135" t="str">
        <f t="shared" si="320"/>
        <v>Sapin pectiné_F2_SP2_4_GSM Alpes du Sud_30_</v>
      </c>
      <c r="BL1065" s="319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97" t="str">
        <f>+VLOOKUP(G1065,Liste!$A$7:$H$69,8,FALSE)</f>
        <v>Résineux</v>
      </c>
      <c r="BU1065" s="297">
        <f t="shared" si="321"/>
        <v>0</v>
      </c>
      <c r="BV1065" s="299">
        <f t="shared" si="322"/>
        <v>1</v>
      </c>
      <c r="BW1065" s="318">
        <v>0</v>
      </c>
      <c r="BX1065" s="297">
        <f t="shared" si="323"/>
        <v>0.43</v>
      </c>
      <c r="BY1065">
        <f t="shared" si="324"/>
        <v>0</v>
      </c>
      <c r="BZ1065" s="303">
        <f t="shared" si="325"/>
        <v>0</v>
      </c>
      <c r="CB1065" s="298">
        <v>0.6</v>
      </c>
      <c r="CC1065" s="298">
        <v>0.4</v>
      </c>
      <c r="CD1065">
        <f t="shared" si="326"/>
        <v>0</v>
      </c>
      <c r="CE1065">
        <f t="shared" si="327"/>
        <v>0</v>
      </c>
      <c r="CF1065">
        <f t="shared" si="328"/>
        <v>0</v>
      </c>
      <c r="CG1065">
        <f t="shared" si="329"/>
        <v>0</v>
      </c>
      <c r="CH1065">
        <f t="shared" si="330"/>
        <v>0</v>
      </c>
      <c r="CI1065">
        <f t="shared" si="331"/>
        <v>0</v>
      </c>
      <c r="CJ1065">
        <f t="shared" si="332"/>
        <v>0</v>
      </c>
      <c r="CK1065">
        <f t="shared" si="333"/>
        <v>0</v>
      </c>
      <c r="CL1065">
        <f t="shared" si="334"/>
        <v>0</v>
      </c>
      <c r="CM1065">
        <f t="shared" si="336"/>
        <v>0</v>
      </c>
      <c r="CN1065">
        <f t="shared" si="335"/>
        <v>0</v>
      </c>
      <c r="CO1065">
        <f t="shared" si="319"/>
        <v>0</v>
      </c>
    </row>
    <row r="1066" spans="1:93" hidden="1" x14ac:dyDescent="0.25">
      <c r="A1066" s="4">
        <v>2021</v>
      </c>
      <c r="B1066" s="315">
        <v>44279</v>
      </c>
      <c r="C1066" s="4" t="s">
        <v>1492</v>
      </c>
      <c r="D1066" s="4" t="s">
        <v>1493</v>
      </c>
      <c r="F1066" s="4" t="s">
        <v>1494</v>
      </c>
      <c r="G1066" s="5" t="s">
        <v>431</v>
      </c>
      <c r="H1066" s="5" t="s">
        <v>1496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1497</v>
      </c>
      <c r="P1066" s="6" t="s">
        <v>1498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+VLOOKUP(G1066,Liste!$A$7:$G$69,3,FALSE)</f>
        <v>Sapin pectiné</v>
      </c>
      <c r="BI1066" s="96" t="str">
        <f>+VLOOKUP(H1066,Liste!$B$7:$G$69,5,FALSE)</f>
        <v>GSM Alpes du Sud</v>
      </c>
      <c r="BJ1066" s="135">
        <f t="shared" si="318"/>
        <v>70</v>
      </c>
      <c r="BK1066" s="135" t="str">
        <f t="shared" si="320"/>
        <v>Sapin pectiné_F2_SP2_4_GSM Alpes du Sud_70_</v>
      </c>
      <c r="BL1066" s="319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97" t="str">
        <f>+VLOOKUP(G1066,Liste!$A$7:$H$69,8,FALSE)</f>
        <v>Résineux</v>
      </c>
      <c r="BU1066" s="297">
        <f t="shared" si="321"/>
        <v>0</v>
      </c>
      <c r="BV1066" s="299">
        <f t="shared" si="322"/>
        <v>1</v>
      </c>
      <c r="BW1066" s="318">
        <v>0</v>
      </c>
      <c r="BX1066" s="297">
        <f t="shared" si="323"/>
        <v>0.43</v>
      </c>
      <c r="BY1066">
        <f t="shared" si="324"/>
        <v>0</v>
      </c>
      <c r="BZ1066" s="303">
        <f t="shared" si="325"/>
        <v>0</v>
      </c>
      <c r="CB1066" s="298">
        <v>0.6</v>
      </c>
      <c r="CC1066" s="298">
        <v>0.4</v>
      </c>
      <c r="CD1066">
        <f t="shared" si="326"/>
        <v>0</v>
      </c>
      <c r="CE1066">
        <f t="shared" si="327"/>
        <v>0</v>
      </c>
      <c r="CF1066">
        <f t="shared" si="328"/>
        <v>0</v>
      </c>
      <c r="CG1066">
        <f t="shared" si="329"/>
        <v>0</v>
      </c>
      <c r="CH1066">
        <f t="shared" si="330"/>
        <v>0</v>
      </c>
      <c r="CI1066">
        <f t="shared" si="331"/>
        <v>0</v>
      </c>
      <c r="CJ1066">
        <f t="shared" si="332"/>
        <v>0</v>
      </c>
      <c r="CK1066">
        <f t="shared" si="333"/>
        <v>0</v>
      </c>
      <c r="CL1066">
        <f t="shared" si="334"/>
        <v>0</v>
      </c>
      <c r="CM1066">
        <f t="shared" si="336"/>
        <v>0</v>
      </c>
      <c r="CN1066">
        <f t="shared" si="335"/>
        <v>0</v>
      </c>
      <c r="CO1066">
        <f t="shared" si="319"/>
        <v>0</v>
      </c>
    </row>
    <row r="1067" spans="1:93" hidden="1" x14ac:dyDescent="0.25">
      <c r="A1067" s="4">
        <v>2021</v>
      </c>
      <c r="B1067" s="315">
        <v>44279</v>
      </c>
      <c r="C1067" s="4" t="s">
        <v>1492</v>
      </c>
      <c r="D1067" s="4" t="s">
        <v>1493</v>
      </c>
      <c r="F1067" s="4" t="s">
        <v>1494</v>
      </c>
      <c r="G1067" s="5" t="s">
        <v>431</v>
      </c>
      <c r="H1067" s="5" t="s">
        <v>1496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1497</v>
      </c>
      <c r="P1067" s="6" t="s">
        <v>1498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+VLOOKUP(G1067,Liste!$A$7:$G$69,3,FALSE)</f>
        <v>Sapin pectiné</v>
      </c>
      <c r="BI1067" s="96" t="str">
        <f>+VLOOKUP(H1067,Liste!$B$7:$G$69,5,FALSE)</f>
        <v>GSM Alpes du Sud</v>
      </c>
      <c r="BJ1067" s="135">
        <f t="shared" si="318"/>
        <v>75</v>
      </c>
      <c r="BK1067" s="135" t="str">
        <f t="shared" si="320"/>
        <v>Sapin pectiné_F2_SP2_4_GSM Alpes du Sud_75_</v>
      </c>
      <c r="BL1067" s="319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97" t="str">
        <f>+VLOOKUP(G1067,Liste!$A$7:$H$69,8,FALSE)</f>
        <v>Résineux</v>
      </c>
      <c r="BU1067" s="297">
        <f t="shared" si="321"/>
        <v>0</v>
      </c>
      <c r="BV1067" s="299">
        <f t="shared" si="322"/>
        <v>1</v>
      </c>
      <c r="BW1067" s="318">
        <v>0</v>
      </c>
      <c r="BX1067" s="297">
        <f t="shared" si="323"/>
        <v>0.43</v>
      </c>
      <c r="BY1067">
        <f t="shared" si="324"/>
        <v>0</v>
      </c>
      <c r="BZ1067" s="303">
        <f t="shared" si="325"/>
        <v>0</v>
      </c>
      <c r="CB1067" s="298">
        <v>0.6</v>
      </c>
      <c r="CC1067" s="298">
        <v>0.4</v>
      </c>
      <c r="CD1067">
        <f t="shared" si="326"/>
        <v>0</v>
      </c>
      <c r="CE1067">
        <f t="shared" si="327"/>
        <v>0</v>
      </c>
      <c r="CF1067">
        <f t="shared" si="328"/>
        <v>0</v>
      </c>
      <c r="CG1067">
        <f t="shared" si="329"/>
        <v>0</v>
      </c>
      <c r="CH1067">
        <f t="shared" si="330"/>
        <v>0</v>
      </c>
      <c r="CI1067">
        <f t="shared" si="331"/>
        <v>0</v>
      </c>
      <c r="CJ1067">
        <f t="shared" si="332"/>
        <v>0</v>
      </c>
      <c r="CK1067">
        <f t="shared" si="333"/>
        <v>0</v>
      </c>
      <c r="CL1067">
        <f t="shared" si="334"/>
        <v>0</v>
      </c>
      <c r="CM1067">
        <f t="shared" si="336"/>
        <v>0</v>
      </c>
      <c r="CN1067">
        <f t="shared" si="335"/>
        <v>0</v>
      </c>
      <c r="CO1067">
        <f t="shared" si="319"/>
        <v>0</v>
      </c>
    </row>
    <row r="1068" spans="1:93" hidden="1" x14ac:dyDescent="0.25">
      <c r="A1068" s="4">
        <v>2021</v>
      </c>
      <c r="B1068" s="315">
        <v>44279</v>
      </c>
      <c r="C1068" s="4" t="s">
        <v>1492</v>
      </c>
      <c r="D1068" s="4" t="s">
        <v>1493</v>
      </c>
      <c r="F1068" s="4" t="s">
        <v>1494</v>
      </c>
      <c r="G1068" s="5" t="s">
        <v>431</v>
      </c>
      <c r="H1068" s="5" t="s">
        <v>1496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1497</v>
      </c>
      <c r="P1068" s="6" t="s">
        <v>1498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+VLOOKUP(G1068,Liste!$A$7:$G$69,3,FALSE)</f>
        <v>Sapin pectiné</v>
      </c>
      <c r="BI1068" s="96" t="str">
        <f>+VLOOKUP(H1068,Liste!$B$7:$G$69,5,FALSE)</f>
        <v>GSM Alpes du Sud</v>
      </c>
      <c r="BJ1068" s="135">
        <f t="shared" si="318"/>
        <v>75</v>
      </c>
      <c r="BK1068" s="135" t="str">
        <f t="shared" si="320"/>
        <v>Sapin pectiné_F2_SP2_4_GSM Alpes du Sud_75_</v>
      </c>
      <c r="BL1068" s="319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97" t="str">
        <f>+VLOOKUP(G1068,Liste!$A$7:$H$69,8,FALSE)</f>
        <v>Résineux</v>
      </c>
      <c r="BU1068" s="297">
        <f t="shared" si="321"/>
        <v>0</v>
      </c>
      <c r="BV1068" s="299">
        <f t="shared" si="322"/>
        <v>1</v>
      </c>
      <c r="BW1068" s="318">
        <v>0</v>
      </c>
      <c r="BX1068" s="297">
        <f t="shared" si="323"/>
        <v>0.43</v>
      </c>
      <c r="BY1068">
        <f t="shared" si="324"/>
        <v>0</v>
      </c>
      <c r="BZ1068" s="303">
        <f t="shared" si="325"/>
        <v>0</v>
      </c>
      <c r="CB1068" s="298">
        <v>0.6</v>
      </c>
      <c r="CC1068" s="298">
        <v>0.4</v>
      </c>
      <c r="CD1068">
        <f t="shared" si="326"/>
        <v>0</v>
      </c>
      <c r="CE1068">
        <f t="shared" si="327"/>
        <v>0</v>
      </c>
      <c r="CF1068">
        <f t="shared" si="328"/>
        <v>0</v>
      </c>
      <c r="CG1068">
        <f t="shared" si="329"/>
        <v>0</v>
      </c>
      <c r="CH1068">
        <f t="shared" si="330"/>
        <v>0</v>
      </c>
      <c r="CI1068">
        <f t="shared" si="331"/>
        <v>0</v>
      </c>
      <c r="CJ1068">
        <f t="shared" si="332"/>
        <v>0</v>
      </c>
      <c r="CK1068">
        <f t="shared" si="333"/>
        <v>0</v>
      </c>
      <c r="CL1068">
        <f t="shared" si="334"/>
        <v>0</v>
      </c>
      <c r="CM1068">
        <f t="shared" si="336"/>
        <v>0</v>
      </c>
      <c r="CN1068">
        <f t="shared" si="335"/>
        <v>0</v>
      </c>
      <c r="CO1068">
        <f t="shared" si="319"/>
        <v>0</v>
      </c>
    </row>
    <row r="1069" spans="1:93" hidden="1" x14ac:dyDescent="0.25">
      <c r="A1069" s="4">
        <v>2021</v>
      </c>
      <c r="B1069" s="315">
        <v>44279</v>
      </c>
      <c r="C1069" s="4" t="s">
        <v>1492</v>
      </c>
      <c r="D1069" s="4" t="s">
        <v>1493</v>
      </c>
      <c r="F1069" s="4" t="s">
        <v>1494</v>
      </c>
      <c r="G1069" s="5" t="s">
        <v>431</v>
      </c>
      <c r="H1069" s="5" t="s">
        <v>1496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1497</v>
      </c>
      <c r="P1069" s="6" t="s">
        <v>1498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+VLOOKUP(G1069,Liste!$A$7:$G$69,3,FALSE)</f>
        <v>Sapin pectiné</v>
      </c>
      <c r="BI1069" s="96" t="str">
        <f>+VLOOKUP(H1069,Liste!$B$7:$G$69,5,FALSE)</f>
        <v>GSM Alpes du Sud</v>
      </c>
      <c r="BJ1069" s="135">
        <f t="shared" si="318"/>
        <v>80</v>
      </c>
      <c r="BK1069" s="135" t="str">
        <f t="shared" si="320"/>
        <v>Sapin pectiné_F2_SP2_4_GSM Alpes du Sud_80_</v>
      </c>
      <c r="BL1069" s="319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97" t="str">
        <f>+VLOOKUP(G1069,Liste!$A$7:$H$69,8,FALSE)</f>
        <v>Résineux</v>
      </c>
      <c r="BU1069" s="297">
        <f t="shared" si="321"/>
        <v>0</v>
      </c>
      <c r="BV1069" s="299">
        <f t="shared" si="322"/>
        <v>1</v>
      </c>
      <c r="BW1069" s="318">
        <v>0</v>
      </c>
      <c r="BX1069" s="297">
        <f t="shared" si="323"/>
        <v>0.43</v>
      </c>
      <c r="BY1069">
        <f t="shared" si="324"/>
        <v>0</v>
      </c>
      <c r="BZ1069" s="303">
        <f t="shared" si="325"/>
        <v>0</v>
      </c>
      <c r="CB1069" s="298">
        <v>0.6</v>
      </c>
      <c r="CC1069" s="298">
        <v>0.4</v>
      </c>
      <c r="CD1069">
        <f t="shared" si="326"/>
        <v>0</v>
      </c>
      <c r="CE1069">
        <f t="shared" si="327"/>
        <v>0</v>
      </c>
      <c r="CF1069">
        <f t="shared" si="328"/>
        <v>0</v>
      </c>
      <c r="CG1069">
        <f t="shared" si="329"/>
        <v>0</v>
      </c>
      <c r="CH1069">
        <f t="shared" si="330"/>
        <v>0</v>
      </c>
      <c r="CI1069">
        <f t="shared" si="331"/>
        <v>0</v>
      </c>
      <c r="CJ1069">
        <f t="shared" si="332"/>
        <v>0</v>
      </c>
      <c r="CK1069">
        <f t="shared" si="333"/>
        <v>0</v>
      </c>
      <c r="CL1069">
        <f t="shared" si="334"/>
        <v>0</v>
      </c>
      <c r="CM1069">
        <f t="shared" si="336"/>
        <v>0</v>
      </c>
      <c r="CN1069">
        <f t="shared" si="335"/>
        <v>0</v>
      </c>
      <c r="CO1069">
        <f t="shared" si="319"/>
        <v>0</v>
      </c>
    </row>
    <row r="1070" spans="1:93" hidden="1" x14ac:dyDescent="0.25">
      <c r="A1070" s="4">
        <v>2021</v>
      </c>
      <c r="B1070" s="315">
        <v>44279</v>
      </c>
      <c r="C1070" s="4" t="s">
        <v>1492</v>
      </c>
      <c r="D1070" s="4" t="s">
        <v>1493</v>
      </c>
      <c r="F1070" s="4" t="s">
        <v>1494</v>
      </c>
      <c r="G1070" s="5" t="s">
        <v>431</v>
      </c>
      <c r="H1070" s="5" t="s">
        <v>1496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1497</v>
      </c>
      <c r="P1070" s="6" t="s">
        <v>1498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+VLOOKUP(G1070,Liste!$A$7:$G$69,3,FALSE)</f>
        <v>Sapin pectiné</v>
      </c>
      <c r="BI1070" s="96" t="str">
        <f>+VLOOKUP(H1070,Liste!$B$7:$G$69,5,FALSE)</f>
        <v>GSM Alpes du Sud</v>
      </c>
      <c r="BJ1070" s="135">
        <f t="shared" si="318"/>
        <v>85</v>
      </c>
      <c r="BK1070" s="135" t="str">
        <f t="shared" si="320"/>
        <v>Sapin pectiné_F2_SP2_4_GSM Alpes du Sud_85_</v>
      </c>
      <c r="BL1070" s="319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97" t="str">
        <f>+VLOOKUP(G1070,Liste!$A$7:$H$69,8,FALSE)</f>
        <v>Résineux</v>
      </c>
      <c r="BU1070" s="297">
        <f t="shared" si="321"/>
        <v>0</v>
      </c>
      <c r="BV1070" s="299">
        <f t="shared" si="322"/>
        <v>1</v>
      </c>
      <c r="BW1070" s="318">
        <v>0</v>
      </c>
      <c r="BX1070" s="297">
        <f t="shared" si="323"/>
        <v>0.43</v>
      </c>
      <c r="BY1070">
        <f t="shared" si="324"/>
        <v>0</v>
      </c>
      <c r="BZ1070" s="303">
        <f t="shared" si="325"/>
        <v>0</v>
      </c>
      <c r="CB1070" s="298">
        <v>0.6</v>
      </c>
      <c r="CC1070" s="298">
        <v>0.4</v>
      </c>
      <c r="CD1070">
        <f t="shared" si="326"/>
        <v>0</v>
      </c>
      <c r="CE1070">
        <f t="shared" si="327"/>
        <v>0</v>
      </c>
      <c r="CF1070">
        <f t="shared" si="328"/>
        <v>0</v>
      </c>
      <c r="CG1070">
        <f t="shared" si="329"/>
        <v>0</v>
      </c>
      <c r="CH1070">
        <f t="shared" si="330"/>
        <v>0</v>
      </c>
      <c r="CI1070">
        <f t="shared" si="331"/>
        <v>0</v>
      </c>
      <c r="CJ1070">
        <f t="shared" si="332"/>
        <v>0</v>
      </c>
      <c r="CK1070">
        <f t="shared" si="333"/>
        <v>0</v>
      </c>
      <c r="CL1070">
        <f t="shared" si="334"/>
        <v>0</v>
      </c>
      <c r="CM1070">
        <f t="shared" si="336"/>
        <v>0</v>
      </c>
      <c r="CN1070">
        <f t="shared" si="335"/>
        <v>0</v>
      </c>
      <c r="CO1070">
        <f t="shared" si="319"/>
        <v>0</v>
      </c>
    </row>
    <row r="1071" spans="1:93" hidden="1" x14ac:dyDescent="0.25">
      <c r="A1071" s="4">
        <v>2021</v>
      </c>
      <c r="B1071" s="315">
        <v>44279</v>
      </c>
      <c r="C1071" s="4" t="s">
        <v>1492</v>
      </c>
      <c r="D1071" s="4" t="s">
        <v>1493</v>
      </c>
      <c r="F1071" s="4" t="s">
        <v>1494</v>
      </c>
      <c r="G1071" s="5" t="s">
        <v>431</v>
      </c>
      <c r="H1071" s="5" t="s">
        <v>1496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1497</v>
      </c>
      <c r="P1071" s="6" t="s">
        <v>1498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+VLOOKUP(G1071,Liste!$A$7:$G$69,3,FALSE)</f>
        <v>Sapin pectiné</v>
      </c>
      <c r="BI1071" s="96" t="str">
        <f>+VLOOKUP(H1071,Liste!$B$7:$G$69,5,FALSE)</f>
        <v>GSM Alpes du Sud</v>
      </c>
      <c r="BJ1071" s="135">
        <f t="shared" si="318"/>
        <v>90</v>
      </c>
      <c r="BK1071" s="135" t="str">
        <f t="shared" si="320"/>
        <v>Sapin pectiné_F2_SP2_4_GSM Alpes du Sud_90_</v>
      </c>
      <c r="BL1071" s="319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97" t="str">
        <f>+VLOOKUP(G1071,Liste!$A$7:$H$69,8,FALSE)</f>
        <v>Résineux</v>
      </c>
      <c r="BU1071" s="297">
        <f t="shared" si="321"/>
        <v>0</v>
      </c>
      <c r="BV1071" s="299">
        <f t="shared" si="322"/>
        <v>1</v>
      </c>
      <c r="BW1071" s="318">
        <v>0</v>
      </c>
      <c r="BX1071" s="297">
        <f t="shared" si="323"/>
        <v>0.43</v>
      </c>
      <c r="BY1071">
        <f t="shared" si="324"/>
        <v>0</v>
      </c>
      <c r="BZ1071" s="303">
        <f t="shared" si="325"/>
        <v>0</v>
      </c>
      <c r="CB1071" s="298">
        <v>0.6</v>
      </c>
      <c r="CC1071" s="298">
        <v>0.4</v>
      </c>
      <c r="CD1071">
        <f t="shared" si="326"/>
        <v>0</v>
      </c>
      <c r="CE1071">
        <f t="shared" si="327"/>
        <v>0</v>
      </c>
      <c r="CF1071">
        <f t="shared" si="328"/>
        <v>0</v>
      </c>
      <c r="CG1071">
        <f t="shared" si="329"/>
        <v>0</v>
      </c>
      <c r="CH1071">
        <f t="shared" si="330"/>
        <v>0</v>
      </c>
      <c r="CI1071">
        <f t="shared" si="331"/>
        <v>0</v>
      </c>
      <c r="CJ1071">
        <f t="shared" si="332"/>
        <v>0</v>
      </c>
      <c r="CK1071">
        <f t="shared" si="333"/>
        <v>0</v>
      </c>
      <c r="CL1071">
        <f t="shared" si="334"/>
        <v>0</v>
      </c>
      <c r="CM1071">
        <f t="shared" si="336"/>
        <v>0</v>
      </c>
      <c r="CN1071">
        <f t="shared" si="335"/>
        <v>0</v>
      </c>
      <c r="CO1071">
        <f t="shared" si="319"/>
        <v>0</v>
      </c>
    </row>
    <row r="1072" spans="1:93" hidden="1" x14ac:dyDescent="0.25">
      <c r="A1072" s="4">
        <v>2021</v>
      </c>
      <c r="B1072" s="315">
        <v>44279</v>
      </c>
      <c r="C1072" s="4" t="s">
        <v>1492</v>
      </c>
      <c r="D1072" s="4" t="s">
        <v>1493</v>
      </c>
      <c r="F1072" s="4" t="s">
        <v>1494</v>
      </c>
      <c r="G1072" s="5" t="s">
        <v>431</v>
      </c>
      <c r="H1072" s="5" t="s">
        <v>1496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1497</v>
      </c>
      <c r="P1072" s="6" t="s">
        <v>1498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+VLOOKUP(G1072,Liste!$A$7:$G$69,3,FALSE)</f>
        <v>Sapin pectiné</v>
      </c>
      <c r="BI1072" s="96" t="str">
        <f>+VLOOKUP(H1072,Liste!$B$7:$G$69,5,FALSE)</f>
        <v>GSM Alpes du Sud</v>
      </c>
      <c r="BJ1072" s="135">
        <f t="shared" si="318"/>
        <v>95</v>
      </c>
      <c r="BK1072" s="135" t="str">
        <f t="shared" si="320"/>
        <v>Sapin pectiné_F2_SP2_4_GSM Alpes du Sud_95_</v>
      </c>
      <c r="BL1072" s="319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97" t="str">
        <f>+VLOOKUP(G1072,Liste!$A$7:$H$69,8,FALSE)</f>
        <v>Résineux</v>
      </c>
      <c r="BU1072" s="297">
        <f t="shared" si="321"/>
        <v>0</v>
      </c>
      <c r="BV1072" s="299">
        <f t="shared" si="322"/>
        <v>1</v>
      </c>
      <c r="BW1072" s="318">
        <v>0</v>
      </c>
      <c r="BX1072" s="297">
        <f t="shared" si="323"/>
        <v>0.43</v>
      </c>
      <c r="BY1072">
        <f t="shared" si="324"/>
        <v>0</v>
      </c>
      <c r="BZ1072" s="303">
        <f t="shared" si="325"/>
        <v>0</v>
      </c>
      <c r="CB1072" s="298">
        <v>0.6</v>
      </c>
      <c r="CC1072" s="298">
        <v>0.4</v>
      </c>
      <c r="CD1072">
        <f t="shared" si="326"/>
        <v>0</v>
      </c>
      <c r="CE1072">
        <f t="shared" si="327"/>
        <v>0</v>
      </c>
      <c r="CF1072">
        <f t="shared" si="328"/>
        <v>0</v>
      </c>
      <c r="CG1072">
        <f t="shared" si="329"/>
        <v>0</v>
      </c>
      <c r="CH1072">
        <f t="shared" si="330"/>
        <v>0</v>
      </c>
      <c r="CI1072">
        <f t="shared" si="331"/>
        <v>0</v>
      </c>
      <c r="CJ1072">
        <f t="shared" si="332"/>
        <v>0</v>
      </c>
      <c r="CK1072">
        <f t="shared" si="333"/>
        <v>0</v>
      </c>
      <c r="CL1072">
        <f t="shared" si="334"/>
        <v>0</v>
      </c>
      <c r="CM1072">
        <f t="shared" si="336"/>
        <v>0</v>
      </c>
      <c r="CN1072">
        <f t="shared" si="335"/>
        <v>0</v>
      </c>
      <c r="CO1072">
        <f t="shared" si="319"/>
        <v>0</v>
      </c>
    </row>
    <row r="1073" spans="1:93" hidden="1" x14ac:dyDescent="0.25">
      <c r="A1073" s="4">
        <v>2021</v>
      </c>
      <c r="B1073" s="315">
        <v>44279</v>
      </c>
      <c r="C1073" s="4" t="s">
        <v>1492</v>
      </c>
      <c r="D1073" s="4" t="s">
        <v>1493</v>
      </c>
      <c r="F1073" s="4" t="s">
        <v>1494</v>
      </c>
      <c r="G1073" s="5" t="s">
        <v>431</v>
      </c>
      <c r="H1073" s="5" t="s">
        <v>1496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1497</v>
      </c>
      <c r="P1073" s="6" t="s">
        <v>1498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+VLOOKUP(G1073,Liste!$A$7:$G$69,3,FALSE)</f>
        <v>Sapin pectiné</v>
      </c>
      <c r="BI1073" s="96" t="str">
        <f>+VLOOKUP(H1073,Liste!$B$7:$G$69,5,FALSE)</f>
        <v>GSM Alpes du Sud</v>
      </c>
      <c r="BJ1073" s="135">
        <f t="shared" si="318"/>
        <v>95</v>
      </c>
      <c r="BK1073" s="135" t="str">
        <f t="shared" si="320"/>
        <v>Sapin pectiné_F2_SP2_4_GSM Alpes du Sud_95_</v>
      </c>
      <c r="BL1073" s="319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97" t="str">
        <f>+VLOOKUP(G1073,Liste!$A$7:$H$69,8,FALSE)</f>
        <v>Résineux</v>
      </c>
      <c r="BU1073" s="297">
        <f t="shared" si="321"/>
        <v>0</v>
      </c>
      <c r="BV1073" s="299">
        <f t="shared" si="322"/>
        <v>1</v>
      </c>
      <c r="BW1073" s="318">
        <v>0</v>
      </c>
      <c r="BX1073" s="297">
        <f t="shared" si="323"/>
        <v>0.43</v>
      </c>
      <c r="BY1073">
        <f t="shared" si="324"/>
        <v>0</v>
      </c>
      <c r="BZ1073" s="303">
        <f t="shared" si="325"/>
        <v>0</v>
      </c>
      <c r="CB1073" s="298">
        <v>0.6</v>
      </c>
      <c r="CC1073" s="298">
        <v>0.4</v>
      </c>
      <c r="CD1073">
        <f t="shared" si="326"/>
        <v>0</v>
      </c>
      <c r="CE1073">
        <f t="shared" si="327"/>
        <v>0</v>
      </c>
      <c r="CF1073">
        <f t="shared" si="328"/>
        <v>0</v>
      </c>
      <c r="CG1073">
        <f t="shared" si="329"/>
        <v>0</v>
      </c>
      <c r="CH1073">
        <f t="shared" si="330"/>
        <v>0</v>
      </c>
      <c r="CI1073">
        <f t="shared" si="331"/>
        <v>0</v>
      </c>
      <c r="CJ1073">
        <f t="shared" si="332"/>
        <v>0</v>
      </c>
      <c r="CK1073">
        <f t="shared" si="333"/>
        <v>0</v>
      </c>
      <c r="CL1073">
        <f t="shared" si="334"/>
        <v>0</v>
      </c>
      <c r="CM1073">
        <f t="shared" si="336"/>
        <v>0</v>
      </c>
      <c r="CN1073">
        <f t="shared" si="335"/>
        <v>0</v>
      </c>
      <c r="CO1073">
        <f t="shared" si="319"/>
        <v>0</v>
      </c>
    </row>
    <row r="1074" spans="1:93" hidden="1" x14ac:dyDescent="0.25">
      <c r="A1074" s="4">
        <v>2021</v>
      </c>
      <c r="B1074" s="315">
        <v>44279</v>
      </c>
      <c r="C1074" s="4" t="s">
        <v>1492</v>
      </c>
      <c r="D1074" s="4" t="s">
        <v>1493</v>
      </c>
      <c r="F1074" s="4" t="s">
        <v>1494</v>
      </c>
      <c r="G1074" s="5" t="s">
        <v>431</v>
      </c>
      <c r="H1074" s="5" t="s">
        <v>1496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1497</v>
      </c>
      <c r="P1074" s="6" t="s">
        <v>1498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+VLOOKUP(G1074,Liste!$A$7:$G$69,3,FALSE)</f>
        <v>Sapin pectiné</v>
      </c>
      <c r="BI1074" s="96" t="str">
        <f>+VLOOKUP(H1074,Liste!$B$7:$G$69,5,FALSE)</f>
        <v>GSM Alpes du Sud</v>
      </c>
      <c r="BJ1074" s="135">
        <f t="shared" si="318"/>
        <v>100</v>
      </c>
      <c r="BK1074" s="135" t="str">
        <f t="shared" si="320"/>
        <v>Sapin pectiné_F2_SP2_4_GSM Alpes du Sud_100_</v>
      </c>
      <c r="BL1074" s="319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97" t="str">
        <f>+VLOOKUP(G1074,Liste!$A$7:$H$69,8,FALSE)</f>
        <v>Résineux</v>
      </c>
      <c r="BU1074" s="297">
        <f t="shared" si="321"/>
        <v>0</v>
      </c>
      <c r="BV1074" s="299">
        <f t="shared" si="322"/>
        <v>1</v>
      </c>
      <c r="BW1074" s="318">
        <v>0</v>
      </c>
      <c r="BX1074" s="297">
        <f t="shared" si="323"/>
        <v>0.43</v>
      </c>
      <c r="BY1074">
        <f t="shared" si="324"/>
        <v>0</v>
      </c>
      <c r="BZ1074" s="303">
        <f t="shared" si="325"/>
        <v>0</v>
      </c>
      <c r="CB1074" s="298">
        <v>0.6</v>
      </c>
      <c r="CC1074" s="298">
        <v>0.4</v>
      </c>
      <c r="CD1074">
        <f t="shared" si="326"/>
        <v>0</v>
      </c>
      <c r="CE1074">
        <f t="shared" si="327"/>
        <v>0</v>
      </c>
      <c r="CF1074">
        <f t="shared" si="328"/>
        <v>0</v>
      </c>
      <c r="CG1074">
        <f t="shared" si="329"/>
        <v>0</v>
      </c>
      <c r="CH1074">
        <f t="shared" si="330"/>
        <v>0</v>
      </c>
      <c r="CI1074">
        <f t="shared" si="331"/>
        <v>0</v>
      </c>
      <c r="CJ1074">
        <f t="shared" si="332"/>
        <v>0</v>
      </c>
      <c r="CK1074">
        <f t="shared" si="333"/>
        <v>0</v>
      </c>
      <c r="CL1074">
        <f t="shared" si="334"/>
        <v>0</v>
      </c>
      <c r="CM1074">
        <f t="shared" si="336"/>
        <v>0</v>
      </c>
      <c r="CN1074">
        <f t="shared" si="335"/>
        <v>0</v>
      </c>
      <c r="CO1074">
        <f t="shared" si="319"/>
        <v>0</v>
      </c>
    </row>
    <row r="1075" spans="1:93" hidden="1" x14ac:dyDescent="0.25">
      <c r="A1075" s="4">
        <v>2021</v>
      </c>
      <c r="B1075" s="315">
        <v>44279</v>
      </c>
      <c r="C1075" s="4" t="s">
        <v>1492</v>
      </c>
      <c r="D1075" s="4" t="s">
        <v>1493</v>
      </c>
      <c r="F1075" s="4" t="s">
        <v>1494</v>
      </c>
      <c r="G1075" s="5" t="s">
        <v>431</v>
      </c>
      <c r="H1075" s="5" t="s">
        <v>1496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1497</v>
      </c>
      <c r="P1075" s="6" t="s">
        <v>1498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+VLOOKUP(G1075,Liste!$A$7:$G$69,3,FALSE)</f>
        <v>Sapin pectiné</v>
      </c>
      <c r="BI1075" s="96" t="str">
        <f>+VLOOKUP(H1075,Liste!$B$7:$G$69,5,FALSE)</f>
        <v>GSM Alpes du Sud</v>
      </c>
      <c r="BJ1075" s="135">
        <f t="shared" si="318"/>
        <v>105</v>
      </c>
      <c r="BK1075" s="135" t="str">
        <f t="shared" si="320"/>
        <v>Sapin pectiné_F2_SP2_4_GSM Alpes du Sud_105_</v>
      </c>
      <c r="BL1075" s="319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97" t="str">
        <f>+VLOOKUP(G1075,Liste!$A$7:$H$69,8,FALSE)</f>
        <v>Résineux</v>
      </c>
      <c r="BU1075" s="297">
        <f t="shared" si="321"/>
        <v>0</v>
      </c>
      <c r="BV1075" s="299">
        <f t="shared" si="322"/>
        <v>1</v>
      </c>
      <c r="BW1075" s="318">
        <v>0</v>
      </c>
      <c r="BX1075" s="297">
        <f t="shared" si="323"/>
        <v>0.43</v>
      </c>
      <c r="BY1075">
        <f t="shared" si="324"/>
        <v>0</v>
      </c>
      <c r="BZ1075" s="303">
        <f t="shared" si="325"/>
        <v>0</v>
      </c>
      <c r="CB1075" s="298">
        <v>0.6</v>
      </c>
      <c r="CC1075" s="298">
        <v>0.4</v>
      </c>
      <c r="CD1075">
        <f t="shared" si="326"/>
        <v>0</v>
      </c>
      <c r="CE1075">
        <f t="shared" si="327"/>
        <v>0</v>
      </c>
      <c r="CF1075">
        <f t="shared" si="328"/>
        <v>0</v>
      </c>
      <c r="CG1075">
        <f t="shared" si="329"/>
        <v>0</v>
      </c>
      <c r="CH1075">
        <f t="shared" si="330"/>
        <v>0</v>
      </c>
      <c r="CI1075">
        <f t="shared" si="331"/>
        <v>0</v>
      </c>
      <c r="CJ1075">
        <f t="shared" si="332"/>
        <v>0</v>
      </c>
      <c r="CK1075">
        <f t="shared" si="333"/>
        <v>0</v>
      </c>
      <c r="CL1075">
        <f t="shared" si="334"/>
        <v>0</v>
      </c>
      <c r="CM1075">
        <f t="shared" si="336"/>
        <v>0</v>
      </c>
      <c r="CN1075">
        <f t="shared" si="335"/>
        <v>0</v>
      </c>
      <c r="CO1075">
        <f t="shared" si="319"/>
        <v>0</v>
      </c>
    </row>
    <row r="1076" spans="1:93" hidden="1" x14ac:dyDescent="0.25">
      <c r="A1076" s="4">
        <v>2021</v>
      </c>
      <c r="B1076" s="315">
        <v>44279</v>
      </c>
      <c r="C1076" s="4" t="s">
        <v>1492</v>
      </c>
      <c r="D1076" s="4" t="s">
        <v>1493</v>
      </c>
      <c r="F1076" s="4" t="s">
        <v>1494</v>
      </c>
      <c r="G1076" s="5" t="s">
        <v>431</v>
      </c>
      <c r="H1076" s="5" t="s">
        <v>1496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1497</v>
      </c>
      <c r="P1076" s="6" t="s">
        <v>1498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+VLOOKUP(G1076,Liste!$A$7:$G$69,3,FALSE)</f>
        <v>Sapin pectiné</v>
      </c>
      <c r="BI1076" s="96" t="str">
        <f>+VLOOKUP(H1076,Liste!$B$7:$G$69,5,FALSE)</f>
        <v>GSM Alpes du Sud</v>
      </c>
      <c r="BJ1076" s="135">
        <f t="shared" si="318"/>
        <v>110</v>
      </c>
      <c r="BK1076" s="135" t="str">
        <f t="shared" si="320"/>
        <v>Sapin pectiné_F2_SP2_4_GSM Alpes du Sud_110_</v>
      </c>
      <c r="BL1076" s="319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97" t="str">
        <f>+VLOOKUP(G1076,Liste!$A$7:$H$69,8,FALSE)</f>
        <v>Résineux</v>
      </c>
      <c r="BU1076" s="297">
        <f t="shared" si="321"/>
        <v>0</v>
      </c>
      <c r="BV1076" s="299">
        <f t="shared" si="322"/>
        <v>1</v>
      </c>
      <c r="BW1076" s="318">
        <v>0</v>
      </c>
      <c r="BX1076" s="297">
        <f t="shared" si="323"/>
        <v>0.43</v>
      </c>
      <c r="BY1076">
        <f t="shared" si="324"/>
        <v>0</v>
      </c>
      <c r="BZ1076" s="303">
        <f t="shared" si="325"/>
        <v>0</v>
      </c>
      <c r="CB1076" s="298">
        <v>0.6</v>
      </c>
      <c r="CC1076" s="298">
        <v>0.4</v>
      </c>
      <c r="CD1076">
        <f t="shared" si="326"/>
        <v>0</v>
      </c>
      <c r="CE1076">
        <f t="shared" si="327"/>
        <v>0</v>
      </c>
      <c r="CF1076">
        <f t="shared" si="328"/>
        <v>0</v>
      </c>
      <c r="CG1076">
        <f t="shared" si="329"/>
        <v>0</v>
      </c>
      <c r="CH1076">
        <f t="shared" si="330"/>
        <v>0</v>
      </c>
      <c r="CI1076">
        <f t="shared" si="331"/>
        <v>0</v>
      </c>
      <c r="CJ1076">
        <f t="shared" si="332"/>
        <v>0</v>
      </c>
      <c r="CK1076">
        <f t="shared" si="333"/>
        <v>0</v>
      </c>
      <c r="CL1076">
        <f t="shared" si="334"/>
        <v>0</v>
      </c>
      <c r="CM1076">
        <f t="shared" si="336"/>
        <v>0</v>
      </c>
      <c r="CN1076">
        <f t="shared" si="335"/>
        <v>0</v>
      </c>
      <c r="CO1076">
        <f t="shared" si="319"/>
        <v>0</v>
      </c>
    </row>
    <row r="1077" spans="1:93" hidden="1" x14ac:dyDescent="0.25">
      <c r="A1077" s="4">
        <v>2021</v>
      </c>
      <c r="B1077" s="315">
        <v>44279</v>
      </c>
      <c r="C1077" s="4" t="s">
        <v>1492</v>
      </c>
      <c r="D1077" s="4" t="s">
        <v>1493</v>
      </c>
      <c r="F1077" s="4" t="s">
        <v>1494</v>
      </c>
      <c r="G1077" s="5" t="s">
        <v>431</v>
      </c>
      <c r="H1077" s="5" t="s">
        <v>1496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1497</v>
      </c>
      <c r="P1077" s="6" t="s">
        <v>1498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+VLOOKUP(G1077,Liste!$A$7:$G$69,3,FALSE)</f>
        <v>Sapin pectiné</v>
      </c>
      <c r="BI1077" s="96" t="str">
        <f>+VLOOKUP(H1077,Liste!$B$7:$G$69,5,FALSE)</f>
        <v>GSM Alpes du Sud</v>
      </c>
      <c r="BJ1077" s="135">
        <f t="shared" si="318"/>
        <v>115</v>
      </c>
      <c r="BK1077" s="135" t="str">
        <f t="shared" si="320"/>
        <v>Sapin pectiné_F2_SP2_4_GSM Alpes du Sud_115_</v>
      </c>
      <c r="BL1077" s="319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97" t="str">
        <f>+VLOOKUP(G1077,Liste!$A$7:$H$69,8,FALSE)</f>
        <v>Résineux</v>
      </c>
      <c r="BU1077" s="297">
        <f t="shared" si="321"/>
        <v>0</v>
      </c>
      <c r="BV1077" s="299">
        <f t="shared" si="322"/>
        <v>1</v>
      </c>
      <c r="BW1077" s="318">
        <v>0</v>
      </c>
      <c r="BX1077" s="297">
        <f t="shared" si="323"/>
        <v>0.43</v>
      </c>
      <c r="BY1077">
        <f t="shared" si="324"/>
        <v>0</v>
      </c>
      <c r="BZ1077" s="303">
        <f t="shared" si="325"/>
        <v>0</v>
      </c>
      <c r="CB1077" s="298">
        <v>0.6</v>
      </c>
      <c r="CC1077" s="298">
        <v>0.4</v>
      </c>
      <c r="CD1077">
        <f t="shared" si="326"/>
        <v>0</v>
      </c>
      <c r="CE1077">
        <f t="shared" si="327"/>
        <v>0</v>
      </c>
      <c r="CF1077">
        <f t="shared" si="328"/>
        <v>0</v>
      </c>
      <c r="CG1077">
        <f t="shared" si="329"/>
        <v>0</v>
      </c>
      <c r="CH1077">
        <f t="shared" si="330"/>
        <v>0</v>
      </c>
      <c r="CI1077">
        <f t="shared" si="331"/>
        <v>0</v>
      </c>
      <c r="CJ1077">
        <f t="shared" si="332"/>
        <v>0</v>
      </c>
      <c r="CK1077">
        <f t="shared" si="333"/>
        <v>0</v>
      </c>
      <c r="CL1077">
        <f t="shared" si="334"/>
        <v>0</v>
      </c>
      <c r="CM1077">
        <f t="shared" si="336"/>
        <v>0</v>
      </c>
      <c r="CN1077">
        <f t="shared" si="335"/>
        <v>0</v>
      </c>
      <c r="CO1077">
        <f t="shared" si="319"/>
        <v>0</v>
      </c>
    </row>
    <row r="1078" spans="1:93" hidden="1" x14ac:dyDescent="0.25">
      <c r="A1078" s="4">
        <v>2021</v>
      </c>
      <c r="B1078" s="315">
        <v>44279</v>
      </c>
      <c r="C1078" s="4" t="s">
        <v>1492</v>
      </c>
      <c r="D1078" s="4" t="s">
        <v>1493</v>
      </c>
      <c r="F1078" s="4" t="s">
        <v>1494</v>
      </c>
      <c r="G1078" s="5" t="s">
        <v>431</v>
      </c>
      <c r="H1078" s="5" t="s">
        <v>1496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1497</v>
      </c>
      <c r="P1078" s="6" t="s">
        <v>1498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+VLOOKUP(G1078,Liste!$A$7:$G$69,3,FALSE)</f>
        <v>Sapin pectiné</v>
      </c>
      <c r="BI1078" s="96" t="str">
        <f>+VLOOKUP(H1078,Liste!$B$7:$G$69,5,FALSE)</f>
        <v>GSM Alpes du Sud</v>
      </c>
      <c r="BJ1078" s="135">
        <f t="shared" si="318"/>
        <v>115</v>
      </c>
      <c r="BK1078" s="135" t="str">
        <f t="shared" si="320"/>
        <v>Sapin pectiné_F2_SP2_4_GSM Alpes du Sud_115_</v>
      </c>
      <c r="BL1078" s="319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97" t="str">
        <f>+VLOOKUP(G1078,Liste!$A$7:$H$69,8,FALSE)</f>
        <v>Résineux</v>
      </c>
      <c r="BU1078" s="297">
        <f t="shared" si="321"/>
        <v>0</v>
      </c>
      <c r="BV1078" s="299">
        <f t="shared" si="322"/>
        <v>1</v>
      </c>
      <c r="BW1078" s="318">
        <v>0</v>
      </c>
      <c r="BX1078" s="297">
        <f t="shared" si="323"/>
        <v>0.43</v>
      </c>
      <c r="BY1078">
        <f t="shared" si="324"/>
        <v>0</v>
      </c>
      <c r="BZ1078" s="303">
        <f t="shared" si="325"/>
        <v>0</v>
      </c>
      <c r="CB1078" s="298">
        <v>0.6</v>
      </c>
      <c r="CC1078" s="298">
        <v>0.4</v>
      </c>
      <c r="CD1078">
        <f t="shared" si="326"/>
        <v>0</v>
      </c>
      <c r="CE1078">
        <f t="shared" si="327"/>
        <v>0</v>
      </c>
      <c r="CF1078">
        <f t="shared" si="328"/>
        <v>0</v>
      </c>
      <c r="CG1078">
        <f t="shared" si="329"/>
        <v>0</v>
      </c>
      <c r="CH1078">
        <f t="shared" si="330"/>
        <v>0</v>
      </c>
      <c r="CI1078">
        <f t="shared" si="331"/>
        <v>0</v>
      </c>
      <c r="CJ1078">
        <f t="shared" si="332"/>
        <v>0</v>
      </c>
      <c r="CK1078">
        <f t="shared" si="333"/>
        <v>0</v>
      </c>
      <c r="CL1078">
        <f t="shared" si="334"/>
        <v>0</v>
      </c>
      <c r="CM1078">
        <f t="shared" si="336"/>
        <v>0</v>
      </c>
      <c r="CN1078">
        <f t="shared" si="335"/>
        <v>0</v>
      </c>
      <c r="CO1078">
        <f t="shared" si="319"/>
        <v>0</v>
      </c>
    </row>
    <row r="1079" spans="1:93" hidden="1" x14ac:dyDescent="0.25">
      <c r="A1079" s="4">
        <v>2021</v>
      </c>
      <c r="B1079" s="315">
        <v>44279</v>
      </c>
      <c r="C1079" s="4" t="s">
        <v>1492</v>
      </c>
      <c r="D1079" s="4" t="s">
        <v>1493</v>
      </c>
      <c r="F1079" s="4" t="s">
        <v>1494</v>
      </c>
      <c r="G1079" s="5" t="s">
        <v>431</v>
      </c>
      <c r="H1079" s="5" t="s">
        <v>1496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1497</v>
      </c>
      <c r="P1079" s="6" t="s">
        <v>1498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+VLOOKUP(G1079,Liste!$A$7:$G$69,3,FALSE)</f>
        <v>Sapin pectiné</v>
      </c>
      <c r="BI1079" s="96" t="str">
        <f>+VLOOKUP(H1079,Liste!$B$7:$G$69,5,FALSE)</f>
        <v>GSM Alpes du Sud</v>
      </c>
      <c r="BJ1079" s="135">
        <f t="shared" si="318"/>
        <v>120</v>
      </c>
      <c r="BK1079" s="135" t="str">
        <f t="shared" si="320"/>
        <v>Sapin pectiné_F2_SP2_4_GSM Alpes du Sud_120_</v>
      </c>
      <c r="BL1079" s="319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97" t="str">
        <f>+VLOOKUP(G1079,Liste!$A$7:$H$69,8,FALSE)</f>
        <v>Résineux</v>
      </c>
      <c r="BU1079" s="297">
        <f t="shared" si="321"/>
        <v>0</v>
      </c>
      <c r="BV1079" s="299">
        <f t="shared" si="322"/>
        <v>1</v>
      </c>
      <c r="BW1079" s="318">
        <v>0</v>
      </c>
      <c r="BX1079" s="297">
        <f t="shared" si="323"/>
        <v>0.43</v>
      </c>
      <c r="BY1079">
        <f t="shared" si="324"/>
        <v>0</v>
      </c>
      <c r="BZ1079" s="303">
        <f t="shared" si="325"/>
        <v>0</v>
      </c>
      <c r="CB1079" s="298">
        <v>0.6</v>
      </c>
      <c r="CC1079" s="298">
        <v>0.4</v>
      </c>
      <c r="CD1079">
        <f t="shared" si="326"/>
        <v>0</v>
      </c>
      <c r="CE1079">
        <f t="shared" si="327"/>
        <v>0</v>
      </c>
      <c r="CF1079">
        <f t="shared" si="328"/>
        <v>0</v>
      </c>
      <c r="CG1079">
        <f t="shared" si="329"/>
        <v>0</v>
      </c>
      <c r="CH1079">
        <f t="shared" si="330"/>
        <v>0</v>
      </c>
      <c r="CI1079">
        <f t="shared" si="331"/>
        <v>0</v>
      </c>
      <c r="CJ1079">
        <f t="shared" si="332"/>
        <v>0</v>
      </c>
      <c r="CK1079">
        <f t="shared" si="333"/>
        <v>0</v>
      </c>
      <c r="CL1079">
        <f t="shared" si="334"/>
        <v>0</v>
      </c>
      <c r="CM1079">
        <f t="shared" si="336"/>
        <v>0</v>
      </c>
      <c r="CN1079">
        <f t="shared" si="335"/>
        <v>0</v>
      </c>
      <c r="CO1079">
        <f t="shared" si="319"/>
        <v>0</v>
      </c>
    </row>
    <row r="1080" spans="1:93" hidden="1" x14ac:dyDescent="0.25">
      <c r="A1080" s="4">
        <v>2021</v>
      </c>
      <c r="B1080" s="315">
        <v>44279</v>
      </c>
      <c r="C1080" s="4" t="s">
        <v>1492</v>
      </c>
      <c r="D1080" s="4" t="s">
        <v>1493</v>
      </c>
      <c r="F1080" s="4" t="s">
        <v>1494</v>
      </c>
      <c r="G1080" s="5" t="s">
        <v>431</v>
      </c>
      <c r="H1080" s="5" t="s">
        <v>1496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1497</v>
      </c>
      <c r="P1080" s="6" t="s">
        <v>1498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+VLOOKUP(G1080,Liste!$A$7:$G$69,3,FALSE)</f>
        <v>Sapin pectiné</v>
      </c>
      <c r="BI1080" s="96" t="str">
        <f>+VLOOKUP(H1080,Liste!$B$7:$G$69,5,FALSE)</f>
        <v>GSM Alpes du Sud</v>
      </c>
      <c r="BJ1080" s="135">
        <f t="shared" si="318"/>
        <v>125</v>
      </c>
      <c r="BK1080" s="135" t="str">
        <f t="shared" si="320"/>
        <v>Sapin pectiné_F2_SP2_4_GSM Alpes du Sud_125_</v>
      </c>
      <c r="BL1080" s="319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97" t="str">
        <f>+VLOOKUP(G1080,Liste!$A$7:$H$69,8,FALSE)</f>
        <v>Résineux</v>
      </c>
      <c r="BU1080" s="297">
        <f t="shared" si="321"/>
        <v>0</v>
      </c>
      <c r="BV1080" s="299">
        <f t="shared" si="322"/>
        <v>1</v>
      </c>
      <c r="BW1080" s="318">
        <v>0</v>
      </c>
      <c r="BX1080" s="297">
        <f t="shared" si="323"/>
        <v>0.43</v>
      </c>
      <c r="BY1080">
        <f t="shared" si="324"/>
        <v>0</v>
      </c>
      <c r="BZ1080" s="303">
        <f t="shared" si="325"/>
        <v>0</v>
      </c>
      <c r="CB1080" s="298">
        <v>0.6</v>
      </c>
      <c r="CC1080" s="298">
        <v>0.4</v>
      </c>
      <c r="CD1080">
        <f t="shared" si="326"/>
        <v>0</v>
      </c>
      <c r="CE1080">
        <f t="shared" si="327"/>
        <v>0</v>
      </c>
      <c r="CF1080">
        <f t="shared" si="328"/>
        <v>0</v>
      </c>
      <c r="CG1080">
        <f t="shared" si="329"/>
        <v>0</v>
      </c>
      <c r="CH1080">
        <f t="shared" si="330"/>
        <v>0</v>
      </c>
      <c r="CI1080">
        <f t="shared" si="331"/>
        <v>0</v>
      </c>
      <c r="CJ1080">
        <f t="shared" si="332"/>
        <v>0</v>
      </c>
      <c r="CK1080">
        <f t="shared" si="333"/>
        <v>0</v>
      </c>
      <c r="CL1080">
        <f t="shared" si="334"/>
        <v>0</v>
      </c>
      <c r="CM1080">
        <f t="shared" si="336"/>
        <v>0</v>
      </c>
      <c r="CN1080">
        <f t="shared" si="335"/>
        <v>0</v>
      </c>
      <c r="CO1080">
        <f t="shared" si="319"/>
        <v>0</v>
      </c>
    </row>
    <row r="1081" spans="1:93" hidden="1" x14ac:dyDescent="0.25">
      <c r="A1081" s="4">
        <v>2021</v>
      </c>
      <c r="B1081" s="315">
        <v>44279</v>
      </c>
      <c r="C1081" s="4" t="s">
        <v>1492</v>
      </c>
      <c r="D1081" s="4" t="s">
        <v>1493</v>
      </c>
      <c r="F1081" s="4" t="s">
        <v>1494</v>
      </c>
      <c r="G1081" s="5" t="s">
        <v>431</v>
      </c>
      <c r="H1081" s="5" t="s">
        <v>1496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1497</v>
      </c>
      <c r="P1081" s="6" t="s">
        <v>1498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+VLOOKUP(G1081,Liste!$A$7:$G$69,3,FALSE)</f>
        <v>Sapin pectiné</v>
      </c>
      <c r="BI1081" s="96" t="str">
        <f>+VLOOKUP(H1081,Liste!$B$7:$G$69,5,FALSE)</f>
        <v>GSM Alpes du Sud</v>
      </c>
      <c r="BJ1081" s="135">
        <f t="shared" si="318"/>
        <v>130</v>
      </c>
      <c r="BK1081" s="135" t="str">
        <f t="shared" si="320"/>
        <v>Sapin pectiné_F2_SP2_4_GSM Alpes du Sud_130_</v>
      </c>
      <c r="BL1081" s="319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97" t="str">
        <f>+VLOOKUP(G1081,Liste!$A$7:$H$69,8,FALSE)</f>
        <v>Résineux</v>
      </c>
      <c r="BU1081" s="297">
        <f t="shared" si="321"/>
        <v>0</v>
      </c>
      <c r="BV1081" s="299">
        <f t="shared" si="322"/>
        <v>1</v>
      </c>
      <c r="BW1081" s="318">
        <v>0</v>
      </c>
      <c r="BX1081" s="297">
        <f t="shared" si="323"/>
        <v>0.43</v>
      </c>
      <c r="BY1081">
        <f t="shared" si="324"/>
        <v>0</v>
      </c>
      <c r="BZ1081" s="303">
        <f t="shared" si="325"/>
        <v>0</v>
      </c>
      <c r="CB1081" s="298">
        <v>0.6</v>
      </c>
      <c r="CC1081" s="298">
        <v>0.4</v>
      </c>
      <c r="CD1081">
        <f t="shared" si="326"/>
        <v>0</v>
      </c>
      <c r="CE1081">
        <f t="shared" si="327"/>
        <v>0</v>
      </c>
      <c r="CF1081">
        <f t="shared" si="328"/>
        <v>0</v>
      </c>
      <c r="CG1081">
        <f t="shared" si="329"/>
        <v>0</v>
      </c>
      <c r="CH1081">
        <f t="shared" si="330"/>
        <v>0</v>
      </c>
      <c r="CI1081">
        <f t="shared" si="331"/>
        <v>0</v>
      </c>
      <c r="CJ1081">
        <f t="shared" si="332"/>
        <v>0</v>
      </c>
      <c r="CK1081">
        <f t="shared" si="333"/>
        <v>0</v>
      </c>
      <c r="CL1081">
        <f t="shared" si="334"/>
        <v>0</v>
      </c>
      <c r="CM1081">
        <f t="shared" si="336"/>
        <v>0</v>
      </c>
      <c r="CN1081">
        <f t="shared" si="335"/>
        <v>0</v>
      </c>
      <c r="CO1081">
        <f t="shared" si="319"/>
        <v>0</v>
      </c>
    </row>
    <row r="1082" spans="1:93" hidden="1" x14ac:dyDescent="0.25">
      <c r="A1082" s="4">
        <v>2021</v>
      </c>
      <c r="B1082" s="315">
        <v>44279</v>
      </c>
      <c r="C1082" s="4" t="s">
        <v>1492</v>
      </c>
      <c r="D1082" s="4" t="s">
        <v>1493</v>
      </c>
      <c r="F1082" s="4" t="s">
        <v>1494</v>
      </c>
      <c r="G1082" s="5" t="s">
        <v>431</v>
      </c>
      <c r="H1082" s="5" t="s">
        <v>1496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1497</v>
      </c>
      <c r="P1082" s="6" t="s">
        <v>1498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+VLOOKUP(G1082,Liste!$A$7:$G$69,3,FALSE)</f>
        <v>Sapin pectiné</v>
      </c>
      <c r="BI1082" s="96" t="str">
        <f>+VLOOKUP(H1082,Liste!$B$7:$G$69,5,FALSE)</f>
        <v>GSM Alpes du Sud</v>
      </c>
      <c r="BJ1082" s="135">
        <f t="shared" si="318"/>
        <v>135</v>
      </c>
      <c r="BK1082" s="135" t="str">
        <f t="shared" si="320"/>
        <v>Sapin pectiné_F2_SP2_4_GSM Alpes du Sud_135_</v>
      </c>
      <c r="BL1082" s="319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97" t="str">
        <f>+VLOOKUP(G1082,Liste!$A$7:$H$69,8,FALSE)</f>
        <v>Résineux</v>
      </c>
      <c r="BU1082" s="297">
        <f t="shared" si="321"/>
        <v>0</v>
      </c>
      <c r="BV1082" s="299">
        <f t="shared" si="322"/>
        <v>1</v>
      </c>
      <c r="BW1082" s="318">
        <v>0</v>
      </c>
      <c r="BX1082" s="297">
        <f t="shared" si="323"/>
        <v>0.43</v>
      </c>
      <c r="BY1082">
        <f t="shared" si="324"/>
        <v>0</v>
      </c>
      <c r="BZ1082" s="303">
        <f t="shared" si="325"/>
        <v>0</v>
      </c>
      <c r="CB1082" s="298">
        <v>0.6</v>
      </c>
      <c r="CC1082" s="298">
        <v>0.4</v>
      </c>
      <c r="CD1082">
        <f t="shared" si="326"/>
        <v>0</v>
      </c>
      <c r="CE1082">
        <f t="shared" si="327"/>
        <v>0</v>
      </c>
      <c r="CF1082">
        <f t="shared" si="328"/>
        <v>0</v>
      </c>
      <c r="CG1082">
        <f t="shared" si="329"/>
        <v>0</v>
      </c>
      <c r="CH1082">
        <f t="shared" si="330"/>
        <v>0</v>
      </c>
      <c r="CI1082">
        <f t="shared" si="331"/>
        <v>0</v>
      </c>
      <c r="CJ1082">
        <f t="shared" si="332"/>
        <v>0</v>
      </c>
      <c r="CK1082">
        <f t="shared" si="333"/>
        <v>0</v>
      </c>
      <c r="CL1082">
        <f t="shared" si="334"/>
        <v>0</v>
      </c>
      <c r="CM1082">
        <f t="shared" si="336"/>
        <v>0</v>
      </c>
      <c r="CN1082">
        <f t="shared" si="335"/>
        <v>0</v>
      </c>
      <c r="CO1082">
        <f t="shared" si="319"/>
        <v>0</v>
      </c>
    </row>
    <row r="1083" spans="1:93" hidden="1" x14ac:dyDescent="0.25">
      <c r="A1083" s="4">
        <v>2021</v>
      </c>
      <c r="B1083" s="315">
        <v>44279</v>
      </c>
      <c r="C1083" s="4" t="s">
        <v>1492</v>
      </c>
      <c r="D1083" s="4" t="s">
        <v>1493</v>
      </c>
      <c r="F1083" s="4" t="s">
        <v>1494</v>
      </c>
      <c r="G1083" s="5" t="s">
        <v>431</v>
      </c>
      <c r="H1083" s="5" t="s">
        <v>1496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1497</v>
      </c>
      <c r="P1083" s="6" t="s">
        <v>1498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+VLOOKUP(G1083,Liste!$A$7:$G$69,3,FALSE)</f>
        <v>Sapin pectiné</v>
      </c>
      <c r="BI1083" s="96" t="str">
        <f>+VLOOKUP(H1083,Liste!$B$7:$G$69,5,FALSE)</f>
        <v>GSM Alpes du Sud</v>
      </c>
      <c r="BJ1083" s="135">
        <f t="shared" si="318"/>
        <v>135</v>
      </c>
      <c r="BK1083" s="135" t="str">
        <f t="shared" si="320"/>
        <v>Sapin pectiné_F2_SP2_4_GSM Alpes du Sud_135_</v>
      </c>
      <c r="BL1083" s="319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97" t="str">
        <f>+VLOOKUP(G1083,Liste!$A$7:$H$69,8,FALSE)</f>
        <v>Résineux</v>
      </c>
      <c r="BU1083" s="297">
        <f t="shared" si="321"/>
        <v>0</v>
      </c>
      <c r="BV1083" s="299">
        <f t="shared" si="322"/>
        <v>1</v>
      </c>
      <c r="BW1083" s="318">
        <v>0</v>
      </c>
      <c r="BX1083" s="297">
        <f t="shared" si="323"/>
        <v>0.43</v>
      </c>
      <c r="BY1083">
        <f t="shared" si="324"/>
        <v>0</v>
      </c>
      <c r="BZ1083" s="303">
        <f t="shared" si="325"/>
        <v>0</v>
      </c>
      <c r="CB1083" s="298">
        <v>0.6</v>
      </c>
      <c r="CC1083" s="298">
        <v>0.4</v>
      </c>
      <c r="CD1083">
        <f t="shared" si="326"/>
        <v>0</v>
      </c>
      <c r="CE1083">
        <f t="shared" si="327"/>
        <v>0</v>
      </c>
      <c r="CF1083">
        <f t="shared" si="328"/>
        <v>0</v>
      </c>
      <c r="CG1083">
        <f t="shared" si="329"/>
        <v>0</v>
      </c>
      <c r="CH1083">
        <f t="shared" si="330"/>
        <v>0</v>
      </c>
      <c r="CI1083">
        <f t="shared" si="331"/>
        <v>0</v>
      </c>
      <c r="CJ1083">
        <f t="shared" si="332"/>
        <v>0</v>
      </c>
      <c r="CK1083">
        <f t="shared" si="333"/>
        <v>0</v>
      </c>
      <c r="CL1083">
        <f t="shared" si="334"/>
        <v>0</v>
      </c>
      <c r="CM1083">
        <f t="shared" si="336"/>
        <v>0</v>
      </c>
      <c r="CN1083">
        <f t="shared" si="335"/>
        <v>0</v>
      </c>
      <c r="CO1083">
        <f t="shared" si="319"/>
        <v>0</v>
      </c>
    </row>
    <row r="1084" spans="1:93" hidden="1" x14ac:dyDescent="0.25">
      <c r="A1084" s="4">
        <v>2021</v>
      </c>
      <c r="B1084" s="315">
        <v>44279</v>
      </c>
      <c r="C1084" s="4" t="s">
        <v>1492</v>
      </c>
      <c r="D1084" s="4" t="s">
        <v>1493</v>
      </c>
      <c r="F1084" s="4" t="s">
        <v>1494</v>
      </c>
      <c r="G1084" s="5" t="s">
        <v>431</v>
      </c>
      <c r="H1084" s="5" t="s">
        <v>1496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1497</v>
      </c>
      <c r="P1084" s="6" t="s">
        <v>1498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+VLOOKUP(G1084,Liste!$A$7:$G$69,3,FALSE)</f>
        <v>Sapin pectiné</v>
      </c>
      <c r="BI1084" s="96" t="str">
        <f>+VLOOKUP(H1084,Liste!$B$7:$G$69,5,FALSE)</f>
        <v>GSM Alpes du Sud</v>
      </c>
      <c r="BJ1084" s="135">
        <f t="shared" si="318"/>
        <v>140</v>
      </c>
      <c r="BK1084" s="135" t="str">
        <f t="shared" si="320"/>
        <v>Sapin pectiné_F2_SP2_4_GSM Alpes du Sud_140_</v>
      </c>
      <c r="BL1084" s="319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97" t="str">
        <f>+VLOOKUP(G1084,Liste!$A$7:$H$69,8,FALSE)</f>
        <v>Résineux</v>
      </c>
      <c r="BU1084" s="297">
        <f t="shared" si="321"/>
        <v>0</v>
      </c>
      <c r="BV1084" s="299">
        <f t="shared" si="322"/>
        <v>1</v>
      </c>
      <c r="BW1084" s="318">
        <v>0</v>
      </c>
      <c r="BX1084" s="297">
        <f t="shared" si="323"/>
        <v>0.43</v>
      </c>
      <c r="BY1084">
        <f t="shared" si="324"/>
        <v>0</v>
      </c>
      <c r="BZ1084" s="303">
        <f t="shared" si="325"/>
        <v>0</v>
      </c>
      <c r="CB1084" s="298">
        <v>0.6</v>
      </c>
      <c r="CC1084" s="298">
        <v>0.4</v>
      </c>
      <c r="CD1084">
        <f t="shared" si="326"/>
        <v>0</v>
      </c>
      <c r="CE1084">
        <f t="shared" si="327"/>
        <v>0</v>
      </c>
      <c r="CF1084">
        <f t="shared" si="328"/>
        <v>0</v>
      </c>
      <c r="CG1084">
        <f t="shared" si="329"/>
        <v>0</v>
      </c>
      <c r="CH1084">
        <f t="shared" si="330"/>
        <v>0</v>
      </c>
      <c r="CI1084">
        <f t="shared" si="331"/>
        <v>0</v>
      </c>
      <c r="CJ1084">
        <f t="shared" si="332"/>
        <v>0</v>
      </c>
      <c r="CK1084">
        <f t="shared" si="333"/>
        <v>0</v>
      </c>
      <c r="CL1084">
        <f t="shared" si="334"/>
        <v>0</v>
      </c>
      <c r="CM1084">
        <f t="shared" si="336"/>
        <v>0</v>
      </c>
      <c r="CN1084">
        <f t="shared" si="335"/>
        <v>0</v>
      </c>
      <c r="CO1084">
        <f t="shared" si="319"/>
        <v>0</v>
      </c>
    </row>
    <row r="1085" spans="1:93" hidden="1" x14ac:dyDescent="0.25">
      <c r="A1085" s="4">
        <v>2021</v>
      </c>
      <c r="B1085" s="315">
        <v>44279</v>
      </c>
      <c r="C1085" s="4" t="s">
        <v>1492</v>
      </c>
      <c r="D1085" s="4" t="s">
        <v>1493</v>
      </c>
      <c r="F1085" s="4" t="s">
        <v>1494</v>
      </c>
      <c r="G1085" s="5" t="s">
        <v>431</v>
      </c>
      <c r="H1085" s="5" t="s">
        <v>1496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1497</v>
      </c>
      <c r="P1085" s="6" t="s">
        <v>1498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+VLOOKUP(G1085,Liste!$A$7:$G$69,3,FALSE)</f>
        <v>Sapin pectiné</v>
      </c>
      <c r="BI1085" s="96" t="str">
        <f>+VLOOKUP(H1085,Liste!$B$7:$G$69,5,FALSE)</f>
        <v>GSM Alpes du Sud</v>
      </c>
      <c r="BJ1085" s="135">
        <f t="shared" si="318"/>
        <v>145</v>
      </c>
      <c r="BK1085" s="135" t="str">
        <f t="shared" si="320"/>
        <v>Sapin pectiné_F2_SP2_4_GSM Alpes du Sud_145_</v>
      </c>
      <c r="BL1085" s="319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97" t="str">
        <f>+VLOOKUP(G1085,Liste!$A$7:$H$69,8,FALSE)</f>
        <v>Résineux</v>
      </c>
      <c r="BU1085" s="297">
        <f t="shared" si="321"/>
        <v>0</v>
      </c>
      <c r="BV1085" s="299">
        <f t="shared" si="322"/>
        <v>1</v>
      </c>
      <c r="BW1085" s="318">
        <v>0</v>
      </c>
      <c r="BX1085" s="297">
        <f t="shared" si="323"/>
        <v>0.43</v>
      </c>
      <c r="BY1085">
        <f t="shared" si="324"/>
        <v>0</v>
      </c>
      <c r="BZ1085" s="303">
        <f t="shared" si="325"/>
        <v>0</v>
      </c>
      <c r="CB1085" s="298">
        <v>0.6</v>
      </c>
      <c r="CC1085" s="298">
        <v>0.4</v>
      </c>
      <c r="CD1085">
        <f t="shared" si="326"/>
        <v>0</v>
      </c>
      <c r="CE1085">
        <f t="shared" si="327"/>
        <v>0</v>
      </c>
      <c r="CF1085">
        <f t="shared" si="328"/>
        <v>0</v>
      </c>
      <c r="CG1085">
        <f t="shared" si="329"/>
        <v>0</v>
      </c>
      <c r="CH1085">
        <f t="shared" si="330"/>
        <v>0</v>
      </c>
      <c r="CI1085">
        <f t="shared" si="331"/>
        <v>0</v>
      </c>
      <c r="CJ1085">
        <f t="shared" si="332"/>
        <v>0</v>
      </c>
      <c r="CK1085">
        <f t="shared" si="333"/>
        <v>0</v>
      </c>
      <c r="CL1085">
        <f t="shared" si="334"/>
        <v>0</v>
      </c>
      <c r="CM1085">
        <f t="shared" si="336"/>
        <v>0</v>
      </c>
      <c r="CN1085">
        <f t="shared" si="335"/>
        <v>0</v>
      </c>
      <c r="CO1085">
        <f t="shared" si="319"/>
        <v>0</v>
      </c>
    </row>
    <row r="1086" spans="1:93" hidden="1" x14ac:dyDescent="0.25">
      <c r="A1086" s="4">
        <v>2021</v>
      </c>
      <c r="B1086" s="315">
        <v>44279</v>
      </c>
      <c r="C1086" s="4" t="s">
        <v>1492</v>
      </c>
      <c r="D1086" s="4" t="s">
        <v>1493</v>
      </c>
      <c r="F1086" s="4" t="s">
        <v>1494</v>
      </c>
      <c r="G1086" s="5" t="s">
        <v>431</v>
      </c>
      <c r="H1086" s="5" t="s">
        <v>1496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1497</v>
      </c>
      <c r="P1086" s="6" t="s">
        <v>1498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+VLOOKUP(G1086,Liste!$A$7:$G$69,3,FALSE)</f>
        <v>Sapin pectiné</v>
      </c>
      <c r="BI1086" s="96" t="str">
        <f>+VLOOKUP(H1086,Liste!$B$7:$G$69,5,FALSE)</f>
        <v>GSM Alpes du Sud</v>
      </c>
      <c r="BJ1086" s="135">
        <f t="shared" si="318"/>
        <v>150</v>
      </c>
      <c r="BK1086" s="135" t="str">
        <f t="shared" si="320"/>
        <v>Sapin pectiné_F2_SP2_4_GSM Alpes du Sud_150_</v>
      </c>
      <c r="BL1086" s="319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97" t="str">
        <f>+VLOOKUP(G1086,Liste!$A$7:$H$69,8,FALSE)</f>
        <v>Résineux</v>
      </c>
      <c r="BU1086" s="297">
        <f t="shared" si="321"/>
        <v>0</v>
      </c>
      <c r="BV1086" s="299">
        <f t="shared" si="322"/>
        <v>1</v>
      </c>
      <c r="BW1086" s="318">
        <v>0</v>
      </c>
      <c r="BX1086" s="297">
        <f t="shared" si="323"/>
        <v>0.43</v>
      </c>
      <c r="BY1086">
        <f t="shared" si="324"/>
        <v>0</v>
      </c>
      <c r="BZ1086" s="303">
        <f t="shared" si="325"/>
        <v>0</v>
      </c>
      <c r="CB1086" s="298">
        <v>0.6</v>
      </c>
      <c r="CC1086" s="298">
        <v>0.4</v>
      </c>
      <c r="CD1086">
        <f t="shared" si="326"/>
        <v>0</v>
      </c>
      <c r="CE1086">
        <f t="shared" si="327"/>
        <v>0</v>
      </c>
      <c r="CF1086">
        <f t="shared" si="328"/>
        <v>0</v>
      </c>
      <c r="CG1086">
        <f t="shared" si="329"/>
        <v>0</v>
      </c>
      <c r="CH1086">
        <f t="shared" si="330"/>
        <v>0</v>
      </c>
      <c r="CI1086">
        <f t="shared" si="331"/>
        <v>0</v>
      </c>
      <c r="CJ1086">
        <f t="shared" si="332"/>
        <v>0</v>
      </c>
      <c r="CK1086">
        <f t="shared" si="333"/>
        <v>0</v>
      </c>
      <c r="CL1086">
        <f t="shared" si="334"/>
        <v>0</v>
      </c>
      <c r="CM1086">
        <f t="shared" si="336"/>
        <v>0</v>
      </c>
      <c r="CN1086">
        <f t="shared" si="335"/>
        <v>0</v>
      </c>
      <c r="CO1086">
        <f t="shared" si="319"/>
        <v>0</v>
      </c>
    </row>
    <row r="1087" spans="1:93" hidden="1" x14ac:dyDescent="0.25">
      <c r="A1087" s="4">
        <v>2021</v>
      </c>
      <c r="B1087" s="315">
        <v>44279</v>
      </c>
      <c r="C1087" s="4" t="s">
        <v>1492</v>
      </c>
      <c r="D1087" s="4" t="s">
        <v>1493</v>
      </c>
      <c r="F1087" s="4" t="s">
        <v>1494</v>
      </c>
      <c r="G1087" s="5" t="s">
        <v>431</v>
      </c>
      <c r="H1087" s="5" t="s">
        <v>1496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1497</v>
      </c>
      <c r="P1087" s="6" t="s">
        <v>1498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+VLOOKUP(G1087,Liste!$A$7:$G$69,3,FALSE)</f>
        <v>Sapin pectiné</v>
      </c>
      <c r="BI1087" s="96" t="str">
        <f>+VLOOKUP(H1087,Liste!$B$7:$G$69,5,FALSE)</f>
        <v>GSM Alpes du Sud</v>
      </c>
      <c r="BJ1087" s="135">
        <f t="shared" si="318"/>
        <v>150</v>
      </c>
      <c r="BK1087" s="135" t="str">
        <f t="shared" si="320"/>
        <v>Sapin pectiné_F2_SP2_4_GSM Alpes du Sud_150_</v>
      </c>
      <c r="BL1087" s="319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97" t="str">
        <f>+VLOOKUP(G1087,Liste!$A$7:$H$69,8,FALSE)</f>
        <v>Résineux</v>
      </c>
      <c r="BU1087" s="297">
        <f t="shared" si="321"/>
        <v>0</v>
      </c>
      <c r="BV1087" s="299">
        <f t="shared" si="322"/>
        <v>1</v>
      </c>
      <c r="BW1087" s="318">
        <v>0</v>
      </c>
      <c r="BX1087" s="297">
        <f t="shared" si="323"/>
        <v>0.43</v>
      </c>
      <c r="BY1087">
        <f t="shared" si="324"/>
        <v>0</v>
      </c>
      <c r="BZ1087" s="303">
        <f t="shared" si="325"/>
        <v>0</v>
      </c>
      <c r="CB1087" s="298">
        <v>0.6</v>
      </c>
      <c r="CC1087" s="298">
        <v>0.4</v>
      </c>
      <c r="CD1087">
        <f t="shared" si="326"/>
        <v>0</v>
      </c>
      <c r="CE1087">
        <f t="shared" si="327"/>
        <v>0</v>
      </c>
      <c r="CF1087">
        <f t="shared" si="328"/>
        <v>0</v>
      </c>
      <c r="CG1087">
        <f t="shared" si="329"/>
        <v>0</v>
      </c>
      <c r="CH1087">
        <f t="shared" si="330"/>
        <v>0</v>
      </c>
      <c r="CI1087">
        <f t="shared" si="331"/>
        <v>0</v>
      </c>
      <c r="CJ1087">
        <f t="shared" si="332"/>
        <v>0</v>
      </c>
      <c r="CK1087">
        <f t="shared" si="333"/>
        <v>0</v>
      </c>
      <c r="CL1087">
        <f t="shared" si="334"/>
        <v>0</v>
      </c>
      <c r="CM1087">
        <f t="shared" si="336"/>
        <v>0</v>
      </c>
      <c r="CN1087">
        <f t="shared" si="335"/>
        <v>0</v>
      </c>
      <c r="CO1087">
        <f t="shared" si="319"/>
        <v>0</v>
      </c>
    </row>
    <row r="1088" spans="1:93" hidden="1" x14ac:dyDescent="0.25">
      <c r="A1088" s="4">
        <v>2021</v>
      </c>
      <c r="B1088" s="315">
        <v>44279</v>
      </c>
      <c r="C1088" s="4" t="s">
        <v>1492</v>
      </c>
      <c r="D1088" s="4" t="s">
        <v>1493</v>
      </c>
      <c r="F1088" s="4" t="s">
        <v>1494</v>
      </c>
      <c r="G1088" s="5" t="s">
        <v>431</v>
      </c>
      <c r="H1088" s="5" t="s">
        <v>1496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1497</v>
      </c>
      <c r="P1088" s="6" t="s">
        <v>1498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+VLOOKUP(G1088,Liste!$A$7:$G$69,3,FALSE)</f>
        <v>Sapin pectiné</v>
      </c>
      <c r="BI1088" s="96" t="str">
        <f>+VLOOKUP(H1088,Liste!$B$7:$G$69,5,FALSE)</f>
        <v>GSM Alpes du Sud</v>
      </c>
      <c r="BJ1088" s="135">
        <f t="shared" si="318"/>
        <v>155</v>
      </c>
      <c r="BK1088" s="135" t="str">
        <f t="shared" si="320"/>
        <v>Sapin pectiné_F2_SP2_4_GSM Alpes du Sud_155_</v>
      </c>
      <c r="BL1088" s="319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97" t="str">
        <f>+VLOOKUP(G1088,Liste!$A$7:$H$69,8,FALSE)</f>
        <v>Résineux</v>
      </c>
      <c r="BU1088" s="297">
        <f t="shared" si="321"/>
        <v>0</v>
      </c>
      <c r="BV1088" s="299">
        <f t="shared" si="322"/>
        <v>1</v>
      </c>
      <c r="BW1088" s="318">
        <v>0</v>
      </c>
      <c r="BX1088" s="297">
        <f t="shared" si="323"/>
        <v>0.43</v>
      </c>
      <c r="BY1088">
        <f t="shared" si="324"/>
        <v>0</v>
      </c>
      <c r="BZ1088" s="303">
        <f t="shared" si="325"/>
        <v>0</v>
      </c>
      <c r="CB1088" s="298">
        <v>0.6</v>
      </c>
      <c r="CC1088" s="298">
        <v>0.4</v>
      </c>
      <c r="CD1088">
        <f t="shared" si="326"/>
        <v>0</v>
      </c>
      <c r="CE1088">
        <f t="shared" si="327"/>
        <v>0</v>
      </c>
      <c r="CF1088">
        <f t="shared" si="328"/>
        <v>0</v>
      </c>
      <c r="CG1088">
        <f t="shared" si="329"/>
        <v>0</v>
      </c>
      <c r="CH1088">
        <f t="shared" si="330"/>
        <v>0</v>
      </c>
      <c r="CI1088">
        <f t="shared" si="331"/>
        <v>0</v>
      </c>
      <c r="CJ1088">
        <f t="shared" si="332"/>
        <v>0</v>
      </c>
      <c r="CK1088">
        <f t="shared" si="333"/>
        <v>0</v>
      </c>
      <c r="CL1088">
        <f t="shared" si="334"/>
        <v>0</v>
      </c>
      <c r="CM1088">
        <f t="shared" si="336"/>
        <v>0</v>
      </c>
      <c r="CN1088">
        <f t="shared" si="335"/>
        <v>0</v>
      </c>
      <c r="CO1088">
        <f t="shared" si="319"/>
        <v>0</v>
      </c>
    </row>
    <row r="1089" spans="1:93" hidden="1" x14ac:dyDescent="0.25">
      <c r="A1089" s="4">
        <v>2021</v>
      </c>
      <c r="B1089" s="315">
        <v>44279</v>
      </c>
      <c r="C1089" s="4" t="s">
        <v>1492</v>
      </c>
      <c r="D1089" s="4" t="s">
        <v>1493</v>
      </c>
      <c r="F1089" s="4" t="s">
        <v>1494</v>
      </c>
      <c r="G1089" s="5" t="s">
        <v>431</v>
      </c>
      <c r="H1089" s="5" t="s">
        <v>1496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1497</v>
      </c>
      <c r="P1089" s="6" t="s">
        <v>1498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+VLOOKUP(G1089,Liste!$A$7:$G$69,3,FALSE)</f>
        <v>Sapin pectiné</v>
      </c>
      <c r="BI1089" s="96" t="str">
        <f>+VLOOKUP(H1089,Liste!$B$7:$G$69,5,FALSE)</f>
        <v>GSM Alpes du Sud</v>
      </c>
      <c r="BJ1089" s="135">
        <f t="shared" si="318"/>
        <v>160</v>
      </c>
      <c r="BK1089" s="135" t="str">
        <f t="shared" si="320"/>
        <v>Sapin pectiné_F2_SP2_4_GSM Alpes du Sud_160_</v>
      </c>
      <c r="BL1089" s="319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97" t="str">
        <f>+VLOOKUP(G1089,Liste!$A$7:$H$69,8,FALSE)</f>
        <v>Résineux</v>
      </c>
      <c r="BU1089" s="297">
        <f t="shared" si="321"/>
        <v>0</v>
      </c>
      <c r="BV1089" s="299">
        <f t="shared" si="322"/>
        <v>1</v>
      </c>
      <c r="BW1089" s="318">
        <v>0</v>
      </c>
      <c r="BX1089" s="297">
        <f t="shared" si="323"/>
        <v>0.43</v>
      </c>
      <c r="BY1089">
        <f t="shared" si="324"/>
        <v>0</v>
      </c>
      <c r="BZ1089" s="303">
        <f t="shared" si="325"/>
        <v>0</v>
      </c>
      <c r="CB1089" s="298">
        <v>0.6</v>
      </c>
      <c r="CC1089" s="298">
        <v>0.4</v>
      </c>
      <c r="CD1089">
        <f t="shared" si="326"/>
        <v>0</v>
      </c>
      <c r="CE1089">
        <f t="shared" si="327"/>
        <v>0</v>
      </c>
      <c r="CF1089">
        <f t="shared" si="328"/>
        <v>0</v>
      </c>
      <c r="CG1089">
        <f t="shared" si="329"/>
        <v>0</v>
      </c>
      <c r="CH1089">
        <f t="shared" si="330"/>
        <v>0</v>
      </c>
      <c r="CI1089">
        <f t="shared" si="331"/>
        <v>0</v>
      </c>
      <c r="CJ1089">
        <f t="shared" si="332"/>
        <v>0</v>
      </c>
      <c r="CK1089">
        <f t="shared" si="333"/>
        <v>0</v>
      </c>
      <c r="CL1089">
        <f t="shared" si="334"/>
        <v>0</v>
      </c>
      <c r="CM1089">
        <f t="shared" si="336"/>
        <v>0</v>
      </c>
      <c r="CN1089">
        <f t="shared" si="335"/>
        <v>0</v>
      </c>
      <c r="CO1089">
        <f t="shared" si="319"/>
        <v>0</v>
      </c>
    </row>
    <row r="1090" spans="1:93" hidden="1" x14ac:dyDescent="0.25">
      <c r="A1090" s="4">
        <v>2021</v>
      </c>
      <c r="B1090" s="315">
        <v>44279</v>
      </c>
      <c r="C1090" s="4" t="s">
        <v>1492</v>
      </c>
      <c r="D1090" s="4" t="s">
        <v>1493</v>
      </c>
      <c r="F1090" s="4" t="s">
        <v>1494</v>
      </c>
      <c r="G1090" s="5" t="s">
        <v>431</v>
      </c>
      <c r="H1090" s="5" t="s">
        <v>1496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1497</v>
      </c>
      <c r="P1090" s="6" t="s">
        <v>1498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+VLOOKUP(G1090,Liste!$A$7:$G$69,3,FALSE)</f>
        <v>Sapin pectiné</v>
      </c>
      <c r="BI1090" s="96" t="str">
        <f>+VLOOKUP(H1090,Liste!$B$7:$G$69,5,FALSE)</f>
        <v>GSM Alpes du Sud</v>
      </c>
      <c r="BJ1090" s="135">
        <f t="shared" si="318"/>
        <v>160</v>
      </c>
      <c r="BK1090" s="135" t="str">
        <f t="shared" si="320"/>
        <v>Sapin pectiné_F2_SP2_4_GSM Alpes du Sud_160_</v>
      </c>
      <c r="BL1090" s="319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97" t="str">
        <f>+VLOOKUP(G1090,Liste!$A$7:$H$69,8,FALSE)</f>
        <v>Résineux</v>
      </c>
      <c r="BU1090" s="297">
        <f t="shared" si="321"/>
        <v>0</v>
      </c>
      <c r="BV1090" s="299">
        <f t="shared" si="322"/>
        <v>1</v>
      </c>
      <c r="BW1090" s="318">
        <v>0</v>
      </c>
      <c r="BX1090" s="297">
        <f t="shared" si="323"/>
        <v>0.43</v>
      </c>
      <c r="BY1090">
        <f t="shared" si="324"/>
        <v>0</v>
      </c>
      <c r="BZ1090" s="303">
        <f t="shared" si="325"/>
        <v>0</v>
      </c>
      <c r="CB1090" s="298">
        <v>0.6</v>
      </c>
      <c r="CC1090" s="298">
        <v>0.4</v>
      </c>
      <c r="CD1090">
        <f t="shared" si="326"/>
        <v>0</v>
      </c>
      <c r="CE1090">
        <f t="shared" si="327"/>
        <v>0</v>
      </c>
      <c r="CF1090">
        <f t="shared" si="328"/>
        <v>0</v>
      </c>
      <c r="CG1090">
        <f t="shared" si="329"/>
        <v>0</v>
      </c>
      <c r="CH1090">
        <f t="shared" si="330"/>
        <v>0</v>
      </c>
      <c r="CI1090">
        <f t="shared" si="331"/>
        <v>0</v>
      </c>
      <c r="CJ1090">
        <f t="shared" si="332"/>
        <v>0</v>
      </c>
      <c r="CK1090">
        <f t="shared" si="333"/>
        <v>0</v>
      </c>
      <c r="CL1090">
        <f t="shared" si="334"/>
        <v>0</v>
      </c>
      <c r="CM1090">
        <f t="shared" si="336"/>
        <v>0</v>
      </c>
      <c r="CN1090">
        <f t="shared" si="335"/>
        <v>0</v>
      </c>
      <c r="CO1090">
        <f t="shared" si="319"/>
        <v>0</v>
      </c>
    </row>
    <row r="1091" spans="1:93" hidden="1" x14ac:dyDescent="0.25">
      <c r="A1091" s="4">
        <v>2021</v>
      </c>
      <c r="B1091" s="315">
        <v>44279</v>
      </c>
      <c r="C1091" s="4" t="s">
        <v>1492</v>
      </c>
      <c r="D1091" s="4" t="s">
        <v>1493</v>
      </c>
      <c r="F1091" s="4" t="s">
        <v>1494</v>
      </c>
      <c r="G1091" s="5" t="s">
        <v>431</v>
      </c>
      <c r="H1091" s="5" t="s">
        <v>1496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1497</v>
      </c>
      <c r="P1091" s="6" t="s">
        <v>1498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+VLOOKUP(G1091,Liste!$A$7:$G$69,3,FALSE)</f>
        <v>Sapin pectiné</v>
      </c>
      <c r="BI1091" s="96" t="str">
        <f>+VLOOKUP(H1091,Liste!$B$7:$G$69,5,FALSE)</f>
        <v>GSM Alpes du Sud</v>
      </c>
      <c r="BJ1091" s="135">
        <f t="shared" ref="BJ1091:BJ1154" si="338">+AC1091</f>
        <v>165</v>
      </c>
      <c r="BK1091" s="135" t="str">
        <f t="shared" si="320"/>
        <v>Sapin pectiné_F2_SP2_4_GSM Alpes du Sud_165_</v>
      </c>
      <c r="BL1091" s="319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97" t="str">
        <f>+VLOOKUP(G1091,Liste!$A$7:$H$69,8,FALSE)</f>
        <v>Résineux</v>
      </c>
      <c r="BU1091" s="297">
        <f t="shared" si="321"/>
        <v>0</v>
      </c>
      <c r="BV1091" s="299">
        <f t="shared" si="322"/>
        <v>1</v>
      </c>
      <c r="BW1091" s="318">
        <v>0</v>
      </c>
      <c r="BX1091" s="297">
        <f t="shared" si="323"/>
        <v>0.43</v>
      </c>
      <c r="BY1091">
        <f t="shared" si="324"/>
        <v>0</v>
      </c>
      <c r="BZ1091" s="303">
        <f t="shared" si="325"/>
        <v>0</v>
      </c>
      <c r="CB1091" s="298">
        <v>0.6</v>
      </c>
      <c r="CC1091" s="298">
        <v>0.4</v>
      </c>
      <c r="CD1091">
        <f t="shared" si="326"/>
        <v>0</v>
      </c>
      <c r="CE1091">
        <f t="shared" si="327"/>
        <v>0</v>
      </c>
      <c r="CF1091">
        <f t="shared" si="328"/>
        <v>0</v>
      </c>
      <c r="CG1091">
        <f t="shared" si="329"/>
        <v>0</v>
      </c>
      <c r="CH1091">
        <f t="shared" si="330"/>
        <v>0</v>
      </c>
      <c r="CI1091">
        <f t="shared" si="331"/>
        <v>0</v>
      </c>
      <c r="CJ1091">
        <f t="shared" si="332"/>
        <v>0</v>
      </c>
      <c r="CK1091">
        <f t="shared" si="333"/>
        <v>0</v>
      </c>
      <c r="CL1091">
        <f t="shared" si="334"/>
        <v>0</v>
      </c>
      <c r="CM1091">
        <f t="shared" si="336"/>
        <v>0</v>
      </c>
      <c r="CN1091">
        <f t="shared" si="335"/>
        <v>0</v>
      </c>
      <c r="CO1091">
        <f t="shared" ref="CO1091:CO1154" si="339">+IF(BJ1091=30,CN1091/30,0)</f>
        <v>0</v>
      </c>
    </row>
    <row r="1092" spans="1:93" hidden="1" x14ac:dyDescent="0.25">
      <c r="A1092" s="4">
        <v>2021</v>
      </c>
      <c r="B1092" s="315">
        <v>44279</v>
      </c>
      <c r="C1092" s="4" t="s">
        <v>1492</v>
      </c>
      <c r="D1092" s="4" t="s">
        <v>1493</v>
      </c>
      <c r="F1092" s="4" t="s">
        <v>1494</v>
      </c>
      <c r="G1092" s="5" t="s">
        <v>431</v>
      </c>
      <c r="H1092" s="5" t="s">
        <v>1496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1497</v>
      </c>
      <c r="P1092" s="6" t="s">
        <v>1498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+VLOOKUP(G1092,Liste!$A$7:$G$69,3,FALSE)</f>
        <v>Sapin pectiné</v>
      </c>
      <c r="BI1092" s="96" t="str">
        <f>+VLOOKUP(H1092,Liste!$B$7:$G$69,5,FALSE)</f>
        <v>GSM Alpes du Sud</v>
      </c>
      <c r="BJ1092" s="135">
        <f t="shared" si="338"/>
        <v>170</v>
      </c>
      <c r="BK1092" s="135" t="str">
        <f t="shared" ref="BK1092:BK1155" si="340">+_xlfn.CONCAT(BH1092,"_",J1092,"_",I1092,"_",BI1092,"_",BJ1092,"_")</f>
        <v>Sapin pectiné_F2_SP2_4_GSM Alpes du Sud_170_</v>
      </c>
      <c r="BL1092" s="319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97" t="str">
        <f>+VLOOKUP(G1092,Liste!$A$7:$H$69,8,FALSE)</f>
        <v>Résineux</v>
      </c>
      <c r="BU1092" s="297">
        <f t="shared" ref="BU1092:BU1155" si="341">IF(BT1092="Résineux",0%,100%)</f>
        <v>0</v>
      </c>
      <c r="BV1092" s="299">
        <f t="shared" ref="BV1092:BV1155" si="342">+IF(BT1092="Résineux",100%,0%)</f>
        <v>1</v>
      </c>
      <c r="BW1092" s="318">
        <v>0</v>
      </c>
      <c r="BX1092" s="297">
        <f t="shared" ref="BX1092:BX1155" si="343">+IF(BV1092&lt;&gt;0,0.43,0.25)</f>
        <v>0.43</v>
      </c>
      <c r="BY1092">
        <f t="shared" ref="BY1092:BY1155" si="344">+IF(BJ1092&lt;=30,AV1092*BX1092,0)</f>
        <v>0</v>
      </c>
      <c r="BZ1092" s="303">
        <f t="shared" ref="BZ1092:BZ1155" si="345">+IF(BJ1092&gt;=31,0,BY1092+BZ1091)</f>
        <v>0</v>
      </c>
      <c r="CB1092" s="298">
        <v>0.6</v>
      </c>
      <c r="CC1092" s="298">
        <v>0.4</v>
      </c>
      <c r="CD1092">
        <f t="shared" ref="CD1092:CD1155" si="346">+IF(BJ1092&lt;=31,AV1092*CA1092*0.5,0)</f>
        <v>0</v>
      </c>
      <c r="CE1092">
        <f t="shared" ref="CE1092:CE1155" si="347">IF(BJ1092&lt;=31,AV1092*CB1092,0)</f>
        <v>0</v>
      </c>
      <c r="CF1092">
        <f t="shared" ref="CF1092:CF1155" si="348">IF(BJ1092&lt;=31,AV1092*CC1092,0)</f>
        <v>0</v>
      </c>
      <c r="CG1092">
        <f t="shared" ref="CG1092:CG1155" si="349">CD1092*44/12*0.475*BF1092</f>
        <v>0</v>
      </c>
      <c r="CH1092">
        <f t="shared" ref="CH1092:CH1155" si="350">CE1092*44/12*0.475*BF1092</f>
        <v>0</v>
      </c>
      <c r="CI1092">
        <f t="shared" ref="CI1092:CI1155" si="351">CF1092*44/12*0.475*BF1092</f>
        <v>0</v>
      </c>
      <c r="CJ1092">
        <f t="shared" ref="CJ1092:CJ1155" si="352">+IF(BJ1092&lt;=31,CJ1091*EXP(-$CJ$1)+CG1091*(1-EXP(-$CJ$1))/$CJ$1,0)</f>
        <v>0</v>
      </c>
      <c r="CK1092">
        <f t="shared" ref="CK1092:CK1155" si="353">+IF(BJ1092&lt;=31,CK1091*EXP(-$CK$1)+CH1091*(1-EXP(-$CK$1))/$CK$1,0)</f>
        <v>0</v>
      </c>
      <c r="CL1092">
        <f t="shared" ref="CL1092:CL1155" si="354">+IF(BJ1092&lt;=31,CL1091*EXP(-$CL$1)+CI1091*(1-EXP(-$CL$1))/$CL$1,0)</f>
        <v>0</v>
      </c>
      <c r="CM1092">
        <f t="shared" si="336"/>
        <v>0</v>
      </c>
      <c r="CN1092">
        <f t="shared" ref="CN1092:CN1155" si="355">+IF(BJ1092&lt;=31,CM1092+CN1091,0)</f>
        <v>0</v>
      </c>
      <c r="CO1092">
        <f t="shared" si="339"/>
        <v>0</v>
      </c>
    </row>
    <row r="1093" spans="1:93" hidden="1" x14ac:dyDescent="0.25">
      <c r="A1093" s="4">
        <v>2021</v>
      </c>
      <c r="B1093" s="315">
        <v>44279</v>
      </c>
      <c r="C1093" s="4" t="s">
        <v>1492</v>
      </c>
      <c r="D1093" s="4" t="s">
        <v>1493</v>
      </c>
      <c r="F1093" s="4" t="s">
        <v>1494</v>
      </c>
      <c r="G1093" s="5" t="s">
        <v>431</v>
      </c>
      <c r="H1093" s="5" t="s">
        <v>1496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1497</v>
      </c>
      <c r="P1093" s="6" t="s">
        <v>1498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+VLOOKUP(G1093,Liste!$A$7:$G$69,3,FALSE)</f>
        <v>Sapin pectiné</v>
      </c>
      <c r="BI1093" s="96" t="str">
        <f>+VLOOKUP(H1093,Liste!$B$7:$G$69,5,FALSE)</f>
        <v>GSM Alpes du Sud</v>
      </c>
      <c r="BJ1093" s="135">
        <f t="shared" si="338"/>
        <v>170</v>
      </c>
      <c r="BK1093" s="135" t="str">
        <f t="shared" si="340"/>
        <v>Sapin pectiné_F2_SP2_4_GSM Alpes du Sud_170_</v>
      </c>
      <c r="BL1093" s="319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97" t="str">
        <f>+VLOOKUP(G1093,Liste!$A$7:$H$69,8,FALSE)</f>
        <v>Résineux</v>
      </c>
      <c r="BU1093" s="297">
        <f t="shared" si="341"/>
        <v>0</v>
      </c>
      <c r="BV1093" s="299">
        <f t="shared" si="342"/>
        <v>1</v>
      </c>
      <c r="BW1093" s="318">
        <v>0</v>
      </c>
      <c r="BX1093" s="297">
        <f t="shared" si="343"/>
        <v>0.43</v>
      </c>
      <c r="BY1093">
        <f t="shared" si="344"/>
        <v>0</v>
      </c>
      <c r="BZ1093" s="303">
        <f t="shared" si="345"/>
        <v>0</v>
      </c>
      <c r="CB1093" s="298">
        <v>0.6</v>
      </c>
      <c r="CC1093" s="298">
        <v>0.4</v>
      </c>
      <c r="CD1093">
        <f t="shared" si="346"/>
        <v>0</v>
      </c>
      <c r="CE1093">
        <f t="shared" si="347"/>
        <v>0</v>
      </c>
      <c r="CF1093">
        <f t="shared" si="348"/>
        <v>0</v>
      </c>
      <c r="CG1093">
        <f t="shared" si="349"/>
        <v>0</v>
      </c>
      <c r="CH1093">
        <f t="shared" si="350"/>
        <v>0</v>
      </c>
      <c r="CI1093">
        <f t="shared" si="351"/>
        <v>0</v>
      </c>
      <c r="CJ1093">
        <f t="shared" si="352"/>
        <v>0</v>
      </c>
      <c r="CK1093">
        <f t="shared" si="353"/>
        <v>0</v>
      </c>
      <c r="CL1093">
        <f t="shared" si="354"/>
        <v>0</v>
      </c>
      <c r="CM1093">
        <f t="shared" ref="CM1093:CM1156" si="356">+CJ1093+CK1093+CL1093</f>
        <v>0</v>
      </c>
      <c r="CN1093">
        <f t="shared" si="355"/>
        <v>0</v>
      </c>
      <c r="CO1093">
        <f t="shared" si="339"/>
        <v>0</v>
      </c>
    </row>
    <row r="1094" spans="1:93" hidden="1" x14ac:dyDescent="0.25">
      <c r="A1094" s="4">
        <v>2021</v>
      </c>
      <c r="B1094" s="315">
        <v>44279</v>
      </c>
      <c r="C1094" s="4" t="s">
        <v>1492</v>
      </c>
      <c r="D1094" s="4" t="s">
        <v>1493</v>
      </c>
      <c r="F1094" s="4" t="s">
        <v>1494</v>
      </c>
      <c r="G1094" s="5" t="s">
        <v>431</v>
      </c>
      <c r="H1094" s="5" t="s">
        <v>1496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1497</v>
      </c>
      <c r="P1094" s="6" t="s">
        <v>1498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6" t="str">
        <f>+VLOOKUP(G1094,Liste!$A$7:$G$69,3,FALSE)</f>
        <v>Sapin pectiné</v>
      </c>
      <c r="BI1094" s="96" t="str">
        <f>+VLOOKUP(H1094,Liste!$B$7:$G$69,5,FALSE)</f>
        <v>GSM Alpes du Sud</v>
      </c>
      <c r="BJ1094" s="135">
        <f t="shared" si="338"/>
        <v>30</v>
      </c>
      <c r="BK1094" s="135" t="str">
        <f t="shared" si="340"/>
        <v>Sapin pectiné_F1_SP1_d5_GSM Alpes du Sud_30_</v>
      </c>
      <c r="BL1094" s="319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97" t="str">
        <f>+VLOOKUP(G1094,Liste!$A$7:$H$69,8,FALSE)</f>
        <v>Résineux</v>
      </c>
      <c r="BU1094" s="297">
        <f t="shared" si="341"/>
        <v>0</v>
      </c>
      <c r="BV1094" s="299">
        <f t="shared" si="342"/>
        <v>1</v>
      </c>
      <c r="BW1094" s="318">
        <v>0</v>
      </c>
      <c r="BX1094" s="297">
        <f t="shared" si="343"/>
        <v>0.43</v>
      </c>
      <c r="BY1094">
        <f t="shared" si="344"/>
        <v>0</v>
      </c>
      <c r="BZ1094" s="303">
        <f t="shared" si="345"/>
        <v>0</v>
      </c>
      <c r="CB1094" s="298">
        <v>0.6</v>
      </c>
      <c r="CC1094" s="298">
        <v>0.4</v>
      </c>
      <c r="CD1094">
        <f t="shared" si="346"/>
        <v>0</v>
      </c>
      <c r="CE1094">
        <f t="shared" si="347"/>
        <v>0</v>
      </c>
      <c r="CF1094">
        <f t="shared" si="348"/>
        <v>0</v>
      </c>
      <c r="CG1094">
        <f t="shared" si="349"/>
        <v>0</v>
      </c>
      <c r="CH1094">
        <f t="shared" si="350"/>
        <v>0</v>
      </c>
      <c r="CI1094">
        <f t="shared" si="351"/>
        <v>0</v>
      </c>
      <c r="CJ1094">
        <f t="shared" si="352"/>
        <v>0</v>
      </c>
      <c r="CK1094">
        <f t="shared" si="353"/>
        <v>0</v>
      </c>
      <c r="CL1094">
        <f t="shared" si="354"/>
        <v>0</v>
      </c>
      <c r="CM1094">
        <f t="shared" si="356"/>
        <v>0</v>
      </c>
      <c r="CN1094">
        <f t="shared" si="355"/>
        <v>0</v>
      </c>
      <c r="CO1094">
        <f t="shared" si="339"/>
        <v>0</v>
      </c>
    </row>
    <row r="1095" spans="1:93" hidden="1" x14ac:dyDescent="0.25">
      <c r="A1095" s="4">
        <v>2021</v>
      </c>
      <c r="B1095" s="315">
        <v>44279</v>
      </c>
      <c r="C1095" s="4" t="s">
        <v>1492</v>
      </c>
      <c r="D1095" s="4" t="s">
        <v>1493</v>
      </c>
      <c r="F1095" s="4" t="s">
        <v>1494</v>
      </c>
      <c r="G1095" s="5" t="s">
        <v>431</v>
      </c>
      <c r="H1095" s="5" t="s">
        <v>1496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1497</v>
      </c>
      <c r="P1095" s="6" t="s">
        <v>1498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+VLOOKUP(G1095,Liste!$A$7:$G$69,3,FALSE)</f>
        <v>Sapin pectiné</v>
      </c>
      <c r="BI1095" s="96" t="str">
        <f>+VLOOKUP(H1095,Liste!$B$7:$G$69,5,FALSE)</f>
        <v>GSM Alpes du Sud</v>
      </c>
      <c r="BJ1095" s="135">
        <f t="shared" si="338"/>
        <v>40</v>
      </c>
      <c r="BK1095" s="135" t="str">
        <f t="shared" si="340"/>
        <v>Sapin pectiné_F1_SP1_d5_GSM Alpes du Sud_40_</v>
      </c>
      <c r="BL1095" s="319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97" t="str">
        <f>+VLOOKUP(G1095,Liste!$A$7:$H$69,8,FALSE)</f>
        <v>Résineux</v>
      </c>
      <c r="BU1095" s="297">
        <f t="shared" si="341"/>
        <v>0</v>
      </c>
      <c r="BV1095" s="299">
        <f t="shared" si="342"/>
        <v>1</v>
      </c>
      <c r="BW1095" s="318">
        <v>0</v>
      </c>
      <c r="BX1095" s="297">
        <f t="shared" si="343"/>
        <v>0.43</v>
      </c>
      <c r="BY1095">
        <f t="shared" si="344"/>
        <v>0</v>
      </c>
      <c r="BZ1095" s="303">
        <f t="shared" si="345"/>
        <v>0</v>
      </c>
      <c r="CB1095" s="298">
        <v>0.6</v>
      </c>
      <c r="CC1095" s="298">
        <v>0.4</v>
      </c>
      <c r="CD1095">
        <f t="shared" si="346"/>
        <v>0</v>
      </c>
      <c r="CE1095">
        <f t="shared" si="347"/>
        <v>0</v>
      </c>
      <c r="CF1095">
        <f t="shared" si="348"/>
        <v>0</v>
      </c>
      <c r="CG1095">
        <f t="shared" si="349"/>
        <v>0</v>
      </c>
      <c r="CH1095">
        <f t="shared" si="350"/>
        <v>0</v>
      </c>
      <c r="CI1095">
        <f t="shared" si="351"/>
        <v>0</v>
      </c>
      <c r="CJ1095">
        <f t="shared" si="352"/>
        <v>0</v>
      </c>
      <c r="CK1095">
        <f t="shared" si="353"/>
        <v>0</v>
      </c>
      <c r="CL1095">
        <f t="shared" si="354"/>
        <v>0</v>
      </c>
      <c r="CM1095">
        <f t="shared" si="356"/>
        <v>0</v>
      </c>
      <c r="CN1095">
        <f t="shared" si="355"/>
        <v>0</v>
      </c>
      <c r="CO1095">
        <f t="shared" si="339"/>
        <v>0</v>
      </c>
    </row>
    <row r="1096" spans="1:93" hidden="1" x14ac:dyDescent="0.25">
      <c r="A1096" s="4">
        <v>2021</v>
      </c>
      <c r="B1096" s="315">
        <v>44279</v>
      </c>
      <c r="C1096" s="4" t="s">
        <v>1492</v>
      </c>
      <c r="D1096" s="4" t="s">
        <v>1493</v>
      </c>
      <c r="F1096" s="4" t="s">
        <v>1494</v>
      </c>
      <c r="G1096" s="5" t="s">
        <v>431</v>
      </c>
      <c r="H1096" s="5" t="s">
        <v>1496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1497</v>
      </c>
      <c r="P1096" s="6" t="s">
        <v>1498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+VLOOKUP(G1096,Liste!$A$7:$G$69,3,FALSE)</f>
        <v>Sapin pectiné</v>
      </c>
      <c r="BI1096" s="96" t="str">
        <f>+VLOOKUP(H1096,Liste!$B$7:$G$69,5,FALSE)</f>
        <v>GSM Alpes du Sud</v>
      </c>
      <c r="BJ1096" s="135">
        <f t="shared" si="338"/>
        <v>45</v>
      </c>
      <c r="BK1096" s="135" t="str">
        <f t="shared" si="340"/>
        <v>Sapin pectiné_F1_SP1_d5_GSM Alpes du Sud_45_</v>
      </c>
      <c r="BL1096" s="319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97" t="str">
        <f>+VLOOKUP(G1096,Liste!$A$7:$H$69,8,FALSE)</f>
        <v>Résineux</v>
      </c>
      <c r="BU1096" s="297">
        <f t="shared" si="341"/>
        <v>0</v>
      </c>
      <c r="BV1096" s="299">
        <f t="shared" si="342"/>
        <v>1</v>
      </c>
      <c r="BW1096" s="318">
        <v>0</v>
      </c>
      <c r="BX1096" s="297">
        <f t="shared" si="343"/>
        <v>0.43</v>
      </c>
      <c r="BY1096">
        <f t="shared" si="344"/>
        <v>0</v>
      </c>
      <c r="BZ1096" s="303">
        <f t="shared" si="345"/>
        <v>0</v>
      </c>
      <c r="CB1096" s="298">
        <v>0.6</v>
      </c>
      <c r="CC1096" s="298">
        <v>0.4</v>
      </c>
      <c r="CD1096">
        <f t="shared" si="346"/>
        <v>0</v>
      </c>
      <c r="CE1096">
        <f t="shared" si="347"/>
        <v>0</v>
      </c>
      <c r="CF1096">
        <f t="shared" si="348"/>
        <v>0</v>
      </c>
      <c r="CG1096">
        <f t="shared" si="349"/>
        <v>0</v>
      </c>
      <c r="CH1096">
        <f t="shared" si="350"/>
        <v>0</v>
      </c>
      <c r="CI1096">
        <f t="shared" si="351"/>
        <v>0</v>
      </c>
      <c r="CJ1096">
        <f t="shared" si="352"/>
        <v>0</v>
      </c>
      <c r="CK1096">
        <f t="shared" si="353"/>
        <v>0</v>
      </c>
      <c r="CL1096">
        <f t="shared" si="354"/>
        <v>0</v>
      </c>
      <c r="CM1096">
        <f t="shared" si="356"/>
        <v>0</v>
      </c>
      <c r="CN1096">
        <f t="shared" si="355"/>
        <v>0</v>
      </c>
      <c r="CO1096">
        <f t="shared" si="339"/>
        <v>0</v>
      </c>
    </row>
    <row r="1097" spans="1:93" hidden="1" x14ac:dyDescent="0.25">
      <c r="A1097" s="4">
        <v>2021</v>
      </c>
      <c r="B1097" s="315">
        <v>44279</v>
      </c>
      <c r="C1097" s="4" t="s">
        <v>1492</v>
      </c>
      <c r="D1097" s="4" t="s">
        <v>1493</v>
      </c>
      <c r="F1097" s="4" t="s">
        <v>1494</v>
      </c>
      <c r="G1097" s="5" t="s">
        <v>431</v>
      </c>
      <c r="H1097" s="5" t="s">
        <v>1496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1497</v>
      </c>
      <c r="P1097" s="6" t="s">
        <v>1498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7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+VLOOKUP(G1097,Liste!$A$7:$G$69,3,FALSE)</f>
        <v>Sapin pectiné</v>
      </c>
      <c r="BI1097" s="96" t="str">
        <f>+VLOOKUP(H1097,Liste!$B$7:$G$69,5,FALSE)</f>
        <v>GSM Alpes du Sud</v>
      </c>
      <c r="BJ1097" s="135">
        <f t="shared" si="338"/>
        <v>50</v>
      </c>
      <c r="BK1097" s="135" t="str">
        <f t="shared" si="340"/>
        <v>Sapin pectiné_F1_SP1_d5_GSM Alpes du Sud_50_</v>
      </c>
      <c r="BL1097" s="319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97" t="str">
        <f>+VLOOKUP(G1097,Liste!$A$7:$H$69,8,FALSE)</f>
        <v>Résineux</v>
      </c>
      <c r="BU1097" s="297">
        <f t="shared" si="341"/>
        <v>0</v>
      </c>
      <c r="BV1097" s="299">
        <f t="shared" si="342"/>
        <v>1</v>
      </c>
      <c r="BW1097" s="318">
        <v>0</v>
      </c>
      <c r="BX1097" s="297">
        <f t="shared" si="343"/>
        <v>0.43</v>
      </c>
      <c r="BY1097">
        <f t="shared" si="344"/>
        <v>0</v>
      </c>
      <c r="BZ1097" s="303">
        <f t="shared" si="345"/>
        <v>0</v>
      </c>
      <c r="CB1097" s="298">
        <v>0.6</v>
      </c>
      <c r="CC1097" s="298">
        <v>0.4</v>
      </c>
      <c r="CD1097">
        <f t="shared" si="346"/>
        <v>0</v>
      </c>
      <c r="CE1097">
        <f t="shared" si="347"/>
        <v>0</v>
      </c>
      <c r="CF1097">
        <f t="shared" si="348"/>
        <v>0</v>
      </c>
      <c r="CG1097">
        <f t="shared" si="349"/>
        <v>0</v>
      </c>
      <c r="CH1097">
        <f t="shared" si="350"/>
        <v>0</v>
      </c>
      <c r="CI1097">
        <f t="shared" si="351"/>
        <v>0</v>
      </c>
      <c r="CJ1097">
        <f t="shared" si="352"/>
        <v>0</v>
      </c>
      <c r="CK1097">
        <f t="shared" si="353"/>
        <v>0</v>
      </c>
      <c r="CL1097">
        <f t="shared" si="354"/>
        <v>0</v>
      </c>
      <c r="CM1097">
        <f t="shared" si="356"/>
        <v>0</v>
      </c>
      <c r="CN1097">
        <f t="shared" si="355"/>
        <v>0</v>
      </c>
      <c r="CO1097">
        <f t="shared" si="339"/>
        <v>0</v>
      </c>
    </row>
    <row r="1098" spans="1:93" hidden="1" x14ac:dyDescent="0.25">
      <c r="A1098" s="4">
        <v>2021</v>
      </c>
      <c r="B1098" s="315">
        <v>44279</v>
      </c>
      <c r="C1098" s="4" t="s">
        <v>1492</v>
      </c>
      <c r="D1098" s="4" t="s">
        <v>1493</v>
      </c>
      <c r="F1098" s="4" t="s">
        <v>1494</v>
      </c>
      <c r="G1098" s="5" t="s">
        <v>431</v>
      </c>
      <c r="H1098" s="5" t="s">
        <v>1496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1497</v>
      </c>
      <c r="P1098" s="6" t="s">
        <v>1498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7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+VLOOKUP(G1098,Liste!$A$7:$G$69,3,FALSE)</f>
        <v>Sapin pectiné</v>
      </c>
      <c r="BI1098" s="96" t="str">
        <f>+VLOOKUP(H1098,Liste!$B$7:$G$69,5,FALSE)</f>
        <v>GSM Alpes du Sud</v>
      </c>
      <c r="BJ1098" s="135">
        <f t="shared" si="338"/>
        <v>50</v>
      </c>
      <c r="BK1098" s="135" t="str">
        <f t="shared" si="340"/>
        <v>Sapin pectiné_F1_SP1_d5_GSM Alpes du Sud_50_</v>
      </c>
      <c r="BL1098" s="319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97" t="str">
        <f>+VLOOKUP(G1098,Liste!$A$7:$H$69,8,FALSE)</f>
        <v>Résineux</v>
      </c>
      <c r="BU1098" s="297">
        <f t="shared" si="341"/>
        <v>0</v>
      </c>
      <c r="BV1098" s="299">
        <f t="shared" si="342"/>
        <v>1</v>
      </c>
      <c r="BW1098" s="318">
        <v>0</v>
      </c>
      <c r="BX1098" s="297">
        <f t="shared" si="343"/>
        <v>0.43</v>
      </c>
      <c r="BY1098">
        <f t="shared" si="344"/>
        <v>0</v>
      </c>
      <c r="BZ1098" s="303">
        <f t="shared" si="345"/>
        <v>0</v>
      </c>
      <c r="CB1098" s="298">
        <v>0.6</v>
      </c>
      <c r="CC1098" s="298">
        <v>0.4</v>
      </c>
      <c r="CD1098">
        <f t="shared" si="346"/>
        <v>0</v>
      </c>
      <c r="CE1098">
        <f t="shared" si="347"/>
        <v>0</v>
      </c>
      <c r="CF1098">
        <f t="shared" si="348"/>
        <v>0</v>
      </c>
      <c r="CG1098">
        <f t="shared" si="349"/>
        <v>0</v>
      </c>
      <c r="CH1098">
        <f t="shared" si="350"/>
        <v>0</v>
      </c>
      <c r="CI1098">
        <f t="shared" si="351"/>
        <v>0</v>
      </c>
      <c r="CJ1098">
        <f t="shared" si="352"/>
        <v>0</v>
      </c>
      <c r="CK1098">
        <f t="shared" si="353"/>
        <v>0</v>
      </c>
      <c r="CL1098">
        <f t="shared" si="354"/>
        <v>0</v>
      </c>
      <c r="CM1098">
        <f t="shared" si="356"/>
        <v>0</v>
      </c>
      <c r="CN1098">
        <f t="shared" si="355"/>
        <v>0</v>
      </c>
      <c r="CO1098">
        <f t="shared" si="339"/>
        <v>0</v>
      </c>
    </row>
    <row r="1099" spans="1:93" hidden="1" x14ac:dyDescent="0.25">
      <c r="A1099" s="4">
        <v>2021</v>
      </c>
      <c r="B1099" s="315">
        <v>44279</v>
      </c>
      <c r="C1099" s="4" t="s">
        <v>1492</v>
      </c>
      <c r="D1099" s="4" t="s">
        <v>1493</v>
      </c>
      <c r="F1099" s="4" t="s">
        <v>1494</v>
      </c>
      <c r="G1099" s="5" t="s">
        <v>431</v>
      </c>
      <c r="H1099" s="5" t="s">
        <v>1496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1497</v>
      </c>
      <c r="P1099" s="6" t="s">
        <v>1498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7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+VLOOKUP(G1099,Liste!$A$7:$G$69,3,FALSE)</f>
        <v>Sapin pectiné</v>
      </c>
      <c r="BI1099" s="96" t="str">
        <f>+VLOOKUP(H1099,Liste!$B$7:$G$69,5,FALSE)</f>
        <v>GSM Alpes du Sud</v>
      </c>
      <c r="BJ1099" s="135">
        <f t="shared" si="338"/>
        <v>55</v>
      </c>
      <c r="BK1099" s="135" t="str">
        <f t="shared" si="340"/>
        <v>Sapin pectiné_F1_SP1_d5_GSM Alpes du Sud_55_</v>
      </c>
      <c r="BL1099" s="319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97" t="str">
        <f>+VLOOKUP(G1099,Liste!$A$7:$H$69,8,FALSE)</f>
        <v>Résineux</v>
      </c>
      <c r="BU1099" s="297">
        <f t="shared" si="341"/>
        <v>0</v>
      </c>
      <c r="BV1099" s="299">
        <f t="shared" si="342"/>
        <v>1</v>
      </c>
      <c r="BW1099" s="318">
        <v>0</v>
      </c>
      <c r="BX1099" s="297">
        <f t="shared" si="343"/>
        <v>0.43</v>
      </c>
      <c r="BY1099">
        <f t="shared" si="344"/>
        <v>0</v>
      </c>
      <c r="BZ1099" s="303">
        <f t="shared" si="345"/>
        <v>0</v>
      </c>
      <c r="CB1099" s="298">
        <v>0.6</v>
      </c>
      <c r="CC1099" s="298">
        <v>0.4</v>
      </c>
      <c r="CD1099">
        <f t="shared" si="346"/>
        <v>0</v>
      </c>
      <c r="CE1099">
        <f t="shared" si="347"/>
        <v>0</v>
      </c>
      <c r="CF1099">
        <f t="shared" si="348"/>
        <v>0</v>
      </c>
      <c r="CG1099">
        <f t="shared" si="349"/>
        <v>0</v>
      </c>
      <c r="CH1099">
        <f t="shared" si="350"/>
        <v>0</v>
      </c>
      <c r="CI1099">
        <f t="shared" si="351"/>
        <v>0</v>
      </c>
      <c r="CJ1099">
        <f t="shared" si="352"/>
        <v>0</v>
      </c>
      <c r="CK1099">
        <f t="shared" si="353"/>
        <v>0</v>
      </c>
      <c r="CL1099">
        <f t="shared" si="354"/>
        <v>0</v>
      </c>
      <c r="CM1099">
        <f t="shared" si="356"/>
        <v>0</v>
      </c>
      <c r="CN1099">
        <f t="shared" si="355"/>
        <v>0</v>
      </c>
      <c r="CO1099">
        <f t="shared" si="339"/>
        <v>0</v>
      </c>
    </row>
    <row r="1100" spans="1:93" hidden="1" x14ac:dyDescent="0.25">
      <c r="A1100" s="4">
        <v>2021</v>
      </c>
      <c r="B1100" s="315">
        <v>44279</v>
      </c>
      <c r="C1100" s="4" t="s">
        <v>1492</v>
      </c>
      <c r="D1100" s="4" t="s">
        <v>1493</v>
      </c>
      <c r="F1100" s="4" t="s">
        <v>1494</v>
      </c>
      <c r="G1100" s="5" t="s">
        <v>431</v>
      </c>
      <c r="H1100" s="5" t="s">
        <v>1496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1497</v>
      </c>
      <c r="P1100" s="6" t="s">
        <v>1498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7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+VLOOKUP(G1100,Liste!$A$7:$G$69,3,FALSE)</f>
        <v>Sapin pectiné</v>
      </c>
      <c r="BI1100" s="96" t="str">
        <f>+VLOOKUP(H1100,Liste!$B$7:$G$69,5,FALSE)</f>
        <v>GSM Alpes du Sud</v>
      </c>
      <c r="BJ1100" s="135">
        <f t="shared" si="338"/>
        <v>60</v>
      </c>
      <c r="BK1100" s="135" t="str">
        <f t="shared" si="340"/>
        <v>Sapin pectiné_F1_SP1_d5_GSM Alpes du Sud_60_</v>
      </c>
      <c r="BL1100" s="319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97" t="str">
        <f>+VLOOKUP(G1100,Liste!$A$7:$H$69,8,FALSE)</f>
        <v>Résineux</v>
      </c>
      <c r="BU1100" s="297">
        <f t="shared" si="341"/>
        <v>0</v>
      </c>
      <c r="BV1100" s="299">
        <f t="shared" si="342"/>
        <v>1</v>
      </c>
      <c r="BW1100" s="318">
        <v>0</v>
      </c>
      <c r="BX1100" s="297">
        <f t="shared" si="343"/>
        <v>0.43</v>
      </c>
      <c r="BY1100">
        <f t="shared" si="344"/>
        <v>0</v>
      </c>
      <c r="BZ1100" s="303">
        <f t="shared" si="345"/>
        <v>0</v>
      </c>
      <c r="CB1100" s="298">
        <v>0.6</v>
      </c>
      <c r="CC1100" s="298">
        <v>0.4</v>
      </c>
      <c r="CD1100">
        <f t="shared" si="346"/>
        <v>0</v>
      </c>
      <c r="CE1100">
        <f t="shared" si="347"/>
        <v>0</v>
      </c>
      <c r="CF1100">
        <f t="shared" si="348"/>
        <v>0</v>
      </c>
      <c r="CG1100">
        <f t="shared" si="349"/>
        <v>0</v>
      </c>
      <c r="CH1100">
        <f t="shared" si="350"/>
        <v>0</v>
      </c>
      <c r="CI1100">
        <f t="shared" si="351"/>
        <v>0</v>
      </c>
      <c r="CJ1100">
        <f t="shared" si="352"/>
        <v>0</v>
      </c>
      <c r="CK1100">
        <f t="shared" si="353"/>
        <v>0</v>
      </c>
      <c r="CL1100">
        <f t="shared" si="354"/>
        <v>0</v>
      </c>
      <c r="CM1100">
        <f t="shared" si="356"/>
        <v>0</v>
      </c>
      <c r="CN1100">
        <f t="shared" si="355"/>
        <v>0</v>
      </c>
      <c r="CO1100">
        <f t="shared" si="339"/>
        <v>0</v>
      </c>
    </row>
    <row r="1101" spans="1:93" hidden="1" x14ac:dyDescent="0.25">
      <c r="A1101" s="4">
        <v>2021</v>
      </c>
      <c r="B1101" s="315">
        <v>44279</v>
      </c>
      <c r="C1101" s="4" t="s">
        <v>1492</v>
      </c>
      <c r="D1101" s="4" t="s">
        <v>1493</v>
      </c>
      <c r="F1101" s="4" t="s">
        <v>1494</v>
      </c>
      <c r="G1101" s="5" t="s">
        <v>431</v>
      </c>
      <c r="H1101" s="5" t="s">
        <v>1496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1497</v>
      </c>
      <c r="P1101" s="6" t="s">
        <v>1498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7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+VLOOKUP(G1101,Liste!$A$7:$G$69,3,FALSE)</f>
        <v>Sapin pectiné</v>
      </c>
      <c r="BI1101" s="96" t="str">
        <f>+VLOOKUP(H1101,Liste!$B$7:$G$69,5,FALSE)</f>
        <v>GSM Alpes du Sud</v>
      </c>
      <c r="BJ1101" s="135">
        <f t="shared" si="338"/>
        <v>60</v>
      </c>
      <c r="BK1101" s="135" t="str">
        <f t="shared" si="340"/>
        <v>Sapin pectiné_F1_SP1_d5_GSM Alpes du Sud_60_</v>
      </c>
      <c r="BL1101" s="319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97" t="str">
        <f>+VLOOKUP(G1101,Liste!$A$7:$H$69,8,FALSE)</f>
        <v>Résineux</v>
      </c>
      <c r="BU1101" s="297">
        <f t="shared" si="341"/>
        <v>0</v>
      </c>
      <c r="BV1101" s="299">
        <f t="shared" si="342"/>
        <v>1</v>
      </c>
      <c r="BW1101" s="318">
        <v>0</v>
      </c>
      <c r="BX1101" s="297">
        <f t="shared" si="343"/>
        <v>0.43</v>
      </c>
      <c r="BY1101">
        <f t="shared" si="344"/>
        <v>0</v>
      </c>
      <c r="BZ1101" s="303">
        <f t="shared" si="345"/>
        <v>0</v>
      </c>
      <c r="CB1101" s="298">
        <v>0.6</v>
      </c>
      <c r="CC1101" s="298">
        <v>0.4</v>
      </c>
      <c r="CD1101">
        <f t="shared" si="346"/>
        <v>0</v>
      </c>
      <c r="CE1101">
        <f t="shared" si="347"/>
        <v>0</v>
      </c>
      <c r="CF1101">
        <f t="shared" si="348"/>
        <v>0</v>
      </c>
      <c r="CG1101">
        <f t="shared" si="349"/>
        <v>0</v>
      </c>
      <c r="CH1101">
        <f t="shared" si="350"/>
        <v>0</v>
      </c>
      <c r="CI1101">
        <f t="shared" si="351"/>
        <v>0</v>
      </c>
      <c r="CJ1101">
        <f t="shared" si="352"/>
        <v>0</v>
      </c>
      <c r="CK1101">
        <f t="shared" si="353"/>
        <v>0</v>
      </c>
      <c r="CL1101">
        <f t="shared" si="354"/>
        <v>0</v>
      </c>
      <c r="CM1101">
        <f t="shared" si="356"/>
        <v>0</v>
      </c>
      <c r="CN1101">
        <f t="shared" si="355"/>
        <v>0</v>
      </c>
      <c r="CO1101">
        <f t="shared" si="339"/>
        <v>0</v>
      </c>
    </row>
    <row r="1102" spans="1:93" hidden="1" x14ac:dyDescent="0.25">
      <c r="A1102" s="4">
        <v>2021</v>
      </c>
      <c r="B1102" s="315">
        <v>44279</v>
      </c>
      <c r="C1102" s="4" t="s">
        <v>1492</v>
      </c>
      <c r="D1102" s="4" t="s">
        <v>1493</v>
      </c>
      <c r="F1102" s="4" t="s">
        <v>1494</v>
      </c>
      <c r="G1102" s="5" t="s">
        <v>431</v>
      </c>
      <c r="H1102" s="5" t="s">
        <v>1496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1497</v>
      </c>
      <c r="P1102" s="6" t="s">
        <v>1498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7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+VLOOKUP(G1102,Liste!$A$7:$G$69,3,FALSE)</f>
        <v>Sapin pectiné</v>
      </c>
      <c r="BI1102" s="96" t="str">
        <f>+VLOOKUP(H1102,Liste!$B$7:$G$69,5,FALSE)</f>
        <v>GSM Alpes du Sud</v>
      </c>
      <c r="BJ1102" s="135">
        <f t="shared" si="338"/>
        <v>65</v>
      </c>
      <c r="BK1102" s="135" t="str">
        <f t="shared" si="340"/>
        <v>Sapin pectiné_F1_SP1_d5_GSM Alpes du Sud_65_</v>
      </c>
      <c r="BL1102" s="319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97" t="str">
        <f>+VLOOKUP(G1102,Liste!$A$7:$H$69,8,FALSE)</f>
        <v>Résineux</v>
      </c>
      <c r="BU1102" s="297">
        <f t="shared" si="341"/>
        <v>0</v>
      </c>
      <c r="BV1102" s="299">
        <f t="shared" si="342"/>
        <v>1</v>
      </c>
      <c r="BW1102" s="318">
        <v>0</v>
      </c>
      <c r="BX1102" s="297">
        <f t="shared" si="343"/>
        <v>0.43</v>
      </c>
      <c r="BY1102">
        <f t="shared" si="344"/>
        <v>0</v>
      </c>
      <c r="BZ1102" s="303">
        <f t="shared" si="345"/>
        <v>0</v>
      </c>
      <c r="CB1102" s="298">
        <v>0.6</v>
      </c>
      <c r="CC1102" s="298">
        <v>0.4</v>
      </c>
      <c r="CD1102">
        <f t="shared" si="346"/>
        <v>0</v>
      </c>
      <c r="CE1102">
        <f t="shared" si="347"/>
        <v>0</v>
      </c>
      <c r="CF1102">
        <f t="shared" si="348"/>
        <v>0</v>
      </c>
      <c r="CG1102">
        <f t="shared" si="349"/>
        <v>0</v>
      </c>
      <c r="CH1102">
        <f t="shared" si="350"/>
        <v>0</v>
      </c>
      <c r="CI1102">
        <f t="shared" si="351"/>
        <v>0</v>
      </c>
      <c r="CJ1102">
        <f t="shared" si="352"/>
        <v>0</v>
      </c>
      <c r="CK1102">
        <f t="shared" si="353"/>
        <v>0</v>
      </c>
      <c r="CL1102">
        <f t="shared" si="354"/>
        <v>0</v>
      </c>
      <c r="CM1102">
        <f t="shared" si="356"/>
        <v>0</v>
      </c>
      <c r="CN1102">
        <f t="shared" si="355"/>
        <v>0</v>
      </c>
      <c r="CO1102">
        <f t="shared" si="339"/>
        <v>0</v>
      </c>
    </row>
    <row r="1103" spans="1:93" hidden="1" x14ac:dyDescent="0.25">
      <c r="A1103" s="4">
        <v>2021</v>
      </c>
      <c r="B1103" s="315">
        <v>44279</v>
      </c>
      <c r="C1103" s="4" t="s">
        <v>1492</v>
      </c>
      <c r="D1103" s="4" t="s">
        <v>1493</v>
      </c>
      <c r="F1103" s="4" t="s">
        <v>1494</v>
      </c>
      <c r="G1103" s="5" t="s">
        <v>431</v>
      </c>
      <c r="H1103" s="5" t="s">
        <v>1496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1497</v>
      </c>
      <c r="P1103" s="6" t="s">
        <v>1498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7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+VLOOKUP(G1103,Liste!$A$7:$G$69,3,FALSE)</f>
        <v>Sapin pectiné</v>
      </c>
      <c r="BI1103" s="96" t="str">
        <f>+VLOOKUP(H1103,Liste!$B$7:$G$69,5,FALSE)</f>
        <v>GSM Alpes du Sud</v>
      </c>
      <c r="BJ1103" s="135">
        <f t="shared" si="338"/>
        <v>70</v>
      </c>
      <c r="BK1103" s="135" t="str">
        <f t="shared" si="340"/>
        <v>Sapin pectiné_F1_SP1_d5_GSM Alpes du Sud_70_</v>
      </c>
      <c r="BL1103" s="319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97" t="str">
        <f>+VLOOKUP(G1103,Liste!$A$7:$H$69,8,FALSE)</f>
        <v>Résineux</v>
      </c>
      <c r="BU1103" s="297">
        <f t="shared" si="341"/>
        <v>0</v>
      </c>
      <c r="BV1103" s="299">
        <f t="shared" si="342"/>
        <v>1</v>
      </c>
      <c r="BW1103" s="318">
        <v>0</v>
      </c>
      <c r="BX1103" s="297">
        <f t="shared" si="343"/>
        <v>0.43</v>
      </c>
      <c r="BY1103">
        <f t="shared" si="344"/>
        <v>0</v>
      </c>
      <c r="BZ1103" s="303">
        <f t="shared" si="345"/>
        <v>0</v>
      </c>
      <c r="CB1103" s="298">
        <v>0.6</v>
      </c>
      <c r="CC1103" s="298">
        <v>0.4</v>
      </c>
      <c r="CD1103">
        <f t="shared" si="346"/>
        <v>0</v>
      </c>
      <c r="CE1103">
        <f t="shared" si="347"/>
        <v>0</v>
      </c>
      <c r="CF1103">
        <f t="shared" si="348"/>
        <v>0</v>
      </c>
      <c r="CG1103">
        <f t="shared" si="349"/>
        <v>0</v>
      </c>
      <c r="CH1103">
        <f t="shared" si="350"/>
        <v>0</v>
      </c>
      <c r="CI1103">
        <f t="shared" si="351"/>
        <v>0</v>
      </c>
      <c r="CJ1103">
        <f t="shared" si="352"/>
        <v>0</v>
      </c>
      <c r="CK1103">
        <f t="shared" si="353"/>
        <v>0</v>
      </c>
      <c r="CL1103">
        <f t="shared" si="354"/>
        <v>0</v>
      </c>
      <c r="CM1103">
        <f t="shared" si="356"/>
        <v>0</v>
      </c>
      <c r="CN1103">
        <f t="shared" si="355"/>
        <v>0</v>
      </c>
      <c r="CO1103">
        <f t="shared" si="339"/>
        <v>0</v>
      </c>
    </row>
    <row r="1104" spans="1:93" hidden="1" x14ac:dyDescent="0.25">
      <c r="A1104" s="4">
        <v>2021</v>
      </c>
      <c r="B1104" s="315">
        <v>44279</v>
      </c>
      <c r="C1104" s="4" t="s">
        <v>1492</v>
      </c>
      <c r="D1104" s="4" t="s">
        <v>1493</v>
      </c>
      <c r="F1104" s="4" t="s">
        <v>1494</v>
      </c>
      <c r="G1104" s="5" t="s">
        <v>431</v>
      </c>
      <c r="H1104" s="5" t="s">
        <v>1496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1497</v>
      </c>
      <c r="P1104" s="6" t="s">
        <v>1498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7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+VLOOKUP(G1104,Liste!$A$7:$G$69,3,FALSE)</f>
        <v>Sapin pectiné</v>
      </c>
      <c r="BI1104" s="96" t="str">
        <f>+VLOOKUP(H1104,Liste!$B$7:$G$69,5,FALSE)</f>
        <v>GSM Alpes du Sud</v>
      </c>
      <c r="BJ1104" s="135">
        <f t="shared" si="338"/>
        <v>70</v>
      </c>
      <c r="BK1104" s="135" t="str">
        <f t="shared" si="340"/>
        <v>Sapin pectiné_F1_SP1_d5_GSM Alpes du Sud_70_</v>
      </c>
      <c r="BL1104" s="319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97" t="str">
        <f>+VLOOKUP(G1104,Liste!$A$7:$H$69,8,FALSE)</f>
        <v>Résineux</v>
      </c>
      <c r="BU1104" s="297">
        <f t="shared" si="341"/>
        <v>0</v>
      </c>
      <c r="BV1104" s="299">
        <f t="shared" si="342"/>
        <v>1</v>
      </c>
      <c r="BW1104" s="318">
        <v>0</v>
      </c>
      <c r="BX1104" s="297">
        <f t="shared" si="343"/>
        <v>0.43</v>
      </c>
      <c r="BY1104">
        <f t="shared" si="344"/>
        <v>0</v>
      </c>
      <c r="BZ1104" s="303">
        <f t="shared" si="345"/>
        <v>0</v>
      </c>
      <c r="CB1104" s="298">
        <v>0.6</v>
      </c>
      <c r="CC1104" s="298">
        <v>0.4</v>
      </c>
      <c r="CD1104">
        <f t="shared" si="346"/>
        <v>0</v>
      </c>
      <c r="CE1104">
        <f t="shared" si="347"/>
        <v>0</v>
      </c>
      <c r="CF1104">
        <f t="shared" si="348"/>
        <v>0</v>
      </c>
      <c r="CG1104">
        <f t="shared" si="349"/>
        <v>0</v>
      </c>
      <c r="CH1104">
        <f t="shared" si="350"/>
        <v>0</v>
      </c>
      <c r="CI1104">
        <f t="shared" si="351"/>
        <v>0</v>
      </c>
      <c r="CJ1104">
        <f t="shared" si="352"/>
        <v>0</v>
      </c>
      <c r="CK1104">
        <f t="shared" si="353"/>
        <v>0</v>
      </c>
      <c r="CL1104">
        <f t="shared" si="354"/>
        <v>0</v>
      </c>
      <c r="CM1104">
        <f t="shared" si="356"/>
        <v>0</v>
      </c>
      <c r="CN1104">
        <f t="shared" si="355"/>
        <v>0</v>
      </c>
      <c r="CO1104">
        <f t="shared" si="339"/>
        <v>0</v>
      </c>
    </row>
    <row r="1105" spans="1:93" hidden="1" x14ac:dyDescent="0.25">
      <c r="A1105" s="4">
        <v>2021</v>
      </c>
      <c r="B1105" s="315">
        <v>44279</v>
      </c>
      <c r="C1105" s="4" t="s">
        <v>1492</v>
      </c>
      <c r="D1105" s="4" t="s">
        <v>1493</v>
      </c>
      <c r="F1105" s="4" t="s">
        <v>1494</v>
      </c>
      <c r="G1105" s="5" t="s">
        <v>431</v>
      </c>
      <c r="H1105" s="5" t="s">
        <v>1496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1497</v>
      </c>
      <c r="P1105" s="6" t="s">
        <v>1498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7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+VLOOKUP(G1105,Liste!$A$7:$G$69,3,FALSE)</f>
        <v>Sapin pectiné</v>
      </c>
      <c r="BI1105" s="96" t="str">
        <f>+VLOOKUP(H1105,Liste!$B$7:$G$69,5,FALSE)</f>
        <v>GSM Alpes du Sud</v>
      </c>
      <c r="BJ1105" s="135">
        <f t="shared" si="338"/>
        <v>75</v>
      </c>
      <c r="BK1105" s="135" t="str">
        <f t="shared" si="340"/>
        <v>Sapin pectiné_F1_SP1_d5_GSM Alpes du Sud_75_</v>
      </c>
      <c r="BL1105" s="319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97" t="str">
        <f>+VLOOKUP(G1105,Liste!$A$7:$H$69,8,FALSE)</f>
        <v>Résineux</v>
      </c>
      <c r="BU1105" s="297">
        <f t="shared" si="341"/>
        <v>0</v>
      </c>
      <c r="BV1105" s="299">
        <f t="shared" si="342"/>
        <v>1</v>
      </c>
      <c r="BW1105" s="318">
        <v>0</v>
      </c>
      <c r="BX1105" s="297">
        <f t="shared" si="343"/>
        <v>0.43</v>
      </c>
      <c r="BY1105">
        <f t="shared" si="344"/>
        <v>0</v>
      </c>
      <c r="BZ1105" s="303">
        <f t="shared" si="345"/>
        <v>0</v>
      </c>
      <c r="CB1105" s="298">
        <v>0.6</v>
      </c>
      <c r="CC1105" s="298">
        <v>0.4</v>
      </c>
      <c r="CD1105">
        <f t="shared" si="346"/>
        <v>0</v>
      </c>
      <c r="CE1105">
        <f t="shared" si="347"/>
        <v>0</v>
      </c>
      <c r="CF1105">
        <f t="shared" si="348"/>
        <v>0</v>
      </c>
      <c r="CG1105">
        <f t="shared" si="349"/>
        <v>0</v>
      </c>
      <c r="CH1105">
        <f t="shared" si="350"/>
        <v>0</v>
      </c>
      <c r="CI1105">
        <f t="shared" si="351"/>
        <v>0</v>
      </c>
      <c r="CJ1105">
        <f t="shared" si="352"/>
        <v>0</v>
      </c>
      <c r="CK1105">
        <f t="shared" si="353"/>
        <v>0</v>
      </c>
      <c r="CL1105">
        <f t="shared" si="354"/>
        <v>0</v>
      </c>
      <c r="CM1105">
        <f t="shared" si="356"/>
        <v>0</v>
      </c>
      <c r="CN1105">
        <f t="shared" si="355"/>
        <v>0</v>
      </c>
      <c r="CO1105">
        <f t="shared" si="339"/>
        <v>0</v>
      </c>
    </row>
    <row r="1106" spans="1:93" hidden="1" x14ac:dyDescent="0.25">
      <c r="A1106" s="4">
        <v>2021</v>
      </c>
      <c r="B1106" s="315">
        <v>44279</v>
      </c>
      <c r="C1106" s="4" t="s">
        <v>1492</v>
      </c>
      <c r="D1106" s="4" t="s">
        <v>1493</v>
      </c>
      <c r="F1106" s="4" t="s">
        <v>1494</v>
      </c>
      <c r="G1106" s="5" t="s">
        <v>431</v>
      </c>
      <c r="H1106" s="5" t="s">
        <v>1496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1497</v>
      </c>
      <c r="P1106" s="6" t="s">
        <v>1498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7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+VLOOKUP(G1106,Liste!$A$7:$G$69,3,FALSE)</f>
        <v>Sapin pectiné</v>
      </c>
      <c r="BI1106" s="96" t="str">
        <f>+VLOOKUP(H1106,Liste!$B$7:$G$69,5,FALSE)</f>
        <v>GSM Alpes du Sud</v>
      </c>
      <c r="BJ1106" s="135">
        <f t="shared" si="338"/>
        <v>80</v>
      </c>
      <c r="BK1106" s="135" t="str">
        <f t="shared" si="340"/>
        <v>Sapin pectiné_F1_SP1_d5_GSM Alpes du Sud_80_</v>
      </c>
      <c r="BL1106" s="319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97" t="str">
        <f>+VLOOKUP(G1106,Liste!$A$7:$H$69,8,FALSE)</f>
        <v>Résineux</v>
      </c>
      <c r="BU1106" s="297">
        <f t="shared" si="341"/>
        <v>0</v>
      </c>
      <c r="BV1106" s="299">
        <f t="shared" si="342"/>
        <v>1</v>
      </c>
      <c r="BW1106" s="318">
        <v>0</v>
      </c>
      <c r="BX1106" s="297">
        <f t="shared" si="343"/>
        <v>0.43</v>
      </c>
      <c r="BY1106">
        <f t="shared" si="344"/>
        <v>0</v>
      </c>
      <c r="BZ1106" s="303">
        <f t="shared" si="345"/>
        <v>0</v>
      </c>
      <c r="CB1106" s="298">
        <v>0.6</v>
      </c>
      <c r="CC1106" s="298">
        <v>0.4</v>
      </c>
      <c r="CD1106">
        <f t="shared" si="346"/>
        <v>0</v>
      </c>
      <c r="CE1106">
        <f t="shared" si="347"/>
        <v>0</v>
      </c>
      <c r="CF1106">
        <f t="shared" si="348"/>
        <v>0</v>
      </c>
      <c r="CG1106">
        <f t="shared" si="349"/>
        <v>0</v>
      </c>
      <c r="CH1106">
        <f t="shared" si="350"/>
        <v>0</v>
      </c>
      <c r="CI1106">
        <f t="shared" si="351"/>
        <v>0</v>
      </c>
      <c r="CJ1106">
        <f t="shared" si="352"/>
        <v>0</v>
      </c>
      <c r="CK1106">
        <f t="shared" si="353"/>
        <v>0</v>
      </c>
      <c r="CL1106">
        <f t="shared" si="354"/>
        <v>0</v>
      </c>
      <c r="CM1106">
        <f t="shared" si="356"/>
        <v>0</v>
      </c>
      <c r="CN1106">
        <f t="shared" si="355"/>
        <v>0</v>
      </c>
      <c r="CO1106">
        <f t="shared" si="339"/>
        <v>0</v>
      </c>
    </row>
    <row r="1107" spans="1:93" hidden="1" x14ac:dyDescent="0.25">
      <c r="A1107" s="4">
        <v>2021</v>
      </c>
      <c r="B1107" s="315">
        <v>44279</v>
      </c>
      <c r="C1107" s="4" t="s">
        <v>1492</v>
      </c>
      <c r="D1107" s="4" t="s">
        <v>1493</v>
      </c>
      <c r="F1107" s="4" t="s">
        <v>1494</v>
      </c>
      <c r="G1107" s="5" t="s">
        <v>431</v>
      </c>
      <c r="H1107" s="5" t="s">
        <v>1496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1497</v>
      </c>
      <c r="P1107" s="6" t="s">
        <v>1498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7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+VLOOKUP(G1107,Liste!$A$7:$G$69,3,FALSE)</f>
        <v>Sapin pectiné</v>
      </c>
      <c r="BI1107" s="96" t="str">
        <f>+VLOOKUP(H1107,Liste!$B$7:$G$69,5,FALSE)</f>
        <v>GSM Alpes du Sud</v>
      </c>
      <c r="BJ1107" s="135">
        <f t="shared" si="338"/>
        <v>80</v>
      </c>
      <c r="BK1107" s="135" t="str">
        <f t="shared" si="340"/>
        <v>Sapin pectiné_F1_SP1_d5_GSM Alpes du Sud_80_</v>
      </c>
      <c r="BL1107" s="319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97" t="str">
        <f>+VLOOKUP(G1107,Liste!$A$7:$H$69,8,FALSE)</f>
        <v>Résineux</v>
      </c>
      <c r="BU1107" s="297">
        <f t="shared" si="341"/>
        <v>0</v>
      </c>
      <c r="BV1107" s="299">
        <f t="shared" si="342"/>
        <v>1</v>
      </c>
      <c r="BW1107" s="318">
        <v>0</v>
      </c>
      <c r="BX1107" s="297">
        <f t="shared" si="343"/>
        <v>0.43</v>
      </c>
      <c r="BY1107">
        <f t="shared" si="344"/>
        <v>0</v>
      </c>
      <c r="BZ1107" s="303">
        <f t="shared" si="345"/>
        <v>0</v>
      </c>
      <c r="CB1107" s="298">
        <v>0.6</v>
      </c>
      <c r="CC1107" s="298">
        <v>0.4</v>
      </c>
      <c r="CD1107">
        <f t="shared" si="346"/>
        <v>0</v>
      </c>
      <c r="CE1107">
        <f t="shared" si="347"/>
        <v>0</v>
      </c>
      <c r="CF1107">
        <f t="shared" si="348"/>
        <v>0</v>
      </c>
      <c r="CG1107">
        <f t="shared" si="349"/>
        <v>0</v>
      </c>
      <c r="CH1107">
        <f t="shared" si="350"/>
        <v>0</v>
      </c>
      <c r="CI1107">
        <f t="shared" si="351"/>
        <v>0</v>
      </c>
      <c r="CJ1107">
        <f t="shared" si="352"/>
        <v>0</v>
      </c>
      <c r="CK1107">
        <f t="shared" si="353"/>
        <v>0</v>
      </c>
      <c r="CL1107">
        <f t="shared" si="354"/>
        <v>0</v>
      </c>
      <c r="CM1107">
        <f t="shared" si="356"/>
        <v>0</v>
      </c>
      <c r="CN1107">
        <f t="shared" si="355"/>
        <v>0</v>
      </c>
      <c r="CO1107">
        <f t="shared" si="339"/>
        <v>0</v>
      </c>
    </row>
    <row r="1108" spans="1:93" hidden="1" x14ac:dyDescent="0.25">
      <c r="A1108" s="4">
        <v>2021</v>
      </c>
      <c r="B1108" s="315">
        <v>44279</v>
      </c>
      <c r="C1108" s="4" t="s">
        <v>1492</v>
      </c>
      <c r="D1108" s="4" t="s">
        <v>1493</v>
      </c>
      <c r="F1108" s="4" t="s">
        <v>1494</v>
      </c>
      <c r="G1108" s="5" t="s">
        <v>431</v>
      </c>
      <c r="H1108" s="5" t="s">
        <v>1496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1497</v>
      </c>
      <c r="P1108" s="6" t="s">
        <v>1498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7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+VLOOKUP(G1108,Liste!$A$7:$G$69,3,FALSE)</f>
        <v>Sapin pectiné</v>
      </c>
      <c r="BI1108" s="96" t="str">
        <f>+VLOOKUP(H1108,Liste!$B$7:$G$69,5,FALSE)</f>
        <v>GSM Alpes du Sud</v>
      </c>
      <c r="BJ1108" s="135">
        <f t="shared" si="338"/>
        <v>85</v>
      </c>
      <c r="BK1108" s="135" t="str">
        <f t="shared" si="340"/>
        <v>Sapin pectiné_F1_SP1_d5_GSM Alpes du Sud_85_</v>
      </c>
      <c r="BL1108" s="319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97" t="str">
        <f>+VLOOKUP(G1108,Liste!$A$7:$H$69,8,FALSE)</f>
        <v>Résineux</v>
      </c>
      <c r="BU1108" s="297">
        <f t="shared" si="341"/>
        <v>0</v>
      </c>
      <c r="BV1108" s="299">
        <f t="shared" si="342"/>
        <v>1</v>
      </c>
      <c r="BW1108" s="318">
        <v>0</v>
      </c>
      <c r="BX1108" s="297">
        <f t="shared" si="343"/>
        <v>0.43</v>
      </c>
      <c r="BY1108">
        <f t="shared" si="344"/>
        <v>0</v>
      </c>
      <c r="BZ1108" s="303">
        <f t="shared" si="345"/>
        <v>0</v>
      </c>
      <c r="CB1108" s="298">
        <v>0.6</v>
      </c>
      <c r="CC1108" s="298">
        <v>0.4</v>
      </c>
      <c r="CD1108">
        <f t="shared" si="346"/>
        <v>0</v>
      </c>
      <c r="CE1108">
        <f t="shared" si="347"/>
        <v>0</v>
      </c>
      <c r="CF1108">
        <f t="shared" si="348"/>
        <v>0</v>
      </c>
      <c r="CG1108">
        <f t="shared" si="349"/>
        <v>0</v>
      </c>
      <c r="CH1108">
        <f t="shared" si="350"/>
        <v>0</v>
      </c>
      <c r="CI1108">
        <f t="shared" si="351"/>
        <v>0</v>
      </c>
      <c r="CJ1108">
        <f t="shared" si="352"/>
        <v>0</v>
      </c>
      <c r="CK1108">
        <f t="shared" si="353"/>
        <v>0</v>
      </c>
      <c r="CL1108">
        <f t="shared" si="354"/>
        <v>0</v>
      </c>
      <c r="CM1108">
        <f t="shared" si="356"/>
        <v>0</v>
      </c>
      <c r="CN1108">
        <f t="shared" si="355"/>
        <v>0</v>
      </c>
      <c r="CO1108">
        <f t="shared" si="339"/>
        <v>0</v>
      </c>
    </row>
    <row r="1109" spans="1:93" hidden="1" x14ac:dyDescent="0.25">
      <c r="A1109" s="4">
        <v>2021</v>
      </c>
      <c r="B1109" s="315">
        <v>44279</v>
      </c>
      <c r="C1109" s="4" t="s">
        <v>1492</v>
      </c>
      <c r="D1109" s="4" t="s">
        <v>1493</v>
      </c>
      <c r="F1109" s="4" t="s">
        <v>1494</v>
      </c>
      <c r="G1109" s="5" t="s">
        <v>431</v>
      </c>
      <c r="H1109" s="5" t="s">
        <v>1496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1497</v>
      </c>
      <c r="P1109" s="6" t="s">
        <v>1498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7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+VLOOKUP(G1109,Liste!$A$7:$G$69,3,FALSE)</f>
        <v>Sapin pectiné</v>
      </c>
      <c r="BI1109" s="96" t="str">
        <f>+VLOOKUP(H1109,Liste!$B$7:$G$69,5,FALSE)</f>
        <v>GSM Alpes du Sud</v>
      </c>
      <c r="BJ1109" s="135">
        <f t="shared" si="338"/>
        <v>90</v>
      </c>
      <c r="BK1109" s="135" t="str">
        <f t="shared" si="340"/>
        <v>Sapin pectiné_F1_SP1_d5_GSM Alpes du Sud_90_</v>
      </c>
      <c r="BL1109" s="319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97" t="str">
        <f>+VLOOKUP(G1109,Liste!$A$7:$H$69,8,FALSE)</f>
        <v>Résineux</v>
      </c>
      <c r="BU1109" s="297">
        <f t="shared" si="341"/>
        <v>0</v>
      </c>
      <c r="BV1109" s="299">
        <f t="shared" si="342"/>
        <v>1</v>
      </c>
      <c r="BW1109" s="318">
        <v>0</v>
      </c>
      <c r="BX1109" s="297">
        <f t="shared" si="343"/>
        <v>0.43</v>
      </c>
      <c r="BY1109">
        <f t="shared" si="344"/>
        <v>0</v>
      </c>
      <c r="BZ1109" s="303">
        <f t="shared" si="345"/>
        <v>0</v>
      </c>
      <c r="CB1109" s="298">
        <v>0.6</v>
      </c>
      <c r="CC1109" s="298">
        <v>0.4</v>
      </c>
      <c r="CD1109">
        <f t="shared" si="346"/>
        <v>0</v>
      </c>
      <c r="CE1109">
        <f t="shared" si="347"/>
        <v>0</v>
      </c>
      <c r="CF1109">
        <f t="shared" si="348"/>
        <v>0</v>
      </c>
      <c r="CG1109">
        <f t="shared" si="349"/>
        <v>0</v>
      </c>
      <c r="CH1109">
        <f t="shared" si="350"/>
        <v>0</v>
      </c>
      <c r="CI1109">
        <f t="shared" si="351"/>
        <v>0</v>
      </c>
      <c r="CJ1109">
        <f t="shared" si="352"/>
        <v>0</v>
      </c>
      <c r="CK1109">
        <f t="shared" si="353"/>
        <v>0</v>
      </c>
      <c r="CL1109">
        <f t="shared" si="354"/>
        <v>0</v>
      </c>
      <c r="CM1109">
        <f t="shared" si="356"/>
        <v>0</v>
      </c>
      <c r="CN1109">
        <f t="shared" si="355"/>
        <v>0</v>
      </c>
      <c r="CO1109">
        <f t="shared" si="339"/>
        <v>0</v>
      </c>
    </row>
    <row r="1110" spans="1:93" hidden="1" x14ac:dyDescent="0.25">
      <c r="A1110" s="4">
        <v>2021</v>
      </c>
      <c r="B1110" s="315">
        <v>44279</v>
      </c>
      <c r="C1110" s="4" t="s">
        <v>1492</v>
      </c>
      <c r="D1110" s="4" t="s">
        <v>1493</v>
      </c>
      <c r="F1110" s="4" t="s">
        <v>1494</v>
      </c>
      <c r="G1110" s="5" t="s">
        <v>431</v>
      </c>
      <c r="H1110" s="5" t="s">
        <v>1496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1497</v>
      </c>
      <c r="P1110" s="6" t="s">
        <v>1498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7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+VLOOKUP(G1110,Liste!$A$7:$G$69,3,FALSE)</f>
        <v>Sapin pectiné</v>
      </c>
      <c r="BI1110" s="96" t="str">
        <f>+VLOOKUP(H1110,Liste!$B$7:$G$69,5,FALSE)</f>
        <v>GSM Alpes du Sud</v>
      </c>
      <c r="BJ1110" s="135">
        <f t="shared" si="338"/>
        <v>90</v>
      </c>
      <c r="BK1110" s="135" t="str">
        <f t="shared" si="340"/>
        <v>Sapin pectiné_F1_SP1_d5_GSM Alpes du Sud_90_</v>
      </c>
      <c r="BL1110" s="319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97" t="str">
        <f>+VLOOKUP(G1110,Liste!$A$7:$H$69,8,FALSE)</f>
        <v>Résineux</v>
      </c>
      <c r="BU1110" s="297">
        <f t="shared" si="341"/>
        <v>0</v>
      </c>
      <c r="BV1110" s="299">
        <f t="shared" si="342"/>
        <v>1</v>
      </c>
      <c r="BW1110" s="318">
        <v>0</v>
      </c>
      <c r="BX1110" s="297">
        <f t="shared" si="343"/>
        <v>0.43</v>
      </c>
      <c r="BY1110">
        <f t="shared" si="344"/>
        <v>0</v>
      </c>
      <c r="BZ1110" s="303">
        <f t="shared" si="345"/>
        <v>0</v>
      </c>
      <c r="CB1110" s="298">
        <v>0.6</v>
      </c>
      <c r="CC1110" s="298">
        <v>0.4</v>
      </c>
      <c r="CD1110">
        <f t="shared" si="346"/>
        <v>0</v>
      </c>
      <c r="CE1110">
        <f t="shared" si="347"/>
        <v>0</v>
      </c>
      <c r="CF1110">
        <f t="shared" si="348"/>
        <v>0</v>
      </c>
      <c r="CG1110">
        <f t="shared" si="349"/>
        <v>0</v>
      </c>
      <c r="CH1110">
        <f t="shared" si="350"/>
        <v>0</v>
      </c>
      <c r="CI1110">
        <f t="shared" si="351"/>
        <v>0</v>
      </c>
      <c r="CJ1110">
        <f t="shared" si="352"/>
        <v>0</v>
      </c>
      <c r="CK1110">
        <f t="shared" si="353"/>
        <v>0</v>
      </c>
      <c r="CL1110">
        <f t="shared" si="354"/>
        <v>0</v>
      </c>
      <c r="CM1110">
        <f t="shared" si="356"/>
        <v>0</v>
      </c>
      <c r="CN1110">
        <f t="shared" si="355"/>
        <v>0</v>
      </c>
      <c r="CO1110">
        <f t="shared" si="339"/>
        <v>0</v>
      </c>
    </row>
    <row r="1111" spans="1:93" hidden="1" x14ac:dyDescent="0.25">
      <c r="A1111" s="4">
        <v>2021</v>
      </c>
      <c r="B1111" s="315">
        <v>44279</v>
      </c>
      <c r="C1111" s="4" t="s">
        <v>1492</v>
      </c>
      <c r="D1111" s="4" t="s">
        <v>1493</v>
      </c>
      <c r="F1111" s="4" t="s">
        <v>1494</v>
      </c>
      <c r="G1111" s="5" t="s">
        <v>431</v>
      </c>
      <c r="H1111" s="5" t="s">
        <v>1496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1497</v>
      </c>
      <c r="P1111" s="6" t="s">
        <v>1498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7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+VLOOKUP(G1111,Liste!$A$7:$G$69,3,FALSE)</f>
        <v>Sapin pectiné</v>
      </c>
      <c r="BI1111" s="96" t="str">
        <f>+VLOOKUP(H1111,Liste!$B$7:$G$69,5,FALSE)</f>
        <v>GSM Alpes du Sud</v>
      </c>
      <c r="BJ1111" s="135">
        <f t="shared" si="338"/>
        <v>95</v>
      </c>
      <c r="BK1111" s="135" t="str">
        <f t="shared" si="340"/>
        <v>Sapin pectiné_F1_SP1_d5_GSM Alpes du Sud_95_</v>
      </c>
      <c r="BL1111" s="319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97" t="str">
        <f>+VLOOKUP(G1111,Liste!$A$7:$H$69,8,FALSE)</f>
        <v>Résineux</v>
      </c>
      <c r="BU1111" s="297">
        <f t="shared" si="341"/>
        <v>0</v>
      </c>
      <c r="BV1111" s="299">
        <f t="shared" si="342"/>
        <v>1</v>
      </c>
      <c r="BW1111" s="318">
        <v>0</v>
      </c>
      <c r="BX1111" s="297">
        <f t="shared" si="343"/>
        <v>0.43</v>
      </c>
      <c r="BY1111">
        <f t="shared" si="344"/>
        <v>0</v>
      </c>
      <c r="BZ1111" s="303">
        <f t="shared" si="345"/>
        <v>0</v>
      </c>
      <c r="CB1111" s="298">
        <v>0.6</v>
      </c>
      <c r="CC1111" s="298">
        <v>0.4</v>
      </c>
      <c r="CD1111">
        <f t="shared" si="346"/>
        <v>0</v>
      </c>
      <c r="CE1111">
        <f t="shared" si="347"/>
        <v>0</v>
      </c>
      <c r="CF1111">
        <f t="shared" si="348"/>
        <v>0</v>
      </c>
      <c r="CG1111">
        <f t="shared" si="349"/>
        <v>0</v>
      </c>
      <c r="CH1111">
        <f t="shared" si="350"/>
        <v>0</v>
      </c>
      <c r="CI1111">
        <f t="shared" si="351"/>
        <v>0</v>
      </c>
      <c r="CJ1111">
        <f t="shared" si="352"/>
        <v>0</v>
      </c>
      <c r="CK1111">
        <f t="shared" si="353"/>
        <v>0</v>
      </c>
      <c r="CL1111">
        <f t="shared" si="354"/>
        <v>0</v>
      </c>
      <c r="CM1111">
        <f t="shared" si="356"/>
        <v>0</v>
      </c>
      <c r="CN1111">
        <f t="shared" si="355"/>
        <v>0</v>
      </c>
      <c r="CO1111">
        <f t="shared" si="339"/>
        <v>0</v>
      </c>
    </row>
    <row r="1112" spans="1:93" hidden="1" x14ac:dyDescent="0.25">
      <c r="A1112" s="4">
        <v>2021</v>
      </c>
      <c r="B1112" s="315">
        <v>44279</v>
      </c>
      <c r="C1112" s="4" t="s">
        <v>1492</v>
      </c>
      <c r="D1112" s="4" t="s">
        <v>1493</v>
      </c>
      <c r="F1112" s="4" t="s">
        <v>1494</v>
      </c>
      <c r="G1112" s="5" t="s">
        <v>431</v>
      </c>
      <c r="H1112" s="5" t="s">
        <v>1496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1497</v>
      </c>
      <c r="P1112" s="6" t="s">
        <v>1498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7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+VLOOKUP(G1112,Liste!$A$7:$G$69,3,FALSE)</f>
        <v>Sapin pectiné</v>
      </c>
      <c r="BI1112" s="96" t="str">
        <f>+VLOOKUP(H1112,Liste!$B$7:$G$69,5,FALSE)</f>
        <v>GSM Alpes du Sud</v>
      </c>
      <c r="BJ1112" s="135">
        <f t="shared" si="338"/>
        <v>100</v>
      </c>
      <c r="BK1112" s="135" t="str">
        <f t="shared" si="340"/>
        <v>Sapin pectiné_F1_SP1_d5_GSM Alpes du Sud_100_</v>
      </c>
      <c r="BL1112" s="319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97" t="str">
        <f>+VLOOKUP(G1112,Liste!$A$7:$H$69,8,FALSE)</f>
        <v>Résineux</v>
      </c>
      <c r="BU1112" s="297">
        <f t="shared" si="341"/>
        <v>0</v>
      </c>
      <c r="BV1112" s="299">
        <f t="shared" si="342"/>
        <v>1</v>
      </c>
      <c r="BW1112" s="318">
        <v>0</v>
      </c>
      <c r="BX1112" s="297">
        <f t="shared" si="343"/>
        <v>0.43</v>
      </c>
      <c r="BY1112">
        <f t="shared" si="344"/>
        <v>0</v>
      </c>
      <c r="BZ1112" s="303">
        <f t="shared" si="345"/>
        <v>0</v>
      </c>
      <c r="CB1112" s="298">
        <v>0.6</v>
      </c>
      <c r="CC1112" s="298">
        <v>0.4</v>
      </c>
      <c r="CD1112">
        <f t="shared" si="346"/>
        <v>0</v>
      </c>
      <c r="CE1112">
        <f t="shared" si="347"/>
        <v>0</v>
      </c>
      <c r="CF1112">
        <f t="shared" si="348"/>
        <v>0</v>
      </c>
      <c r="CG1112">
        <f t="shared" si="349"/>
        <v>0</v>
      </c>
      <c r="CH1112">
        <f t="shared" si="350"/>
        <v>0</v>
      </c>
      <c r="CI1112">
        <f t="shared" si="351"/>
        <v>0</v>
      </c>
      <c r="CJ1112">
        <f t="shared" si="352"/>
        <v>0</v>
      </c>
      <c r="CK1112">
        <f t="shared" si="353"/>
        <v>0</v>
      </c>
      <c r="CL1112">
        <f t="shared" si="354"/>
        <v>0</v>
      </c>
      <c r="CM1112">
        <f t="shared" si="356"/>
        <v>0</v>
      </c>
      <c r="CN1112">
        <f t="shared" si="355"/>
        <v>0</v>
      </c>
      <c r="CO1112">
        <f t="shared" si="339"/>
        <v>0</v>
      </c>
    </row>
    <row r="1113" spans="1:93" hidden="1" x14ac:dyDescent="0.25">
      <c r="A1113" s="4">
        <v>2021</v>
      </c>
      <c r="B1113" s="315">
        <v>44279</v>
      </c>
      <c r="C1113" s="4" t="s">
        <v>1492</v>
      </c>
      <c r="D1113" s="4" t="s">
        <v>1493</v>
      </c>
      <c r="F1113" s="4" t="s">
        <v>1494</v>
      </c>
      <c r="G1113" s="5" t="s">
        <v>431</v>
      </c>
      <c r="H1113" s="5" t="s">
        <v>1496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1497</v>
      </c>
      <c r="P1113" s="6" t="s">
        <v>1498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7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+VLOOKUP(G1113,Liste!$A$7:$G$69,3,FALSE)</f>
        <v>Sapin pectiné</v>
      </c>
      <c r="BI1113" s="96" t="str">
        <f>+VLOOKUP(H1113,Liste!$B$7:$G$69,5,FALSE)</f>
        <v>GSM Alpes du Sud</v>
      </c>
      <c r="BJ1113" s="135">
        <f t="shared" si="338"/>
        <v>100</v>
      </c>
      <c r="BK1113" s="135" t="str">
        <f t="shared" si="340"/>
        <v>Sapin pectiné_F1_SP1_d5_GSM Alpes du Sud_100_</v>
      </c>
      <c r="BL1113" s="319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97" t="str">
        <f>+VLOOKUP(G1113,Liste!$A$7:$H$69,8,FALSE)</f>
        <v>Résineux</v>
      </c>
      <c r="BU1113" s="297">
        <f t="shared" si="341"/>
        <v>0</v>
      </c>
      <c r="BV1113" s="299">
        <f t="shared" si="342"/>
        <v>1</v>
      </c>
      <c r="BW1113" s="318">
        <v>0</v>
      </c>
      <c r="BX1113" s="297">
        <f t="shared" si="343"/>
        <v>0.43</v>
      </c>
      <c r="BY1113">
        <f t="shared" si="344"/>
        <v>0</v>
      </c>
      <c r="BZ1113" s="303">
        <f t="shared" si="345"/>
        <v>0</v>
      </c>
      <c r="CB1113" s="298">
        <v>0.6</v>
      </c>
      <c r="CC1113" s="298">
        <v>0.4</v>
      </c>
      <c r="CD1113">
        <f t="shared" si="346"/>
        <v>0</v>
      </c>
      <c r="CE1113">
        <f t="shared" si="347"/>
        <v>0</v>
      </c>
      <c r="CF1113">
        <f t="shared" si="348"/>
        <v>0</v>
      </c>
      <c r="CG1113">
        <f t="shared" si="349"/>
        <v>0</v>
      </c>
      <c r="CH1113">
        <f t="shared" si="350"/>
        <v>0</v>
      </c>
      <c r="CI1113">
        <f t="shared" si="351"/>
        <v>0</v>
      </c>
      <c r="CJ1113">
        <f t="shared" si="352"/>
        <v>0</v>
      </c>
      <c r="CK1113">
        <f t="shared" si="353"/>
        <v>0</v>
      </c>
      <c r="CL1113">
        <f t="shared" si="354"/>
        <v>0</v>
      </c>
      <c r="CM1113">
        <f t="shared" si="356"/>
        <v>0</v>
      </c>
      <c r="CN1113">
        <f t="shared" si="355"/>
        <v>0</v>
      </c>
      <c r="CO1113">
        <f t="shared" si="339"/>
        <v>0</v>
      </c>
    </row>
    <row r="1114" spans="1:93" hidden="1" x14ac:dyDescent="0.25">
      <c r="A1114" s="4">
        <v>2021</v>
      </c>
      <c r="B1114" s="315">
        <v>44279</v>
      </c>
      <c r="C1114" s="4" t="s">
        <v>1492</v>
      </c>
      <c r="D1114" s="4" t="s">
        <v>1493</v>
      </c>
      <c r="F1114" s="4" t="s">
        <v>1494</v>
      </c>
      <c r="G1114" s="5" t="s">
        <v>431</v>
      </c>
      <c r="H1114" s="5" t="s">
        <v>1496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1497</v>
      </c>
      <c r="P1114" s="6" t="s">
        <v>1498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7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+VLOOKUP(G1114,Liste!$A$7:$G$69,3,FALSE)</f>
        <v>Sapin pectiné</v>
      </c>
      <c r="BI1114" s="96" t="str">
        <f>+VLOOKUP(H1114,Liste!$B$7:$G$69,5,FALSE)</f>
        <v>GSM Alpes du Sud</v>
      </c>
      <c r="BJ1114" s="135">
        <f t="shared" si="338"/>
        <v>105</v>
      </c>
      <c r="BK1114" s="135" t="str">
        <f t="shared" si="340"/>
        <v>Sapin pectiné_F1_SP1_d5_GSM Alpes du Sud_105_</v>
      </c>
      <c r="BL1114" s="319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97" t="str">
        <f>+VLOOKUP(G1114,Liste!$A$7:$H$69,8,FALSE)</f>
        <v>Résineux</v>
      </c>
      <c r="BU1114" s="297">
        <f t="shared" si="341"/>
        <v>0</v>
      </c>
      <c r="BV1114" s="299">
        <f t="shared" si="342"/>
        <v>1</v>
      </c>
      <c r="BW1114" s="318">
        <v>0</v>
      </c>
      <c r="BX1114" s="297">
        <f t="shared" si="343"/>
        <v>0.43</v>
      </c>
      <c r="BY1114">
        <f t="shared" si="344"/>
        <v>0</v>
      </c>
      <c r="BZ1114" s="303">
        <f t="shared" si="345"/>
        <v>0</v>
      </c>
      <c r="CB1114" s="298">
        <v>0.6</v>
      </c>
      <c r="CC1114" s="298">
        <v>0.4</v>
      </c>
      <c r="CD1114">
        <f t="shared" si="346"/>
        <v>0</v>
      </c>
      <c r="CE1114">
        <f t="shared" si="347"/>
        <v>0</v>
      </c>
      <c r="CF1114">
        <f t="shared" si="348"/>
        <v>0</v>
      </c>
      <c r="CG1114">
        <f t="shared" si="349"/>
        <v>0</v>
      </c>
      <c r="CH1114">
        <f t="shared" si="350"/>
        <v>0</v>
      </c>
      <c r="CI1114">
        <f t="shared" si="351"/>
        <v>0</v>
      </c>
      <c r="CJ1114">
        <f t="shared" si="352"/>
        <v>0</v>
      </c>
      <c r="CK1114">
        <f t="shared" si="353"/>
        <v>0</v>
      </c>
      <c r="CL1114">
        <f t="shared" si="354"/>
        <v>0</v>
      </c>
      <c r="CM1114">
        <f t="shared" si="356"/>
        <v>0</v>
      </c>
      <c r="CN1114">
        <f t="shared" si="355"/>
        <v>0</v>
      </c>
      <c r="CO1114">
        <f t="shared" si="339"/>
        <v>0</v>
      </c>
    </row>
    <row r="1115" spans="1:93" hidden="1" x14ac:dyDescent="0.25">
      <c r="A1115" s="4">
        <v>2021</v>
      </c>
      <c r="B1115" s="315">
        <v>44279</v>
      </c>
      <c r="C1115" s="4" t="s">
        <v>1492</v>
      </c>
      <c r="D1115" s="4" t="s">
        <v>1493</v>
      </c>
      <c r="F1115" s="4" t="s">
        <v>1494</v>
      </c>
      <c r="G1115" s="5" t="s">
        <v>431</v>
      </c>
      <c r="H1115" s="5" t="s">
        <v>1496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1497</v>
      </c>
      <c r="P1115" s="6" t="s">
        <v>1498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7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+VLOOKUP(G1115,Liste!$A$7:$G$69,3,FALSE)</f>
        <v>Sapin pectiné</v>
      </c>
      <c r="BI1115" s="96" t="str">
        <f>+VLOOKUP(H1115,Liste!$B$7:$G$69,5,FALSE)</f>
        <v>GSM Alpes du Sud</v>
      </c>
      <c r="BJ1115" s="135">
        <f t="shared" si="338"/>
        <v>110</v>
      </c>
      <c r="BK1115" s="135" t="str">
        <f t="shared" si="340"/>
        <v>Sapin pectiné_F1_SP1_d5_GSM Alpes du Sud_110_</v>
      </c>
      <c r="BL1115" s="319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97" t="str">
        <f>+VLOOKUP(G1115,Liste!$A$7:$H$69,8,FALSE)</f>
        <v>Résineux</v>
      </c>
      <c r="BU1115" s="297">
        <f t="shared" si="341"/>
        <v>0</v>
      </c>
      <c r="BV1115" s="299">
        <f t="shared" si="342"/>
        <v>1</v>
      </c>
      <c r="BW1115" s="318">
        <v>0</v>
      </c>
      <c r="BX1115" s="297">
        <f t="shared" si="343"/>
        <v>0.43</v>
      </c>
      <c r="BY1115">
        <f t="shared" si="344"/>
        <v>0</v>
      </c>
      <c r="BZ1115" s="303">
        <f t="shared" si="345"/>
        <v>0</v>
      </c>
      <c r="CB1115" s="298">
        <v>0.6</v>
      </c>
      <c r="CC1115" s="298">
        <v>0.4</v>
      </c>
      <c r="CD1115">
        <f t="shared" si="346"/>
        <v>0</v>
      </c>
      <c r="CE1115">
        <f t="shared" si="347"/>
        <v>0</v>
      </c>
      <c r="CF1115">
        <f t="shared" si="348"/>
        <v>0</v>
      </c>
      <c r="CG1115">
        <f t="shared" si="349"/>
        <v>0</v>
      </c>
      <c r="CH1115">
        <f t="shared" si="350"/>
        <v>0</v>
      </c>
      <c r="CI1115">
        <f t="shared" si="351"/>
        <v>0</v>
      </c>
      <c r="CJ1115">
        <f t="shared" si="352"/>
        <v>0</v>
      </c>
      <c r="CK1115">
        <f t="shared" si="353"/>
        <v>0</v>
      </c>
      <c r="CL1115">
        <f t="shared" si="354"/>
        <v>0</v>
      </c>
      <c r="CM1115">
        <f t="shared" si="356"/>
        <v>0</v>
      </c>
      <c r="CN1115">
        <f t="shared" si="355"/>
        <v>0</v>
      </c>
      <c r="CO1115">
        <f t="shared" si="339"/>
        <v>0</v>
      </c>
    </row>
    <row r="1116" spans="1:93" hidden="1" x14ac:dyDescent="0.25">
      <c r="A1116" s="4">
        <v>2021</v>
      </c>
      <c r="B1116" s="315">
        <v>44279</v>
      </c>
      <c r="C1116" s="4" t="s">
        <v>1492</v>
      </c>
      <c r="D1116" s="4" t="s">
        <v>1493</v>
      </c>
      <c r="F1116" s="4" t="s">
        <v>1494</v>
      </c>
      <c r="G1116" s="5" t="s">
        <v>431</v>
      </c>
      <c r="H1116" s="5" t="s">
        <v>1496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1497</v>
      </c>
      <c r="P1116" s="6" t="s">
        <v>1498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7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+VLOOKUP(G1116,Liste!$A$7:$G$69,3,FALSE)</f>
        <v>Sapin pectiné</v>
      </c>
      <c r="BI1116" s="96" t="str">
        <f>+VLOOKUP(H1116,Liste!$B$7:$G$69,5,FALSE)</f>
        <v>GSM Alpes du Sud</v>
      </c>
      <c r="BJ1116" s="135">
        <f t="shared" si="338"/>
        <v>110</v>
      </c>
      <c r="BK1116" s="135" t="str">
        <f t="shared" si="340"/>
        <v>Sapin pectiné_F1_SP1_d5_GSM Alpes du Sud_110_</v>
      </c>
      <c r="BL1116" s="319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97" t="str">
        <f>+VLOOKUP(G1116,Liste!$A$7:$H$69,8,FALSE)</f>
        <v>Résineux</v>
      </c>
      <c r="BU1116" s="297">
        <f t="shared" si="341"/>
        <v>0</v>
      </c>
      <c r="BV1116" s="299">
        <f t="shared" si="342"/>
        <v>1</v>
      </c>
      <c r="BW1116" s="318">
        <v>0</v>
      </c>
      <c r="BX1116" s="297">
        <f t="shared" si="343"/>
        <v>0.43</v>
      </c>
      <c r="BY1116">
        <f t="shared" si="344"/>
        <v>0</v>
      </c>
      <c r="BZ1116" s="303">
        <f t="shared" si="345"/>
        <v>0</v>
      </c>
      <c r="CB1116" s="298">
        <v>0.6</v>
      </c>
      <c r="CC1116" s="298">
        <v>0.4</v>
      </c>
      <c r="CD1116">
        <f t="shared" si="346"/>
        <v>0</v>
      </c>
      <c r="CE1116">
        <f t="shared" si="347"/>
        <v>0</v>
      </c>
      <c r="CF1116">
        <f t="shared" si="348"/>
        <v>0</v>
      </c>
      <c r="CG1116">
        <f t="shared" si="349"/>
        <v>0</v>
      </c>
      <c r="CH1116">
        <f t="shared" si="350"/>
        <v>0</v>
      </c>
      <c r="CI1116">
        <f t="shared" si="351"/>
        <v>0</v>
      </c>
      <c r="CJ1116">
        <f t="shared" si="352"/>
        <v>0</v>
      </c>
      <c r="CK1116">
        <f t="shared" si="353"/>
        <v>0</v>
      </c>
      <c r="CL1116">
        <f t="shared" si="354"/>
        <v>0</v>
      </c>
      <c r="CM1116">
        <f t="shared" si="356"/>
        <v>0</v>
      </c>
      <c r="CN1116">
        <f t="shared" si="355"/>
        <v>0</v>
      </c>
      <c r="CO1116">
        <f t="shared" si="339"/>
        <v>0</v>
      </c>
    </row>
    <row r="1117" spans="1:93" hidden="1" x14ac:dyDescent="0.25">
      <c r="A1117" s="4">
        <v>2021</v>
      </c>
      <c r="B1117" s="315">
        <v>44279</v>
      </c>
      <c r="C1117" s="4" t="s">
        <v>1492</v>
      </c>
      <c r="D1117" s="4" t="s">
        <v>1493</v>
      </c>
      <c r="F1117" s="4" t="s">
        <v>1494</v>
      </c>
      <c r="G1117" s="5" t="s">
        <v>431</v>
      </c>
      <c r="H1117" s="5" t="s">
        <v>1496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1497</v>
      </c>
      <c r="P1117" s="6" t="s">
        <v>1498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7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+VLOOKUP(G1117,Liste!$A$7:$G$69,3,FALSE)</f>
        <v>Sapin pectiné</v>
      </c>
      <c r="BI1117" s="96" t="str">
        <f>+VLOOKUP(H1117,Liste!$B$7:$G$69,5,FALSE)</f>
        <v>GSM Alpes du Sud</v>
      </c>
      <c r="BJ1117" s="135">
        <f t="shared" si="338"/>
        <v>115</v>
      </c>
      <c r="BK1117" s="135" t="str">
        <f t="shared" si="340"/>
        <v>Sapin pectiné_F1_SP1_d5_GSM Alpes du Sud_115_</v>
      </c>
      <c r="BL1117" s="319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97" t="str">
        <f>+VLOOKUP(G1117,Liste!$A$7:$H$69,8,FALSE)</f>
        <v>Résineux</v>
      </c>
      <c r="BU1117" s="297">
        <f t="shared" si="341"/>
        <v>0</v>
      </c>
      <c r="BV1117" s="299">
        <f t="shared" si="342"/>
        <v>1</v>
      </c>
      <c r="BW1117" s="318">
        <v>0</v>
      </c>
      <c r="BX1117" s="297">
        <f t="shared" si="343"/>
        <v>0.43</v>
      </c>
      <c r="BY1117">
        <f t="shared" si="344"/>
        <v>0</v>
      </c>
      <c r="BZ1117" s="303">
        <f t="shared" si="345"/>
        <v>0</v>
      </c>
      <c r="CB1117" s="298">
        <v>0.6</v>
      </c>
      <c r="CC1117" s="298">
        <v>0.4</v>
      </c>
      <c r="CD1117">
        <f t="shared" si="346"/>
        <v>0</v>
      </c>
      <c r="CE1117">
        <f t="shared" si="347"/>
        <v>0</v>
      </c>
      <c r="CF1117">
        <f t="shared" si="348"/>
        <v>0</v>
      </c>
      <c r="CG1117">
        <f t="shared" si="349"/>
        <v>0</v>
      </c>
      <c r="CH1117">
        <f t="shared" si="350"/>
        <v>0</v>
      </c>
      <c r="CI1117">
        <f t="shared" si="351"/>
        <v>0</v>
      </c>
      <c r="CJ1117">
        <f t="shared" si="352"/>
        <v>0</v>
      </c>
      <c r="CK1117">
        <f t="shared" si="353"/>
        <v>0</v>
      </c>
      <c r="CL1117">
        <f t="shared" si="354"/>
        <v>0</v>
      </c>
      <c r="CM1117">
        <f t="shared" si="356"/>
        <v>0</v>
      </c>
      <c r="CN1117">
        <f t="shared" si="355"/>
        <v>0</v>
      </c>
      <c r="CO1117">
        <f t="shared" si="339"/>
        <v>0</v>
      </c>
    </row>
    <row r="1118" spans="1:93" hidden="1" x14ac:dyDescent="0.25">
      <c r="A1118" s="4">
        <v>2021</v>
      </c>
      <c r="B1118" s="315">
        <v>44279</v>
      </c>
      <c r="C1118" s="4" t="s">
        <v>1492</v>
      </c>
      <c r="D1118" s="4" t="s">
        <v>1493</v>
      </c>
      <c r="F1118" s="4" t="s">
        <v>1494</v>
      </c>
      <c r="G1118" s="5" t="s">
        <v>431</v>
      </c>
      <c r="H1118" s="5" t="s">
        <v>1496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1497</v>
      </c>
      <c r="P1118" s="6" t="s">
        <v>1498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7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+VLOOKUP(G1118,Liste!$A$7:$G$69,3,FALSE)</f>
        <v>Sapin pectiné</v>
      </c>
      <c r="BI1118" s="96" t="str">
        <f>+VLOOKUP(H1118,Liste!$B$7:$G$69,5,FALSE)</f>
        <v>GSM Alpes du Sud</v>
      </c>
      <c r="BJ1118" s="135">
        <f t="shared" si="338"/>
        <v>120</v>
      </c>
      <c r="BK1118" s="135" t="str">
        <f t="shared" si="340"/>
        <v>Sapin pectiné_F1_SP1_d5_GSM Alpes du Sud_120_</v>
      </c>
      <c r="BL1118" s="319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97" t="str">
        <f>+VLOOKUP(G1118,Liste!$A$7:$H$69,8,FALSE)</f>
        <v>Résineux</v>
      </c>
      <c r="BU1118" s="297">
        <f t="shared" si="341"/>
        <v>0</v>
      </c>
      <c r="BV1118" s="299">
        <f t="shared" si="342"/>
        <v>1</v>
      </c>
      <c r="BW1118" s="318">
        <v>0</v>
      </c>
      <c r="BX1118" s="297">
        <f t="shared" si="343"/>
        <v>0.43</v>
      </c>
      <c r="BY1118">
        <f t="shared" si="344"/>
        <v>0</v>
      </c>
      <c r="BZ1118" s="303">
        <f t="shared" si="345"/>
        <v>0</v>
      </c>
      <c r="CB1118" s="298">
        <v>0.6</v>
      </c>
      <c r="CC1118" s="298">
        <v>0.4</v>
      </c>
      <c r="CD1118">
        <f t="shared" si="346"/>
        <v>0</v>
      </c>
      <c r="CE1118">
        <f t="shared" si="347"/>
        <v>0</v>
      </c>
      <c r="CF1118">
        <f t="shared" si="348"/>
        <v>0</v>
      </c>
      <c r="CG1118">
        <f t="shared" si="349"/>
        <v>0</v>
      </c>
      <c r="CH1118">
        <f t="shared" si="350"/>
        <v>0</v>
      </c>
      <c r="CI1118">
        <f t="shared" si="351"/>
        <v>0</v>
      </c>
      <c r="CJ1118">
        <f t="shared" si="352"/>
        <v>0</v>
      </c>
      <c r="CK1118">
        <f t="shared" si="353"/>
        <v>0</v>
      </c>
      <c r="CL1118">
        <f t="shared" si="354"/>
        <v>0</v>
      </c>
      <c r="CM1118">
        <f t="shared" si="356"/>
        <v>0</v>
      </c>
      <c r="CN1118">
        <f t="shared" si="355"/>
        <v>0</v>
      </c>
      <c r="CO1118">
        <f t="shared" si="339"/>
        <v>0</v>
      </c>
    </row>
    <row r="1119" spans="1:93" hidden="1" x14ac:dyDescent="0.25">
      <c r="A1119" s="4">
        <v>2021</v>
      </c>
      <c r="B1119" s="315">
        <v>44279</v>
      </c>
      <c r="C1119" s="4" t="s">
        <v>1492</v>
      </c>
      <c r="D1119" s="4" t="s">
        <v>1493</v>
      </c>
      <c r="F1119" s="4" t="s">
        <v>1494</v>
      </c>
      <c r="G1119" s="5" t="s">
        <v>431</v>
      </c>
      <c r="H1119" s="5" t="s">
        <v>1496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1497</v>
      </c>
      <c r="P1119" s="6" t="s">
        <v>1498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7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+VLOOKUP(G1119,Liste!$A$7:$G$69,3,FALSE)</f>
        <v>Sapin pectiné</v>
      </c>
      <c r="BI1119" s="96" t="str">
        <f>+VLOOKUP(H1119,Liste!$B$7:$G$69,5,FALSE)</f>
        <v>GSM Alpes du Sud</v>
      </c>
      <c r="BJ1119" s="135">
        <f t="shared" si="338"/>
        <v>120</v>
      </c>
      <c r="BK1119" s="135" t="str">
        <f t="shared" si="340"/>
        <v>Sapin pectiné_F1_SP1_d5_GSM Alpes du Sud_120_</v>
      </c>
      <c r="BL1119" s="319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97" t="str">
        <f>+VLOOKUP(G1119,Liste!$A$7:$H$69,8,FALSE)</f>
        <v>Résineux</v>
      </c>
      <c r="BU1119" s="297">
        <f t="shared" si="341"/>
        <v>0</v>
      </c>
      <c r="BV1119" s="299">
        <f t="shared" si="342"/>
        <v>1</v>
      </c>
      <c r="BW1119" s="318">
        <v>0</v>
      </c>
      <c r="BX1119" s="297">
        <f t="shared" si="343"/>
        <v>0.43</v>
      </c>
      <c r="BY1119">
        <f t="shared" si="344"/>
        <v>0</v>
      </c>
      <c r="BZ1119" s="303">
        <f t="shared" si="345"/>
        <v>0</v>
      </c>
      <c r="CB1119" s="298">
        <v>0.6</v>
      </c>
      <c r="CC1119" s="298">
        <v>0.4</v>
      </c>
      <c r="CD1119">
        <f t="shared" si="346"/>
        <v>0</v>
      </c>
      <c r="CE1119">
        <f t="shared" si="347"/>
        <v>0</v>
      </c>
      <c r="CF1119">
        <f t="shared" si="348"/>
        <v>0</v>
      </c>
      <c r="CG1119">
        <f t="shared" si="349"/>
        <v>0</v>
      </c>
      <c r="CH1119">
        <f t="shared" si="350"/>
        <v>0</v>
      </c>
      <c r="CI1119">
        <f t="shared" si="351"/>
        <v>0</v>
      </c>
      <c r="CJ1119">
        <f t="shared" si="352"/>
        <v>0</v>
      </c>
      <c r="CK1119">
        <f t="shared" si="353"/>
        <v>0</v>
      </c>
      <c r="CL1119">
        <f t="shared" si="354"/>
        <v>0</v>
      </c>
      <c r="CM1119">
        <f t="shared" si="356"/>
        <v>0</v>
      </c>
      <c r="CN1119">
        <f t="shared" si="355"/>
        <v>0</v>
      </c>
      <c r="CO1119">
        <f t="shared" si="339"/>
        <v>0</v>
      </c>
    </row>
    <row r="1120" spans="1:93" hidden="1" x14ac:dyDescent="0.25">
      <c r="A1120" s="4">
        <v>2021</v>
      </c>
      <c r="B1120" s="315">
        <v>44279</v>
      </c>
      <c r="C1120" s="4" t="s">
        <v>66</v>
      </c>
      <c r="D1120" s="4" t="s">
        <v>1502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1503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6" t="str">
        <f>+VLOOKUP(G1120,Liste!$A$7:$G$69,3,FALSE)</f>
        <v>Chêne sessile</v>
      </c>
      <c r="BI1120" s="96" t="str">
        <f>+VLOOKUP(H1120,Liste!$B$7:$G$69,5,FALSE)</f>
        <v>Guide chênaie continentale</v>
      </c>
      <c r="BJ1120" s="135">
        <f t="shared" si="338"/>
        <v>30</v>
      </c>
      <c r="BK1120" s="135" t="str">
        <f t="shared" si="340"/>
        <v>Chêne sessile_F2_Dynamique_Guide chênaie continentale_30_</v>
      </c>
      <c r="BL1120" s="319"/>
      <c r="BM1120" s="13">
        <v>44.804926080051203</v>
      </c>
      <c r="BN1120" s="13">
        <v>209.958307968051</v>
      </c>
      <c r="BP1120" s="13">
        <v>305.10291717349702</v>
      </c>
      <c r="BQ1120" s="13"/>
      <c r="BT1120" s="297" t="str">
        <f>+VLOOKUP(G1120,Liste!$A$7:$H$69,8,FALSE)</f>
        <v>Feuillus</v>
      </c>
      <c r="BU1120" s="297">
        <f t="shared" si="341"/>
        <v>1</v>
      </c>
      <c r="BV1120" s="299">
        <f t="shared" si="342"/>
        <v>0</v>
      </c>
      <c r="BW1120" s="318">
        <v>0</v>
      </c>
      <c r="BX1120" s="297">
        <f t="shared" si="343"/>
        <v>0.25</v>
      </c>
      <c r="BY1120">
        <f t="shared" si="344"/>
        <v>0</v>
      </c>
      <c r="BZ1120" s="303">
        <f t="shared" si="345"/>
        <v>0</v>
      </c>
      <c r="CB1120" s="298">
        <v>0</v>
      </c>
      <c r="CC1120" s="298">
        <v>0</v>
      </c>
      <c r="CD1120">
        <f t="shared" si="346"/>
        <v>0</v>
      </c>
      <c r="CE1120">
        <f t="shared" si="347"/>
        <v>0</v>
      </c>
      <c r="CF1120">
        <f t="shared" si="348"/>
        <v>0</v>
      </c>
      <c r="CG1120">
        <f t="shared" si="349"/>
        <v>0</v>
      </c>
      <c r="CH1120">
        <f t="shared" si="350"/>
        <v>0</v>
      </c>
      <c r="CI1120">
        <f t="shared" si="351"/>
        <v>0</v>
      </c>
      <c r="CJ1120">
        <f t="shared" si="352"/>
        <v>0</v>
      </c>
      <c r="CK1120">
        <f t="shared" si="353"/>
        <v>0</v>
      </c>
      <c r="CL1120">
        <f t="shared" si="354"/>
        <v>0</v>
      </c>
      <c r="CM1120">
        <f t="shared" si="356"/>
        <v>0</v>
      </c>
      <c r="CN1120">
        <f t="shared" si="355"/>
        <v>0</v>
      </c>
      <c r="CO1120">
        <f t="shared" si="339"/>
        <v>0</v>
      </c>
    </row>
    <row r="1121" spans="1:93" hidden="1" x14ac:dyDescent="0.25">
      <c r="A1121" s="4">
        <v>2021</v>
      </c>
      <c r="B1121" s="315">
        <v>44279</v>
      </c>
      <c r="C1121" s="4" t="s">
        <v>66</v>
      </c>
      <c r="D1121" s="4" t="s">
        <v>1502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1503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6" t="str">
        <f>+VLOOKUP(G1121,Liste!$A$7:$G$69,3,FALSE)</f>
        <v>Chêne sessile</v>
      </c>
      <c r="BI1121" s="96" t="str">
        <f>+VLOOKUP(H1121,Liste!$B$7:$G$69,5,FALSE)</f>
        <v>Guide chênaie continentale</v>
      </c>
      <c r="BJ1121" s="135">
        <f t="shared" si="338"/>
        <v>44</v>
      </c>
      <c r="BK1121" s="135" t="str">
        <f t="shared" si="340"/>
        <v>Chêne sessile_F2_Dynamique_Guide chênaie continentale_44_</v>
      </c>
      <c r="BL1121" s="319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97" t="str">
        <f>+VLOOKUP(G1121,Liste!$A$7:$H$69,8,FALSE)</f>
        <v>Feuillus</v>
      </c>
      <c r="BU1121" s="297">
        <f t="shared" si="341"/>
        <v>1</v>
      </c>
      <c r="BV1121" s="299">
        <f t="shared" si="342"/>
        <v>0</v>
      </c>
      <c r="BW1121" s="318">
        <v>0</v>
      </c>
      <c r="BX1121" s="297">
        <f t="shared" si="343"/>
        <v>0.25</v>
      </c>
      <c r="BY1121">
        <f t="shared" si="344"/>
        <v>0</v>
      </c>
      <c r="BZ1121" s="303">
        <f t="shared" si="345"/>
        <v>0</v>
      </c>
      <c r="CB1121" s="298">
        <v>0</v>
      </c>
      <c r="CC1121" s="298">
        <v>0</v>
      </c>
      <c r="CD1121">
        <f t="shared" si="346"/>
        <v>0</v>
      </c>
      <c r="CE1121">
        <f t="shared" si="347"/>
        <v>0</v>
      </c>
      <c r="CF1121">
        <f t="shared" si="348"/>
        <v>0</v>
      </c>
      <c r="CG1121">
        <f t="shared" si="349"/>
        <v>0</v>
      </c>
      <c r="CH1121">
        <f t="shared" si="350"/>
        <v>0</v>
      </c>
      <c r="CI1121">
        <f t="shared" si="351"/>
        <v>0</v>
      </c>
      <c r="CJ1121">
        <f t="shared" si="352"/>
        <v>0</v>
      </c>
      <c r="CK1121">
        <f t="shared" si="353"/>
        <v>0</v>
      </c>
      <c r="CL1121">
        <f t="shared" si="354"/>
        <v>0</v>
      </c>
      <c r="CM1121">
        <f t="shared" si="356"/>
        <v>0</v>
      </c>
      <c r="CN1121">
        <f t="shared" si="355"/>
        <v>0</v>
      </c>
      <c r="CO1121">
        <f t="shared" si="339"/>
        <v>0</v>
      </c>
    </row>
    <row r="1122" spans="1:93" hidden="1" x14ac:dyDescent="0.25">
      <c r="A1122" s="4">
        <v>2021</v>
      </c>
      <c r="B1122" s="315">
        <v>44279</v>
      </c>
      <c r="C1122" s="4" t="s">
        <v>66</v>
      </c>
      <c r="D1122" s="4" t="s">
        <v>1502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1503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+VLOOKUP(G1122,Liste!$A$7:$G$69,3,FALSE)</f>
        <v>Chêne sessile</v>
      </c>
      <c r="BI1122" s="96" t="str">
        <f>+VLOOKUP(H1122,Liste!$B$7:$G$69,5,FALSE)</f>
        <v>Guide chênaie continentale</v>
      </c>
      <c r="BJ1122" s="135">
        <f t="shared" si="338"/>
        <v>44</v>
      </c>
      <c r="BK1122" s="135" t="str">
        <f t="shared" si="340"/>
        <v>Chêne sessile_F2_Dynamique_Guide chênaie continentale_44_</v>
      </c>
      <c r="BL1122" s="319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97" t="str">
        <f>+VLOOKUP(G1122,Liste!$A$7:$H$69,8,FALSE)</f>
        <v>Feuillus</v>
      </c>
      <c r="BU1122" s="297">
        <f t="shared" si="341"/>
        <v>1</v>
      </c>
      <c r="BV1122" s="299">
        <f t="shared" si="342"/>
        <v>0</v>
      </c>
      <c r="BW1122" s="318">
        <v>0</v>
      </c>
      <c r="BX1122" s="297">
        <f t="shared" si="343"/>
        <v>0.25</v>
      </c>
      <c r="BY1122">
        <f t="shared" si="344"/>
        <v>0</v>
      </c>
      <c r="BZ1122" s="303">
        <f t="shared" si="345"/>
        <v>0</v>
      </c>
      <c r="CB1122" s="298">
        <v>0</v>
      </c>
      <c r="CC1122" s="298">
        <v>0</v>
      </c>
      <c r="CD1122">
        <f t="shared" si="346"/>
        <v>0</v>
      </c>
      <c r="CE1122">
        <f t="shared" si="347"/>
        <v>0</v>
      </c>
      <c r="CF1122">
        <f t="shared" si="348"/>
        <v>0</v>
      </c>
      <c r="CG1122">
        <f t="shared" si="349"/>
        <v>0</v>
      </c>
      <c r="CH1122">
        <f t="shared" si="350"/>
        <v>0</v>
      </c>
      <c r="CI1122">
        <f t="shared" si="351"/>
        <v>0</v>
      </c>
      <c r="CJ1122">
        <f t="shared" si="352"/>
        <v>0</v>
      </c>
      <c r="CK1122">
        <f t="shared" si="353"/>
        <v>0</v>
      </c>
      <c r="CL1122">
        <f t="shared" si="354"/>
        <v>0</v>
      </c>
      <c r="CM1122">
        <f t="shared" si="356"/>
        <v>0</v>
      </c>
      <c r="CN1122">
        <f t="shared" si="355"/>
        <v>0</v>
      </c>
      <c r="CO1122">
        <f t="shared" si="339"/>
        <v>0</v>
      </c>
    </row>
    <row r="1123" spans="1:93" hidden="1" x14ac:dyDescent="0.25">
      <c r="A1123" s="4">
        <v>2021</v>
      </c>
      <c r="B1123" s="315">
        <v>44279</v>
      </c>
      <c r="C1123" s="4" t="s">
        <v>66</v>
      </c>
      <c r="D1123" s="4" t="s">
        <v>1502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1503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+VLOOKUP(G1123,Liste!$A$7:$G$69,3,FALSE)</f>
        <v>Chêne sessile</v>
      </c>
      <c r="BI1123" s="96" t="str">
        <f>+VLOOKUP(H1123,Liste!$B$7:$G$69,5,FALSE)</f>
        <v>Guide chênaie continentale</v>
      </c>
      <c r="BJ1123" s="135">
        <f t="shared" si="338"/>
        <v>47</v>
      </c>
      <c r="BK1123" s="135" t="str">
        <f t="shared" si="340"/>
        <v>Chêne sessile_F2_Dynamique_Guide chênaie continentale_47_</v>
      </c>
      <c r="BL1123" s="319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97" t="str">
        <f>+VLOOKUP(G1123,Liste!$A$7:$H$69,8,FALSE)</f>
        <v>Feuillus</v>
      </c>
      <c r="BU1123" s="297">
        <f t="shared" si="341"/>
        <v>1</v>
      </c>
      <c r="BV1123" s="299">
        <f t="shared" si="342"/>
        <v>0</v>
      </c>
      <c r="BW1123" s="318">
        <v>0</v>
      </c>
      <c r="BX1123" s="297">
        <f t="shared" si="343"/>
        <v>0.25</v>
      </c>
      <c r="BY1123">
        <f t="shared" si="344"/>
        <v>0</v>
      </c>
      <c r="BZ1123" s="303">
        <f t="shared" si="345"/>
        <v>0</v>
      </c>
      <c r="CB1123" s="298">
        <v>0</v>
      </c>
      <c r="CC1123" s="298">
        <v>0</v>
      </c>
      <c r="CD1123">
        <f t="shared" si="346"/>
        <v>0</v>
      </c>
      <c r="CE1123">
        <f t="shared" si="347"/>
        <v>0</v>
      </c>
      <c r="CF1123">
        <f t="shared" si="348"/>
        <v>0</v>
      </c>
      <c r="CG1123">
        <f t="shared" si="349"/>
        <v>0</v>
      </c>
      <c r="CH1123">
        <f t="shared" si="350"/>
        <v>0</v>
      </c>
      <c r="CI1123">
        <f t="shared" si="351"/>
        <v>0</v>
      </c>
      <c r="CJ1123">
        <f t="shared" si="352"/>
        <v>0</v>
      </c>
      <c r="CK1123">
        <f t="shared" si="353"/>
        <v>0</v>
      </c>
      <c r="CL1123">
        <f t="shared" si="354"/>
        <v>0</v>
      </c>
      <c r="CM1123">
        <f t="shared" si="356"/>
        <v>0</v>
      </c>
      <c r="CN1123">
        <f t="shared" si="355"/>
        <v>0</v>
      </c>
      <c r="CO1123">
        <f t="shared" si="339"/>
        <v>0</v>
      </c>
    </row>
    <row r="1124" spans="1:93" hidden="1" x14ac:dyDescent="0.25">
      <c r="A1124" s="4">
        <v>2021</v>
      </c>
      <c r="B1124" s="315">
        <v>44279</v>
      </c>
      <c r="C1124" s="4" t="s">
        <v>66</v>
      </c>
      <c r="D1124" s="4" t="s">
        <v>1502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1503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+VLOOKUP(G1124,Liste!$A$7:$G$69,3,FALSE)</f>
        <v>Chêne sessile</v>
      </c>
      <c r="BI1124" s="96" t="str">
        <f>+VLOOKUP(H1124,Liste!$B$7:$G$69,5,FALSE)</f>
        <v>Guide chênaie continentale</v>
      </c>
      <c r="BJ1124" s="135">
        <f t="shared" si="338"/>
        <v>51</v>
      </c>
      <c r="BK1124" s="135" t="str">
        <f t="shared" si="340"/>
        <v>Chêne sessile_F2_Dynamique_Guide chênaie continentale_51_</v>
      </c>
      <c r="BL1124" s="319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97" t="str">
        <f>+VLOOKUP(G1124,Liste!$A$7:$H$69,8,FALSE)</f>
        <v>Feuillus</v>
      </c>
      <c r="BU1124" s="297">
        <f t="shared" si="341"/>
        <v>1</v>
      </c>
      <c r="BV1124" s="299">
        <f t="shared" si="342"/>
        <v>0</v>
      </c>
      <c r="BW1124" s="318">
        <v>0</v>
      </c>
      <c r="BX1124" s="297">
        <f t="shared" si="343"/>
        <v>0.25</v>
      </c>
      <c r="BY1124">
        <f t="shared" si="344"/>
        <v>0</v>
      </c>
      <c r="BZ1124" s="303">
        <f t="shared" si="345"/>
        <v>0</v>
      </c>
      <c r="CB1124" s="298">
        <v>0</v>
      </c>
      <c r="CC1124" s="298">
        <v>0</v>
      </c>
      <c r="CD1124">
        <f t="shared" si="346"/>
        <v>0</v>
      </c>
      <c r="CE1124">
        <f t="shared" si="347"/>
        <v>0</v>
      </c>
      <c r="CF1124">
        <f t="shared" si="348"/>
        <v>0</v>
      </c>
      <c r="CG1124">
        <f t="shared" si="349"/>
        <v>0</v>
      </c>
      <c r="CH1124">
        <f t="shared" si="350"/>
        <v>0</v>
      </c>
      <c r="CI1124">
        <f t="shared" si="351"/>
        <v>0</v>
      </c>
      <c r="CJ1124">
        <f t="shared" si="352"/>
        <v>0</v>
      </c>
      <c r="CK1124">
        <f t="shared" si="353"/>
        <v>0</v>
      </c>
      <c r="CL1124">
        <f t="shared" si="354"/>
        <v>0</v>
      </c>
      <c r="CM1124">
        <f t="shared" si="356"/>
        <v>0</v>
      </c>
      <c r="CN1124">
        <f t="shared" si="355"/>
        <v>0</v>
      </c>
      <c r="CO1124">
        <f t="shared" si="339"/>
        <v>0</v>
      </c>
    </row>
    <row r="1125" spans="1:93" hidden="1" x14ac:dyDescent="0.25">
      <c r="A1125" s="4">
        <v>2021</v>
      </c>
      <c r="B1125" s="315">
        <v>44279</v>
      </c>
      <c r="C1125" s="4" t="s">
        <v>66</v>
      </c>
      <c r="D1125" s="4" t="s">
        <v>1502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1503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+VLOOKUP(G1125,Liste!$A$7:$G$69,3,FALSE)</f>
        <v>Chêne sessile</v>
      </c>
      <c r="BI1125" s="96" t="str">
        <f>+VLOOKUP(H1125,Liste!$B$7:$G$69,5,FALSE)</f>
        <v>Guide chênaie continentale</v>
      </c>
      <c r="BJ1125" s="135">
        <f t="shared" si="338"/>
        <v>51</v>
      </c>
      <c r="BK1125" s="135" t="str">
        <f t="shared" si="340"/>
        <v>Chêne sessile_F2_Dynamique_Guide chênaie continentale_51_</v>
      </c>
      <c r="BL1125" s="319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97" t="str">
        <f>+VLOOKUP(G1125,Liste!$A$7:$H$69,8,FALSE)</f>
        <v>Feuillus</v>
      </c>
      <c r="BU1125" s="297">
        <f t="shared" si="341"/>
        <v>1</v>
      </c>
      <c r="BV1125" s="299">
        <f t="shared" si="342"/>
        <v>0</v>
      </c>
      <c r="BW1125" s="318">
        <v>0</v>
      </c>
      <c r="BX1125" s="297">
        <f t="shared" si="343"/>
        <v>0.25</v>
      </c>
      <c r="BY1125">
        <f t="shared" si="344"/>
        <v>0</v>
      </c>
      <c r="BZ1125" s="303">
        <f t="shared" si="345"/>
        <v>0</v>
      </c>
      <c r="CB1125" s="298">
        <v>0</v>
      </c>
      <c r="CC1125" s="298">
        <v>0</v>
      </c>
      <c r="CD1125">
        <f t="shared" si="346"/>
        <v>0</v>
      </c>
      <c r="CE1125">
        <f t="shared" si="347"/>
        <v>0</v>
      </c>
      <c r="CF1125">
        <f t="shared" si="348"/>
        <v>0</v>
      </c>
      <c r="CG1125">
        <f t="shared" si="349"/>
        <v>0</v>
      </c>
      <c r="CH1125">
        <f t="shared" si="350"/>
        <v>0</v>
      </c>
      <c r="CI1125">
        <f t="shared" si="351"/>
        <v>0</v>
      </c>
      <c r="CJ1125">
        <f t="shared" si="352"/>
        <v>0</v>
      </c>
      <c r="CK1125">
        <f t="shared" si="353"/>
        <v>0</v>
      </c>
      <c r="CL1125">
        <f t="shared" si="354"/>
        <v>0</v>
      </c>
      <c r="CM1125">
        <f t="shared" si="356"/>
        <v>0</v>
      </c>
      <c r="CN1125">
        <f t="shared" si="355"/>
        <v>0</v>
      </c>
      <c r="CO1125">
        <f t="shared" si="339"/>
        <v>0</v>
      </c>
    </row>
    <row r="1126" spans="1:93" hidden="1" x14ac:dyDescent="0.25">
      <c r="A1126" s="4">
        <v>2021</v>
      </c>
      <c r="B1126" s="315">
        <v>44279</v>
      </c>
      <c r="C1126" s="4" t="s">
        <v>66</v>
      </c>
      <c r="D1126" s="4" t="s">
        <v>1502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1503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+VLOOKUP(G1126,Liste!$A$7:$G$69,3,FALSE)</f>
        <v>Chêne sessile</v>
      </c>
      <c r="BI1126" s="96" t="str">
        <f>+VLOOKUP(H1126,Liste!$B$7:$G$69,5,FALSE)</f>
        <v>Guide chênaie continentale</v>
      </c>
      <c r="BJ1126" s="135">
        <f t="shared" si="338"/>
        <v>54</v>
      </c>
      <c r="BK1126" s="135" t="str">
        <f t="shared" si="340"/>
        <v>Chêne sessile_F2_Dynamique_Guide chênaie continentale_54_</v>
      </c>
      <c r="BL1126" s="319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97" t="str">
        <f>+VLOOKUP(G1126,Liste!$A$7:$H$69,8,FALSE)</f>
        <v>Feuillus</v>
      </c>
      <c r="BU1126" s="297">
        <f t="shared" si="341"/>
        <v>1</v>
      </c>
      <c r="BV1126" s="299">
        <f t="shared" si="342"/>
        <v>0</v>
      </c>
      <c r="BW1126" s="318">
        <v>0</v>
      </c>
      <c r="BX1126" s="297">
        <f t="shared" si="343"/>
        <v>0.25</v>
      </c>
      <c r="BY1126">
        <f t="shared" si="344"/>
        <v>0</v>
      </c>
      <c r="BZ1126" s="303">
        <f t="shared" si="345"/>
        <v>0</v>
      </c>
      <c r="CB1126" s="298">
        <v>0</v>
      </c>
      <c r="CC1126" s="298">
        <v>0</v>
      </c>
      <c r="CD1126">
        <f t="shared" si="346"/>
        <v>0</v>
      </c>
      <c r="CE1126">
        <f t="shared" si="347"/>
        <v>0</v>
      </c>
      <c r="CF1126">
        <f t="shared" si="348"/>
        <v>0</v>
      </c>
      <c r="CG1126">
        <f t="shared" si="349"/>
        <v>0</v>
      </c>
      <c r="CH1126">
        <f t="shared" si="350"/>
        <v>0</v>
      </c>
      <c r="CI1126">
        <f t="shared" si="351"/>
        <v>0</v>
      </c>
      <c r="CJ1126">
        <f t="shared" si="352"/>
        <v>0</v>
      </c>
      <c r="CK1126">
        <f t="shared" si="353"/>
        <v>0</v>
      </c>
      <c r="CL1126">
        <f t="shared" si="354"/>
        <v>0</v>
      </c>
      <c r="CM1126">
        <f t="shared" si="356"/>
        <v>0</v>
      </c>
      <c r="CN1126">
        <f t="shared" si="355"/>
        <v>0</v>
      </c>
      <c r="CO1126">
        <f t="shared" si="339"/>
        <v>0</v>
      </c>
    </row>
    <row r="1127" spans="1:93" hidden="1" x14ac:dyDescent="0.25">
      <c r="A1127" s="4">
        <v>2021</v>
      </c>
      <c r="B1127" s="315">
        <v>44279</v>
      </c>
      <c r="C1127" s="4" t="s">
        <v>66</v>
      </c>
      <c r="D1127" s="4" t="s">
        <v>1502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1503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+VLOOKUP(G1127,Liste!$A$7:$G$69,3,FALSE)</f>
        <v>Chêne sessile</v>
      </c>
      <c r="BI1127" s="96" t="str">
        <f>+VLOOKUP(H1127,Liste!$B$7:$G$69,5,FALSE)</f>
        <v>Guide chênaie continentale</v>
      </c>
      <c r="BJ1127" s="135">
        <f t="shared" si="338"/>
        <v>57</v>
      </c>
      <c r="BK1127" s="135" t="str">
        <f t="shared" si="340"/>
        <v>Chêne sessile_F2_Dynamique_Guide chênaie continentale_57_</v>
      </c>
      <c r="BL1127" s="319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97" t="str">
        <f>+VLOOKUP(G1127,Liste!$A$7:$H$69,8,FALSE)</f>
        <v>Feuillus</v>
      </c>
      <c r="BU1127" s="297">
        <f t="shared" si="341"/>
        <v>1</v>
      </c>
      <c r="BV1127" s="299">
        <f t="shared" si="342"/>
        <v>0</v>
      </c>
      <c r="BW1127" s="318">
        <v>0</v>
      </c>
      <c r="BX1127" s="297">
        <f t="shared" si="343"/>
        <v>0.25</v>
      </c>
      <c r="BY1127">
        <f t="shared" si="344"/>
        <v>0</v>
      </c>
      <c r="BZ1127" s="303">
        <f t="shared" si="345"/>
        <v>0</v>
      </c>
      <c r="CB1127" s="298">
        <v>0</v>
      </c>
      <c r="CC1127" s="298">
        <v>0</v>
      </c>
      <c r="CD1127">
        <f t="shared" si="346"/>
        <v>0</v>
      </c>
      <c r="CE1127">
        <f t="shared" si="347"/>
        <v>0</v>
      </c>
      <c r="CF1127">
        <f t="shared" si="348"/>
        <v>0</v>
      </c>
      <c r="CG1127">
        <f t="shared" si="349"/>
        <v>0</v>
      </c>
      <c r="CH1127">
        <f t="shared" si="350"/>
        <v>0</v>
      </c>
      <c r="CI1127">
        <f t="shared" si="351"/>
        <v>0</v>
      </c>
      <c r="CJ1127">
        <f t="shared" si="352"/>
        <v>0</v>
      </c>
      <c r="CK1127">
        <f t="shared" si="353"/>
        <v>0</v>
      </c>
      <c r="CL1127">
        <f t="shared" si="354"/>
        <v>0</v>
      </c>
      <c r="CM1127">
        <f t="shared" si="356"/>
        <v>0</v>
      </c>
      <c r="CN1127">
        <f t="shared" si="355"/>
        <v>0</v>
      </c>
      <c r="CO1127">
        <f t="shared" si="339"/>
        <v>0</v>
      </c>
    </row>
    <row r="1128" spans="1:93" hidden="1" x14ac:dyDescent="0.25">
      <c r="A1128" s="4">
        <v>2021</v>
      </c>
      <c r="B1128" s="315">
        <v>44279</v>
      </c>
      <c r="C1128" s="4" t="s">
        <v>66</v>
      </c>
      <c r="D1128" s="4" t="s">
        <v>1502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1503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+VLOOKUP(G1128,Liste!$A$7:$G$69,3,FALSE)</f>
        <v>Chêne sessile</v>
      </c>
      <c r="BI1128" s="96" t="str">
        <f>+VLOOKUP(H1128,Liste!$B$7:$G$69,5,FALSE)</f>
        <v>Guide chênaie continentale</v>
      </c>
      <c r="BJ1128" s="135">
        <f t="shared" si="338"/>
        <v>59</v>
      </c>
      <c r="BK1128" s="135" t="str">
        <f t="shared" si="340"/>
        <v>Chêne sessile_F2_Dynamique_Guide chênaie continentale_59_</v>
      </c>
      <c r="BL1128" s="319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97" t="str">
        <f>+VLOOKUP(G1128,Liste!$A$7:$H$69,8,FALSE)</f>
        <v>Feuillus</v>
      </c>
      <c r="BU1128" s="297">
        <f t="shared" si="341"/>
        <v>1</v>
      </c>
      <c r="BV1128" s="299">
        <f t="shared" si="342"/>
        <v>0</v>
      </c>
      <c r="BW1128" s="318">
        <v>0</v>
      </c>
      <c r="BX1128" s="297">
        <f t="shared" si="343"/>
        <v>0.25</v>
      </c>
      <c r="BY1128">
        <f t="shared" si="344"/>
        <v>0</v>
      </c>
      <c r="BZ1128" s="303">
        <f t="shared" si="345"/>
        <v>0</v>
      </c>
      <c r="CB1128" s="298">
        <v>0</v>
      </c>
      <c r="CC1128" s="298">
        <v>0</v>
      </c>
      <c r="CD1128">
        <f t="shared" si="346"/>
        <v>0</v>
      </c>
      <c r="CE1128">
        <f t="shared" si="347"/>
        <v>0</v>
      </c>
      <c r="CF1128">
        <f t="shared" si="348"/>
        <v>0</v>
      </c>
      <c r="CG1128">
        <f t="shared" si="349"/>
        <v>0</v>
      </c>
      <c r="CH1128">
        <f t="shared" si="350"/>
        <v>0</v>
      </c>
      <c r="CI1128">
        <f t="shared" si="351"/>
        <v>0</v>
      </c>
      <c r="CJ1128">
        <f t="shared" si="352"/>
        <v>0</v>
      </c>
      <c r="CK1128">
        <f t="shared" si="353"/>
        <v>0</v>
      </c>
      <c r="CL1128">
        <f t="shared" si="354"/>
        <v>0</v>
      </c>
      <c r="CM1128">
        <f t="shared" si="356"/>
        <v>0</v>
      </c>
      <c r="CN1128">
        <f t="shared" si="355"/>
        <v>0</v>
      </c>
      <c r="CO1128">
        <f t="shared" si="339"/>
        <v>0</v>
      </c>
    </row>
    <row r="1129" spans="1:93" hidden="1" x14ac:dyDescent="0.25">
      <c r="A1129" s="4">
        <v>2021</v>
      </c>
      <c r="B1129" s="315">
        <v>44279</v>
      </c>
      <c r="C1129" s="4" t="s">
        <v>66</v>
      </c>
      <c r="D1129" s="4" t="s">
        <v>1502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1503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+VLOOKUP(G1129,Liste!$A$7:$G$69,3,FALSE)</f>
        <v>Chêne sessile</v>
      </c>
      <c r="BI1129" s="96" t="str">
        <f>+VLOOKUP(H1129,Liste!$B$7:$G$69,5,FALSE)</f>
        <v>Guide chênaie continentale</v>
      </c>
      <c r="BJ1129" s="135">
        <f t="shared" si="338"/>
        <v>59</v>
      </c>
      <c r="BK1129" s="135" t="str">
        <f t="shared" si="340"/>
        <v>Chêne sessile_F2_Dynamique_Guide chênaie continentale_59_</v>
      </c>
      <c r="BL1129" s="319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97" t="str">
        <f>+VLOOKUP(G1129,Liste!$A$7:$H$69,8,FALSE)</f>
        <v>Feuillus</v>
      </c>
      <c r="BU1129" s="297">
        <f t="shared" si="341"/>
        <v>1</v>
      </c>
      <c r="BV1129" s="299">
        <f t="shared" si="342"/>
        <v>0</v>
      </c>
      <c r="BW1129" s="318">
        <v>0</v>
      </c>
      <c r="BX1129" s="297">
        <f t="shared" si="343"/>
        <v>0.25</v>
      </c>
      <c r="BY1129">
        <f t="shared" si="344"/>
        <v>0</v>
      </c>
      <c r="BZ1129" s="303">
        <f t="shared" si="345"/>
        <v>0</v>
      </c>
      <c r="CB1129" s="298">
        <v>0</v>
      </c>
      <c r="CC1129" s="298">
        <v>0</v>
      </c>
      <c r="CD1129">
        <f t="shared" si="346"/>
        <v>0</v>
      </c>
      <c r="CE1129">
        <f t="shared" si="347"/>
        <v>0</v>
      </c>
      <c r="CF1129">
        <f t="shared" si="348"/>
        <v>0</v>
      </c>
      <c r="CG1129">
        <f t="shared" si="349"/>
        <v>0</v>
      </c>
      <c r="CH1129">
        <f t="shared" si="350"/>
        <v>0</v>
      </c>
      <c r="CI1129">
        <f t="shared" si="351"/>
        <v>0</v>
      </c>
      <c r="CJ1129">
        <f t="shared" si="352"/>
        <v>0</v>
      </c>
      <c r="CK1129">
        <f t="shared" si="353"/>
        <v>0</v>
      </c>
      <c r="CL1129">
        <f t="shared" si="354"/>
        <v>0</v>
      </c>
      <c r="CM1129">
        <f t="shared" si="356"/>
        <v>0</v>
      </c>
      <c r="CN1129">
        <f t="shared" si="355"/>
        <v>0</v>
      </c>
      <c r="CO1129">
        <f t="shared" si="339"/>
        <v>0</v>
      </c>
    </row>
    <row r="1130" spans="1:93" hidden="1" x14ac:dyDescent="0.25">
      <c r="A1130" s="4">
        <v>2021</v>
      </c>
      <c r="B1130" s="315">
        <v>44279</v>
      </c>
      <c r="C1130" s="4" t="s">
        <v>66</v>
      </c>
      <c r="D1130" s="4" t="s">
        <v>1502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1503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+VLOOKUP(G1130,Liste!$A$7:$G$69,3,FALSE)</f>
        <v>Chêne sessile</v>
      </c>
      <c r="BI1130" s="96" t="str">
        <f>+VLOOKUP(H1130,Liste!$B$7:$G$69,5,FALSE)</f>
        <v>Guide chênaie continentale</v>
      </c>
      <c r="BJ1130" s="135">
        <f t="shared" si="338"/>
        <v>62</v>
      </c>
      <c r="BK1130" s="135" t="str">
        <f t="shared" si="340"/>
        <v>Chêne sessile_F2_Dynamique_Guide chênaie continentale_62_</v>
      </c>
      <c r="BL1130" s="319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97" t="str">
        <f>+VLOOKUP(G1130,Liste!$A$7:$H$69,8,FALSE)</f>
        <v>Feuillus</v>
      </c>
      <c r="BU1130" s="297">
        <f t="shared" si="341"/>
        <v>1</v>
      </c>
      <c r="BV1130" s="299">
        <f t="shared" si="342"/>
        <v>0</v>
      </c>
      <c r="BW1130" s="318">
        <v>0</v>
      </c>
      <c r="BX1130" s="297">
        <f t="shared" si="343"/>
        <v>0.25</v>
      </c>
      <c r="BY1130">
        <f t="shared" si="344"/>
        <v>0</v>
      </c>
      <c r="BZ1130" s="303">
        <f t="shared" si="345"/>
        <v>0</v>
      </c>
      <c r="CB1130" s="298">
        <v>0</v>
      </c>
      <c r="CC1130" s="298">
        <v>0</v>
      </c>
      <c r="CD1130">
        <f t="shared" si="346"/>
        <v>0</v>
      </c>
      <c r="CE1130">
        <f t="shared" si="347"/>
        <v>0</v>
      </c>
      <c r="CF1130">
        <f t="shared" si="348"/>
        <v>0</v>
      </c>
      <c r="CG1130">
        <f t="shared" si="349"/>
        <v>0</v>
      </c>
      <c r="CH1130">
        <f t="shared" si="350"/>
        <v>0</v>
      </c>
      <c r="CI1130">
        <f t="shared" si="351"/>
        <v>0</v>
      </c>
      <c r="CJ1130">
        <f t="shared" si="352"/>
        <v>0</v>
      </c>
      <c r="CK1130">
        <f t="shared" si="353"/>
        <v>0</v>
      </c>
      <c r="CL1130">
        <f t="shared" si="354"/>
        <v>0</v>
      </c>
      <c r="CM1130">
        <f t="shared" si="356"/>
        <v>0</v>
      </c>
      <c r="CN1130">
        <f t="shared" si="355"/>
        <v>0</v>
      </c>
      <c r="CO1130">
        <f t="shared" si="339"/>
        <v>0</v>
      </c>
    </row>
    <row r="1131" spans="1:93" hidden="1" x14ac:dyDescent="0.25">
      <c r="A1131" s="4">
        <v>2021</v>
      </c>
      <c r="B1131" s="315">
        <v>44279</v>
      </c>
      <c r="C1131" s="4" t="s">
        <v>66</v>
      </c>
      <c r="D1131" s="4" t="s">
        <v>1502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1503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+VLOOKUP(G1131,Liste!$A$7:$G$69,3,FALSE)</f>
        <v>Chêne sessile</v>
      </c>
      <c r="BI1131" s="96" t="str">
        <f>+VLOOKUP(H1131,Liste!$B$7:$G$69,5,FALSE)</f>
        <v>Guide chênaie continentale</v>
      </c>
      <c r="BJ1131" s="135">
        <f t="shared" si="338"/>
        <v>65</v>
      </c>
      <c r="BK1131" s="135" t="str">
        <f t="shared" si="340"/>
        <v>Chêne sessile_F2_Dynamique_Guide chênaie continentale_65_</v>
      </c>
      <c r="BL1131" s="319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97" t="str">
        <f>+VLOOKUP(G1131,Liste!$A$7:$H$69,8,FALSE)</f>
        <v>Feuillus</v>
      </c>
      <c r="BU1131" s="297">
        <f t="shared" si="341"/>
        <v>1</v>
      </c>
      <c r="BV1131" s="299">
        <f t="shared" si="342"/>
        <v>0</v>
      </c>
      <c r="BW1131" s="318">
        <v>0</v>
      </c>
      <c r="BX1131" s="297">
        <f t="shared" si="343"/>
        <v>0.25</v>
      </c>
      <c r="BY1131">
        <f t="shared" si="344"/>
        <v>0</v>
      </c>
      <c r="BZ1131" s="303">
        <f t="shared" si="345"/>
        <v>0</v>
      </c>
      <c r="CB1131" s="298">
        <v>0</v>
      </c>
      <c r="CC1131" s="298">
        <v>0</v>
      </c>
      <c r="CD1131">
        <f t="shared" si="346"/>
        <v>0</v>
      </c>
      <c r="CE1131">
        <f t="shared" si="347"/>
        <v>0</v>
      </c>
      <c r="CF1131">
        <f t="shared" si="348"/>
        <v>0</v>
      </c>
      <c r="CG1131">
        <f t="shared" si="349"/>
        <v>0</v>
      </c>
      <c r="CH1131">
        <f t="shared" si="350"/>
        <v>0</v>
      </c>
      <c r="CI1131">
        <f t="shared" si="351"/>
        <v>0</v>
      </c>
      <c r="CJ1131">
        <f t="shared" si="352"/>
        <v>0</v>
      </c>
      <c r="CK1131">
        <f t="shared" si="353"/>
        <v>0</v>
      </c>
      <c r="CL1131">
        <f t="shared" si="354"/>
        <v>0</v>
      </c>
      <c r="CM1131">
        <f t="shared" si="356"/>
        <v>0</v>
      </c>
      <c r="CN1131">
        <f t="shared" si="355"/>
        <v>0</v>
      </c>
      <c r="CO1131">
        <f t="shared" si="339"/>
        <v>0</v>
      </c>
    </row>
    <row r="1132" spans="1:93" hidden="1" x14ac:dyDescent="0.25">
      <c r="A1132" s="4">
        <v>2021</v>
      </c>
      <c r="B1132" s="315">
        <v>44279</v>
      </c>
      <c r="C1132" s="4" t="s">
        <v>66</v>
      </c>
      <c r="D1132" s="4" t="s">
        <v>1502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1503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+VLOOKUP(G1132,Liste!$A$7:$G$69,3,FALSE)</f>
        <v>Chêne sessile</v>
      </c>
      <c r="BI1132" s="96" t="str">
        <f>+VLOOKUP(H1132,Liste!$B$7:$G$69,5,FALSE)</f>
        <v>Guide chênaie continentale</v>
      </c>
      <c r="BJ1132" s="135">
        <f t="shared" si="338"/>
        <v>67</v>
      </c>
      <c r="BK1132" s="135" t="str">
        <f t="shared" si="340"/>
        <v>Chêne sessile_F2_Dynamique_Guide chênaie continentale_67_</v>
      </c>
      <c r="BL1132" s="319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97" t="str">
        <f>+VLOOKUP(G1132,Liste!$A$7:$H$69,8,FALSE)</f>
        <v>Feuillus</v>
      </c>
      <c r="BU1132" s="297">
        <f t="shared" si="341"/>
        <v>1</v>
      </c>
      <c r="BV1132" s="299">
        <f t="shared" si="342"/>
        <v>0</v>
      </c>
      <c r="BW1132" s="318">
        <v>0</v>
      </c>
      <c r="BX1132" s="297">
        <f t="shared" si="343"/>
        <v>0.25</v>
      </c>
      <c r="BY1132">
        <f t="shared" si="344"/>
        <v>0</v>
      </c>
      <c r="BZ1132" s="303">
        <f t="shared" si="345"/>
        <v>0</v>
      </c>
      <c r="CB1132" s="298">
        <v>0</v>
      </c>
      <c r="CC1132" s="298">
        <v>0</v>
      </c>
      <c r="CD1132">
        <f t="shared" si="346"/>
        <v>0</v>
      </c>
      <c r="CE1132">
        <f t="shared" si="347"/>
        <v>0</v>
      </c>
      <c r="CF1132">
        <f t="shared" si="348"/>
        <v>0</v>
      </c>
      <c r="CG1132">
        <f t="shared" si="349"/>
        <v>0</v>
      </c>
      <c r="CH1132">
        <f t="shared" si="350"/>
        <v>0</v>
      </c>
      <c r="CI1132">
        <f t="shared" si="351"/>
        <v>0</v>
      </c>
      <c r="CJ1132">
        <f t="shared" si="352"/>
        <v>0</v>
      </c>
      <c r="CK1132">
        <f t="shared" si="353"/>
        <v>0</v>
      </c>
      <c r="CL1132">
        <f t="shared" si="354"/>
        <v>0</v>
      </c>
      <c r="CM1132">
        <f t="shared" si="356"/>
        <v>0</v>
      </c>
      <c r="CN1132">
        <f t="shared" si="355"/>
        <v>0</v>
      </c>
      <c r="CO1132">
        <f t="shared" si="339"/>
        <v>0</v>
      </c>
    </row>
    <row r="1133" spans="1:93" hidden="1" x14ac:dyDescent="0.25">
      <c r="A1133" s="4">
        <v>2021</v>
      </c>
      <c r="B1133" s="315">
        <v>44279</v>
      </c>
      <c r="C1133" s="4" t="s">
        <v>66</v>
      </c>
      <c r="D1133" s="4" t="s">
        <v>1502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1503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+VLOOKUP(G1133,Liste!$A$7:$G$69,3,FALSE)</f>
        <v>Chêne sessile</v>
      </c>
      <c r="BI1133" s="96" t="str">
        <f>+VLOOKUP(H1133,Liste!$B$7:$G$69,5,FALSE)</f>
        <v>Guide chênaie continentale</v>
      </c>
      <c r="BJ1133" s="135">
        <f t="shared" si="338"/>
        <v>67</v>
      </c>
      <c r="BK1133" s="135" t="str">
        <f t="shared" si="340"/>
        <v>Chêne sessile_F2_Dynamique_Guide chênaie continentale_67_</v>
      </c>
      <c r="BL1133" s="319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97" t="str">
        <f>+VLOOKUP(G1133,Liste!$A$7:$H$69,8,FALSE)</f>
        <v>Feuillus</v>
      </c>
      <c r="BU1133" s="297">
        <f t="shared" si="341"/>
        <v>1</v>
      </c>
      <c r="BV1133" s="299">
        <f t="shared" si="342"/>
        <v>0</v>
      </c>
      <c r="BW1133" s="318">
        <v>0</v>
      </c>
      <c r="BX1133" s="297">
        <f t="shared" si="343"/>
        <v>0.25</v>
      </c>
      <c r="BY1133">
        <f t="shared" si="344"/>
        <v>0</v>
      </c>
      <c r="BZ1133" s="303">
        <f t="shared" si="345"/>
        <v>0</v>
      </c>
      <c r="CB1133" s="298">
        <v>0</v>
      </c>
      <c r="CC1133" s="298">
        <v>0</v>
      </c>
      <c r="CD1133">
        <f t="shared" si="346"/>
        <v>0</v>
      </c>
      <c r="CE1133">
        <f t="shared" si="347"/>
        <v>0</v>
      </c>
      <c r="CF1133">
        <f t="shared" si="348"/>
        <v>0</v>
      </c>
      <c r="CG1133">
        <f t="shared" si="349"/>
        <v>0</v>
      </c>
      <c r="CH1133">
        <f t="shared" si="350"/>
        <v>0</v>
      </c>
      <c r="CI1133">
        <f t="shared" si="351"/>
        <v>0</v>
      </c>
      <c r="CJ1133">
        <f t="shared" si="352"/>
        <v>0</v>
      </c>
      <c r="CK1133">
        <f t="shared" si="353"/>
        <v>0</v>
      </c>
      <c r="CL1133">
        <f t="shared" si="354"/>
        <v>0</v>
      </c>
      <c r="CM1133">
        <f t="shared" si="356"/>
        <v>0</v>
      </c>
      <c r="CN1133">
        <f t="shared" si="355"/>
        <v>0</v>
      </c>
      <c r="CO1133">
        <f t="shared" si="339"/>
        <v>0</v>
      </c>
    </row>
    <row r="1134" spans="1:93" hidden="1" x14ac:dyDescent="0.25">
      <c r="A1134" s="4">
        <v>2021</v>
      </c>
      <c r="B1134" s="315">
        <v>44279</v>
      </c>
      <c r="C1134" s="4" t="s">
        <v>66</v>
      </c>
      <c r="D1134" s="4" t="s">
        <v>1502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1503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+VLOOKUP(G1134,Liste!$A$7:$G$69,3,FALSE)</f>
        <v>Chêne sessile</v>
      </c>
      <c r="BI1134" s="96" t="str">
        <f>+VLOOKUP(H1134,Liste!$B$7:$G$69,5,FALSE)</f>
        <v>Guide chênaie continentale</v>
      </c>
      <c r="BJ1134" s="135">
        <f t="shared" si="338"/>
        <v>70</v>
      </c>
      <c r="BK1134" s="135" t="str">
        <f t="shared" si="340"/>
        <v>Chêne sessile_F2_Dynamique_Guide chênaie continentale_70_</v>
      </c>
      <c r="BL1134" s="319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97" t="str">
        <f>+VLOOKUP(G1134,Liste!$A$7:$H$69,8,FALSE)</f>
        <v>Feuillus</v>
      </c>
      <c r="BU1134" s="297">
        <f t="shared" si="341"/>
        <v>1</v>
      </c>
      <c r="BV1134" s="299">
        <f t="shared" si="342"/>
        <v>0</v>
      </c>
      <c r="BW1134" s="318">
        <v>0</v>
      </c>
      <c r="BX1134" s="297">
        <f t="shared" si="343"/>
        <v>0.25</v>
      </c>
      <c r="BY1134">
        <f t="shared" si="344"/>
        <v>0</v>
      </c>
      <c r="BZ1134" s="303">
        <f t="shared" si="345"/>
        <v>0</v>
      </c>
      <c r="CB1134" s="298">
        <v>0</v>
      </c>
      <c r="CC1134" s="298">
        <v>0</v>
      </c>
      <c r="CD1134">
        <f t="shared" si="346"/>
        <v>0</v>
      </c>
      <c r="CE1134">
        <f t="shared" si="347"/>
        <v>0</v>
      </c>
      <c r="CF1134">
        <f t="shared" si="348"/>
        <v>0</v>
      </c>
      <c r="CG1134">
        <f t="shared" si="349"/>
        <v>0</v>
      </c>
      <c r="CH1134">
        <f t="shared" si="350"/>
        <v>0</v>
      </c>
      <c r="CI1134">
        <f t="shared" si="351"/>
        <v>0</v>
      </c>
      <c r="CJ1134">
        <f t="shared" si="352"/>
        <v>0</v>
      </c>
      <c r="CK1134">
        <f t="shared" si="353"/>
        <v>0</v>
      </c>
      <c r="CL1134">
        <f t="shared" si="354"/>
        <v>0</v>
      </c>
      <c r="CM1134">
        <f t="shared" si="356"/>
        <v>0</v>
      </c>
      <c r="CN1134">
        <f t="shared" si="355"/>
        <v>0</v>
      </c>
      <c r="CO1134">
        <f t="shared" si="339"/>
        <v>0</v>
      </c>
    </row>
    <row r="1135" spans="1:93" hidden="1" x14ac:dyDescent="0.25">
      <c r="A1135" s="4">
        <v>2021</v>
      </c>
      <c r="B1135" s="315">
        <v>44279</v>
      </c>
      <c r="C1135" s="4" t="s">
        <v>66</v>
      </c>
      <c r="D1135" s="4" t="s">
        <v>1502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1503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+VLOOKUP(G1135,Liste!$A$7:$G$69,3,FALSE)</f>
        <v>Chêne sessile</v>
      </c>
      <c r="BI1135" s="96" t="str">
        <f>+VLOOKUP(H1135,Liste!$B$7:$G$69,5,FALSE)</f>
        <v>Guide chênaie continentale</v>
      </c>
      <c r="BJ1135" s="135">
        <f t="shared" si="338"/>
        <v>73</v>
      </c>
      <c r="BK1135" s="135" t="str">
        <f t="shared" si="340"/>
        <v>Chêne sessile_F2_Dynamique_Guide chênaie continentale_73_</v>
      </c>
      <c r="BL1135" s="319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97" t="str">
        <f>+VLOOKUP(G1135,Liste!$A$7:$H$69,8,FALSE)</f>
        <v>Feuillus</v>
      </c>
      <c r="BU1135" s="297">
        <f t="shared" si="341"/>
        <v>1</v>
      </c>
      <c r="BV1135" s="299">
        <f t="shared" si="342"/>
        <v>0</v>
      </c>
      <c r="BW1135" s="318">
        <v>0</v>
      </c>
      <c r="BX1135" s="297">
        <f t="shared" si="343"/>
        <v>0.25</v>
      </c>
      <c r="BY1135">
        <f t="shared" si="344"/>
        <v>0</v>
      </c>
      <c r="BZ1135" s="303">
        <f t="shared" si="345"/>
        <v>0</v>
      </c>
      <c r="CB1135" s="298">
        <v>0</v>
      </c>
      <c r="CC1135" s="298">
        <v>0</v>
      </c>
      <c r="CD1135">
        <f t="shared" si="346"/>
        <v>0</v>
      </c>
      <c r="CE1135">
        <f t="shared" si="347"/>
        <v>0</v>
      </c>
      <c r="CF1135">
        <f t="shared" si="348"/>
        <v>0</v>
      </c>
      <c r="CG1135">
        <f t="shared" si="349"/>
        <v>0</v>
      </c>
      <c r="CH1135">
        <f t="shared" si="350"/>
        <v>0</v>
      </c>
      <c r="CI1135">
        <f t="shared" si="351"/>
        <v>0</v>
      </c>
      <c r="CJ1135">
        <f t="shared" si="352"/>
        <v>0</v>
      </c>
      <c r="CK1135">
        <f t="shared" si="353"/>
        <v>0</v>
      </c>
      <c r="CL1135">
        <f t="shared" si="354"/>
        <v>0</v>
      </c>
      <c r="CM1135">
        <f t="shared" si="356"/>
        <v>0</v>
      </c>
      <c r="CN1135">
        <f t="shared" si="355"/>
        <v>0</v>
      </c>
      <c r="CO1135">
        <f t="shared" si="339"/>
        <v>0</v>
      </c>
    </row>
    <row r="1136" spans="1:93" hidden="1" x14ac:dyDescent="0.25">
      <c r="A1136" s="4">
        <v>2021</v>
      </c>
      <c r="B1136" s="315">
        <v>44279</v>
      </c>
      <c r="C1136" s="4" t="s">
        <v>66</v>
      </c>
      <c r="D1136" s="4" t="s">
        <v>1502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1503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+VLOOKUP(G1136,Liste!$A$7:$G$69,3,FALSE)</f>
        <v>Chêne sessile</v>
      </c>
      <c r="BI1136" s="96" t="str">
        <f>+VLOOKUP(H1136,Liste!$B$7:$G$69,5,FALSE)</f>
        <v>Guide chênaie continentale</v>
      </c>
      <c r="BJ1136" s="135">
        <f t="shared" si="338"/>
        <v>75</v>
      </c>
      <c r="BK1136" s="135" t="str">
        <f t="shared" si="340"/>
        <v>Chêne sessile_F2_Dynamique_Guide chênaie continentale_75_</v>
      </c>
      <c r="BL1136" s="319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97" t="str">
        <f>+VLOOKUP(G1136,Liste!$A$7:$H$69,8,FALSE)</f>
        <v>Feuillus</v>
      </c>
      <c r="BU1136" s="297">
        <f t="shared" si="341"/>
        <v>1</v>
      </c>
      <c r="BV1136" s="299">
        <f t="shared" si="342"/>
        <v>0</v>
      </c>
      <c r="BW1136" s="318">
        <v>0</v>
      </c>
      <c r="BX1136" s="297">
        <f t="shared" si="343"/>
        <v>0.25</v>
      </c>
      <c r="BY1136">
        <f t="shared" si="344"/>
        <v>0</v>
      </c>
      <c r="BZ1136" s="303">
        <f t="shared" si="345"/>
        <v>0</v>
      </c>
      <c r="CB1136" s="298">
        <v>0</v>
      </c>
      <c r="CC1136" s="298">
        <v>0</v>
      </c>
      <c r="CD1136">
        <f t="shared" si="346"/>
        <v>0</v>
      </c>
      <c r="CE1136">
        <f t="shared" si="347"/>
        <v>0</v>
      </c>
      <c r="CF1136">
        <f t="shared" si="348"/>
        <v>0</v>
      </c>
      <c r="CG1136">
        <f t="shared" si="349"/>
        <v>0</v>
      </c>
      <c r="CH1136">
        <f t="shared" si="350"/>
        <v>0</v>
      </c>
      <c r="CI1136">
        <f t="shared" si="351"/>
        <v>0</v>
      </c>
      <c r="CJ1136">
        <f t="shared" si="352"/>
        <v>0</v>
      </c>
      <c r="CK1136">
        <f t="shared" si="353"/>
        <v>0</v>
      </c>
      <c r="CL1136">
        <f t="shared" si="354"/>
        <v>0</v>
      </c>
      <c r="CM1136">
        <f t="shared" si="356"/>
        <v>0</v>
      </c>
      <c r="CN1136">
        <f t="shared" si="355"/>
        <v>0</v>
      </c>
      <c r="CO1136">
        <f t="shared" si="339"/>
        <v>0</v>
      </c>
    </row>
    <row r="1137" spans="1:93" hidden="1" x14ac:dyDescent="0.25">
      <c r="A1137" s="4">
        <v>2021</v>
      </c>
      <c r="B1137" s="315">
        <v>44279</v>
      </c>
      <c r="C1137" s="4" t="s">
        <v>66</v>
      </c>
      <c r="D1137" s="4" t="s">
        <v>1502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1503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+VLOOKUP(G1137,Liste!$A$7:$G$69,3,FALSE)</f>
        <v>Chêne sessile</v>
      </c>
      <c r="BI1137" s="96" t="str">
        <f>+VLOOKUP(H1137,Liste!$B$7:$G$69,5,FALSE)</f>
        <v>Guide chênaie continentale</v>
      </c>
      <c r="BJ1137" s="135">
        <f t="shared" si="338"/>
        <v>75</v>
      </c>
      <c r="BK1137" s="135" t="str">
        <f t="shared" si="340"/>
        <v>Chêne sessile_F2_Dynamique_Guide chênaie continentale_75_</v>
      </c>
      <c r="BL1137" s="319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97" t="str">
        <f>+VLOOKUP(G1137,Liste!$A$7:$H$69,8,FALSE)</f>
        <v>Feuillus</v>
      </c>
      <c r="BU1137" s="297">
        <f t="shared" si="341"/>
        <v>1</v>
      </c>
      <c r="BV1137" s="299">
        <f t="shared" si="342"/>
        <v>0</v>
      </c>
      <c r="BW1137" s="318">
        <v>0</v>
      </c>
      <c r="BX1137" s="297">
        <f t="shared" si="343"/>
        <v>0.25</v>
      </c>
      <c r="BY1137">
        <f t="shared" si="344"/>
        <v>0</v>
      </c>
      <c r="BZ1137" s="303">
        <f t="shared" si="345"/>
        <v>0</v>
      </c>
      <c r="CB1137" s="298">
        <v>0</v>
      </c>
      <c r="CC1137" s="298">
        <v>0</v>
      </c>
      <c r="CD1137">
        <f t="shared" si="346"/>
        <v>0</v>
      </c>
      <c r="CE1137">
        <f t="shared" si="347"/>
        <v>0</v>
      </c>
      <c r="CF1137">
        <f t="shared" si="348"/>
        <v>0</v>
      </c>
      <c r="CG1137">
        <f t="shared" si="349"/>
        <v>0</v>
      </c>
      <c r="CH1137">
        <f t="shared" si="350"/>
        <v>0</v>
      </c>
      <c r="CI1137">
        <f t="shared" si="351"/>
        <v>0</v>
      </c>
      <c r="CJ1137">
        <f t="shared" si="352"/>
        <v>0</v>
      </c>
      <c r="CK1137">
        <f t="shared" si="353"/>
        <v>0</v>
      </c>
      <c r="CL1137">
        <f t="shared" si="354"/>
        <v>0</v>
      </c>
      <c r="CM1137">
        <f t="shared" si="356"/>
        <v>0</v>
      </c>
      <c r="CN1137">
        <f t="shared" si="355"/>
        <v>0</v>
      </c>
      <c r="CO1137">
        <f t="shared" si="339"/>
        <v>0</v>
      </c>
    </row>
    <row r="1138" spans="1:93" hidden="1" x14ac:dyDescent="0.25">
      <c r="A1138" s="4">
        <v>2021</v>
      </c>
      <c r="B1138" s="315">
        <v>44279</v>
      </c>
      <c r="C1138" s="4" t="s">
        <v>66</v>
      </c>
      <c r="D1138" s="4" t="s">
        <v>1502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1503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+VLOOKUP(G1138,Liste!$A$7:$G$69,3,FALSE)</f>
        <v>Chêne sessile</v>
      </c>
      <c r="BI1138" s="96" t="str">
        <f>+VLOOKUP(H1138,Liste!$B$7:$G$69,5,FALSE)</f>
        <v>Guide chênaie continentale</v>
      </c>
      <c r="BJ1138" s="135">
        <f t="shared" si="338"/>
        <v>78</v>
      </c>
      <c r="BK1138" s="135" t="str">
        <f t="shared" si="340"/>
        <v>Chêne sessile_F2_Dynamique_Guide chênaie continentale_78_</v>
      </c>
      <c r="BL1138" s="319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97" t="str">
        <f>+VLOOKUP(G1138,Liste!$A$7:$H$69,8,FALSE)</f>
        <v>Feuillus</v>
      </c>
      <c r="BU1138" s="297">
        <f t="shared" si="341"/>
        <v>1</v>
      </c>
      <c r="BV1138" s="299">
        <f t="shared" si="342"/>
        <v>0</v>
      </c>
      <c r="BW1138" s="318">
        <v>0</v>
      </c>
      <c r="BX1138" s="297">
        <f t="shared" si="343"/>
        <v>0.25</v>
      </c>
      <c r="BY1138">
        <f t="shared" si="344"/>
        <v>0</v>
      </c>
      <c r="BZ1138" s="303">
        <f t="shared" si="345"/>
        <v>0</v>
      </c>
      <c r="CB1138" s="298">
        <v>0</v>
      </c>
      <c r="CC1138" s="298">
        <v>0</v>
      </c>
      <c r="CD1138">
        <f t="shared" si="346"/>
        <v>0</v>
      </c>
      <c r="CE1138">
        <f t="shared" si="347"/>
        <v>0</v>
      </c>
      <c r="CF1138">
        <f t="shared" si="348"/>
        <v>0</v>
      </c>
      <c r="CG1138">
        <f t="shared" si="349"/>
        <v>0</v>
      </c>
      <c r="CH1138">
        <f t="shared" si="350"/>
        <v>0</v>
      </c>
      <c r="CI1138">
        <f t="shared" si="351"/>
        <v>0</v>
      </c>
      <c r="CJ1138">
        <f t="shared" si="352"/>
        <v>0</v>
      </c>
      <c r="CK1138">
        <f t="shared" si="353"/>
        <v>0</v>
      </c>
      <c r="CL1138">
        <f t="shared" si="354"/>
        <v>0</v>
      </c>
      <c r="CM1138">
        <f t="shared" si="356"/>
        <v>0</v>
      </c>
      <c r="CN1138">
        <f t="shared" si="355"/>
        <v>0</v>
      </c>
      <c r="CO1138">
        <f t="shared" si="339"/>
        <v>0</v>
      </c>
    </row>
    <row r="1139" spans="1:93" hidden="1" x14ac:dyDescent="0.25">
      <c r="A1139" s="4">
        <v>2021</v>
      </c>
      <c r="B1139" s="315">
        <v>44279</v>
      </c>
      <c r="C1139" s="4" t="s">
        <v>66</v>
      </c>
      <c r="D1139" s="4" t="s">
        <v>1502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1503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+VLOOKUP(G1139,Liste!$A$7:$G$69,3,FALSE)</f>
        <v>Chêne sessile</v>
      </c>
      <c r="BI1139" s="96" t="str">
        <f>+VLOOKUP(H1139,Liste!$B$7:$G$69,5,FALSE)</f>
        <v>Guide chênaie continentale</v>
      </c>
      <c r="BJ1139" s="135">
        <f t="shared" si="338"/>
        <v>81</v>
      </c>
      <c r="BK1139" s="135" t="str">
        <f t="shared" si="340"/>
        <v>Chêne sessile_F2_Dynamique_Guide chênaie continentale_81_</v>
      </c>
      <c r="BL1139" s="319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97" t="str">
        <f>+VLOOKUP(G1139,Liste!$A$7:$H$69,8,FALSE)</f>
        <v>Feuillus</v>
      </c>
      <c r="BU1139" s="297">
        <f t="shared" si="341"/>
        <v>1</v>
      </c>
      <c r="BV1139" s="299">
        <f t="shared" si="342"/>
        <v>0</v>
      </c>
      <c r="BW1139" s="318">
        <v>0</v>
      </c>
      <c r="BX1139" s="297">
        <f t="shared" si="343"/>
        <v>0.25</v>
      </c>
      <c r="BY1139">
        <f t="shared" si="344"/>
        <v>0</v>
      </c>
      <c r="BZ1139" s="303">
        <f t="shared" si="345"/>
        <v>0</v>
      </c>
      <c r="CB1139" s="298">
        <v>0</v>
      </c>
      <c r="CC1139" s="298">
        <v>0</v>
      </c>
      <c r="CD1139">
        <f t="shared" si="346"/>
        <v>0</v>
      </c>
      <c r="CE1139">
        <f t="shared" si="347"/>
        <v>0</v>
      </c>
      <c r="CF1139">
        <f t="shared" si="348"/>
        <v>0</v>
      </c>
      <c r="CG1139">
        <f t="shared" si="349"/>
        <v>0</v>
      </c>
      <c r="CH1139">
        <f t="shared" si="350"/>
        <v>0</v>
      </c>
      <c r="CI1139">
        <f t="shared" si="351"/>
        <v>0</v>
      </c>
      <c r="CJ1139">
        <f t="shared" si="352"/>
        <v>0</v>
      </c>
      <c r="CK1139">
        <f t="shared" si="353"/>
        <v>0</v>
      </c>
      <c r="CL1139">
        <f t="shared" si="354"/>
        <v>0</v>
      </c>
      <c r="CM1139">
        <f t="shared" si="356"/>
        <v>0</v>
      </c>
      <c r="CN1139">
        <f t="shared" si="355"/>
        <v>0</v>
      </c>
      <c r="CO1139">
        <f t="shared" si="339"/>
        <v>0</v>
      </c>
    </row>
    <row r="1140" spans="1:93" hidden="1" x14ac:dyDescent="0.25">
      <c r="A1140" s="4">
        <v>2021</v>
      </c>
      <c r="B1140" s="315">
        <v>44279</v>
      </c>
      <c r="C1140" s="4" t="s">
        <v>66</v>
      </c>
      <c r="D1140" s="4" t="s">
        <v>1502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1503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+VLOOKUP(G1140,Liste!$A$7:$G$69,3,FALSE)</f>
        <v>Chêne sessile</v>
      </c>
      <c r="BI1140" s="96" t="str">
        <f>+VLOOKUP(H1140,Liste!$B$7:$G$69,5,FALSE)</f>
        <v>Guide chênaie continentale</v>
      </c>
      <c r="BJ1140" s="135">
        <f t="shared" si="338"/>
        <v>84</v>
      </c>
      <c r="BK1140" s="135" t="str">
        <f t="shared" si="340"/>
        <v>Chêne sessile_F2_Dynamique_Guide chênaie continentale_84_</v>
      </c>
      <c r="BL1140" s="319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97" t="str">
        <f>+VLOOKUP(G1140,Liste!$A$7:$H$69,8,FALSE)</f>
        <v>Feuillus</v>
      </c>
      <c r="BU1140" s="297">
        <f t="shared" si="341"/>
        <v>1</v>
      </c>
      <c r="BV1140" s="299">
        <f t="shared" si="342"/>
        <v>0</v>
      </c>
      <c r="BW1140" s="318">
        <v>0</v>
      </c>
      <c r="BX1140" s="297">
        <f t="shared" si="343"/>
        <v>0.25</v>
      </c>
      <c r="BY1140">
        <f t="shared" si="344"/>
        <v>0</v>
      </c>
      <c r="BZ1140" s="303">
        <f t="shared" si="345"/>
        <v>0</v>
      </c>
      <c r="CB1140" s="298">
        <v>0.6</v>
      </c>
      <c r="CC1140" s="298">
        <v>0.4</v>
      </c>
      <c r="CD1140">
        <f t="shared" si="346"/>
        <v>0</v>
      </c>
      <c r="CE1140">
        <f t="shared" si="347"/>
        <v>0</v>
      </c>
      <c r="CF1140">
        <f t="shared" si="348"/>
        <v>0</v>
      </c>
      <c r="CG1140">
        <f t="shared" si="349"/>
        <v>0</v>
      </c>
      <c r="CH1140">
        <f t="shared" si="350"/>
        <v>0</v>
      </c>
      <c r="CI1140">
        <f t="shared" si="351"/>
        <v>0</v>
      </c>
      <c r="CJ1140">
        <f t="shared" si="352"/>
        <v>0</v>
      </c>
      <c r="CK1140">
        <f t="shared" si="353"/>
        <v>0</v>
      </c>
      <c r="CL1140">
        <f t="shared" si="354"/>
        <v>0</v>
      </c>
      <c r="CM1140">
        <f t="shared" si="356"/>
        <v>0</v>
      </c>
      <c r="CN1140">
        <f t="shared" si="355"/>
        <v>0</v>
      </c>
      <c r="CO1140">
        <f t="shared" si="339"/>
        <v>0</v>
      </c>
    </row>
    <row r="1141" spans="1:93" hidden="1" x14ac:dyDescent="0.25">
      <c r="A1141" s="4">
        <v>2021</v>
      </c>
      <c r="B1141" s="315">
        <v>44279</v>
      </c>
      <c r="C1141" s="4" t="s">
        <v>66</v>
      </c>
      <c r="D1141" s="4" t="s">
        <v>1502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1503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+VLOOKUP(G1141,Liste!$A$7:$G$69,3,FALSE)</f>
        <v>Chêne sessile</v>
      </c>
      <c r="BI1141" s="96" t="str">
        <f>+VLOOKUP(H1141,Liste!$B$7:$G$69,5,FALSE)</f>
        <v>Guide chênaie continentale</v>
      </c>
      <c r="BJ1141" s="135">
        <f t="shared" si="338"/>
        <v>84</v>
      </c>
      <c r="BK1141" s="135" t="str">
        <f t="shared" si="340"/>
        <v>Chêne sessile_F2_Dynamique_Guide chênaie continentale_84_</v>
      </c>
      <c r="BL1141" s="319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97" t="str">
        <f>+VLOOKUP(G1141,Liste!$A$7:$H$69,8,FALSE)</f>
        <v>Feuillus</v>
      </c>
      <c r="BU1141" s="297">
        <f t="shared" si="341"/>
        <v>1</v>
      </c>
      <c r="BV1141" s="299">
        <f t="shared" si="342"/>
        <v>0</v>
      </c>
      <c r="BW1141" s="318">
        <v>0</v>
      </c>
      <c r="BX1141" s="297">
        <f t="shared" si="343"/>
        <v>0.25</v>
      </c>
      <c r="BY1141">
        <f t="shared" si="344"/>
        <v>0</v>
      </c>
      <c r="BZ1141" s="303">
        <f t="shared" si="345"/>
        <v>0</v>
      </c>
      <c r="CB1141" s="298">
        <v>0.6</v>
      </c>
      <c r="CC1141" s="298">
        <v>0.4</v>
      </c>
      <c r="CD1141">
        <f t="shared" si="346"/>
        <v>0</v>
      </c>
      <c r="CE1141">
        <f t="shared" si="347"/>
        <v>0</v>
      </c>
      <c r="CF1141">
        <f t="shared" si="348"/>
        <v>0</v>
      </c>
      <c r="CG1141">
        <f t="shared" si="349"/>
        <v>0</v>
      </c>
      <c r="CH1141">
        <f t="shared" si="350"/>
        <v>0</v>
      </c>
      <c r="CI1141">
        <f t="shared" si="351"/>
        <v>0</v>
      </c>
      <c r="CJ1141">
        <f t="shared" si="352"/>
        <v>0</v>
      </c>
      <c r="CK1141">
        <f t="shared" si="353"/>
        <v>0</v>
      </c>
      <c r="CL1141">
        <f t="shared" si="354"/>
        <v>0</v>
      </c>
      <c r="CM1141">
        <f t="shared" si="356"/>
        <v>0</v>
      </c>
      <c r="CN1141">
        <f t="shared" si="355"/>
        <v>0</v>
      </c>
      <c r="CO1141">
        <f t="shared" si="339"/>
        <v>0</v>
      </c>
    </row>
    <row r="1142" spans="1:93" hidden="1" x14ac:dyDescent="0.25">
      <c r="A1142" s="4">
        <v>2021</v>
      </c>
      <c r="B1142" s="315">
        <v>44279</v>
      </c>
      <c r="C1142" s="4" t="s">
        <v>66</v>
      </c>
      <c r="D1142" s="4" t="s">
        <v>1502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1503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+VLOOKUP(G1142,Liste!$A$7:$G$69,3,FALSE)</f>
        <v>Chêne sessile</v>
      </c>
      <c r="BI1142" s="96" t="str">
        <f>+VLOOKUP(H1142,Liste!$B$7:$G$69,5,FALSE)</f>
        <v>Guide chênaie continentale</v>
      </c>
      <c r="BJ1142" s="135">
        <f t="shared" si="338"/>
        <v>87</v>
      </c>
      <c r="BK1142" s="135" t="str">
        <f t="shared" si="340"/>
        <v>Chêne sessile_F2_Dynamique_Guide chênaie continentale_87_</v>
      </c>
      <c r="BL1142" s="319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97" t="str">
        <f>+VLOOKUP(G1142,Liste!$A$7:$H$69,8,FALSE)</f>
        <v>Feuillus</v>
      </c>
      <c r="BU1142" s="297">
        <f t="shared" si="341"/>
        <v>1</v>
      </c>
      <c r="BV1142" s="299">
        <f t="shared" si="342"/>
        <v>0</v>
      </c>
      <c r="BW1142" s="318">
        <v>0</v>
      </c>
      <c r="BX1142" s="297">
        <f t="shared" si="343"/>
        <v>0.25</v>
      </c>
      <c r="BY1142">
        <f t="shared" si="344"/>
        <v>0</v>
      </c>
      <c r="BZ1142" s="303">
        <f t="shared" si="345"/>
        <v>0</v>
      </c>
      <c r="CB1142" s="298">
        <v>0.6</v>
      </c>
      <c r="CC1142" s="298">
        <v>0.4</v>
      </c>
      <c r="CD1142">
        <f t="shared" si="346"/>
        <v>0</v>
      </c>
      <c r="CE1142">
        <f t="shared" si="347"/>
        <v>0</v>
      </c>
      <c r="CF1142">
        <f t="shared" si="348"/>
        <v>0</v>
      </c>
      <c r="CG1142">
        <f t="shared" si="349"/>
        <v>0</v>
      </c>
      <c r="CH1142">
        <f t="shared" si="350"/>
        <v>0</v>
      </c>
      <c r="CI1142">
        <f t="shared" si="351"/>
        <v>0</v>
      </c>
      <c r="CJ1142">
        <f t="shared" si="352"/>
        <v>0</v>
      </c>
      <c r="CK1142">
        <f t="shared" si="353"/>
        <v>0</v>
      </c>
      <c r="CL1142">
        <f t="shared" si="354"/>
        <v>0</v>
      </c>
      <c r="CM1142">
        <f t="shared" si="356"/>
        <v>0</v>
      </c>
      <c r="CN1142">
        <f t="shared" si="355"/>
        <v>0</v>
      </c>
      <c r="CO1142">
        <f t="shared" si="339"/>
        <v>0</v>
      </c>
    </row>
    <row r="1143" spans="1:93" hidden="1" x14ac:dyDescent="0.25">
      <c r="A1143" s="4">
        <v>2021</v>
      </c>
      <c r="B1143" s="315">
        <v>44279</v>
      </c>
      <c r="C1143" s="4" t="s">
        <v>66</v>
      </c>
      <c r="D1143" s="4" t="s">
        <v>1502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1503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+VLOOKUP(G1143,Liste!$A$7:$G$69,3,FALSE)</f>
        <v>Chêne sessile</v>
      </c>
      <c r="BI1143" s="96" t="str">
        <f>+VLOOKUP(H1143,Liste!$B$7:$G$69,5,FALSE)</f>
        <v>Guide chênaie continentale</v>
      </c>
      <c r="BJ1143" s="135">
        <f t="shared" si="338"/>
        <v>90</v>
      </c>
      <c r="BK1143" s="135" t="str">
        <f t="shared" si="340"/>
        <v>Chêne sessile_F2_Dynamique_Guide chênaie continentale_90_</v>
      </c>
      <c r="BL1143" s="319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97" t="str">
        <f>+VLOOKUP(G1143,Liste!$A$7:$H$69,8,FALSE)</f>
        <v>Feuillus</v>
      </c>
      <c r="BU1143" s="297">
        <f t="shared" si="341"/>
        <v>1</v>
      </c>
      <c r="BV1143" s="299">
        <f t="shared" si="342"/>
        <v>0</v>
      </c>
      <c r="BW1143" s="318">
        <v>0</v>
      </c>
      <c r="BX1143" s="297">
        <f t="shared" si="343"/>
        <v>0.25</v>
      </c>
      <c r="BY1143">
        <f t="shared" si="344"/>
        <v>0</v>
      </c>
      <c r="BZ1143" s="303">
        <f t="shared" si="345"/>
        <v>0</v>
      </c>
      <c r="CB1143" s="298">
        <v>0.6</v>
      </c>
      <c r="CC1143" s="298">
        <v>0.4</v>
      </c>
      <c r="CD1143">
        <f t="shared" si="346"/>
        <v>0</v>
      </c>
      <c r="CE1143">
        <f t="shared" si="347"/>
        <v>0</v>
      </c>
      <c r="CF1143">
        <f t="shared" si="348"/>
        <v>0</v>
      </c>
      <c r="CG1143">
        <f t="shared" si="349"/>
        <v>0</v>
      </c>
      <c r="CH1143">
        <f t="shared" si="350"/>
        <v>0</v>
      </c>
      <c r="CI1143">
        <f t="shared" si="351"/>
        <v>0</v>
      </c>
      <c r="CJ1143">
        <f t="shared" si="352"/>
        <v>0</v>
      </c>
      <c r="CK1143">
        <f t="shared" si="353"/>
        <v>0</v>
      </c>
      <c r="CL1143">
        <f t="shared" si="354"/>
        <v>0</v>
      </c>
      <c r="CM1143">
        <f t="shared" si="356"/>
        <v>0</v>
      </c>
      <c r="CN1143">
        <f t="shared" si="355"/>
        <v>0</v>
      </c>
      <c r="CO1143">
        <f t="shared" si="339"/>
        <v>0</v>
      </c>
    </row>
    <row r="1144" spans="1:93" hidden="1" x14ac:dyDescent="0.25">
      <c r="A1144" s="4">
        <v>2021</v>
      </c>
      <c r="B1144" s="315">
        <v>44279</v>
      </c>
      <c r="C1144" s="4" t="s">
        <v>66</v>
      </c>
      <c r="D1144" s="4" t="s">
        <v>1502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1503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+VLOOKUP(G1144,Liste!$A$7:$G$69,3,FALSE)</f>
        <v>Chêne sessile</v>
      </c>
      <c r="BI1144" s="96" t="str">
        <f>+VLOOKUP(H1144,Liste!$B$7:$G$69,5,FALSE)</f>
        <v>Guide chênaie continentale</v>
      </c>
      <c r="BJ1144" s="135">
        <f t="shared" si="338"/>
        <v>93</v>
      </c>
      <c r="BK1144" s="135" t="str">
        <f t="shared" si="340"/>
        <v>Chêne sessile_F2_Dynamique_Guide chênaie continentale_93_</v>
      </c>
      <c r="BL1144" s="319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97" t="str">
        <f>+VLOOKUP(G1144,Liste!$A$7:$H$69,8,FALSE)</f>
        <v>Feuillus</v>
      </c>
      <c r="BU1144" s="297">
        <f t="shared" si="341"/>
        <v>1</v>
      </c>
      <c r="BV1144" s="299">
        <f t="shared" si="342"/>
        <v>0</v>
      </c>
      <c r="BW1144" s="318">
        <v>0</v>
      </c>
      <c r="BX1144" s="297">
        <f t="shared" si="343"/>
        <v>0.25</v>
      </c>
      <c r="BY1144">
        <f t="shared" si="344"/>
        <v>0</v>
      </c>
      <c r="BZ1144" s="303">
        <f t="shared" si="345"/>
        <v>0</v>
      </c>
      <c r="CB1144" s="298">
        <v>0.6</v>
      </c>
      <c r="CC1144" s="298">
        <v>0.4</v>
      </c>
      <c r="CD1144">
        <f t="shared" si="346"/>
        <v>0</v>
      </c>
      <c r="CE1144">
        <f t="shared" si="347"/>
        <v>0</v>
      </c>
      <c r="CF1144">
        <f t="shared" si="348"/>
        <v>0</v>
      </c>
      <c r="CG1144">
        <f t="shared" si="349"/>
        <v>0</v>
      </c>
      <c r="CH1144">
        <f t="shared" si="350"/>
        <v>0</v>
      </c>
      <c r="CI1144">
        <f t="shared" si="351"/>
        <v>0</v>
      </c>
      <c r="CJ1144">
        <f t="shared" si="352"/>
        <v>0</v>
      </c>
      <c r="CK1144">
        <f t="shared" si="353"/>
        <v>0</v>
      </c>
      <c r="CL1144">
        <f t="shared" si="354"/>
        <v>0</v>
      </c>
      <c r="CM1144">
        <f t="shared" si="356"/>
        <v>0</v>
      </c>
      <c r="CN1144">
        <f t="shared" si="355"/>
        <v>0</v>
      </c>
      <c r="CO1144">
        <f t="shared" si="339"/>
        <v>0</v>
      </c>
    </row>
    <row r="1145" spans="1:93" hidden="1" x14ac:dyDescent="0.25">
      <c r="A1145" s="4">
        <v>2021</v>
      </c>
      <c r="B1145" s="315">
        <v>44279</v>
      </c>
      <c r="C1145" s="4" t="s">
        <v>66</v>
      </c>
      <c r="D1145" s="4" t="s">
        <v>1502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1503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+VLOOKUP(G1145,Liste!$A$7:$G$69,3,FALSE)</f>
        <v>Chêne sessile</v>
      </c>
      <c r="BI1145" s="96" t="str">
        <f>+VLOOKUP(H1145,Liste!$B$7:$G$69,5,FALSE)</f>
        <v>Guide chênaie continentale</v>
      </c>
      <c r="BJ1145" s="135">
        <f t="shared" si="338"/>
        <v>93</v>
      </c>
      <c r="BK1145" s="135" t="str">
        <f t="shared" si="340"/>
        <v>Chêne sessile_F2_Dynamique_Guide chênaie continentale_93_</v>
      </c>
      <c r="BL1145" s="319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97" t="str">
        <f>+VLOOKUP(G1145,Liste!$A$7:$H$69,8,FALSE)</f>
        <v>Feuillus</v>
      </c>
      <c r="BU1145" s="297">
        <f t="shared" si="341"/>
        <v>1</v>
      </c>
      <c r="BV1145" s="299">
        <f t="shared" si="342"/>
        <v>0</v>
      </c>
      <c r="BW1145" s="318">
        <v>0</v>
      </c>
      <c r="BX1145" s="297">
        <f t="shared" si="343"/>
        <v>0.25</v>
      </c>
      <c r="BY1145">
        <f t="shared" si="344"/>
        <v>0</v>
      </c>
      <c r="BZ1145" s="303">
        <f t="shared" si="345"/>
        <v>0</v>
      </c>
      <c r="CB1145" s="298">
        <v>0.6</v>
      </c>
      <c r="CC1145" s="298">
        <v>0.4</v>
      </c>
      <c r="CD1145">
        <f t="shared" si="346"/>
        <v>0</v>
      </c>
      <c r="CE1145">
        <f t="shared" si="347"/>
        <v>0</v>
      </c>
      <c r="CF1145">
        <f t="shared" si="348"/>
        <v>0</v>
      </c>
      <c r="CG1145">
        <f t="shared" si="349"/>
        <v>0</v>
      </c>
      <c r="CH1145">
        <f t="shared" si="350"/>
        <v>0</v>
      </c>
      <c r="CI1145">
        <f t="shared" si="351"/>
        <v>0</v>
      </c>
      <c r="CJ1145">
        <f t="shared" si="352"/>
        <v>0</v>
      </c>
      <c r="CK1145">
        <f t="shared" si="353"/>
        <v>0</v>
      </c>
      <c r="CL1145">
        <f t="shared" si="354"/>
        <v>0</v>
      </c>
      <c r="CM1145">
        <f t="shared" si="356"/>
        <v>0</v>
      </c>
      <c r="CN1145">
        <f t="shared" si="355"/>
        <v>0</v>
      </c>
      <c r="CO1145">
        <f t="shared" si="339"/>
        <v>0</v>
      </c>
    </row>
    <row r="1146" spans="1:93" hidden="1" x14ac:dyDescent="0.25">
      <c r="A1146" s="4">
        <v>2021</v>
      </c>
      <c r="B1146" s="315">
        <v>44279</v>
      </c>
      <c r="C1146" s="4" t="s">
        <v>66</v>
      </c>
      <c r="D1146" s="4" t="s">
        <v>1502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1503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+VLOOKUP(G1146,Liste!$A$7:$G$69,3,FALSE)</f>
        <v>Chêne sessile</v>
      </c>
      <c r="BI1146" s="96" t="str">
        <f>+VLOOKUP(H1146,Liste!$B$7:$G$69,5,FALSE)</f>
        <v>Guide chênaie continentale</v>
      </c>
      <c r="BJ1146" s="135">
        <f t="shared" si="338"/>
        <v>96</v>
      </c>
      <c r="BK1146" s="135" t="str">
        <f t="shared" si="340"/>
        <v>Chêne sessile_F2_Dynamique_Guide chênaie continentale_96_</v>
      </c>
      <c r="BL1146" s="319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97" t="str">
        <f>+VLOOKUP(G1146,Liste!$A$7:$H$69,8,FALSE)</f>
        <v>Feuillus</v>
      </c>
      <c r="BU1146" s="297">
        <f t="shared" si="341"/>
        <v>1</v>
      </c>
      <c r="BV1146" s="299">
        <f t="shared" si="342"/>
        <v>0</v>
      </c>
      <c r="BW1146" s="318">
        <v>0</v>
      </c>
      <c r="BX1146" s="297">
        <f t="shared" si="343"/>
        <v>0.25</v>
      </c>
      <c r="BY1146">
        <f t="shared" si="344"/>
        <v>0</v>
      </c>
      <c r="BZ1146" s="303">
        <f t="shared" si="345"/>
        <v>0</v>
      </c>
      <c r="CB1146" s="298">
        <v>0.6</v>
      </c>
      <c r="CC1146" s="298">
        <v>0.4</v>
      </c>
      <c r="CD1146">
        <f t="shared" si="346"/>
        <v>0</v>
      </c>
      <c r="CE1146">
        <f t="shared" si="347"/>
        <v>0</v>
      </c>
      <c r="CF1146">
        <f t="shared" si="348"/>
        <v>0</v>
      </c>
      <c r="CG1146">
        <f t="shared" si="349"/>
        <v>0</v>
      </c>
      <c r="CH1146">
        <f t="shared" si="350"/>
        <v>0</v>
      </c>
      <c r="CI1146">
        <f t="shared" si="351"/>
        <v>0</v>
      </c>
      <c r="CJ1146">
        <f t="shared" si="352"/>
        <v>0</v>
      </c>
      <c r="CK1146">
        <f t="shared" si="353"/>
        <v>0</v>
      </c>
      <c r="CL1146">
        <f t="shared" si="354"/>
        <v>0</v>
      </c>
      <c r="CM1146">
        <f t="shared" si="356"/>
        <v>0</v>
      </c>
      <c r="CN1146">
        <f t="shared" si="355"/>
        <v>0</v>
      </c>
      <c r="CO1146">
        <f t="shared" si="339"/>
        <v>0</v>
      </c>
    </row>
    <row r="1147" spans="1:93" hidden="1" x14ac:dyDescent="0.25">
      <c r="A1147" s="4">
        <v>2021</v>
      </c>
      <c r="B1147" s="315">
        <v>44279</v>
      </c>
      <c r="C1147" s="4" t="s">
        <v>66</v>
      </c>
      <c r="D1147" s="4" t="s">
        <v>1502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1503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+VLOOKUP(G1147,Liste!$A$7:$G$69,3,FALSE)</f>
        <v>Chêne sessile</v>
      </c>
      <c r="BI1147" s="96" t="str">
        <f>+VLOOKUP(H1147,Liste!$B$7:$G$69,5,FALSE)</f>
        <v>Guide chênaie continentale</v>
      </c>
      <c r="BJ1147" s="135">
        <f t="shared" si="338"/>
        <v>99</v>
      </c>
      <c r="BK1147" s="135" t="str">
        <f t="shared" si="340"/>
        <v>Chêne sessile_F2_Dynamique_Guide chênaie continentale_99_</v>
      </c>
      <c r="BL1147" s="319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97" t="str">
        <f>+VLOOKUP(G1147,Liste!$A$7:$H$69,8,FALSE)</f>
        <v>Feuillus</v>
      </c>
      <c r="BU1147" s="297">
        <f t="shared" si="341"/>
        <v>1</v>
      </c>
      <c r="BV1147" s="299">
        <f t="shared" si="342"/>
        <v>0</v>
      </c>
      <c r="BW1147" s="318">
        <v>0</v>
      </c>
      <c r="BX1147" s="297">
        <f t="shared" si="343"/>
        <v>0.25</v>
      </c>
      <c r="BY1147">
        <f t="shared" si="344"/>
        <v>0</v>
      </c>
      <c r="BZ1147" s="303">
        <f t="shared" si="345"/>
        <v>0</v>
      </c>
      <c r="CB1147" s="298">
        <v>0.6</v>
      </c>
      <c r="CC1147" s="298">
        <v>0.4</v>
      </c>
      <c r="CD1147">
        <f t="shared" si="346"/>
        <v>0</v>
      </c>
      <c r="CE1147">
        <f t="shared" si="347"/>
        <v>0</v>
      </c>
      <c r="CF1147">
        <f t="shared" si="348"/>
        <v>0</v>
      </c>
      <c r="CG1147">
        <f t="shared" si="349"/>
        <v>0</v>
      </c>
      <c r="CH1147">
        <f t="shared" si="350"/>
        <v>0</v>
      </c>
      <c r="CI1147">
        <f t="shared" si="351"/>
        <v>0</v>
      </c>
      <c r="CJ1147">
        <f t="shared" si="352"/>
        <v>0</v>
      </c>
      <c r="CK1147">
        <f t="shared" si="353"/>
        <v>0</v>
      </c>
      <c r="CL1147">
        <f t="shared" si="354"/>
        <v>0</v>
      </c>
      <c r="CM1147">
        <f t="shared" si="356"/>
        <v>0</v>
      </c>
      <c r="CN1147">
        <f t="shared" si="355"/>
        <v>0</v>
      </c>
      <c r="CO1147">
        <f t="shared" si="339"/>
        <v>0</v>
      </c>
    </row>
    <row r="1148" spans="1:93" hidden="1" x14ac:dyDescent="0.25">
      <c r="A1148" s="4">
        <v>2021</v>
      </c>
      <c r="B1148" s="315">
        <v>44279</v>
      </c>
      <c r="C1148" s="4" t="s">
        <v>66</v>
      </c>
      <c r="D1148" s="4" t="s">
        <v>1502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1503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+VLOOKUP(G1148,Liste!$A$7:$G$69,3,FALSE)</f>
        <v>Chêne sessile</v>
      </c>
      <c r="BI1148" s="96" t="str">
        <f>+VLOOKUP(H1148,Liste!$B$7:$G$69,5,FALSE)</f>
        <v>Guide chênaie continentale</v>
      </c>
      <c r="BJ1148" s="135">
        <f t="shared" si="338"/>
        <v>103</v>
      </c>
      <c r="BK1148" s="135" t="str">
        <f t="shared" si="340"/>
        <v>Chêne sessile_F2_Dynamique_Guide chênaie continentale_103_</v>
      </c>
      <c r="BL1148" s="319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97" t="str">
        <f>+VLOOKUP(G1148,Liste!$A$7:$H$69,8,FALSE)</f>
        <v>Feuillus</v>
      </c>
      <c r="BU1148" s="297">
        <f t="shared" si="341"/>
        <v>1</v>
      </c>
      <c r="BV1148" s="299">
        <f t="shared" si="342"/>
        <v>0</v>
      </c>
      <c r="BW1148" s="318">
        <v>0</v>
      </c>
      <c r="BX1148" s="297">
        <f t="shared" si="343"/>
        <v>0.25</v>
      </c>
      <c r="BY1148">
        <f t="shared" si="344"/>
        <v>0</v>
      </c>
      <c r="BZ1148" s="303">
        <f t="shared" si="345"/>
        <v>0</v>
      </c>
      <c r="CB1148" s="298">
        <v>0.6</v>
      </c>
      <c r="CC1148" s="298">
        <v>0.4</v>
      </c>
      <c r="CD1148">
        <f t="shared" si="346"/>
        <v>0</v>
      </c>
      <c r="CE1148">
        <f t="shared" si="347"/>
        <v>0</v>
      </c>
      <c r="CF1148">
        <f t="shared" si="348"/>
        <v>0</v>
      </c>
      <c r="CG1148">
        <f t="shared" si="349"/>
        <v>0</v>
      </c>
      <c r="CH1148">
        <f t="shared" si="350"/>
        <v>0</v>
      </c>
      <c r="CI1148">
        <f t="shared" si="351"/>
        <v>0</v>
      </c>
      <c r="CJ1148">
        <f t="shared" si="352"/>
        <v>0</v>
      </c>
      <c r="CK1148">
        <f t="shared" si="353"/>
        <v>0</v>
      </c>
      <c r="CL1148">
        <f t="shared" si="354"/>
        <v>0</v>
      </c>
      <c r="CM1148">
        <f t="shared" si="356"/>
        <v>0</v>
      </c>
      <c r="CN1148">
        <f t="shared" si="355"/>
        <v>0</v>
      </c>
      <c r="CO1148">
        <f t="shared" si="339"/>
        <v>0</v>
      </c>
    </row>
    <row r="1149" spans="1:93" hidden="1" x14ac:dyDescent="0.25">
      <c r="A1149" s="4">
        <v>2021</v>
      </c>
      <c r="B1149" s="315">
        <v>44279</v>
      </c>
      <c r="C1149" s="4" t="s">
        <v>66</v>
      </c>
      <c r="D1149" s="4" t="s">
        <v>1502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1503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+VLOOKUP(G1149,Liste!$A$7:$G$69,3,FALSE)</f>
        <v>Chêne sessile</v>
      </c>
      <c r="BI1149" s="96" t="str">
        <f>+VLOOKUP(H1149,Liste!$B$7:$G$69,5,FALSE)</f>
        <v>Guide chênaie continentale</v>
      </c>
      <c r="BJ1149" s="135">
        <f t="shared" si="338"/>
        <v>103</v>
      </c>
      <c r="BK1149" s="135" t="str">
        <f t="shared" si="340"/>
        <v>Chêne sessile_F2_Dynamique_Guide chênaie continentale_103_</v>
      </c>
      <c r="BL1149" s="319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97" t="str">
        <f>+VLOOKUP(G1149,Liste!$A$7:$H$69,8,FALSE)</f>
        <v>Feuillus</v>
      </c>
      <c r="BU1149" s="297">
        <f t="shared" si="341"/>
        <v>1</v>
      </c>
      <c r="BV1149" s="299">
        <f t="shared" si="342"/>
        <v>0</v>
      </c>
      <c r="BW1149" s="318">
        <v>0</v>
      </c>
      <c r="BX1149" s="297">
        <f t="shared" si="343"/>
        <v>0.25</v>
      </c>
      <c r="BY1149">
        <f t="shared" si="344"/>
        <v>0</v>
      </c>
      <c r="BZ1149" s="303">
        <f t="shared" si="345"/>
        <v>0</v>
      </c>
      <c r="CB1149" s="298">
        <v>0.6</v>
      </c>
      <c r="CC1149" s="298">
        <v>0.4</v>
      </c>
      <c r="CD1149">
        <f t="shared" si="346"/>
        <v>0</v>
      </c>
      <c r="CE1149">
        <f t="shared" si="347"/>
        <v>0</v>
      </c>
      <c r="CF1149">
        <f t="shared" si="348"/>
        <v>0</v>
      </c>
      <c r="CG1149">
        <f t="shared" si="349"/>
        <v>0</v>
      </c>
      <c r="CH1149">
        <f t="shared" si="350"/>
        <v>0</v>
      </c>
      <c r="CI1149">
        <f t="shared" si="351"/>
        <v>0</v>
      </c>
      <c r="CJ1149">
        <f t="shared" si="352"/>
        <v>0</v>
      </c>
      <c r="CK1149">
        <f t="shared" si="353"/>
        <v>0</v>
      </c>
      <c r="CL1149">
        <f t="shared" si="354"/>
        <v>0</v>
      </c>
      <c r="CM1149">
        <f t="shared" si="356"/>
        <v>0</v>
      </c>
      <c r="CN1149">
        <f t="shared" si="355"/>
        <v>0</v>
      </c>
      <c r="CO1149">
        <f t="shared" si="339"/>
        <v>0</v>
      </c>
    </row>
    <row r="1150" spans="1:93" hidden="1" x14ac:dyDescent="0.25">
      <c r="A1150" s="4">
        <v>2021</v>
      </c>
      <c r="B1150" s="315">
        <v>44279</v>
      </c>
      <c r="C1150" s="4" t="s">
        <v>66</v>
      </c>
      <c r="D1150" s="4" t="s">
        <v>1502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1503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+VLOOKUP(G1150,Liste!$A$7:$G$69,3,FALSE)</f>
        <v>Chêne sessile</v>
      </c>
      <c r="BI1150" s="96" t="str">
        <f>+VLOOKUP(H1150,Liste!$B$7:$G$69,5,FALSE)</f>
        <v>Guide chênaie continentale</v>
      </c>
      <c r="BJ1150" s="135">
        <f t="shared" si="338"/>
        <v>106</v>
      </c>
      <c r="BK1150" s="135" t="str">
        <f t="shared" si="340"/>
        <v>Chêne sessile_F2_Dynamique_Guide chênaie continentale_106_</v>
      </c>
      <c r="BL1150" s="319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97" t="str">
        <f>+VLOOKUP(G1150,Liste!$A$7:$H$69,8,FALSE)</f>
        <v>Feuillus</v>
      </c>
      <c r="BU1150" s="297">
        <f t="shared" si="341"/>
        <v>1</v>
      </c>
      <c r="BV1150" s="299">
        <f t="shared" si="342"/>
        <v>0</v>
      </c>
      <c r="BW1150" s="318">
        <v>0</v>
      </c>
      <c r="BX1150" s="297">
        <f t="shared" si="343"/>
        <v>0.25</v>
      </c>
      <c r="BY1150">
        <f t="shared" si="344"/>
        <v>0</v>
      </c>
      <c r="BZ1150" s="303">
        <f t="shared" si="345"/>
        <v>0</v>
      </c>
      <c r="CB1150" s="298">
        <v>0.6</v>
      </c>
      <c r="CC1150" s="298">
        <v>0.4</v>
      </c>
      <c r="CD1150">
        <f t="shared" si="346"/>
        <v>0</v>
      </c>
      <c r="CE1150">
        <f t="shared" si="347"/>
        <v>0</v>
      </c>
      <c r="CF1150">
        <f t="shared" si="348"/>
        <v>0</v>
      </c>
      <c r="CG1150">
        <f t="shared" si="349"/>
        <v>0</v>
      </c>
      <c r="CH1150">
        <f t="shared" si="350"/>
        <v>0</v>
      </c>
      <c r="CI1150">
        <f t="shared" si="351"/>
        <v>0</v>
      </c>
      <c r="CJ1150">
        <f t="shared" si="352"/>
        <v>0</v>
      </c>
      <c r="CK1150">
        <f t="shared" si="353"/>
        <v>0</v>
      </c>
      <c r="CL1150">
        <f t="shared" si="354"/>
        <v>0</v>
      </c>
      <c r="CM1150">
        <f t="shared" si="356"/>
        <v>0</v>
      </c>
      <c r="CN1150">
        <f t="shared" si="355"/>
        <v>0</v>
      </c>
      <c r="CO1150">
        <f t="shared" si="339"/>
        <v>0</v>
      </c>
    </row>
    <row r="1151" spans="1:93" hidden="1" x14ac:dyDescent="0.25">
      <c r="A1151" s="4">
        <v>2021</v>
      </c>
      <c r="B1151" s="315">
        <v>44279</v>
      </c>
      <c r="C1151" s="4" t="s">
        <v>66</v>
      </c>
      <c r="D1151" s="4" t="s">
        <v>1502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1503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+VLOOKUP(G1151,Liste!$A$7:$G$69,3,FALSE)</f>
        <v>Chêne sessile</v>
      </c>
      <c r="BI1151" s="96" t="str">
        <f>+VLOOKUP(H1151,Liste!$B$7:$G$69,5,FALSE)</f>
        <v>Guide chênaie continentale</v>
      </c>
      <c r="BJ1151" s="135">
        <f t="shared" si="338"/>
        <v>109</v>
      </c>
      <c r="BK1151" s="135" t="str">
        <f t="shared" si="340"/>
        <v>Chêne sessile_F2_Dynamique_Guide chênaie continentale_109_</v>
      </c>
      <c r="BL1151" s="319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97" t="str">
        <f>+VLOOKUP(G1151,Liste!$A$7:$H$69,8,FALSE)</f>
        <v>Feuillus</v>
      </c>
      <c r="BU1151" s="297">
        <f t="shared" si="341"/>
        <v>1</v>
      </c>
      <c r="BV1151" s="299">
        <f t="shared" si="342"/>
        <v>0</v>
      </c>
      <c r="BW1151" s="318">
        <v>0</v>
      </c>
      <c r="BX1151" s="297">
        <f t="shared" si="343"/>
        <v>0.25</v>
      </c>
      <c r="BY1151">
        <f t="shared" si="344"/>
        <v>0</v>
      </c>
      <c r="BZ1151" s="303">
        <f t="shared" si="345"/>
        <v>0</v>
      </c>
      <c r="CB1151" s="298">
        <v>0.6</v>
      </c>
      <c r="CC1151" s="298">
        <v>0.4</v>
      </c>
      <c r="CD1151">
        <f t="shared" si="346"/>
        <v>0</v>
      </c>
      <c r="CE1151">
        <f t="shared" si="347"/>
        <v>0</v>
      </c>
      <c r="CF1151">
        <f t="shared" si="348"/>
        <v>0</v>
      </c>
      <c r="CG1151">
        <f t="shared" si="349"/>
        <v>0</v>
      </c>
      <c r="CH1151">
        <f t="shared" si="350"/>
        <v>0</v>
      </c>
      <c r="CI1151">
        <f t="shared" si="351"/>
        <v>0</v>
      </c>
      <c r="CJ1151">
        <f t="shared" si="352"/>
        <v>0</v>
      </c>
      <c r="CK1151">
        <f t="shared" si="353"/>
        <v>0</v>
      </c>
      <c r="CL1151">
        <f t="shared" si="354"/>
        <v>0</v>
      </c>
      <c r="CM1151">
        <f t="shared" si="356"/>
        <v>0</v>
      </c>
      <c r="CN1151">
        <f t="shared" si="355"/>
        <v>0</v>
      </c>
      <c r="CO1151">
        <f t="shared" si="339"/>
        <v>0</v>
      </c>
    </row>
    <row r="1152" spans="1:93" hidden="1" x14ac:dyDescent="0.25">
      <c r="A1152" s="4">
        <v>2021</v>
      </c>
      <c r="B1152" s="315">
        <v>44279</v>
      </c>
      <c r="C1152" s="4" t="s">
        <v>66</v>
      </c>
      <c r="D1152" s="4" t="s">
        <v>1502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1503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+VLOOKUP(G1152,Liste!$A$7:$G$69,3,FALSE)</f>
        <v>Chêne sessile</v>
      </c>
      <c r="BI1152" s="96" t="str">
        <f>+VLOOKUP(H1152,Liste!$B$7:$G$69,5,FALSE)</f>
        <v>Guide chênaie continentale</v>
      </c>
      <c r="BJ1152" s="135">
        <f t="shared" si="338"/>
        <v>113</v>
      </c>
      <c r="BK1152" s="135" t="str">
        <f t="shared" si="340"/>
        <v>Chêne sessile_F2_Dynamique_Guide chênaie continentale_113_</v>
      </c>
      <c r="BL1152" s="319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97" t="str">
        <f>+VLOOKUP(G1152,Liste!$A$7:$H$69,8,FALSE)</f>
        <v>Feuillus</v>
      </c>
      <c r="BU1152" s="297">
        <f t="shared" si="341"/>
        <v>1</v>
      </c>
      <c r="BV1152" s="299">
        <f t="shared" si="342"/>
        <v>0</v>
      </c>
      <c r="BW1152" s="318">
        <v>0</v>
      </c>
      <c r="BX1152" s="297">
        <f t="shared" si="343"/>
        <v>0.25</v>
      </c>
      <c r="BY1152">
        <f t="shared" si="344"/>
        <v>0</v>
      </c>
      <c r="BZ1152" s="303">
        <f t="shared" si="345"/>
        <v>0</v>
      </c>
      <c r="CB1152" s="298">
        <v>0.6</v>
      </c>
      <c r="CC1152" s="298">
        <v>0.4</v>
      </c>
      <c r="CD1152">
        <f t="shared" si="346"/>
        <v>0</v>
      </c>
      <c r="CE1152">
        <f t="shared" si="347"/>
        <v>0</v>
      </c>
      <c r="CF1152">
        <f t="shared" si="348"/>
        <v>0</v>
      </c>
      <c r="CG1152">
        <f t="shared" si="349"/>
        <v>0</v>
      </c>
      <c r="CH1152">
        <f t="shared" si="350"/>
        <v>0</v>
      </c>
      <c r="CI1152">
        <f t="shared" si="351"/>
        <v>0</v>
      </c>
      <c r="CJ1152">
        <f t="shared" si="352"/>
        <v>0</v>
      </c>
      <c r="CK1152">
        <f t="shared" si="353"/>
        <v>0</v>
      </c>
      <c r="CL1152">
        <f t="shared" si="354"/>
        <v>0</v>
      </c>
      <c r="CM1152">
        <f t="shared" si="356"/>
        <v>0</v>
      </c>
      <c r="CN1152">
        <f t="shared" si="355"/>
        <v>0</v>
      </c>
      <c r="CO1152">
        <f t="shared" si="339"/>
        <v>0</v>
      </c>
    </row>
    <row r="1153" spans="1:93" hidden="1" x14ac:dyDescent="0.25">
      <c r="A1153" s="4">
        <v>2021</v>
      </c>
      <c r="B1153" s="315">
        <v>44279</v>
      </c>
      <c r="C1153" s="4" t="s">
        <v>66</v>
      </c>
      <c r="D1153" s="4" t="s">
        <v>1502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1503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+VLOOKUP(G1153,Liste!$A$7:$G$69,3,FALSE)</f>
        <v>Chêne sessile</v>
      </c>
      <c r="BI1153" s="96" t="str">
        <f>+VLOOKUP(H1153,Liste!$B$7:$G$69,5,FALSE)</f>
        <v>Guide chênaie continentale</v>
      </c>
      <c r="BJ1153" s="135">
        <f t="shared" si="338"/>
        <v>113</v>
      </c>
      <c r="BK1153" s="135" t="str">
        <f t="shared" si="340"/>
        <v>Chêne sessile_F2_Dynamique_Guide chênaie continentale_113_</v>
      </c>
      <c r="BL1153" s="319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97" t="str">
        <f>+VLOOKUP(G1153,Liste!$A$7:$H$69,8,FALSE)</f>
        <v>Feuillus</v>
      </c>
      <c r="BU1153" s="297">
        <f t="shared" si="341"/>
        <v>1</v>
      </c>
      <c r="BV1153" s="299">
        <f t="shared" si="342"/>
        <v>0</v>
      </c>
      <c r="BW1153" s="318">
        <v>0</v>
      </c>
      <c r="BX1153" s="297">
        <f t="shared" si="343"/>
        <v>0.25</v>
      </c>
      <c r="BY1153">
        <f t="shared" si="344"/>
        <v>0</v>
      </c>
      <c r="BZ1153" s="303">
        <f t="shared" si="345"/>
        <v>0</v>
      </c>
      <c r="CB1153" s="298">
        <v>0.6</v>
      </c>
      <c r="CC1153" s="298">
        <v>0.4</v>
      </c>
      <c r="CD1153">
        <f t="shared" si="346"/>
        <v>0</v>
      </c>
      <c r="CE1153">
        <f t="shared" si="347"/>
        <v>0</v>
      </c>
      <c r="CF1153">
        <f t="shared" si="348"/>
        <v>0</v>
      </c>
      <c r="CG1153">
        <f t="shared" si="349"/>
        <v>0</v>
      </c>
      <c r="CH1153">
        <f t="shared" si="350"/>
        <v>0</v>
      </c>
      <c r="CI1153">
        <f t="shared" si="351"/>
        <v>0</v>
      </c>
      <c r="CJ1153">
        <f t="shared" si="352"/>
        <v>0</v>
      </c>
      <c r="CK1153">
        <f t="shared" si="353"/>
        <v>0</v>
      </c>
      <c r="CL1153">
        <f t="shared" si="354"/>
        <v>0</v>
      </c>
      <c r="CM1153">
        <f t="shared" si="356"/>
        <v>0</v>
      </c>
      <c r="CN1153">
        <f t="shared" si="355"/>
        <v>0</v>
      </c>
      <c r="CO1153">
        <f t="shared" si="339"/>
        <v>0</v>
      </c>
    </row>
    <row r="1154" spans="1:93" hidden="1" x14ac:dyDescent="0.25">
      <c r="A1154" s="4">
        <v>2021</v>
      </c>
      <c r="B1154" s="315">
        <v>44279</v>
      </c>
      <c r="C1154" s="4" t="s">
        <v>66</v>
      </c>
      <c r="D1154" s="4" t="s">
        <v>1502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1503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+VLOOKUP(G1154,Liste!$A$7:$G$69,3,FALSE)</f>
        <v>Chêne sessile</v>
      </c>
      <c r="BI1154" s="96" t="str">
        <f>+VLOOKUP(H1154,Liste!$B$7:$G$69,5,FALSE)</f>
        <v>Guide chênaie continentale</v>
      </c>
      <c r="BJ1154" s="135">
        <f t="shared" si="338"/>
        <v>116</v>
      </c>
      <c r="BK1154" s="135" t="str">
        <f t="shared" si="340"/>
        <v>Chêne sessile_F2_Dynamique_Guide chênaie continentale_116_</v>
      </c>
      <c r="BL1154" s="319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97" t="str">
        <f>+VLOOKUP(G1154,Liste!$A$7:$H$69,8,FALSE)</f>
        <v>Feuillus</v>
      </c>
      <c r="BU1154" s="297">
        <f t="shared" si="341"/>
        <v>1</v>
      </c>
      <c r="BV1154" s="299">
        <f t="shared" si="342"/>
        <v>0</v>
      </c>
      <c r="BW1154" s="318">
        <v>0</v>
      </c>
      <c r="BX1154" s="297">
        <f t="shared" si="343"/>
        <v>0.25</v>
      </c>
      <c r="BY1154">
        <f t="shared" si="344"/>
        <v>0</v>
      </c>
      <c r="BZ1154" s="303">
        <f t="shared" si="345"/>
        <v>0</v>
      </c>
      <c r="CB1154" s="298">
        <v>0.6</v>
      </c>
      <c r="CC1154" s="298">
        <v>0.4</v>
      </c>
      <c r="CD1154">
        <f t="shared" si="346"/>
        <v>0</v>
      </c>
      <c r="CE1154">
        <f t="shared" si="347"/>
        <v>0</v>
      </c>
      <c r="CF1154">
        <f t="shared" si="348"/>
        <v>0</v>
      </c>
      <c r="CG1154">
        <f t="shared" si="349"/>
        <v>0</v>
      </c>
      <c r="CH1154">
        <f t="shared" si="350"/>
        <v>0</v>
      </c>
      <c r="CI1154">
        <f t="shared" si="351"/>
        <v>0</v>
      </c>
      <c r="CJ1154">
        <f t="shared" si="352"/>
        <v>0</v>
      </c>
      <c r="CK1154">
        <f t="shared" si="353"/>
        <v>0</v>
      </c>
      <c r="CL1154">
        <f t="shared" si="354"/>
        <v>0</v>
      </c>
      <c r="CM1154">
        <f t="shared" si="356"/>
        <v>0</v>
      </c>
      <c r="CN1154">
        <f t="shared" si="355"/>
        <v>0</v>
      </c>
      <c r="CO1154">
        <f t="shared" si="339"/>
        <v>0</v>
      </c>
    </row>
    <row r="1155" spans="1:93" hidden="1" x14ac:dyDescent="0.25">
      <c r="A1155" s="4">
        <v>2021</v>
      </c>
      <c r="B1155" s="315">
        <v>44279</v>
      </c>
      <c r="C1155" s="4" t="s">
        <v>66</v>
      </c>
      <c r="D1155" s="4" t="s">
        <v>1502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1503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+VLOOKUP(G1155,Liste!$A$7:$G$69,3,FALSE)</f>
        <v>Chêne sessile</v>
      </c>
      <c r="BI1155" s="96" t="str">
        <f>+VLOOKUP(H1155,Liste!$B$7:$G$69,5,FALSE)</f>
        <v>Guide chênaie continentale</v>
      </c>
      <c r="BJ1155" s="135">
        <f t="shared" ref="BJ1155:BJ1218" si="358">+AC1155</f>
        <v>119</v>
      </c>
      <c r="BK1155" s="135" t="str">
        <f t="shared" si="340"/>
        <v>Chêne sessile_F2_Dynamique_Guide chênaie continentale_119_</v>
      </c>
      <c r="BL1155" s="319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97" t="str">
        <f>+VLOOKUP(G1155,Liste!$A$7:$H$69,8,FALSE)</f>
        <v>Feuillus</v>
      </c>
      <c r="BU1155" s="297">
        <f t="shared" si="341"/>
        <v>1</v>
      </c>
      <c r="BV1155" s="299">
        <f t="shared" si="342"/>
        <v>0</v>
      </c>
      <c r="BW1155" s="318">
        <v>0</v>
      </c>
      <c r="BX1155" s="297">
        <f t="shared" si="343"/>
        <v>0.25</v>
      </c>
      <c r="BY1155">
        <f t="shared" si="344"/>
        <v>0</v>
      </c>
      <c r="BZ1155" s="303">
        <f t="shared" si="345"/>
        <v>0</v>
      </c>
      <c r="CB1155" s="298">
        <v>0.6</v>
      </c>
      <c r="CC1155" s="298">
        <v>0.4</v>
      </c>
      <c r="CD1155">
        <f t="shared" si="346"/>
        <v>0</v>
      </c>
      <c r="CE1155">
        <f t="shared" si="347"/>
        <v>0</v>
      </c>
      <c r="CF1155">
        <f t="shared" si="348"/>
        <v>0</v>
      </c>
      <c r="CG1155">
        <f t="shared" si="349"/>
        <v>0</v>
      </c>
      <c r="CH1155">
        <f t="shared" si="350"/>
        <v>0</v>
      </c>
      <c r="CI1155">
        <f t="shared" si="351"/>
        <v>0</v>
      </c>
      <c r="CJ1155">
        <f t="shared" si="352"/>
        <v>0</v>
      </c>
      <c r="CK1155">
        <f t="shared" si="353"/>
        <v>0</v>
      </c>
      <c r="CL1155">
        <f t="shared" si="354"/>
        <v>0</v>
      </c>
      <c r="CM1155">
        <f t="shared" si="356"/>
        <v>0</v>
      </c>
      <c r="CN1155">
        <f t="shared" si="355"/>
        <v>0</v>
      </c>
      <c r="CO1155">
        <f t="shared" ref="CO1155:CO1218" si="359">+IF(BJ1155=30,CN1155/30,0)</f>
        <v>0</v>
      </c>
    </row>
    <row r="1156" spans="1:93" hidden="1" x14ac:dyDescent="0.25">
      <c r="A1156" s="4">
        <v>2021</v>
      </c>
      <c r="B1156" s="315">
        <v>44279</v>
      </c>
      <c r="C1156" s="4" t="s">
        <v>66</v>
      </c>
      <c r="D1156" s="4" t="s">
        <v>1502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1503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+VLOOKUP(G1156,Liste!$A$7:$G$69,3,FALSE)</f>
        <v>Chêne sessile</v>
      </c>
      <c r="BI1156" s="96" t="str">
        <f>+VLOOKUP(H1156,Liste!$B$7:$G$69,5,FALSE)</f>
        <v>Guide chênaie continentale</v>
      </c>
      <c r="BJ1156" s="135">
        <f t="shared" si="358"/>
        <v>122</v>
      </c>
      <c r="BK1156" s="135" t="str">
        <f t="shared" ref="BK1156:BK1219" si="360">+_xlfn.CONCAT(BH1156,"_",J1156,"_",I1156,"_",BI1156,"_",BJ1156,"_")</f>
        <v>Chêne sessile_F2_Dynamique_Guide chênaie continentale_122_</v>
      </c>
      <c r="BL1156" s="319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97" t="str">
        <f>+VLOOKUP(G1156,Liste!$A$7:$H$69,8,FALSE)</f>
        <v>Feuillus</v>
      </c>
      <c r="BU1156" s="297">
        <f t="shared" ref="BU1156:BU1219" si="361">IF(BT1156="Résineux",0%,100%)</f>
        <v>1</v>
      </c>
      <c r="BV1156" s="299">
        <f t="shared" ref="BV1156:BV1219" si="362">+IF(BT1156="Résineux",100%,0%)</f>
        <v>0</v>
      </c>
      <c r="BW1156" s="318">
        <v>0</v>
      </c>
      <c r="BX1156" s="297">
        <f t="shared" ref="BX1156:BX1219" si="363">+IF(BV1156&lt;&gt;0,0.43,0.25)</f>
        <v>0.25</v>
      </c>
      <c r="BY1156">
        <f t="shared" ref="BY1156:BY1219" si="364">+IF(BJ1156&lt;=30,AV1156*BX1156,0)</f>
        <v>0</v>
      </c>
      <c r="BZ1156" s="303">
        <f t="shared" ref="BZ1156:BZ1219" si="365">+IF(BJ1156&gt;=31,0,BY1156+BZ1155)</f>
        <v>0</v>
      </c>
      <c r="CB1156" s="298">
        <v>0.6</v>
      </c>
      <c r="CC1156" s="298">
        <v>0.4</v>
      </c>
      <c r="CD1156">
        <f t="shared" ref="CD1156:CD1219" si="366">+IF(BJ1156&lt;=31,AV1156*CA1156*0.5,0)</f>
        <v>0</v>
      </c>
      <c r="CE1156">
        <f t="shared" ref="CE1156:CE1219" si="367">IF(BJ1156&lt;=31,AV1156*CB1156,0)</f>
        <v>0</v>
      </c>
      <c r="CF1156">
        <f t="shared" ref="CF1156:CF1219" si="368">IF(BJ1156&lt;=31,AV1156*CC1156,0)</f>
        <v>0</v>
      </c>
      <c r="CG1156">
        <f t="shared" ref="CG1156:CG1219" si="369">CD1156*44/12*0.475*BF1156</f>
        <v>0</v>
      </c>
      <c r="CH1156">
        <f t="shared" ref="CH1156:CH1219" si="370">CE1156*44/12*0.475*BF1156</f>
        <v>0</v>
      </c>
      <c r="CI1156">
        <f t="shared" ref="CI1156:CI1219" si="371">CF1156*44/12*0.475*BF1156</f>
        <v>0</v>
      </c>
      <c r="CJ1156">
        <f t="shared" ref="CJ1156:CJ1219" si="372">+IF(BJ1156&lt;=31,CJ1155*EXP(-$CJ$1)+CG1155*(1-EXP(-$CJ$1))/$CJ$1,0)</f>
        <v>0</v>
      </c>
      <c r="CK1156">
        <f t="shared" ref="CK1156:CK1219" si="373">+IF(BJ1156&lt;=31,CK1155*EXP(-$CK$1)+CH1155*(1-EXP(-$CK$1))/$CK$1,0)</f>
        <v>0</v>
      </c>
      <c r="CL1156">
        <f t="shared" ref="CL1156:CL1219" si="374">+IF(BJ1156&lt;=31,CL1155*EXP(-$CL$1)+CI1155*(1-EXP(-$CL$1))/$CL$1,0)</f>
        <v>0</v>
      </c>
      <c r="CM1156">
        <f t="shared" si="356"/>
        <v>0</v>
      </c>
      <c r="CN1156">
        <f t="shared" ref="CN1156:CN1219" si="375">+IF(BJ1156&lt;=31,CM1156+CN1155,0)</f>
        <v>0</v>
      </c>
      <c r="CO1156">
        <f t="shared" si="359"/>
        <v>0</v>
      </c>
    </row>
    <row r="1157" spans="1:93" hidden="1" x14ac:dyDescent="0.25">
      <c r="A1157" s="4">
        <v>2021</v>
      </c>
      <c r="B1157" s="315">
        <v>44279</v>
      </c>
      <c r="C1157" s="4" t="s">
        <v>66</v>
      </c>
      <c r="D1157" s="4" t="s">
        <v>1502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1503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+VLOOKUP(G1157,Liste!$A$7:$G$69,3,FALSE)</f>
        <v>Chêne sessile</v>
      </c>
      <c r="BI1157" s="96" t="str">
        <f>+VLOOKUP(H1157,Liste!$B$7:$G$69,5,FALSE)</f>
        <v>Guide chênaie continentale</v>
      </c>
      <c r="BJ1157" s="135">
        <f t="shared" si="358"/>
        <v>125</v>
      </c>
      <c r="BK1157" s="135" t="str">
        <f t="shared" si="360"/>
        <v>Chêne sessile_F2_Dynamique_Guide chênaie continentale_125_</v>
      </c>
      <c r="BL1157" s="319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97" t="str">
        <f>+VLOOKUP(G1157,Liste!$A$7:$H$69,8,FALSE)</f>
        <v>Feuillus</v>
      </c>
      <c r="BU1157" s="297">
        <f t="shared" si="361"/>
        <v>1</v>
      </c>
      <c r="BV1157" s="299">
        <f t="shared" si="362"/>
        <v>0</v>
      </c>
      <c r="BW1157" s="318">
        <v>0</v>
      </c>
      <c r="BX1157" s="297">
        <f t="shared" si="363"/>
        <v>0.25</v>
      </c>
      <c r="BY1157">
        <f t="shared" si="364"/>
        <v>0</v>
      </c>
      <c r="BZ1157" s="303">
        <f t="shared" si="365"/>
        <v>0</v>
      </c>
      <c r="CB1157" s="298">
        <v>0.6</v>
      </c>
      <c r="CC1157" s="298">
        <v>0.4</v>
      </c>
      <c r="CD1157">
        <f t="shared" si="366"/>
        <v>0</v>
      </c>
      <c r="CE1157">
        <f t="shared" si="367"/>
        <v>0</v>
      </c>
      <c r="CF1157">
        <f t="shared" si="368"/>
        <v>0</v>
      </c>
      <c r="CG1157">
        <f t="shared" si="369"/>
        <v>0</v>
      </c>
      <c r="CH1157">
        <f t="shared" si="370"/>
        <v>0</v>
      </c>
      <c r="CI1157">
        <f t="shared" si="371"/>
        <v>0</v>
      </c>
      <c r="CJ1157">
        <f t="shared" si="372"/>
        <v>0</v>
      </c>
      <c r="CK1157">
        <f t="shared" si="373"/>
        <v>0</v>
      </c>
      <c r="CL1157">
        <f t="shared" si="374"/>
        <v>0</v>
      </c>
      <c r="CM1157">
        <f t="shared" ref="CM1157:CM1220" si="376">+CJ1157+CK1157+CL1157</f>
        <v>0</v>
      </c>
      <c r="CN1157">
        <f t="shared" si="375"/>
        <v>0</v>
      </c>
      <c r="CO1157">
        <f t="shared" si="359"/>
        <v>0</v>
      </c>
    </row>
    <row r="1158" spans="1:93" hidden="1" x14ac:dyDescent="0.25">
      <c r="A1158" s="4">
        <v>2021</v>
      </c>
      <c r="B1158" s="315">
        <v>44279</v>
      </c>
      <c r="C1158" s="4" t="s">
        <v>66</v>
      </c>
      <c r="D1158" s="4" t="s">
        <v>1502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1503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+VLOOKUP(G1158,Liste!$A$7:$G$69,3,FALSE)</f>
        <v>Chêne sessile</v>
      </c>
      <c r="BI1158" s="96" t="str">
        <f>+VLOOKUP(H1158,Liste!$B$7:$G$69,5,FALSE)</f>
        <v>Guide chênaie continentale</v>
      </c>
      <c r="BJ1158" s="135">
        <f t="shared" si="358"/>
        <v>125</v>
      </c>
      <c r="BK1158" s="135" t="str">
        <f t="shared" si="360"/>
        <v>Chêne sessile_F2_Dynamique_Guide chênaie continentale_125_</v>
      </c>
      <c r="BL1158" s="319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97" t="str">
        <f>+VLOOKUP(G1158,Liste!$A$7:$H$69,8,FALSE)</f>
        <v>Feuillus</v>
      </c>
      <c r="BU1158" s="297">
        <f t="shared" si="361"/>
        <v>1</v>
      </c>
      <c r="BV1158" s="299">
        <f t="shared" si="362"/>
        <v>0</v>
      </c>
      <c r="BW1158" s="318">
        <v>0</v>
      </c>
      <c r="BX1158" s="297">
        <f t="shared" si="363"/>
        <v>0.25</v>
      </c>
      <c r="BY1158">
        <f t="shared" si="364"/>
        <v>0</v>
      </c>
      <c r="BZ1158" s="303">
        <f t="shared" si="365"/>
        <v>0</v>
      </c>
      <c r="CB1158" s="298">
        <v>0.6</v>
      </c>
      <c r="CC1158" s="298">
        <v>0.4</v>
      </c>
      <c r="CD1158">
        <f t="shared" si="366"/>
        <v>0</v>
      </c>
      <c r="CE1158">
        <f t="shared" si="367"/>
        <v>0</v>
      </c>
      <c r="CF1158">
        <f t="shared" si="368"/>
        <v>0</v>
      </c>
      <c r="CG1158">
        <f t="shared" si="369"/>
        <v>0</v>
      </c>
      <c r="CH1158">
        <f t="shared" si="370"/>
        <v>0</v>
      </c>
      <c r="CI1158">
        <f t="shared" si="371"/>
        <v>0</v>
      </c>
      <c r="CJ1158">
        <f t="shared" si="372"/>
        <v>0</v>
      </c>
      <c r="CK1158">
        <f t="shared" si="373"/>
        <v>0</v>
      </c>
      <c r="CL1158">
        <f t="shared" si="374"/>
        <v>0</v>
      </c>
      <c r="CM1158">
        <f t="shared" si="376"/>
        <v>0</v>
      </c>
      <c r="CN1158">
        <f t="shared" si="375"/>
        <v>0</v>
      </c>
      <c r="CO1158">
        <f t="shared" si="359"/>
        <v>0</v>
      </c>
    </row>
    <row r="1159" spans="1:93" hidden="1" x14ac:dyDescent="0.25">
      <c r="A1159" s="4">
        <v>2021</v>
      </c>
      <c r="B1159" s="315">
        <v>44279</v>
      </c>
      <c r="C1159" s="4" t="s">
        <v>66</v>
      </c>
      <c r="D1159" s="4" t="s">
        <v>1502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1503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+VLOOKUP(G1159,Liste!$A$7:$G$69,3,FALSE)</f>
        <v>Chêne sessile</v>
      </c>
      <c r="BI1159" s="96" t="str">
        <f>+VLOOKUP(H1159,Liste!$B$7:$G$69,5,FALSE)</f>
        <v>Guide chênaie continentale</v>
      </c>
      <c r="BJ1159" s="135">
        <f t="shared" si="358"/>
        <v>128</v>
      </c>
      <c r="BK1159" s="135" t="str">
        <f t="shared" si="360"/>
        <v>Chêne sessile_F2_Dynamique_Guide chênaie continentale_128_</v>
      </c>
      <c r="BL1159" s="319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97" t="str">
        <f>+VLOOKUP(G1159,Liste!$A$7:$H$69,8,FALSE)</f>
        <v>Feuillus</v>
      </c>
      <c r="BU1159" s="297">
        <f t="shared" si="361"/>
        <v>1</v>
      </c>
      <c r="BV1159" s="299">
        <f t="shared" si="362"/>
        <v>0</v>
      </c>
      <c r="BW1159" s="318">
        <v>0</v>
      </c>
      <c r="BX1159" s="297">
        <f t="shared" si="363"/>
        <v>0.25</v>
      </c>
      <c r="BY1159">
        <f t="shared" si="364"/>
        <v>0</v>
      </c>
      <c r="BZ1159" s="303">
        <f t="shared" si="365"/>
        <v>0</v>
      </c>
      <c r="CB1159" s="298">
        <v>0.6</v>
      </c>
      <c r="CC1159" s="298">
        <v>0.4</v>
      </c>
      <c r="CD1159">
        <f t="shared" si="366"/>
        <v>0</v>
      </c>
      <c r="CE1159">
        <f t="shared" si="367"/>
        <v>0</v>
      </c>
      <c r="CF1159">
        <f t="shared" si="368"/>
        <v>0</v>
      </c>
      <c r="CG1159">
        <f t="shared" si="369"/>
        <v>0</v>
      </c>
      <c r="CH1159">
        <f t="shared" si="370"/>
        <v>0</v>
      </c>
      <c r="CI1159">
        <f t="shared" si="371"/>
        <v>0</v>
      </c>
      <c r="CJ1159">
        <f t="shared" si="372"/>
        <v>0</v>
      </c>
      <c r="CK1159">
        <f t="shared" si="373"/>
        <v>0</v>
      </c>
      <c r="CL1159">
        <f t="shared" si="374"/>
        <v>0</v>
      </c>
      <c r="CM1159">
        <f t="shared" si="376"/>
        <v>0</v>
      </c>
      <c r="CN1159">
        <f t="shared" si="375"/>
        <v>0</v>
      </c>
      <c r="CO1159">
        <f t="shared" si="359"/>
        <v>0</v>
      </c>
    </row>
    <row r="1160" spans="1:93" hidden="1" x14ac:dyDescent="0.25">
      <c r="A1160" s="4">
        <v>2021</v>
      </c>
      <c r="B1160" s="315">
        <v>44279</v>
      </c>
      <c r="C1160" s="4" t="s">
        <v>66</v>
      </c>
      <c r="D1160" s="4" t="s">
        <v>1502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1503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+VLOOKUP(G1160,Liste!$A$7:$G$69,3,FALSE)</f>
        <v>Chêne sessile</v>
      </c>
      <c r="BI1160" s="96" t="str">
        <f>+VLOOKUP(H1160,Liste!$B$7:$G$69,5,FALSE)</f>
        <v>Guide chênaie continentale</v>
      </c>
      <c r="BJ1160" s="135">
        <f t="shared" si="358"/>
        <v>131</v>
      </c>
      <c r="BK1160" s="135" t="str">
        <f t="shared" si="360"/>
        <v>Chêne sessile_F2_Dynamique_Guide chênaie continentale_131_</v>
      </c>
      <c r="BL1160" s="319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97" t="str">
        <f>+VLOOKUP(G1160,Liste!$A$7:$H$69,8,FALSE)</f>
        <v>Feuillus</v>
      </c>
      <c r="BU1160" s="297">
        <f t="shared" si="361"/>
        <v>1</v>
      </c>
      <c r="BV1160" s="299">
        <f t="shared" si="362"/>
        <v>0</v>
      </c>
      <c r="BW1160" s="318">
        <v>0</v>
      </c>
      <c r="BX1160" s="297">
        <f t="shared" si="363"/>
        <v>0.25</v>
      </c>
      <c r="BY1160">
        <f t="shared" si="364"/>
        <v>0</v>
      </c>
      <c r="BZ1160" s="303">
        <f t="shared" si="365"/>
        <v>0</v>
      </c>
      <c r="CB1160" s="298">
        <v>0.6</v>
      </c>
      <c r="CC1160" s="298">
        <v>0.4</v>
      </c>
      <c r="CD1160">
        <f t="shared" si="366"/>
        <v>0</v>
      </c>
      <c r="CE1160">
        <f t="shared" si="367"/>
        <v>0</v>
      </c>
      <c r="CF1160">
        <f t="shared" si="368"/>
        <v>0</v>
      </c>
      <c r="CG1160">
        <f t="shared" si="369"/>
        <v>0</v>
      </c>
      <c r="CH1160">
        <f t="shared" si="370"/>
        <v>0</v>
      </c>
      <c r="CI1160">
        <f t="shared" si="371"/>
        <v>0</v>
      </c>
      <c r="CJ1160">
        <f t="shared" si="372"/>
        <v>0</v>
      </c>
      <c r="CK1160">
        <f t="shared" si="373"/>
        <v>0</v>
      </c>
      <c r="CL1160">
        <f t="shared" si="374"/>
        <v>0</v>
      </c>
      <c r="CM1160">
        <f t="shared" si="376"/>
        <v>0</v>
      </c>
      <c r="CN1160">
        <f t="shared" si="375"/>
        <v>0</v>
      </c>
      <c r="CO1160">
        <f t="shared" si="359"/>
        <v>0</v>
      </c>
    </row>
    <row r="1161" spans="1:93" hidden="1" x14ac:dyDescent="0.25">
      <c r="A1161" s="4">
        <v>2021</v>
      </c>
      <c r="B1161" s="315">
        <v>44279</v>
      </c>
      <c r="C1161" s="4" t="s">
        <v>66</v>
      </c>
      <c r="D1161" s="4" t="s">
        <v>1502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1503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+VLOOKUP(G1161,Liste!$A$7:$G$69,3,FALSE)</f>
        <v>Chêne sessile</v>
      </c>
      <c r="BI1161" s="96" t="str">
        <f>+VLOOKUP(H1161,Liste!$B$7:$G$69,5,FALSE)</f>
        <v>Guide chênaie continentale</v>
      </c>
      <c r="BJ1161" s="135">
        <f t="shared" si="358"/>
        <v>134</v>
      </c>
      <c r="BK1161" s="135" t="str">
        <f t="shared" si="360"/>
        <v>Chêne sessile_F2_Dynamique_Guide chênaie continentale_134_</v>
      </c>
      <c r="BL1161" s="319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97" t="str">
        <f>+VLOOKUP(G1161,Liste!$A$7:$H$69,8,FALSE)</f>
        <v>Feuillus</v>
      </c>
      <c r="BU1161" s="297">
        <f t="shared" si="361"/>
        <v>1</v>
      </c>
      <c r="BV1161" s="299">
        <f t="shared" si="362"/>
        <v>0</v>
      </c>
      <c r="BW1161" s="318">
        <v>0</v>
      </c>
      <c r="BX1161" s="297">
        <f t="shared" si="363"/>
        <v>0.25</v>
      </c>
      <c r="BY1161">
        <f t="shared" si="364"/>
        <v>0</v>
      </c>
      <c r="BZ1161" s="303">
        <f t="shared" si="365"/>
        <v>0</v>
      </c>
      <c r="CB1161" s="298">
        <v>0.6</v>
      </c>
      <c r="CC1161" s="298">
        <v>0.4</v>
      </c>
      <c r="CD1161">
        <f t="shared" si="366"/>
        <v>0</v>
      </c>
      <c r="CE1161">
        <f t="shared" si="367"/>
        <v>0</v>
      </c>
      <c r="CF1161">
        <f t="shared" si="368"/>
        <v>0</v>
      </c>
      <c r="CG1161">
        <f t="shared" si="369"/>
        <v>0</v>
      </c>
      <c r="CH1161">
        <f t="shared" si="370"/>
        <v>0</v>
      </c>
      <c r="CI1161">
        <f t="shared" si="371"/>
        <v>0</v>
      </c>
      <c r="CJ1161">
        <f t="shared" si="372"/>
        <v>0</v>
      </c>
      <c r="CK1161">
        <f t="shared" si="373"/>
        <v>0</v>
      </c>
      <c r="CL1161">
        <f t="shared" si="374"/>
        <v>0</v>
      </c>
      <c r="CM1161">
        <f t="shared" si="376"/>
        <v>0</v>
      </c>
      <c r="CN1161">
        <f t="shared" si="375"/>
        <v>0</v>
      </c>
      <c r="CO1161">
        <f t="shared" si="359"/>
        <v>0</v>
      </c>
    </row>
    <row r="1162" spans="1:93" hidden="1" x14ac:dyDescent="0.25">
      <c r="A1162" s="4">
        <v>2021</v>
      </c>
      <c r="B1162" s="315">
        <v>44279</v>
      </c>
      <c r="C1162" s="4" t="s">
        <v>66</v>
      </c>
      <c r="D1162" s="4" t="s">
        <v>1502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1503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+VLOOKUP(G1162,Liste!$A$7:$G$69,3,FALSE)</f>
        <v>Chêne sessile</v>
      </c>
      <c r="BI1162" s="96" t="str">
        <f>+VLOOKUP(H1162,Liste!$B$7:$G$69,5,FALSE)</f>
        <v>Guide chênaie continentale</v>
      </c>
      <c r="BJ1162" s="135">
        <f t="shared" si="358"/>
        <v>137</v>
      </c>
      <c r="BK1162" s="135" t="str">
        <f t="shared" si="360"/>
        <v>Chêne sessile_F2_Dynamique_Guide chênaie continentale_137_</v>
      </c>
      <c r="BL1162" s="319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97" t="str">
        <f>+VLOOKUP(G1162,Liste!$A$7:$H$69,8,FALSE)</f>
        <v>Feuillus</v>
      </c>
      <c r="BU1162" s="297">
        <f t="shared" si="361"/>
        <v>1</v>
      </c>
      <c r="BV1162" s="299">
        <f t="shared" si="362"/>
        <v>0</v>
      </c>
      <c r="BW1162" s="318">
        <v>0</v>
      </c>
      <c r="BX1162" s="297">
        <f t="shared" si="363"/>
        <v>0.25</v>
      </c>
      <c r="BY1162">
        <f t="shared" si="364"/>
        <v>0</v>
      </c>
      <c r="BZ1162" s="303">
        <f t="shared" si="365"/>
        <v>0</v>
      </c>
      <c r="CB1162" s="298">
        <v>0.6</v>
      </c>
      <c r="CC1162" s="298">
        <v>0.4</v>
      </c>
      <c r="CD1162">
        <f t="shared" si="366"/>
        <v>0</v>
      </c>
      <c r="CE1162">
        <f t="shared" si="367"/>
        <v>0</v>
      </c>
      <c r="CF1162">
        <f t="shared" si="368"/>
        <v>0</v>
      </c>
      <c r="CG1162">
        <f t="shared" si="369"/>
        <v>0</v>
      </c>
      <c r="CH1162">
        <f t="shared" si="370"/>
        <v>0</v>
      </c>
      <c r="CI1162">
        <f t="shared" si="371"/>
        <v>0</v>
      </c>
      <c r="CJ1162">
        <f t="shared" si="372"/>
        <v>0</v>
      </c>
      <c r="CK1162">
        <f t="shared" si="373"/>
        <v>0</v>
      </c>
      <c r="CL1162">
        <f t="shared" si="374"/>
        <v>0</v>
      </c>
      <c r="CM1162">
        <f t="shared" si="376"/>
        <v>0</v>
      </c>
      <c r="CN1162">
        <f t="shared" si="375"/>
        <v>0</v>
      </c>
      <c r="CO1162">
        <f t="shared" si="359"/>
        <v>0</v>
      </c>
    </row>
    <row r="1163" spans="1:93" hidden="1" x14ac:dyDescent="0.25">
      <c r="A1163" s="4">
        <v>2021</v>
      </c>
      <c r="B1163" s="315">
        <v>44279</v>
      </c>
      <c r="C1163" s="4" t="s">
        <v>66</v>
      </c>
      <c r="D1163" s="4" t="s">
        <v>1502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1503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+VLOOKUP(G1163,Liste!$A$7:$G$69,3,FALSE)</f>
        <v>Chêne sessile</v>
      </c>
      <c r="BI1163" s="96" t="str">
        <f>+VLOOKUP(H1163,Liste!$B$7:$G$69,5,FALSE)</f>
        <v>Guide chênaie continentale</v>
      </c>
      <c r="BJ1163" s="135">
        <f t="shared" si="358"/>
        <v>137</v>
      </c>
      <c r="BK1163" s="135" t="str">
        <f t="shared" si="360"/>
        <v>Chêne sessile_F2_Dynamique_Guide chênaie continentale_137_</v>
      </c>
      <c r="BL1163" s="319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97" t="str">
        <f>+VLOOKUP(G1163,Liste!$A$7:$H$69,8,FALSE)</f>
        <v>Feuillus</v>
      </c>
      <c r="BU1163" s="297">
        <f t="shared" si="361"/>
        <v>1</v>
      </c>
      <c r="BV1163" s="299">
        <f t="shared" si="362"/>
        <v>0</v>
      </c>
      <c r="BW1163" s="318">
        <v>0</v>
      </c>
      <c r="BX1163" s="297">
        <f t="shared" si="363"/>
        <v>0.25</v>
      </c>
      <c r="BY1163">
        <f t="shared" si="364"/>
        <v>0</v>
      </c>
      <c r="BZ1163" s="303">
        <f t="shared" si="365"/>
        <v>0</v>
      </c>
      <c r="CB1163" s="298">
        <v>0.6</v>
      </c>
      <c r="CC1163" s="298">
        <v>0.4</v>
      </c>
      <c r="CD1163">
        <f t="shared" si="366"/>
        <v>0</v>
      </c>
      <c r="CE1163">
        <f t="shared" si="367"/>
        <v>0</v>
      </c>
      <c r="CF1163">
        <f t="shared" si="368"/>
        <v>0</v>
      </c>
      <c r="CG1163">
        <f t="shared" si="369"/>
        <v>0</v>
      </c>
      <c r="CH1163">
        <f t="shared" si="370"/>
        <v>0</v>
      </c>
      <c r="CI1163">
        <f t="shared" si="371"/>
        <v>0</v>
      </c>
      <c r="CJ1163">
        <f t="shared" si="372"/>
        <v>0</v>
      </c>
      <c r="CK1163">
        <f t="shared" si="373"/>
        <v>0</v>
      </c>
      <c r="CL1163">
        <f t="shared" si="374"/>
        <v>0</v>
      </c>
      <c r="CM1163">
        <f t="shared" si="376"/>
        <v>0</v>
      </c>
      <c r="CN1163">
        <f t="shared" si="375"/>
        <v>0</v>
      </c>
      <c r="CO1163">
        <f t="shared" si="359"/>
        <v>0</v>
      </c>
    </row>
    <row r="1164" spans="1:93" hidden="1" x14ac:dyDescent="0.25">
      <c r="A1164" s="4">
        <v>2021</v>
      </c>
      <c r="B1164" s="315">
        <v>44279</v>
      </c>
      <c r="C1164" s="4" t="s">
        <v>66</v>
      </c>
      <c r="D1164" s="4" t="s">
        <v>1502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1503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+VLOOKUP(G1164,Liste!$A$7:$G$69,3,FALSE)</f>
        <v>Chêne sessile</v>
      </c>
      <c r="BI1164" s="96" t="str">
        <f>+VLOOKUP(H1164,Liste!$B$7:$G$69,5,FALSE)</f>
        <v>Guide chênaie continentale</v>
      </c>
      <c r="BJ1164" s="135">
        <f t="shared" si="358"/>
        <v>140</v>
      </c>
      <c r="BK1164" s="135" t="str">
        <f t="shared" si="360"/>
        <v>Chêne sessile_F2_Dynamique_Guide chênaie continentale_140_</v>
      </c>
      <c r="BL1164" s="319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97" t="str">
        <f>+VLOOKUP(G1164,Liste!$A$7:$H$69,8,FALSE)</f>
        <v>Feuillus</v>
      </c>
      <c r="BU1164" s="297">
        <f t="shared" si="361"/>
        <v>1</v>
      </c>
      <c r="BV1164" s="299">
        <f t="shared" si="362"/>
        <v>0</v>
      </c>
      <c r="BW1164" s="318">
        <v>0</v>
      </c>
      <c r="BX1164" s="297">
        <f t="shared" si="363"/>
        <v>0.25</v>
      </c>
      <c r="BY1164">
        <f t="shared" si="364"/>
        <v>0</v>
      </c>
      <c r="BZ1164" s="303">
        <f t="shared" si="365"/>
        <v>0</v>
      </c>
      <c r="CB1164" s="298">
        <v>0.6</v>
      </c>
      <c r="CC1164" s="298">
        <v>0.4</v>
      </c>
      <c r="CD1164">
        <f t="shared" si="366"/>
        <v>0</v>
      </c>
      <c r="CE1164">
        <f t="shared" si="367"/>
        <v>0</v>
      </c>
      <c r="CF1164">
        <f t="shared" si="368"/>
        <v>0</v>
      </c>
      <c r="CG1164">
        <f t="shared" si="369"/>
        <v>0</v>
      </c>
      <c r="CH1164">
        <f t="shared" si="370"/>
        <v>0</v>
      </c>
      <c r="CI1164">
        <f t="shared" si="371"/>
        <v>0</v>
      </c>
      <c r="CJ1164">
        <f t="shared" si="372"/>
        <v>0</v>
      </c>
      <c r="CK1164">
        <f t="shared" si="373"/>
        <v>0</v>
      </c>
      <c r="CL1164">
        <f t="shared" si="374"/>
        <v>0</v>
      </c>
      <c r="CM1164">
        <f t="shared" si="376"/>
        <v>0</v>
      </c>
      <c r="CN1164">
        <f t="shared" si="375"/>
        <v>0</v>
      </c>
      <c r="CO1164">
        <f t="shared" si="359"/>
        <v>0</v>
      </c>
    </row>
    <row r="1165" spans="1:93" hidden="1" x14ac:dyDescent="0.25">
      <c r="A1165" s="4">
        <v>2021</v>
      </c>
      <c r="B1165" s="315">
        <v>44279</v>
      </c>
      <c r="C1165" s="4" t="s">
        <v>66</v>
      </c>
      <c r="D1165" s="4" t="s">
        <v>1502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1503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+VLOOKUP(G1165,Liste!$A$7:$G$69,3,FALSE)</f>
        <v>Chêne sessile</v>
      </c>
      <c r="BI1165" s="96" t="str">
        <f>+VLOOKUP(H1165,Liste!$B$7:$G$69,5,FALSE)</f>
        <v>Guide chênaie continentale</v>
      </c>
      <c r="BJ1165" s="135">
        <f t="shared" si="358"/>
        <v>143</v>
      </c>
      <c r="BK1165" s="135" t="str">
        <f t="shared" si="360"/>
        <v>Chêne sessile_F2_Dynamique_Guide chênaie continentale_143_</v>
      </c>
      <c r="BL1165" s="319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97" t="str">
        <f>+VLOOKUP(G1165,Liste!$A$7:$H$69,8,FALSE)</f>
        <v>Feuillus</v>
      </c>
      <c r="BU1165" s="297">
        <f t="shared" si="361"/>
        <v>1</v>
      </c>
      <c r="BV1165" s="299">
        <f t="shared" si="362"/>
        <v>0</v>
      </c>
      <c r="BW1165" s="318">
        <v>0</v>
      </c>
      <c r="BX1165" s="297">
        <f t="shared" si="363"/>
        <v>0.25</v>
      </c>
      <c r="BY1165">
        <f t="shared" si="364"/>
        <v>0</v>
      </c>
      <c r="BZ1165" s="303">
        <f t="shared" si="365"/>
        <v>0</v>
      </c>
      <c r="CB1165" s="298">
        <v>0.6</v>
      </c>
      <c r="CC1165" s="298">
        <v>0.4</v>
      </c>
      <c r="CD1165">
        <f t="shared" si="366"/>
        <v>0</v>
      </c>
      <c r="CE1165">
        <f t="shared" si="367"/>
        <v>0</v>
      </c>
      <c r="CF1165">
        <f t="shared" si="368"/>
        <v>0</v>
      </c>
      <c r="CG1165">
        <f t="shared" si="369"/>
        <v>0</v>
      </c>
      <c r="CH1165">
        <f t="shared" si="370"/>
        <v>0</v>
      </c>
      <c r="CI1165">
        <f t="shared" si="371"/>
        <v>0</v>
      </c>
      <c r="CJ1165">
        <f t="shared" si="372"/>
        <v>0</v>
      </c>
      <c r="CK1165">
        <f t="shared" si="373"/>
        <v>0</v>
      </c>
      <c r="CL1165">
        <f t="shared" si="374"/>
        <v>0</v>
      </c>
      <c r="CM1165">
        <f t="shared" si="376"/>
        <v>0</v>
      </c>
      <c r="CN1165">
        <f t="shared" si="375"/>
        <v>0</v>
      </c>
      <c r="CO1165">
        <f t="shared" si="359"/>
        <v>0</v>
      </c>
    </row>
    <row r="1166" spans="1:93" hidden="1" x14ac:dyDescent="0.25">
      <c r="A1166" s="4">
        <v>2021</v>
      </c>
      <c r="B1166" s="315">
        <v>44279</v>
      </c>
      <c r="C1166" s="4" t="s">
        <v>66</v>
      </c>
      <c r="D1166" s="4" t="s">
        <v>1502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1503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+VLOOKUP(G1166,Liste!$A$7:$G$69,3,FALSE)</f>
        <v>Chêne sessile</v>
      </c>
      <c r="BI1166" s="96" t="str">
        <f>+VLOOKUP(H1166,Liste!$B$7:$G$69,5,FALSE)</f>
        <v>Guide chênaie continentale</v>
      </c>
      <c r="BJ1166" s="135">
        <f t="shared" si="358"/>
        <v>146</v>
      </c>
      <c r="BK1166" s="135" t="str">
        <f t="shared" si="360"/>
        <v>Chêne sessile_F2_Dynamique_Guide chênaie continentale_146_</v>
      </c>
      <c r="BL1166" s="319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97" t="str">
        <f>+VLOOKUP(G1166,Liste!$A$7:$H$69,8,FALSE)</f>
        <v>Feuillus</v>
      </c>
      <c r="BU1166" s="297">
        <f t="shared" si="361"/>
        <v>1</v>
      </c>
      <c r="BV1166" s="299">
        <f t="shared" si="362"/>
        <v>0</v>
      </c>
      <c r="BW1166" s="318">
        <v>0</v>
      </c>
      <c r="BX1166" s="297">
        <f t="shared" si="363"/>
        <v>0.25</v>
      </c>
      <c r="BY1166">
        <f t="shared" si="364"/>
        <v>0</v>
      </c>
      <c r="BZ1166" s="303">
        <f t="shared" si="365"/>
        <v>0</v>
      </c>
      <c r="CB1166" s="298">
        <v>0.6</v>
      </c>
      <c r="CC1166" s="298">
        <v>0.4</v>
      </c>
      <c r="CD1166">
        <f t="shared" si="366"/>
        <v>0</v>
      </c>
      <c r="CE1166">
        <f t="shared" si="367"/>
        <v>0</v>
      </c>
      <c r="CF1166">
        <f t="shared" si="368"/>
        <v>0</v>
      </c>
      <c r="CG1166">
        <f t="shared" si="369"/>
        <v>0</v>
      </c>
      <c r="CH1166">
        <f t="shared" si="370"/>
        <v>0</v>
      </c>
      <c r="CI1166">
        <f t="shared" si="371"/>
        <v>0</v>
      </c>
      <c r="CJ1166">
        <f t="shared" si="372"/>
        <v>0</v>
      </c>
      <c r="CK1166">
        <f t="shared" si="373"/>
        <v>0</v>
      </c>
      <c r="CL1166">
        <f t="shared" si="374"/>
        <v>0</v>
      </c>
      <c r="CM1166">
        <f t="shared" si="376"/>
        <v>0</v>
      </c>
      <c r="CN1166">
        <f t="shared" si="375"/>
        <v>0</v>
      </c>
      <c r="CO1166">
        <f t="shared" si="359"/>
        <v>0</v>
      </c>
    </row>
    <row r="1167" spans="1:93" hidden="1" x14ac:dyDescent="0.25">
      <c r="A1167" s="4">
        <v>2021</v>
      </c>
      <c r="B1167" s="315">
        <v>44279</v>
      </c>
      <c r="C1167" s="4" t="s">
        <v>66</v>
      </c>
      <c r="D1167" s="4" t="s">
        <v>1502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1503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+VLOOKUP(G1167,Liste!$A$7:$G$69,3,FALSE)</f>
        <v>Chêne sessile</v>
      </c>
      <c r="BI1167" s="96" t="str">
        <f>+VLOOKUP(H1167,Liste!$B$7:$G$69,5,FALSE)</f>
        <v>Guide chênaie continentale</v>
      </c>
      <c r="BJ1167" s="135">
        <f t="shared" si="358"/>
        <v>149</v>
      </c>
      <c r="BK1167" s="135" t="str">
        <f t="shared" si="360"/>
        <v>Chêne sessile_F2_Dynamique_Guide chênaie continentale_149_</v>
      </c>
      <c r="BL1167" s="319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97" t="str">
        <f>+VLOOKUP(G1167,Liste!$A$7:$H$69,8,FALSE)</f>
        <v>Feuillus</v>
      </c>
      <c r="BU1167" s="297">
        <f t="shared" si="361"/>
        <v>1</v>
      </c>
      <c r="BV1167" s="299">
        <f t="shared" si="362"/>
        <v>0</v>
      </c>
      <c r="BW1167" s="318">
        <v>0</v>
      </c>
      <c r="BX1167" s="297">
        <f t="shared" si="363"/>
        <v>0.25</v>
      </c>
      <c r="BY1167">
        <f t="shared" si="364"/>
        <v>0</v>
      </c>
      <c r="BZ1167" s="303">
        <f t="shared" si="365"/>
        <v>0</v>
      </c>
      <c r="CB1167" s="298">
        <v>0.6</v>
      </c>
      <c r="CC1167" s="298">
        <v>0.4</v>
      </c>
      <c r="CD1167">
        <f t="shared" si="366"/>
        <v>0</v>
      </c>
      <c r="CE1167">
        <f t="shared" si="367"/>
        <v>0</v>
      </c>
      <c r="CF1167">
        <f t="shared" si="368"/>
        <v>0</v>
      </c>
      <c r="CG1167">
        <f t="shared" si="369"/>
        <v>0</v>
      </c>
      <c r="CH1167">
        <f t="shared" si="370"/>
        <v>0</v>
      </c>
      <c r="CI1167">
        <f t="shared" si="371"/>
        <v>0</v>
      </c>
      <c r="CJ1167">
        <f t="shared" si="372"/>
        <v>0</v>
      </c>
      <c r="CK1167">
        <f t="shared" si="373"/>
        <v>0</v>
      </c>
      <c r="CL1167">
        <f t="shared" si="374"/>
        <v>0</v>
      </c>
      <c r="CM1167">
        <f t="shared" si="376"/>
        <v>0</v>
      </c>
      <c r="CN1167">
        <f t="shared" si="375"/>
        <v>0</v>
      </c>
      <c r="CO1167">
        <f t="shared" si="359"/>
        <v>0</v>
      </c>
    </row>
    <row r="1168" spans="1:93" hidden="1" x14ac:dyDescent="0.25">
      <c r="A1168" s="4">
        <v>2021</v>
      </c>
      <c r="B1168" s="315">
        <v>44279</v>
      </c>
      <c r="C1168" s="4" t="s">
        <v>66</v>
      </c>
      <c r="D1168" s="4" t="s">
        <v>1502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1503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+VLOOKUP(G1168,Liste!$A$7:$G$69,3,FALSE)</f>
        <v>Chêne sessile</v>
      </c>
      <c r="BI1168" s="96" t="str">
        <f>+VLOOKUP(H1168,Liste!$B$7:$G$69,5,FALSE)</f>
        <v>Guide chênaie continentale</v>
      </c>
      <c r="BJ1168" s="135">
        <f t="shared" si="358"/>
        <v>149</v>
      </c>
      <c r="BK1168" s="135" t="str">
        <f t="shared" si="360"/>
        <v>Chêne sessile_F2_Dynamique_Guide chênaie continentale_149_</v>
      </c>
      <c r="BL1168" s="319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97" t="str">
        <f>+VLOOKUP(G1168,Liste!$A$7:$H$69,8,FALSE)</f>
        <v>Feuillus</v>
      </c>
      <c r="BU1168" s="297">
        <f t="shared" si="361"/>
        <v>1</v>
      </c>
      <c r="BV1168" s="299">
        <f t="shared" si="362"/>
        <v>0</v>
      </c>
      <c r="BW1168" s="318">
        <v>0</v>
      </c>
      <c r="BX1168" s="297">
        <f t="shared" si="363"/>
        <v>0.25</v>
      </c>
      <c r="BY1168">
        <f t="shared" si="364"/>
        <v>0</v>
      </c>
      <c r="BZ1168" s="303">
        <f t="shared" si="365"/>
        <v>0</v>
      </c>
      <c r="CB1168" s="298">
        <v>0.6</v>
      </c>
      <c r="CC1168" s="298">
        <v>0.4</v>
      </c>
      <c r="CD1168">
        <f t="shared" si="366"/>
        <v>0</v>
      </c>
      <c r="CE1168">
        <f t="shared" si="367"/>
        <v>0</v>
      </c>
      <c r="CF1168">
        <f t="shared" si="368"/>
        <v>0</v>
      </c>
      <c r="CG1168">
        <f t="shared" si="369"/>
        <v>0</v>
      </c>
      <c r="CH1168">
        <f t="shared" si="370"/>
        <v>0</v>
      </c>
      <c r="CI1168">
        <f t="shared" si="371"/>
        <v>0</v>
      </c>
      <c r="CJ1168">
        <f t="shared" si="372"/>
        <v>0</v>
      </c>
      <c r="CK1168">
        <f t="shared" si="373"/>
        <v>0</v>
      </c>
      <c r="CL1168">
        <f t="shared" si="374"/>
        <v>0</v>
      </c>
      <c r="CM1168">
        <f t="shared" si="376"/>
        <v>0</v>
      </c>
      <c r="CN1168">
        <f t="shared" si="375"/>
        <v>0</v>
      </c>
      <c r="CO1168">
        <f t="shared" si="359"/>
        <v>0</v>
      </c>
    </row>
    <row r="1169" spans="1:93" hidden="1" x14ac:dyDescent="0.25">
      <c r="A1169" s="4">
        <v>2021</v>
      </c>
      <c r="B1169" s="315">
        <v>44279</v>
      </c>
      <c r="C1169" s="4" t="s">
        <v>66</v>
      </c>
      <c r="D1169" s="4" t="s">
        <v>1502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1503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+VLOOKUP(G1169,Liste!$A$7:$G$69,3,FALSE)</f>
        <v>Chêne sessile</v>
      </c>
      <c r="BI1169" s="96" t="str">
        <f>+VLOOKUP(H1169,Liste!$B$7:$G$69,5,FALSE)</f>
        <v>Guide chênaie continentale</v>
      </c>
      <c r="BJ1169" s="135">
        <f t="shared" si="358"/>
        <v>153</v>
      </c>
      <c r="BK1169" s="135" t="str">
        <f t="shared" si="360"/>
        <v>Chêne sessile_F2_Dynamique_Guide chênaie continentale_153_</v>
      </c>
      <c r="BL1169" s="319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97" t="str">
        <f>+VLOOKUP(G1169,Liste!$A$7:$H$69,8,FALSE)</f>
        <v>Feuillus</v>
      </c>
      <c r="BU1169" s="297">
        <f t="shared" si="361"/>
        <v>1</v>
      </c>
      <c r="BV1169" s="299">
        <f t="shared" si="362"/>
        <v>0</v>
      </c>
      <c r="BW1169" s="318">
        <v>0</v>
      </c>
      <c r="BX1169" s="297">
        <f t="shared" si="363"/>
        <v>0.25</v>
      </c>
      <c r="BY1169">
        <f t="shared" si="364"/>
        <v>0</v>
      </c>
      <c r="BZ1169" s="303">
        <f t="shared" si="365"/>
        <v>0</v>
      </c>
      <c r="CB1169" s="298">
        <v>0.6</v>
      </c>
      <c r="CC1169" s="298">
        <v>0.4</v>
      </c>
      <c r="CD1169">
        <f t="shared" si="366"/>
        <v>0</v>
      </c>
      <c r="CE1169">
        <f t="shared" si="367"/>
        <v>0</v>
      </c>
      <c r="CF1169">
        <f t="shared" si="368"/>
        <v>0</v>
      </c>
      <c r="CG1169">
        <f t="shared" si="369"/>
        <v>0</v>
      </c>
      <c r="CH1169">
        <f t="shared" si="370"/>
        <v>0</v>
      </c>
      <c r="CI1169">
        <f t="shared" si="371"/>
        <v>0</v>
      </c>
      <c r="CJ1169">
        <f t="shared" si="372"/>
        <v>0</v>
      </c>
      <c r="CK1169">
        <f t="shared" si="373"/>
        <v>0</v>
      </c>
      <c r="CL1169">
        <f t="shared" si="374"/>
        <v>0</v>
      </c>
      <c r="CM1169">
        <f t="shared" si="376"/>
        <v>0</v>
      </c>
      <c r="CN1169">
        <f t="shared" si="375"/>
        <v>0</v>
      </c>
      <c r="CO1169">
        <f t="shared" si="359"/>
        <v>0</v>
      </c>
    </row>
    <row r="1170" spans="1:93" hidden="1" x14ac:dyDescent="0.25">
      <c r="A1170" s="4">
        <v>2021</v>
      </c>
      <c r="B1170" s="315">
        <v>44279</v>
      </c>
      <c r="C1170" s="4" t="s">
        <v>66</v>
      </c>
      <c r="D1170" s="4" t="s">
        <v>1502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1503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+VLOOKUP(G1170,Liste!$A$7:$G$69,3,FALSE)</f>
        <v>Chêne sessile</v>
      </c>
      <c r="BI1170" s="96" t="str">
        <f>+VLOOKUP(H1170,Liste!$B$7:$G$69,5,FALSE)</f>
        <v>Guide chênaie continentale</v>
      </c>
      <c r="BJ1170" s="135">
        <f t="shared" si="358"/>
        <v>153</v>
      </c>
      <c r="BK1170" s="135" t="str">
        <f t="shared" si="360"/>
        <v>Chêne sessile_F2_Dynamique_Guide chênaie continentale_153_</v>
      </c>
      <c r="BL1170" s="319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97" t="str">
        <f>+VLOOKUP(G1170,Liste!$A$7:$H$69,8,FALSE)</f>
        <v>Feuillus</v>
      </c>
      <c r="BU1170" s="297">
        <f t="shared" si="361"/>
        <v>1</v>
      </c>
      <c r="BV1170" s="299">
        <f t="shared" si="362"/>
        <v>0</v>
      </c>
      <c r="BW1170" s="318">
        <v>0</v>
      </c>
      <c r="BX1170" s="297">
        <f t="shared" si="363"/>
        <v>0.25</v>
      </c>
      <c r="BY1170">
        <f t="shared" si="364"/>
        <v>0</v>
      </c>
      <c r="BZ1170" s="303">
        <f t="shared" si="365"/>
        <v>0</v>
      </c>
      <c r="CB1170" s="298">
        <v>0.6</v>
      </c>
      <c r="CC1170" s="298">
        <v>0.4</v>
      </c>
      <c r="CD1170">
        <f t="shared" si="366"/>
        <v>0</v>
      </c>
      <c r="CE1170">
        <f t="shared" si="367"/>
        <v>0</v>
      </c>
      <c r="CF1170">
        <f t="shared" si="368"/>
        <v>0</v>
      </c>
      <c r="CG1170">
        <f t="shared" si="369"/>
        <v>0</v>
      </c>
      <c r="CH1170">
        <f t="shared" si="370"/>
        <v>0</v>
      </c>
      <c r="CI1170">
        <f t="shared" si="371"/>
        <v>0</v>
      </c>
      <c r="CJ1170">
        <f t="shared" si="372"/>
        <v>0</v>
      </c>
      <c r="CK1170">
        <f t="shared" si="373"/>
        <v>0</v>
      </c>
      <c r="CL1170">
        <f t="shared" si="374"/>
        <v>0</v>
      </c>
      <c r="CM1170">
        <f t="shared" si="376"/>
        <v>0</v>
      </c>
      <c r="CN1170">
        <f t="shared" si="375"/>
        <v>0</v>
      </c>
      <c r="CO1170">
        <f t="shared" si="359"/>
        <v>0</v>
      </c>
    </row>
    <row r="1171" spans="1:93" hidden="1" x14ac:dyDescent="0.25">
      <c r="A1171" s="4">
        <v>2021</v>
      </c>
      <c r="B1171" s="315">
        <v>44279</v>
      </c>
      <c r="C1171" s="4" t="s">
        <v>66</v>
      </c>
      <c r="D1171" s="4" t="s">
        <v>1502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1503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+VLOOKUP(G1171,Liste!$A$7:$G$69,3,FALSE)</f>
        <v>Chêne sessile</v>
      </c>
      <c r="BI1171" s="96" t="str">
        <f>+VLOOKUP(H1171,Liste!$B$7:$G$69,5,FALSE)</f>
        <v>Guide chênaie continentale</v>
      </c>
      <c r="BJ1171" s="135">
        <f t="shared" si="358"/>
        <v>157</v>
      </c>
      <c r="BK1171" s="135" t="str">
        <f t="shared" si="360"/>
        <v>Chêne sessile_F2_Dynamique_Guide chênaie continentale_157_</v>
      </c>
      <c r="BL1171" s="319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97" t="str">
        <f>+VLOOKUP(G1171,Liste!$A$7:$H$69,8,FALSE)</f>
        <v>Feuillus</v>
      </c>
      <c r="BU1171" s="297">
        <f t="shared" si="361"/>
        <v>1</v>
      </c>
      <c r="BV1171" s="299">
        <f t="shared" si="362"/>
        <v>0</v>
      </c>
      <c r="BW1171" s="318">
        <v>0</v>
      </c>
      <c r="BX1171" s="297">
        <f t="shared" si="363"/>
        <v>0.25</v>
      </c>
      <c r="BY1171">
        <f t="shared" si="364"/>
        <v>0</v>
      </c>
      <c r="BZ1171" s="303">
        <f t="shared" si="365"/>
        <v>0</v>
      </c>
      <c r="CB1171" s="298">
        <v>0.6</v>
      </c>
      <c r="CC1171" s="298">
        <v>0.4</v>
      </c>
      <c r="CD1171">
        <f t="shared" si="366"/>
        <v>0</v>
      </c>
      <c r="CE1171">
        <f t="shared" si="367"/>
        <v>0</v>
      </c>
      <c r="CF1171">
        <f t="shared" si="368"/>
        <v>0</v>
      </c>
      <c r="CG1171">
        <f t="shared" si="369"/>
        <v>0</v>
      </c>
      <c r="CH1171">
        <f t="shared" si="370"/>
        <v>0</v>
      </c>
      <c r="CI1171">
        <f t="shared" si="371"/>
        <v>0</v>
      </c>
      <c r="CJ1171">
        <f t="shared" si="372"/>
        <v>0</v>
      </c>
      <c r="CK1171">
        <f t="shared" si="373"/>
        <v>0</v>
      </c>
      <c r="CL1171">
        <f t="shared" si="374"/>
        <v>0</v>
      </c>
      <c r="CM1171">
        <f t="shared" si="376"/>
        <v>0</v>
      </c>
      <c r="CN1171">
        <f t="shared" si="375"/>
        <v>0</v>
      </c>
      <c r="CO1171">
        <f t="shared" si="359"/>
        <v>0</v>
      </c>
    </row>
    <row r="1172" spans="1:93" hidden="1" x14ac:dyDescent="0.25">
      <c r="A1172" s="4">
        <v>2021</v>
      </c>
      <c r="B1172" s="315">
        <v>44279</v>
      </c>
      <c r="C1172" s="4" t="s">
        <v>66</v>
      </c>
      <c r="D1172" s="4" t="s">
        <v>1502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1503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+VLOOKUP(G1172,Liste!$A$7:$G$69,3,FALSE)</f>
        <v>Chêne sessile</v>
      </c>
      <c r="BI1172" s="96" t="str">
        <f>+VLOOKUP(H1172,Liste!$B$7:$G$69,5,FALSE)</f>
        <v>Guide chênaie continentale</v>
      </c>
      <c r="BJ1172" s="135">
        <f t="shared" si="358"/>
        <v>157</v>
      </c>
      <c r="BK1172" s="135" t="str">
        <f t="shared" si="360"/>
        <v>Chêne sessile_F2_Dynamique_Guide chênaie continentale_157_</v>
      </c>
      <c r="BL1172" s="319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97" t="str">
        <f>+VLOOKUP(G1172,Liste!$A$7:$H$69,8,FALSE)</f>
        <v>Feuillus</v>
      </c>
      <c r="BU1172" s="297">
        <f t="shared" si="361"/>
        <v>1</v>
      </c>
      <c r="BV1172" s="299">
        <f t="shared" si="362"/>
        <v>0</v>
      </c>
      <c r="BW1172" s="318">
        <v>0</v>
      </c>
      <c r="BX1172" s="297">
        <f t="shared" si="363"/>
        <v>0.25</v>
      </c>
      <c r="BY1172">
        <f t="shared" si="364"/>
        <v>0</v>
      </c>
      <c r="BZ1172" s="303">
        <f t="shared" si="365"/>
        <v>0</v>
      </c>
      <c r="CB1172" s="298">
        <v>0.6</v>
      </c>
      <c r="CC1172" s="298">
        <v>0.4</v>
      </c>
      <c r="CD1172">
        <f t="shared" si="366"/>
        <v>0</v>
      </c>
      <c r="CE1172">
        <f t="shared" si="367"/>
        <v>0</v>
      </c>
      <c r="CF1172">
        <f t="shared" si="368"/>
        <v>0</v>
      </c>
      <c r="CG1172">
        <f t="shared" si="369"/>
        <v>0</v>
      </c>
      <c r="CH1172">
        <f t="shared" si="370"/>
        <v>0</v>
      </c>
      <c r="CI1172">
        <f t="shared" si="371"/>
        <v>0</v>
      </c>
      <c r="CJ1172">
        <f t="shared" si="372"/>
        <v>0</v>
      </c>
      <c r="CK1172">
        <f t="shared" si="373"/>
        <v>0</v>
      </c>
      <c r="CL1172">
        <f t="shared" si="374"/>
        <v>0</v>
      </c>
      <c r="CM1172">
        <f t="shared" si="376"/>
        <v>0</v>
      </c>
      <c r="CN1172">
        <f t="shared" si="375"/>
        <v>0</v>
      </c>
      <c r="CO1172">
        <f t="shared" si="359"/>
        <v>0</v>
      </c>
    </row>
    <row r="1173" spans="1:93" hidden="1" x14ac:dyDescent="0.25">
      <c r="A1173" s="4">
        <v>2021</v>
      </c>
      <c r="B1173" s="315">
        <v>44279</v>
      </c>
      <c r="C1173" s="4" t="s">
        <v>66</v>
      </c>
      <c r="D1173" s="4" t="s">
        <v>1502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1503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+VLOOKUP(G1173,Liste!$A$7:$G$69,3,FALSE)</f>
        <v>Chêne sessile</v>
      </c>
      <c r="BI1173" s="96" t="str">
        <f>+VLOOKUP(H1173,Liste!$B$7:$G$69,5,FALSE)</f>
        <v>Guide chênaie continentale</v>
      </c>
      <c r="BJ1173" s="135">
        <f t="shared" si="358"/>
        <v>161</v>
      </c>
      <c r="BK1173" s="135" t="str">
        <f t="shared" si="360"/>
        <v>Chêne sessile_F2_Dynamique_Guide chênaie continentale_161_</v>
      </c>
      <c r="BL1173" s="319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97" t="str">
        <f>+VLOOKUP(G1173,Liste!$A$7:$H$69,8,FALSE)</f>
        <v>Feuillus</v>
      </c>
      <c r="BU1173" s="297">
        <f t="shared" si="361"/>
        <v>1</v>
      </c>
      <c r="BV1173" s="299">
        <f t="shared" si="362"/>
        <v>0</v>
      </c>
      <c r="BW1173" s="318">
        <v>0</v>
      </c>
      <c r="BX1173" s="297">
        <f t="shared" si="363"/>
        <v>0.25</v>
      </c>
      <c r="BY1173">
        <f t="shared" si="364"/>
        <v>0</v>
      </c>
      <c r="BZ1173" s="303">
        <f t="shared" si="365"/>
        <v>0</v>
      </c>
      <c r="CB1173" s="298">
        <v>0.6</v>
      </c>
      <c r="CC1173" s="298">
        <v>0.4</v>
      </c>
      <c r="CD1173">
        <f t="shared" si="366"/>
        <v>0</v>
      </c>
      <c r="CE1173">
        <f t="shared" si="367"/>
        <v>0</v>
      </c>
      <c r="CF1173">
        <f t="shared" si="368"/>
        <v>0</v>
      </c>
      <c r="CG1173">
        <f t="shared" si="369"/>
        <v>0</v>
      </c>
      <c r="CH1173">
        <f t="shared" si="370"/>
        <v>0</v>
      </c>
      <c r="CI1173">
        <f t="shared" si="371"/>
        <v>0</v>
      </c>
      <c r="CJ1173">
        <f t="shared" si="372"/>
        <v>0</v>
      </c>
      <c r="CK1173">
        <f t="shared" si="373"/>
        <v>0</v>
      </c>
      <c r="CL1173">
        <f t="shared" si="374"/>
        <v>0</v>
      </c>
      <c r="CM1173">
        <f t="shared" si="376"/>
        <v>0</v>
      </c>
      <c r="CN1173">
        <f t="shared" si="375"/>
        <v>0</v>
      </c>
      <c r="CO1173">
        <f t="shared" si="359"/>
        <v>0</v>
      </c>
    </row>
    <row r="1174" spans="1:93" hidden="1" x14ac:dyDescent="0.25">
      <c r="A1174" s="4">
        <v>2021</v>
      </c>
      <c r="B1174" s="315">
        <v>44279</v>
      </c>
      <c r="C1174" s="4" t="s">
        <v>66</v>
      </c>
      <c r="D1174" s="4" t="s">
        <v>1502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1503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+VLOOKUP(G1174,Liste!$A$7:$G$69,3,FALSE)</f>
        <v>Chêne sessile</v>
      </c>
      <c r="BI1174" s="96" t="str">
        <f>+VLOOKUP(H1174,Liste!$B$7:$G$69,5,FALSE)</f>
        <v>Guide chênaie continentale</v>
      </c>
      <c r="BJ1174" s="135">
        <f t="shared" si="358"/>
        <v>161</v>
      </c>
      <c r="BK1174" s="135" t="str">
        <f t="shared" si="360"/>
        <v>Chêne sessile_F2_Dynamique_Guide chênaie continentale_161_</v>
      </c>
      <c r="BL1174" s="319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97" t="str">
        <f>+VLOOKUP(G1174,Liste!$A$7:$H$69,8,FALSE)</f>
        <v>Feuillus</v>
      </c>
      <c r="BU1174" s="297">
        <f t="shared" si="361"/>
        <v>1</v>
      </c>
      <c r="BV1174" s="299">
        <f t="shared" si="362"/>
        <v>0</v>
      </c>
      <c r="BW1174" s="318">
        <v>0</v>
      </c>
      <c r="BX1174" s="297">
        <f t="shared" si="363"/>
        <v>0.25</v>
      </c>
      <c r="BY1174">
        <f t="shared" si="364"/>
        <v>0</v>
      </c>
      <c r="BZ1174" s="303">
        <f t="shared" si="365"/>
        <v>0</v>
      </c>
      <c r="CB1174" s="298">
        <v>0.6</v>
      </c>
      <c r="CC1174" s="298">
        <v>0.4</v>
      </c>
      <c r="CD1174">
        <f t="shared" si="366"/>
        <v>0</v>
      </c>
      <c r="CE1174">
        <f t="shared" si="367"/>
        <v>0</v>
      </c>
      <c r="CF1174">
        <f t="shared" si="368"/>
        <v>0</v>
      </c>
      <c r="CG1174">
        <f t="shared" si="369"/>
        <v>0</v>
      </c>
      <c r="CH1174">
        <f t="shared" si="370"/>
        <v>0</v>
      </c>
      <c r="CI1174">
        <f t="shared" si="371"/>
        <v>0</v>
      </c>
      <c r="CJ1174">
        <f t="shared" si="372"/>
        <v>0</v>
      </c>
      <c r="CK1174">
        <f t="shared" si="373"/>
        <v>0</v>
      </c>
      <c r="CL1174">
        <f t="shared" si="374"/>
        <v>0</v>
      </c>
      <c r="CM1174">
        <f t="shared" si="376"/>
        <v>0</v>
      </c>
      <c r="CN1174">
        <f t="shared" si="375"/>
        <v>0</v>
      </c>
      <c r="CO1174">
        <f t="shared" si="359"/>
        <v>0</v>
      </c>
    </row>
    <row r="1175" spans="1:93" hidden="1" x14ac:dyDescent="0.25">
      <c r="A1175" s="4">
        <v>2021</v>
      </c>
      <c r="B1175" s="315">
        <v>44279</v>
      </c>
      <c r="C1175" s="4" t="s">
        <v>66</v>
      </c>
      <c r="D1175" s="4" t="s">
        <v>1502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1503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+VLOOKUP(G1175,Liste!$A$7:$G$69,3,FALSE)</f>
        <v>Chêne sessile</v>
      </c>
      <c r="BI1175" s="96" t="str">
        <f>+VLOOKUP(H1175,Liste!$B$7:$G$69,5,FALSE)</f>
        <v>Guide chênaie continentale</v>
      </c>
      <c r="BJ1175" s="135">
        <f t="shared" si="358"/>
        <v>30</v>
      </c>
      <c r="BK1175" s="135" t="str">
        <f t="shared" si="360"/>
        <v>Chêne sessile_F1_Dynamique_Guide chênaie continentale_30_</v>
      </c>
      <c r="BL1175" s="319"/>
      <c r="BM1175" s="13">
        <v>54.867051813555499</v>
      </c>
      <c r="BN1175" s="13">
        <v>262.58022669271702</v>
      </c>
      <c r="BP1175" s="13">
        <v>345.74943247867299</v>
      </c>
      <c r="BQ1175" s="13"/>
      <c r="BT1175" s="297" t="str">
        <f>+VLOOKUP(G1175,Liste!$A$7:$H$69,8,FALSE)</f>
        <v>Feuillus</v>
      </c>
      <c r="BU1175" s="297">
        <f t="shared" si="361"/>
        <v>1</v>
      </c>
      <c r="BV1175" s="299">
        <f t="shared" si="362"/>
        <v>0</v>
      </c>
      <c r="BW1175" s="318">
        <v>0</v>
      </c>
      <c r="BX1175" s="297">
        <f t="shared" si="363"/>
        <v>0.25</v>
      </c>
      <c r="BY1175">
        <f t="shared" si="364"/>
        <v>0</v>
      </c>
      <c r="BZ1175" s="303">
        <f t="shared" si="365"/>
        <v>0</v>
      </c>
      <c r="CB1175" s="298">
        <v>0.6</v>
      </c>
      <c r="CC1175" s="298">
        <v>0.4</v>
      </c>
      <c r="CD1175">
        <f t="shared" si="366"/>
        <v>0</v>
      </c>
      <c r="CE1175">
        <f t="shared" si="367"/>
        <v>0</v>
      </c>
      <c r="CF1175">
        <f t="shared" si="368"/>
        <v>0</v>
      </c>
      <c r="CG1175">
        <f t="shared" si="369"/>
        <v>0</v>
      </c>
      <c r="CH1175">
        <f t="shared" si="370"/>
        <v>0</v>
      </c>
      <c r="CI1175">
        <f t="shared" si="371"/>
        <v>0</v>
      </c>
      <c r="CJ1175">
        <f t="shared" si="372"/>
        <v>0</v>
      </c>
      <c r="CK1175">
        <f t="shared" si="373"/>
        <v>0</v>
      </c>
      <c r="CL1175">
        <f t="shared" si="374"/>
        <v>0</v>
      </c>
      <c r="CM1175">
        <f t="shared" si="376"/>
        <v>0</v>
      </c>
      <c r="CN1175">
        <f t="shared" si="375"/>
        <v>0</v>
      </c>
      <c r="CO1175">
        <f t="shared" si="359"/>
        <v>0</v>
      </c>
    </row>
    <row r="1176" spans="1:93" hidden="1" x14ac:dyDescent="0.25">
      <c r="A1176" s="4">
        <v>2021</v>
      </c>
      <c r="B1176" s="315">
        <v>44279</v>
      </c>
      <c r="C1176" s="4" t="s">
        <v>66</v>
      </c>
      <c r="D1176" s="4" t="s">
        <v>1502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1503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+VLOOKUP(G1176,Liste!$A$7:$G$69,3,FALSE)</f>
        <v>Chêne sessile</v>
      </c>
      <c r="BI1176" s="96" t="str">
        <f>+VLOOKUP(H1176,Liste!$B$7:$G$69,5,FALSE)</f>
        <v>Guide chênaie continentale</v>
      </c>
      <c r="BJ1176" s="135">
        <f t="shared" si="358"/>
        <v>35</v>
      </c>
      <c r="BK1176" s="135" t="str">
        <f t="shared" si="360"/>
        <v>Chêne sessile_F1_Dynamique_Guide chênaie continentale_35_</v>
      </c>
      <c r="BL1176" s="319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97" t="str">
        <f>+VLOOKUP(G1176,Liste!$A$7:$H$69,8,FALSE)</f>
        <v>Feuillus</v>
      </c>
      <c r="BU1176" s="297">
        <f t="shared" si="361"/>
        <v>1</v>
      </c>
      <c r="BV1176" s="299">
        <f t="shared" si="362"/>
        <v>0</v>
      </c>
      <c r="BW1176" s="318">
        <v>0</v>
      </c>
      <c r="BX1176" s="297">
        <f t="shared" si="363"/>
        <v>0.25</v>
      </c>
      <c r="BY1176">
        <f t="shared" si="364"/>
        <v>0</v>
      </c>
      <c r="BZ1176" s="303">
        <f t="shared" si="365"/>
        <v>0</v>
      </c>
      <c r="CB1176" s="298">
        <v>0.6</v>
      </c>
      <c r="CC1176" s="298">
        <v>0.4</v>
      </c>
      <c r="CD1176">
        <f t="shared" si="366"/>
        <v>0</v>
      </c>
      <c r="CE1176">
        <f t="shared" si="367"/>
        <v>0</v>
      </c>
      <c r="CF1176">
        <f t="shared" si="368"/>
        <v>0</v>
      </c>
      <c r="CG1176">
        <f t="shared" si="369"/>
        <v>0</v>
      </c>
      <c r="CH1176">
        <f t="shared" si="370"/>
        <v>0</v>
      </c>
      <c r="CI1176">
        <f t="shared" si="371"/>
        <v>0</v>
      </c>
      <c r="CJ1176">
        <f t="shared" si="372"/>
        <v>0</v>
      </c>
      <c r="CK1176">
        <f t="shared" si="373"/>
        <v>0</v>
      </c>
      <c r="CL1176">
        <f t="shared" si="374"/>
        <v>0</v>
      </c>
      <c r="CM1176">
        <f t="shared" si="376"/>
        <v>0</v>
      </c>
      <c r="CN1176">
        <f t="shared" si="375"/>
        <v>0</v>
      </c>
      <c r="CO1176">
        <f t="shared" si="359"/>
        <v>0</v>
      </c>
    </row>
    <row r="1177" spans="1:93" hidden="1" x14ac:dyDescent="0.25">
      <c r="A1177" s="4">
        <v>2021</v>
      </c>
      <c r="B1177" s="315">
        <v>44279</v>
      </c>
      <c r="C1177" s="4" t="s">
        <v>66</v>
      </c>
      <c r="D1177" s="4" t="s">
        <v>1502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1503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+VLOOKUP(G1177,Liste!$A$7:$G$69,3,FALSE)</f>
        <v>Chêne sessile</v>
      </c>
      <c r="BI1177" s="96" t="str">
        <f>+VLOOKUP(H1177,Liste!$B$7:$G$69,5,FALSE)</f>
        <v>Guide chênaie continentale</v>
      </c>
      <c r="BJ1177" s="135">
        <f t="shared" si="358"/>
        <v>35</v>
      </c>
      <c r="BK1177" s="135" t="str">
        <f t="shared" si="360"/>
        <v>Chêne sessile_F1_Dynamique_Guide chênaie continentale_35_</v>
      </c>
      <c r="BL1177" s="319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97" t="str">
        <f>+VLOOKUP(G1177,Liste!$A$7:$H$69,8,FALSE)</f>
        <v>Feuillus</v>
      </c>
      <c r="BU1177" s="297">
        <f t="shared" si="361"/>
        <v>1</v>
      </c>
      <c r="BV1177" s="299">
        <f t="shared" si="362"/>
        <v>0</v>
      </c>
      <c r="BW1177" s="318">
        <v>0</v>
      </c>
      <c r="BX1177" s="297">
        <f t="shared" si="363"/>
        <v>0.25</v>
      </c>
      <c r="BY1177">
        <f t="shared" si="364"/>
        <v>0</v>
      </c>
      <c r="BZ1177" s="303">
        <f t="shared" si="365"/>
        <v>0</v>
      </c>
      <c r="CB1177" s="298">
        <v>0.6</v>
      </c>
      <c r="CC1177" s="298">
        <v>0.4</v>
      </c>
      <c r="CD1177">
        <f t="shared" si="366"/>
        <v>0</v>
      </c>
      <c r="CE1177">
        <f t="shared" si="367"/>
        <v>0</v>
      </c>
      <c r="CF1177">
        <f t="shared" si="368"/>
        <v>0</v>
      </c>
      <c r="CG1177">
        <f t="shared" si="369"/>
        <v>0</v>
      </c>
      <c r="CH1177">
        <f t="shared" si="370"/>
        <v>0</v>
      </c>
      <c r="CI1177">
        <f t="shared" si="371"/>
        <v>0</v>
      </c>
      <c r="CJ1177">
        <f t="shared" si="372"/>
        <v>0</v>
      </c>
      <c r="CK1177">
        <f t="shared" si="373"/>
        <v>0</v>
      </c>
      <c r="CL1177">
        <f t="shared" si="374"/>
        <v>0</v>
      </c>
      <c r="CM1177">
        <f t="shared" si="376"/>
        <v>0</v>
      </c>
      <c r="CN1177">
        <f t="shared" si="375"/>
        <v>0</v>
      </c>
      <c r="CO1177">
        <f t="shared" si="359"/>
        <v>0</v>
      </c>
    </row>
    <row r="1178" spans="1:93" hidden="1" x14ac:dyDescent="0.25">
      <c r="A1178" s="4">
        <v>2021</v>
      </c>
      <c r="B1178" s="315">
        <v>44279</v>
      </c>
      <c r="C1178" s="4" t="s">
        <v>66</v>
      </c>
      <c r="D1178" s="4" t="s">
        <v>1502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1503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+VLOOKUP(G1178,Liste!$A$7:$G$69,3,FALSE)</f>
        <v>Chêne sessile</v>
      </c>
      <c r="BI1178" s="96" t="str">
        <f>+VLOOKUP(H1178,Liste!$B$7:$G$69,5,FALSE)</f>
        <v>Guide chênaie continentale</v>
      </c>
      <c r="BJ1178" s="135">
        <f t="shared" si="358"/>
        <v>38</v>
      </c>
      <c r="BK1178" s="135" t="str">
        <f t="shared" si="360"/>
        <v>Chêne sessile_F1_Dynamique_Guide chênaie continentale_38_</v>
      </c>
      <c r="BL1178" s="319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97" t="str">
        <f>+VLOOKUP(G1178,Liste!$A$7:$H$69,8,FALSE)</f>
        <v>Feuillus</v>
      </c>
      <c r="BU1178" s="297">
        <f t="shared" si="361"/>
        <v>1</v>
      </c>
      <c r="BV1178" s="299">
        <f t="shared" si="362"/>
        <v>0</v>
      </c>
      <c r="BW1178" s="318">
        <v>0</v>
      </c>
      <c r="BX1178" s="297">
        <f t="shared" si="363"/>
        <v>0.25</v>
      </c>
      <c r="BY1178">
        <f t="shared" si="364"/>
        <v>0</v>
      </c>
      <c r="BZ1178" s="303">
        <f t="shared" si="365"/>
        <v>0</v>
      </c>
      <c r="CB1178" s="298">
        <v>0.6</v>
      </c>
      <c r="CC1178" s="298">
        <v>0.4</v>
      </c>
      <c r="CD1178">
        <f t="shared" si="366"/>
        <v>0</v>
      </c>
      <c r="CE1178">
        <f t="shared" si="367"/>
        <v>0</v>
      </c>
      <c r="CF1178">
        <f t="shared" si="368"/>
        <v>0</v>
      </c>
      <c r="CG1178">
        <f t="shared" si="369"/>
        <v>0</v>
      </c>
      <c r="CH1178">
        <f t="shared" si="370"/>
        <v>0</v>
      </c>
      <c r="CI1178">
        <f t="shared" si="371"/>
        <v>0</v>
      </c>
      <c r="CJ1178">
        <f t="shared" si="372"/>
        <v>0</v>
      </c>
      <c r="CK1178">
        <f t="shared" si="373"/>
        <v>0</v>
      </c>
      <c r="CL1178">
        <f t="shared" si="374"/>
        <v>0</v>
      </c>
      <c r="CM1178">
        <f t="shared" si="376"/>
        <v>0</v>
      </c>
      <c r="CN1178">
        <f t="shared" si="375"/>
        <v>0</v>
      </c>
      <c r="CO1178">
        <f t="shared" si="359"/>
        <v>0</v>
      </c>
    </row>
    <row r="1179" spans="1:93" hidden="1" x14ac:dyDescent="0.25">
      <c r="A1179" s="4">
        <v>2021</v>
      </c>
      <c r="B1179" s="315">
        <v>44279</v>
      </c>
      <c r="C1179" s="4" t="s">
        <v>66</v>
      </c>
      <c r="D1179" s="4" t="s">
        <v>1502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1503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+VLOOKUP(G1179,Liste!$A$7:$G$69,3,FALSE)</f>
        <v>Chêne sessile</v>
      </c>
      <c r="BI1179" s="96" t="str">
        <f>+VLOOKUP(H1179,Liste!$B$7:$G$69,5,FALSE)</f>
        <v>Guide chênaie continentale</v>
      </c>
      <c r="BJ1179" s="135">
        <f t="shared" si="358"/>
        <v>41</v>
      </c>
      <c r="BK1179" s="135" t="str">
        <f t="shared" si="360"/>
        <v>Chêne sessile_F1_Dynamique_Guide chênaie continentale_41_</v>
      </c>
      <c r="BL1179" s="319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97" t="str">
        <f>+VLOOKUP(G1179,Liste!$A$7:$H$69,8,FALSE)</f>
        <v>Feuillus</v>
      </c>
      <c r="BU1179" s="297">
        <f t="shared" si="361"/>
        <v>1</v>
      </c>
      <c r="BV1179" s="299">
        <f t="shared" si="362"/>
        <v>0</v>
      </c>
      <c r="BW1179" s="318">
        <v>0</v>
      </c>
      <c r="BX1179" s="297">
        <f t="shared" si="363"/>
        <v>0.25</v>
      </c>
      <c r="BY1179">
        <f t="shared" si="364"/>
        <v>0</v>
      </c>
      <c r="BZ1179" s="303">
        <f t="shared" si="365"/>
        <v>0</v>
      </c>
      <c r="CB1179" s="298">
        <v>0.6</v>
      </c>
      <c r="CC1179" s="298">
        <v>0.4</v>
      </c>
      <c r="CD1179">
        <f t="shared" si="366"/>
        <v>0</v>
      </c>
      <c r="CE1179">
        <f t="shared" si="367"/>
        <v>0</v>
      </c>
      <c r="CF1179">
        <f t="shared" si="368"/>
        <v>0</v>
      </c>
      <c r="CG1179">
        <f t="shared" si="369"/>
        <v>0</v>
      </c>
      <c r="CH1179">
        <f t="shared" si="370"/>
        <v>0</v>
      </c>
      <c r="CI1179">
        <f t="shared" si="371"/>
        <v>0</v>
      </c>
      <c r="CJ1179">
        <f t="shared" si="372"/>
        <v>0</v>
      </c>
      <c r="CK1179">
        <f t="shared" si="373"/>
        <v>0</v>
      </c>
      <c r="CL1179">
        <f t="shared" si="374"/>
        <v>0</v>
      </c>
      <c r="CM1179">
        <f t="shared" si="376"/>
        <v>0</v>
      </c>
      <c r="CN1179">
        <f t="shared" si="375"/>
        <v>0</v>
      </c>
      <c r="CO1179">
        <f t="shared" si="359"/>
        <v>0</v>
      </c>
    </row>
    <row r="1180" spans="1:93" hidden="1" x14ac:dyDescent="0.25">
      <c r="A1180" s="4">
        <v>2021</v>
      </c>
      <c r="B1180" s="315">
        <v>44279</v>
      </c>
      <c r="C1180" s="4" t="s">
        <v>66</v>
      </c>
      <c r="D1180" s="4" t="s">
        <v>1502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1503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+VLOOKUP(G1180,Liste!$A$7:$G$69,3,FALSE)</f>
        <v>Chêne sessile</v>
      </c>
      <c r="BI1180" s="96" t="str">
        <f>+VLOOKUP(H1180,Liste!$B$7:$G$69,5,FALSE)</f>
        <v>Guide chênaie continentale</v>
      </c>
      <c r="BJ1180" s="135">
        <f t="shared" si="358"/>
        <v>41</v>
      </c>
      <c r="BK1180" s="135" t="str">
        <f t="shared" si="360"/>
        <v>Chêne sessile_F1_Dynamique_Guide chênaie continentale_41_</v>
      </c>
      <c r="BL1180" s="319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97" t="str">
        <f>+VLOOKUP(G1180,Liste!$A$7:$H$69,8,FALSE)</f>
        <v>Feuillus</v>
      </c>
      <c r="BU1180" s="297">
        <f t="shared" si="361"/>
        <v>1</v>
      </c>
      <c r="BV1180" s="299">
        <f t="shared" si="362"/>
        <v>0</v>
      </c>
      <c r="BW1180" s="318">
        <v>0</v>
      </c>
      <c r="BX1180" s="297">
        <f t="shared" si="363"/>
        <v>0.25</v>
      </c>
      <c r="BY1180">
        <f t="shared" si="364"/>
        <v>0</v>
      </c>
      <c r="BZ1180" s="303">
        <f t="shared" si="365"/>
        <v>0</v>
      </c>
      <c r="CB1180" s="298">
        <v>0.6</v>
      </c>
      <c r="CC1180" s="298">
        <v>0.4</v>
      </c>
      <c r="CD1180">
        <f t="shared" si="366"/>
        <v>0</v>
      </c>
      <c r="CE1180">
        <f t="shared" si="367"/>
        <v>0</v>
      </c>
      <c r="CF1180">
        <f t="shared" si="368"/>
        <v>0</v>
      </c>
      <c r="CG1180">
        <f t="shared" si="369"/>
        <v>0</v>
      </c>
      <c r="CH1180">
        <f t="shared" si="370"/>
        <v>0</v>
      </c>
      <c r="CI1180">
        <f t="shared" si="371"/>
        <v>0</v>
      </c>
      <c r="CJ1180">
        <f t="shared" si="372"/>
        <v>0</v>
      </c>
      <c r="CK1180">
        <f t="shared" si="373"/>
        <v>0</v>
      </c>
      <c r="CL1180">
        <f t="shared" si="374"/>
        <v>0</v>
      </c>
      <c r="CM1180">
        <f t="shared" si="376"/>
        <v>0</v>
      </c>
      <c r="CN1180">
        <f t="shared" si="375"/>
        <v>0</v>
      </c>
      <c r="CO1180">
        <f t="shared" si="359"/>
        <v>0</v>
      </c>
    </row>
    <row r="1181" spans="1:93" hidden="1" x14ac:dyDescent="0.25">
      <c r="A1181" s="4">
        <v>2021</v>
      </c>
      <c r="B1181" s="315">
        <v>44279</v>
      </c>
      <c r="C1181" s="4" t="s">
        <v>66</v>
      </c>
      <c r="D1181" s="4" t="s">
        <v>1502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1503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+VLOOKUP(G1181,Liste!$A$7:$G$69,3,FALSE)</f>
        <v>Chêne sessile</v>
      </c>
      <c r="BI1181" s="96" t="str">
        <f>+VLOOKUP(H1181,Liste!$B$7:$G$69,5,FALSE)</f>
        <v>Guide chênaie continentale</v>
      </c>
      <c r="BJ1181" s="135">
        <f t="shared" si="358"/>
        <v>44</v>
      </c>
      <c r="BK1181" s="135" t="str">
        <f t="shared" si="360"/>
        <v>Chêne sessile_F1_Dynamique_Guide chênaie continentale_44_</v>
      </c>
      <c r="BL1181" s="319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97" t="str">
        <f>+VLOOKUP(G1181,Liste!$A$7:$H$69,8,FALSE)</f>
        <v>Feuillus</v>
      </c>
      <c r="BU1181" s="297">
        <f t="shared" si="361"/>
        <v>1</v>
      </c>
      <c r="BV1181" s="299">
        <f t="shared" si="362"/>
        <v>0</v>
      </c>
      <c r="BW1181" s="318">
        <v>0</v>
      </c>
      <c r="BX1181" s="297">
        <f t="shared" si="363"/>
        <v>0.25</v>
      </c>
      <c r="BY1181">
        <f t="shared" si="364"/>
        <v>0</v>
      </c>
      <c r="BZ1181" s="303">
        <f t="shared" si="365"/>
        <v>0</v>
      </c>
      <c r="CB1181" s="298">
        <v>0.6</v>
      </c>
      <c r="CC1181" s="298">
        <v>0.4</v>
      </c>
      <c r="CD1181">
        <f t="shared" si="366"/>
        <v>0</v>
      </c>
      <c r="CE1181">
        <f t="shared" si="367"/>
        <v>0</v>
      </c>
      <c r="CF1181">
        <f t="shared" si="368"/>
        <v>0</v>
      </c>
      <c r="CG1181">
        <f t="shared" si="369"/>
        <v>0</v>
      </c>
      <c r="CH1181">
        <f t="shared" si="370"/>
        <v>0</v>
      </c>
      <c r="CI1181">
        <f t="shared" si="371"/>
        <v>0</v>
      </c>
      <c r="CJ1181">
        <f t="shared" si="372"/>
        <v>0</v>
      </c>
      <c r="CK1181">
        <f t="shared" si="373"/>
        <v>0</v>
      </c>
      <c r="CL1181">
        <f t="shared" si="374"/>
        <v>0</v>
      </c>
      <c r="CM1181">
        <f t="shared" si="376"/>
        <v>0</v>
      </c>
      <c r="CN1181">
        <f t="shared" si="375"/>
        <v>0</v>
      </c>
      <c r="CO1181">
        <f t="shared" si="359"/>
        <v>0</v>
      </c>
    </row>
    <row r="1182" spans="1:93" hidden="1" x14ac:dyDescent="0.25">
      <c r="A1182" s="4">
        <v>2021</v>
      </c>
      <c r="B1182" s="315">
        <v>44279</v>
      </c>
      <c r="C1182" s="4" t="s">
        <v>66</v>
      </c>
      <c r="D1182" s="4" t="s">
        <v>1502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1503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+VLOOKUP(G1182,Liste!$A$7:$G$69,3,FALSE)</f>
        <v>Chêne sessile</v>
      </c>
      <c r="BI1182" s="96" t="str">
        <f>+VLOOKUP(H1182,Liste!$B$7:$G$69,5,FALSE)</f>
        <v>Guide chênaie continentale</v>
      </c>
      <c r="BJ1182" s="135">
        <f t="shared" si="358"/>
        <v>48</v>
      </c>
      <c r="BK1182" s="135" t="str">
        <f t="shared" si="360"/>
        <v>Chêne sessile_F1_Dynamique_Guide chênaie continentale_48_</v>
      </c>
      <c r="BL1182" s="319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97" t="str">
        <f>+VLOOKUP(G1182,Liste!$A$7:$H$69,8,FALSE)</f>
        <v>Feuillus</v>
      </c>
      <c r="BU1182" s="297">
        <f t="shared" si="361"/>
        <v>1</v>
      </c>
      <c r="BV1182" s="299">
        <f t="shared" si="362"/>
        <v>0</v>
      </c>
      <c r="BW1182" s="318">
        <v>0</v>
      </c>
      <c r="BX1182" s="297">
        <f t="shared" si="363"/>
        <v>0.25</v>
      </c>
      <c r="BY1182">
        <f t="shared" si="364"/>
        <v>0</v>
      </c>
      <c r="BZ1182" s="303">
        <f t="shared" si="365"/>
        <v>0</v>
      </c>
      <c r="CB1182" s="298">
        <v>0.6</v>
      </c>
      <c r="CC1182" s="298">
        <v>0.4</v>
      </c>
      <c r="CD1182">
        <f t="shared" si="366"/>
        <v>0</v>
      </c>
      <c r="CE1182">
        <f t="shared" si="367"/>
        <v>0</v>
      </c>
      <c r="CF1182">
        <f t="shared" si="368"/>
        <v>0</v>
      </c>
      <c r="CG1182">
        <f t="shared" si="369"/>
        <v>0</v>
      </c>
      <c r="CH1182">
        <f t="shared" si="370"/>
        <v>0</v>
      </c>
      <c r="CI1182">
        <f t="shared" si="371"/>
        <v>0</v>
      </c>
      <c r="CJ1182">
        <f t="shared" si="372"/>
        <v>0</v>
      </c>
      <c r="CK1182">
        <f t="shared" si="373"/>
        <v>0</v>
      </c>
      <c r="CL1182">
        <f t="shared" si="374"/>
        <v>0</v>
      </c>
      <c r="CM1182">
        <f t="shared" si="376"/>
        <v>0</v>
      </c>
      <c r="CN1182">
        <f t="shared" si="375"/>
        <v>0</v>
      </c>
      <c r="CO1182">
        <f t="shared" si="359"/>
        <v>0</v>
      </c>
    </row>
    <row r="1183" spans="1:93" hidden="1" x14ac:dyDescent="0.25">
      <c r="A1183" s="4">
        <v>2021</v>
      </c>
      <c r="B1183" s="315">
        <v>44279</v>
      </c>
      <c r="C1183" s="4" t="s">
        <v>66</v>
      </c>
      <c r="D1183" s="4" t="s">
        <v>1502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1503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+VLOOKUP(G1183,Liste!$A$7:$G$69,3,FALSE)</f>
        <v>Chêne sessile</v>
      </c>
      <c r="BI1183" s="96" t="str">
        <f>+VLOOKUP(H1183,Liste!$B$7:$G$69,5,FALSE)</f>
        <v>Guide chênaie continentale</v>
      </c>
      <c r="BJ1183" s="135">
        <f t="shared" si="358"/>
        <v>48</v>
      </c>
      <c r="BK1183" s="135" t="str">
        <f t="shared" si="360"/>
        <v>Chêne sessile_F1_Dynamique_Guide chênaie continentale_48_</v>
      </c>
      <c r="BL1183" s="319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97" t="str">
        <f>+VLOOKUP(G1183,Liste!$A$7:$H$69,8,FALSE)</f>
        <v>Feuillus</v>
      </c>
      <c r="BU1183" s="297">
        <f t="shared" si="361"/>
        <v>1</v>
      </c>
      <c r="BV1183" s="299">
        <f t="shared" si="362"/>
        <v>0</v>
      </c>
      <c r="BW1183" s="318">
        <v>0</v>
      </c>
      <c r="BX1183" s="297">
        <f t="shared" si="363"/>
        <v>0.25</v>
      </c>
      <c r="BY1183">
        <f t="shared" si="364"/>
        <v>0</v>
      </c>
      <c r="BZ1183" s="303">
        <f t="shared" si="365"/>
        <v>0</v>
      </c>
      <c r="CB1183" s="298">
        <v>0.6</v>
      </c>
      <c r="CC1183" s="298">
        <v>0.4</v>
      </c>
      <c r="CD1183">
        <f t="shared" si="366"/>
        <v>0</v>
      </c>
      <c r="CE1183">
        <f t="shared" si="367"/>
        <v>0</v>
      </c>
      <c r="CF1183">
        <f t="shared" si="368"/>
        <v>0</v>
      </c>
      <c r="CG1183">
        <f t="shared" si="369"/>
        <v>0</v>
      </c>
      <c r="CH1183">
        <f t="shared" si="370"/>
        <v>0</v>
      </c>
      <c r="CI1183">
        <f t="shared" si="371"/>
        <v>0</v>
      </c>
      <c r="CJ1183">
        <f t="shared" si="372"/>
        <v>0</v>
      </c>
      <c r="CK1183">
        <f t="shared" si="373"/>
        <v>0</v>
      </c>
      <c r="CL1183">
        <f t="shared" si="374"/>
        <v>0</v>
      </c>
      <c r="CM1183">
        <f t="shared" si="376"/>
        <v>0</v>
      </c>
      <c r="CN1183">
        <f t="shared" si="375"/>
        <v>0</v>
      </c>
      <c r="CO1183">
        <f t="shared" si="359"/>
        <v>0</v>
      </c>
    </row>
    <row r="1184" spans="1:93" hidden="1" x14ac:dyDescent="0.25">
      <c r="A1184" s="4">
        <v>2021</v>
      </c>
      <c r="B1184" s="315">
        <v>44279</v>
      </c>
      <c r="C1184" s="4" t="s">
        <v>66</v>
      </c>
      <c r="D1184" s="4" t="s">
        <v>1502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1503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+VLOOKUP(G1184,Liste!$A$7:$G$69,3,FALSE)</f>
        <v>Chêne sessile</v>
      </c>
      <c r="BI1184" s="96" t="str">
        <f>+VLOOKUP(H1184,Liste!$B$7:$G$69,5,FALSE)</f>
        <v>Guide chênaie continentale</v>
      </c>
      <c r="BJ1184" s="135">
        <f t="shared" si="358"/>
        <v>51</v>
      </c>
      <c r="BK1184" s="135" t="str">
        <f t="shared" si="360"/>
        <v>Chêne sessile_F1_Dynamique_Guide chênaie continentale_51_</v>
      </c>
      <c r="BL1184" s="319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97" t="str">
        <f>+VLOOKUP(G1184,Liste!$A$7:$H$69,8,FALSE)</f>
        <v>Feuillus</v>
      </c>
      <c r="BU1184" s="297">
        <f t="shared" si="361"/>
        <v>1</v>
      </c>
      <c r="BV1184" s="299">
        <f t="shared" si="362"/>
        <v>0</v>
      </c>
      <c r="BW1184" s="318">
        <v>0</v>
      </c>
      <c r="BX1184" s="297">
        <f t="shared" si="363"/>
        <v>0.25</v>
      </c>
      <c r="BY1184">
        <f t="shared" si="364"/>
        <v>0</v>
      </c>
      <c r="BZ1184" s="303">
        <f t="shared" si="365"/>
        <v>0</v>
      </c>
      <c r="CB1184" s="298">
        <v>0.6</v>
      </c>
      <c r="CC1184" s="298">
        <v>0.4</v>
      </c>
      <c r="CD1184">
        <f t="shared" si="366"/>
        <v>0</v>
      </c>
      <c r="CE1184">
        <f t="shared" si="367"/>
        <v>0</v>
      </c>
      <c r="CF1184">
        <f t="shared" si="368"/>
        <v>0</v>
      </c>
      <c r="CG1184">
        <f t="shared" si="369"/>
        <v>0</v>
      </c>
      <c r="CH1184">
        <f t="shared" si="370"/>
        <v>0</v>
      </c>
      <c r="CI1184">
        <f t="shared" si="371"/>
        <v>0</v>
      </c>
      <c r="CJ1184">
        <f t="shared" si="372"/>
        <v>0</v>
      </c>
      <c r="CK1184">
        <f t="shared" si="373"/>
        <v>0</v>
      </c>
      <c r="CL1184">
        <f t="shared" si="374"/>
        <v>0</v>
      </c>
      <c r="CM1184">
        <f t="shared" si="376"/>
        <v>0</v>
      </c>
      <c r="CN1184">
        <f t="shared" si="375"/>
        <v>0</v>
      </c>
      <c r="CO1184">
        <f t="shared" si="359"/>
        <v>0</v>
      </c>
    </row>
    <row r="1185" spans="1:93" hidden="1" x14ac:dyDescent="0.25">
      <c r="A1185" s="4">
        <v>2021</v>
      </c>
      <c r="B1185" s="315">
        <v>44279</v>
      </c>
      <c r="C1185" s="4" t="s">
        <v>66</v>
      </c>
      <c r="D1185" s="4" t="s">
        <v>1502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1503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+VLOOKUP(G1185,Liste!$A$7:$G$69,3,FALSE)</f>
        <v>Chêne sessile</v>
      </c>
      <c r="BI1185" s="96" t="str">
        <f>+VLOOKUP(H1185,Liste!$B$7:$G$69,5,FALSE)</f>
        <v>Guide chênaie continentale</v>
      </c>
      <c r="BJ1185" s="135">
        <f t="shared" si="358"/>
        <v>55</v>
      </c>
      <c r="BK1185" s="135" t="str">
        <f t="shared" si="360"/>
        <v>Chêne sessile_F1_Dynamique_Guide chênaie continentale_55_</v>
      </c>
      <c r="BL1185" s="319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97" t="str">
        <f>+VLOOKUP(G1185,Liste!$A$7:$H$69,8,FALSE)</f>
        <v>Feuillus</v>
      </c>
      <c r="BU1185" s="297">
        <f t="shared" si="361"/>
        <v>1</v>
      </c>
      <c r="BV1185" s="299">
        <f t="shared" si="362"/>
        <v>0</v>
      </c>
      <c r="BW1185" s="318">
        <v>0</v>
      </c>
      <c r="BX1185" s="297">
        <f t="shared" si="363"/>
        <v>0.25</v>
      </c>
      <c r="BY1185">
        <f t="shared" si="364"/>
        <v>0</v>
      </c>
      <c r="BZ1185" s="303">
        <f t="shared" si="365"/>
        <v>0</v>
      </c>
      <c r="CB1185" s="298">
        <v>0.6</v>
      </c>
      <c r="CC1185" s="298">
        <v>0.4</v>
      </c>
      <c r="CD1185">
        <f t="shared" si="366"/>
        <v>0</v>
      </c>
      <c r="CE1185">
        <f t="shared" si="367"/>
        <v>0</v>
      </c>
      <c r="CF1185">
        <f t="shared" si="368"/>
        <v>0</v>
      </c>
      <c r="CG1185">
        <f t="shared" si="369"/>
        <v>0</v>
      </c>
      <c r="CH1185">
        <f t="shared" si="370"/>
        <v>0</v>
      </c>
      <c r="CI1185">
        <f t="shared" si="371"/>
        <v>0</v>
      </c>
      <c r="CJ1185">
        <f t="shared" si="372"/>
        <v>0</v>
      </c>
      <c r="CK1185">
        <f t="shared" si="373"/>
        <v>0</v>
      </c>
      <c r="CL1185">
        <f t="shared" si="374"/>
        <v>0</v>
      </c>
      <c r="CM1185">
        <f t="shared" si="376"/>
        <v>0</v>
      </c>
      <c r="CN1185">
        <f t="shared" si="375"/>
        <v>0</v>
      </c>
      <c r="CO1185">
        <f t="shared" si="359"/>
        <v>0</v>
      </c>
    </row>
    <row r="1186" spans="1:93" hidden="1" x14ac:dyDescent="0.25">
      <c r="A1186" s="4">
        <v>2021</v>
      </c>
      <c r="B1186" s="315">
        <v>44279</v>
      </c>
      <c r="C1186" s="4" t="s">
        <v>66</v>
      </c>
      <c r="D1186" s="4" t="s">
        <v>1502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1503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+VLOOKUP(G1186,Liste!$A$7:$G$69,3,FALSE)</f>
        <v>Chêne sessile</v>
      </c>
      <c r="BI1186" s="96" t="str">
        <f>+VLOOKUP(H1186,Liste!$B$7:$G$69,5,FALSE)</f>
        <v>Guide chênaie continentale</v>
      </c>
      <c r="BJ1186" s="135">
        <f t="shared" si="358"/>
        <v>55</v>
      </c>
      <c r="BK1186" s="135" t="str">
        <f t="shared" si="360"/>
        <v>Chêne sessile_F1_Dynamique_Guide chênaie continentale_55_</v>
      </c>
      <c r="BL1186" s="319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97" t="str">
        <f>+VLOOKUP(G1186,Liste!$A$7:$H$69,8,FALSE)</f>
        <v>Feuillus</v>
      </c>
      <c r="BU1186" s="297">
        <f t="shared" si="361"/>
        <v>1</v>
      </c>
      <c r="BV1186" s="299">
        <f t="shared" si="362"/>
        <v>0</v>
      </c>
      <c r="BW1186" s="318">
        <v>0</v>
      </c>
      <c r="BX1186" s="297">
        <f t="shared" si="363"/>
        <v>0.25</v>
      </c>
      <c r="BY1186">
        <f t="shared" si="364"/>
        <v>0</v>
      </c>
      <c r="BZ1186" s="303">
        <f t="shared" si="365"/>
        <v>0</v>
      </c>
      <c r="CB1186" s="298">
        <v>0.6</v>
      </c>
      <c r="CC1186" s="298">
        <v>0.4</v>
      </c>
      <c r="CD1186">
        <f t="shared" si="366"/>
        <v>0</v>
      </c>
      <c r="CE1186">
        <f t="shared" si="367"/>
        <v>0</v>
      </c>
      <c r="CF1186">
        <f t="shared" si="368"/>
        <v>0</v>
      </c>
      <c r="CG1186">
        <f t="shared" si="369"/>
        <v>0</v>
      </c>
      <c r="CH1186">
        <f t="shared" si="370"/>
        <v>0</v>
      </c>
      <c r="CI1186">
        <f t="shared" si="371"/>
        <v>0</v>
      </c>
      <c r="CJ1186">
        <f t="shared" si="372"/>
        <v>0</v>
      </c>
      <c r="CK1186">
        <f t="shared" si="373"/>
        <v>0</v>
      </c>
      <c r="CL1186">
        <f t="shared" si="374"/>
        <v>0</v>
      </c>
      <c r="CM1186">
        <f t="shared" si="376"/>
        <v>0</v>
      </c>
      <c r="CN1186">
        <f t="shared" si="375"/>
        <v>0</v>
      </c>
      <c r="CO1186">
        <f t="shared" si="359"/>
        <v>0</v>
      </c>
    </row>
    <row r="1187" spans="1:93" hidden="1" x14ac:dyDescent="0.25">
      <c r="A1187" s="4">
        <v>2021</v>
      </c>
      <c r="B1187" s="315">
        <v>44279</v>
      </c>
      <c r="C1187" s="4" t="s">
        <v>66</v>
      </c>
      <c r="D1187" s="4" t="s">
        <v>1502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1503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+VLOOKUP(G1187,Liste!$A$7:$G$69,3,FALSE)</f>
        <v>Chêne sessile</v>
      </c>
      <c r="BI1187" s="96" t="str">
        <f>+VLOOKUP(H1187,Liste!$B$7:$G$69,5,FALSE)</f>
        <v>Guide chênaie continentale</v>
      </c>
      <c r="BJ1187" s="135">
        <f t="shared" si="358"/>
        <v>58</v>
      </c>
      <c r="BK1187" s="135" t="str">
        <f t="shared" si="360"/>
        <v>Chêne sessile_F1_Dynamique_Guide chênaie continentale_58_</v>
      </c>
      <c r="BL1187" s="319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97" t="str">
        <f>+VLOOKUP(G1187,Liste!$A$7:$H$69,8,FALSE)</f>
        <v>Feuillus</v>
      </c>
      <c r="BU1187" s="297">
        <f t="shared" si="361"/>
        <v>1</v>
      </c>
      <c r="BV1187" s="299">
        <f t="shared" si="362"/>
        <v>0</v>
      </c>
      <c r="BW1187" s="318">
        <v>0</v>
      </c>
      <c r="BX1187" s="297">
        <f t="shared" si="363"/>
        <v>0.25</v>
      </c>
      <c r="BY1187">
        <f t="shared" si="364"/>
        <v>0</v>
      </c>
      <c r="BZ1187" s="303">
        <f t="shared" si="365"/>
        <v>0</v>
      </c>
      <c r="CB1187" s="298">
        <v>0.6</v>
      </c>
      <c r="CC1187" s="298">
        <v>0.4</v>
      </c>
      <c r="CD1187">
        <f t="shared" si="366"/>
        <v>0</v>
      </c>
      <c r="CE1187">
        <f t="shared" si="367"/>
        <v>0</v>
      </c>
      <c r="CF1187">
        <f t="shared" si="368"/>
        <v>0</v>
      </c>
      <c r="CG1187">
        <f t="shared" si="369"/>
        <v>0</v>
      </c>
      <c r="CH1187">
        <f t="shared" si="370"/>
        <v>0</v>
      </c>
      <c r="CI1187">
        <f t="shared" si="371"/>
        <v>0</v>
      </c>
      <c r="CJ1187">
        <f t="shared" si="372"/>
        <v>0</v>
      </c>
      <c r="CK1187">
        <f t="shared" si="373"/>
        <v>0</v>
      </c>
      <c r="CL1187">
        <f t="shared" si="374"/>
        <v>0</v>
      </c>
      <c r="CM1187">
        <f t="shared" si="376"/>
        <v>0</v>
      </c>
      <c r="CN1187">
        <f t="shared" si="375"/>
        <v>0</v>
      </c>
      <c r="CO1187">
        <f t="shared" si="359"/>
        <v>0</v>
      </c>
    </row>
    <row r="1188" spans="1:93" hidden="1" x14ac:dyDescent="0.25">
      <c r="A1188" s="4">
        <v>2021</v>
      </c>
      <c r="B1188" s="315">
        <v>44279</v>
      </c>
      <c r="C1188" s="4" t="s">
        <v>66</v>
      </c>
      <c r="D1188" s="4" t="s">
        <v>1502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1503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+VLOOKUP(G1188,Liste!$A$7:$G$69,3,FALSE)</f>
        <v>Chêne sessile</v>
      </c>
      <c r="BI1188" s="96" t="str">
        <f>+VLOOKUP(H1188,Liste!$B$7:$G$69,5,FALSE)</f>
        <v>Guide chênaie continentale</v>
      </c>
      <c r="BJ1188" s="135">
        <f t="shared" si="358"/>
        <v>61</v>
      </c>
      <c r="BK1188" s="135" t="str">
        <f t="shared" si="360"/>
        <v>Chêne sessile_F1_Dynamique_Guide chênaie continentale_61_</v>
      </c>
      <c r="BL1188" s="319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97" t="str">
        <f>+VLOOKUP(G1188,Liste!$A$7:$H$69,8,FALSE)</f>
        <v>Feuillus</v>
      </c>
      <c r="BU1188" s="297">
        <f t="shared" si="361"/>
        <v>1</v>
      </c>
      <c r="BV1188" s="299">
        <f t="shared" si="362"/>
        <v>0</v>
      </c>
      <c r="BW1188" s="318">
        <v>0</v>
      </c>
      <c r="BX1188" s="297">
        <f t="shared" si="363"/>
        <v>0.25</v>
      </c>
      <c r="BY1188">
        <f t="shared" si="364"/>
        <v>0</v>
      </c>
      <c r="BZ1188" s="303">
        <f t="shared" si="365"/>
        <v>0</v>
      </c>
      <c r="CB1188" s="298">
        <v>0.6</v>
      </c>
      <c r="CC1188" s="298">
        <v>0.4</v>
      </c>
      <c r="CD1188">
        <f t="shared" si="366"/>
        <v>0</v>
      </c>
      <c r="CE1188">
        <f t="shared" si="367"/>
        <v>0</v>
      </c>
      <c r="CF1188">
        <f t="shared" si="368"/>
        <v>0</v>
      </c>
      <c r="CG1188">
        <f t="shared" si="369"/>
        <v>0</v>
      </c>
      <c r="CH1188">
        <f t="shared" si="370"/>
        <v>0</v>
      </c>
      <c r="CI1188">
        <f t="shared" si="371"/>
        <v>0</v>
      </c>
      <c r="CJ1188">
        <f t="shared" si="372"/>
        <v>0</v>
      </c>
      <c r="CK1188">
        <f t="shared" si="373"/>
        <v>0</v>
      </c>
      <c r="CL1188">
        <f t="shared" si="374"/>
        <v>0</v>
      </c>
      <c r="CM1188">
        <f t="shared" si="376"/>
        <v>0</v>
      </c>
      <c r="CN1188">
        <f t="shared" si="375"/>
        <v>0</v>
      </c>
      <c r="CO1188">
        <f t="shared" si="359"/>
        <v>0</v>
      </c>
    </row>
    <row r="1189" spans="1:93" hidden="1" x14ac:dyDescent="0.25">
      <c r="A1189" s="4">
        <v>2021</v>
      </c>
      <c r="B1189" s="315">
        <v>44279</v>
      </c>
      <c r="C1189" s="4" t="s">
        <v>66</v>
      </c>
      <c r="D1189" s="4" t="s">
        <v>1502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1503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+VLOOKUP(G1189,Liste!$A$7:$G$69,3,FALSE)</f>
        <v>Chêne sessile</v>
      </c>
      <c r="BI1189" s="96" t="str">
        <f>+VLOOKUP(H1189,Liste!$B$7:$G$69,5,FALSE)</f>
        <v>Guide chênaie continentale</v>
      </c>
      <c r="BJ1189" s="135">
        <f t="shared" si="358"/>
        <v>63</v>
      </c>
      <c r="BK1189" s="135" t="str">
        <f t="shared" si="360"/>
        <v>Chêne sessile_F1_Dynamique_Guide chênaie continentale_63_</v>
      </c>
      <c r="BL1189" s="319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97" t="str">
        <f>+VLOOKUP(G1189,Liste!$A$7:$H$69,8,FALSE)</f>
        <v>Feuillus</v>
      </c>
      <c r="BU1189" s="297">
        <f t="shared" si="361"/>
        <v>1</v>
      </c>
      <c r="BV1189" s="299">
        <f t="shared" si="362"/>
        <v>0</v>
      </c>
      <c r="BW1189" s="318">
        <v>0</v>
      </c>
      <c r="BX1189" s="297">
        <f t="shared" si="363"/>
        <v>0.25</v>
      </c>
      <c r="BY1189">
        <f t="shared" si="364"/>
        <v>0</v>
      </c>
      <c r="BZ1189" s="303">
        <f t="shared" si="365"/>
        <v>0</v>
      </c>
      <c r="CB1189" s="298">
        <v>0.6</v>
      </c>
      <c r="CC1189" s="298">
        <v>0.4</v>
      </c>
      <c r="CD1189">
        <f t="shared" si="366"/>
        <v>0</v>
      </c>
      <c r="CE1189">
        <f t="shared" si="367"/>
        <v>0</v>
      </c>
      <c r="CF1189">
        <f t="shared" si="368"/>
        <v>0</v>
      </c>
      <c r="CG1189">
        <f t="shared" si="369"/>
        <v>0</v>
      </c>
      <c r="CH1189">
        <f t="shared" si="370"/>
        <v>0</v>
      </c>
      <c r="CI1189">
        <f t="shared" si="371"/>
        <v>0</v>
      </c>
      <c r="CJ1189">
        <f t="shared" si="372"/>
        <v>0</v>
      </c>
      <c r="CK1189">
        <f t="shared" si="373"/>
        <v>0</v>
      </c>
      <c r="CL1189">
        <f t="shared" si="374"/>
        <v>0</v>
      </c>
      <c r="CM1189">
        <f t="shared" si="376"/>
        <v>0</v>
      </c>
      <c r="CN1189">
        <f t="shared" si="375"/>
        <v>0</v>
      </c>
      <c r="CO1189">
        <f t="shared" si="359"/>
        <v>0</v>
      </c>
    </row>
    <row r="1190" spans="1:93" hidden="1" x14ac:dyDescent="0.25">
      <c r="A1190" s="4">
        <v>2021</v>
      </c>
      <c r="B1190" s="315">
        <v>44279</v>
      </c>
      <c r="C1190" s="4" t="s">
        <v>66</v>
      </c>
      <c r="D1190" s="4" t="s">
        <v>1502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1503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+VLOOKUP(G1190,Liste!$A$7:$G$69,3,FALSE)</f>
        <v>Chêne sessile</v>
      </c>
      <c r="BI1190" s="96" t="str">
        <f>+VLOOKUP(H1190,Liste!$B$7:$G$69,5,FALSE)</f>
        <v>Guide chênaie continentale</v>
      </c>
      <c r="BJ1190" s="135">
        <f t="shared" si="358"/>
        <v>63</v>
      </c>
      <c r="BK1190" s="135" t="str">
        <f t="shared" si="360"/>
        <v>Chêne sessile_F1_Dynamique_Guide chênaie continentale_63_</v>
      </c>
      <c r="BL1190" s="319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97" t="str">
        <f>+VLOOKUP(G1190,Liste!$A$7:$H$69,8,FALSE)</f>
        <v>Feuillus</v>
      </c>
      <c r="BU1190" s="297">
        <f t="shared" si="361"/>
        <v>1</v>
      </c>
      <c r="BV1190" s="299">
        <f t="shared" si="362"/>
        <v>0</v>
      </c>
      <c r="BW1190" s="318">
        <v>0</v>
      </c>
      <c r="BX1190" s="297">
        <f t="shared" si="363"/>
        <v>0.25</v>
      </c>
      <c r="BY1190">
        <f t="shared" si="364"/>
        <v>0</v>
      </c>
      <c r="BZ1190" s="303">
        <f t="shared" si="365"/>
        <v>0</v>
      </c>
      <c r="CB1190" s="298">
        <v>0.6</v>
      </c>
      <c r="CC1190" s="298">
        <v>0.4</v>
      </c>
      <c r="CD1190">
        <f t="shared" si="366"/>
        <v>0</v>
      </c>
      <c r="CE1190">
        <f t="shared" si="367"/>
        <v>0</v>
      </c>
      <c r="CF1190">
        <f t="shared" si="368"/>
        <v>0</v>
      </c>
      <c r="CG1190">
        <f t="shared" si="369"/>
        <v>0</v>
      </c>
      <c r="CH1190">
        <f t="shared" si="370"/>
        <v>0</v>
      </c>
      <c r="CI1190">
        <f t="shared" si="371"/>
        <v>0</v>
      </c>
      <c r="CJ1190">
        <f t="shared" si="372"/>
        <v>0</v>
      </c>
      <c r="CK1190">
        <f t="shared" si="373"/>
        <v>0</v>
      </c>
      <c r="CL1190">
        <f t="shared" si="374"/>
        <v>0</v>
      </c>
      <c r="CM1190">
        <f t="shared" si="376"/>
        <v>0</v>
      </c>
      <c r="CN1190">
        <f t="shared" si="375"/>
        <v>0</v>
      </c>
      <c r="CO1190">
        <f t="shared" si="359"/>
        <v>0</v>
      </c>
    </row>
    <row r="1191" spans="1:93" hidden="1" x14ac:dyDescent="0.25">
      <c r="A1191" s="4">
        <v>2021</v>
      </c>
      <c r="B1191" s="315">
        <v>44279</v>
      </c>
      <c r="C1191" s="4" t="s">
        <v>66</v>
      </c>
      <c r="D1191" s="4" t="s">
        <v>1502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1503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+VLOOKUP(G1191,Liste!$A$7:$G$69,3,FALSE)</f>
        <v>Chêne sessile</v>
      </c>
      <c r="BI1191" s="96" t="str">
        <f>+VLOOKUP(H1191,Liste!$B$7:$G$69,5,FALSE)</f>
        <v>Guide chênaie continentale</v>
      </c>
      <c r="BJ1191" s="135">
        <f t="shared" si="358"/>
        <v>66</v>
      </c>
      <c r="BK1191" s="135" t="str">
        <f t="shared" si="360"/>
        <v>Chêne sessile_F1_Dynamique_Guide chênaie continentale_66_</v>
      </c>
      <c r="BL1191" s="319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97" t="str">
        <f>+VLOOKUP(G1191,Liste!$A$7:$H$69,8,FALSE)</f>
        <v>Feuillus</v>
      </c>
      <c r="BU1191" s="297">
        <f t="shared" si="361"/>
        <v>1</v>
      </c>
      <c r="BV1191" s="299">
        <f t="shared" si="362"/>
        <v>0</v>
      </c>
      <c r="BW1191" s="318">
        <v>0</v>
      </c>
      <c r="BX1191" s="297">
        <f t="shared" si="363"/>
        <v>0.25</v>
      </c>
      <c r="BY1191">
        <f t="shared" si="364"/>
        <v>0</v>
      </c>
      <c r="BZ1191" s="303">
        <f t="shared" si="365"/>
        <v>0</v>
      </c>
      <c r="CB1191" s="298">
        <v>0.6</v>
      </c>
      <c r="CC1191" s="298">
        <v>0.4</v>
      </c>
      <c r="CD1191">
        <f t="shared" si="366"/>
        <v>0</v>
      </c>
      <c r="CE1191">
        <f t="shared" si="367"/>
        <v>0</v>
      </c>
      <c r="CF1191">
        <f t="shared" si="368"/>
        <v>0</v>
      </c>
      <c r="CG1191">
        <f t="shared" si="369"/>
        <v>0</v>
      </c>
      <c r="CH1191">
        <f t="shared" si="370"/>
        <v>0</v>
      </c>
      <c r="CI1191">
        <f t="shared" si="371"/>
        <v>0</v>
      </c>
      <c r="CJ1191">
        <f t="shared" si="372"/>
        <v>0</v>
      </c>
      <c r="CK1191">
        <f t="shared" si="373"/>
        <v>0</v>
      </c>
      <c r="CL1191">
        <f t="shared" si="374"/>
        <v>0</v>
      </c>
      <c r="CM1191">
        <f t="shared" si="376"/>
        <v>0</v>
      </c>
      <c r="CN1191">
        <f t="shared" si="375"/>
        <v>0</v>
      </c>
      <c r="CO1191">
        <f t="shared" si="359"/>
        <v>0</v>
      </c>
    </row>
    <row r="1192" spans="1:93" hidden="1" x14ac:dyDescent="0.25">
      <c r="A1192" s="4">
        <v>2021</v>
      </c>
      <c r="B1192" s="315">
        <v>44279</v>
      </c>
      <c r="C1192" s="4" t="s">
        <v>66</v>
      </c>
      <c r="D1192" s="4" t="s">
        <v>1502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1503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+VLOOKUP(G1192,Liste!$A$7:$G$69,3,FALSE)</f>
        <v>Chêne sessile</v>
      </c>
      <c r="BI1192" s="96" t="str">
        <f>+VLOOKUP(H1192,Liste!$B$7:$G$69,5,FALSE)</f>
        <v>Guide chênaie continentale</v>
      </c>
      <c r="BJ1192" s="135">
        <f t="shared" si="358"/>
        <v>69</v>
      </c>
      <c r="BK1192" s="135" t="str">
        <f t="shared" si="360"/>
        <v>Chêne sessile_F1_Dynamique_Guide chênaie continentale_69_</v>
      </c>
      <c r="BL1192" s="319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97" t="str">
        <f>+VLOOKUP(G1192,Liste!$A$7:$H$69,8,FALSE)</f>
        <v>Feuillus</v>
      </c>
      <c r="BU1192" s="297">
        <f t="shared" si="361"/>
        <v>1</v>
      </c>
      <c r="BV1192" s="299">
        <f t="shared" si="362"/>
        <v>0</v>
      </c>
      <c r="BW1192" s="318">
        <v>0</v>
      </c>
      <c r="BX1192" s="297">
        <f t="shared" si="363"/>
        <v>0.25</v>
      </c>
      <c r="BY1192">
        <f t="shared" si="364"/>
        <v>0</v>
      </c>
      <c r="BZ1192" s="303">
        <f t="shared" si="365"/>
        <v>0</v>
      </c>
      <c r="CB1192" s="298">
        <v>0.6</v>
      </c>
      <c r="CC1192" s="298">
        <v>0.4</v>
      </c>
      <c r="CD1192">
        <f t="shared" si="366"/>
        <v>0</v>
      </c>
      <c r="CE1192">
        <f t="shared" si="367"/>
        <v>0</v>
      </c>
      <c r="CF1192">
        <f t="shared" si="368"/>
        <v>0</v>
      </c>
      <c r="CG1192">
        <f t="shared" si="369"/>
        <v>0</v>
      </c>
      <c r="CH1192">
        <f t="shared" si="370"/>
        <v>0</v>
      </c>
      <c r="CI1192">
        <f t="shared" si="371"/>
        <v>0</v>
      </c>
      <c r="CJ1192">
        <f t="shared" si="372"/>
        <v>0</v>
      </c>
      <c r="CK1192">
        <f t="shared" si="373"/>
        <v>0</v>
      </c>
      <c r="CL1192">
        <f t="shared" si="374"/>
        <v>0</v>
      </c>
      <c r="CM1192">
        <f t="shared" si="376"/>
        <v>0</v>
      </c>
      <c r="CN1192">
        <f t="shared" si="375"/>
        <v>0</v>
      </c>
      <c r="CO1192">
        <f t="shared" si="359"/>
        <v>0</v>
      </c>
    </row>
    <row r="1193" spans="1:93" hidden="1" x14ac:dyDescent="0.25">
      <c r="A1193" s="4">
        <v>2021</v>
      </c>
      <c r="B1193" s="315">
        <v>44279</v>
      </c>
      <c r="C1193" s="4" t="s">
        <v>66</v>
      </c>
      <c r="D1193" s="4" t="s">
        <v>1502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1503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+VLOOKUP(G1193,Liste!$A$7:$G$69,3,FALSE)</f>
        <v>Chêne sessile</v>
      </c>
      <c r="BI1193" s="96" t="str">
        <f>+VLOOKUP(H1193,Liste!$B$7:$G$69,5,FALSE)</f>
        <v>Guide chênaie continentale</v>
      </c>
      <c r="BJ1193" s="135">
        <f t="shared" si="358"/>
        <v>71</v>
      </c>
      <c r="BK1193" s="135" t="str">
        <f t="shared" si="360"/>
        <v>Chêne sessile_F1_Dynamique_Guide chênaie continentale_71_</v>
      </c>
      <c r="BL1193" s="319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97" t="str">
        <f>+VLOOKUP(G1193,Liste!$A$7:$H$69,8,FALSE)</f>
        <v>Feuillus</v>
      </c>
      <c r="BU1193" s="297">
        <f t="shared" si="361"/>
        <v>1</v>
      </c>
      <c r="BV1193" s="299">
        <f t="shared" si="362"/>
        <v>0</v>
      </c>
      <c r="BW1193" s="318">
        <v>0</v>
      </c>
      <c r="BX1193" s="297">
        <f t="shared" si="363"/>
        <v>0.25</v>
      </c>
      <c r="BY1193">
        <f t="shared" si="364"/>
        <v>0</v>
      </c>
      <c r="BZ1193" s="303">
        <f t="shared" si="365"/>
        <v>0</v>
      </c>
      <c r="CB1193" s="298">
        <v>0.6</v>
      </c>
      <c r="CC1193" s="298">
        <v>0.4</v>
      </c>
      <c r="CD1193">
        <f t="shared" si="366"/>
        <v>0</v>
      </c>
      <c r="CE1193">
        <f t="shared" si="367"/>
        <v>0</v>
      </c>
      <c r="CF1193">
        <f t="shared" si="368"/>
        <v>0</v>
      </c>
      <c r="CG1193">
        <f t="shared" si="369"/>
        <v>0</v>
      </c>
      <c r="CH1193">
        <f t="shared" si="370"/>
        <v>0</v>
      </c>
      <c r="CI1193">
        <f t="shared" si="371"/>
        <v>0</v>
      </c>
      <c r="CJ1193">
        <f t="shared" si="372"/>
        <v>0</v>
      </c>
      <c r="CK1193">
        <f t="shared" si="373"/>
        <v>0</v>
      </c>
      <c r="CL1193">
        <f t="shared" si="374"/>
        <v>0</v>
      </c>
      <c r="CM1193">
        <f t="shared" si="376"/>
        <v>0</v>
      </c>
      <c r="CN1193">
        <f t="shared" si="375"/>
        <v>0</v>
      </c>
      <c r="CO1193">
        <f t="shared" si="359"/>
        <v>0</v>
      </c>
    </row>
    <row r="1194" spans="1:93" hidden="1" x14ac:dyDescent="0.25">
      <c r="A1194" s="4">
        <v>2021</v>
      </c>
      <c r="B1194" s="315">
        <v>44279</v>
      </c>
      <c r="C1194" s="4" t="s">
        <v>66</v>
      </c>
      <c r="D1194" s="4" t="s">
        <v>1502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1503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+VLOOKUP(G1194,Liste!$A$7:$G$69,3,FALSE)</f>
        <v>Chêne sessile</v>
      </c>
      <c r="BI1194" s="96" t="str">
        <f>+VLOOKUP(H1194,Liste!$B$7:$G$69,5,FALSE)</f>
        <v>Guide chênaie continentale</v>
      </c>
      <c r="BJ1194" s="135">
        <f t="shared" si="358"/>
        <v>71</v>
      </c>
      <c r="BK1194" s="135" t="str">
        <f t="shared" si="360"/>
        <v>Chêne sessile_F1_Dynamique_Guide chênaie continentale_71_</v>
      </c>
      <c r="BL1194" s="319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97" t="str">
        <f>+VLOOKUP(G1194,Liste!$A$7:$H$69,8,FALSE)</f>
        <v>Feuillus</v>
      </c>
      <c r="BU1194" s="297">
        <f t="shared" si="361"/>
        <v>1</v>
      </c>
      <c r="BV1194" s="299">
        <f t="shared" si="362"/>
        <v>0</v>
      </c>
      <c r="BW1194" s="318">
        <v>0</v>
      </c>
      <c r="BX1194" s="297">
        <f t="shared" si="363"/>
        <v>0.25</v>
      </c>
      <c r="BY1194">
        <f t="shared" si="364"/>
        <v>0</v>
      </c>
      <c r="BZ1194" s="303">
        <f t="shared" si="365"/>
        <v>0</v>
      </c>
      <c r="CB1194" s="298">
        <v>0.6</v>
      </c>
      <c r="CC1194" s="298">
        <v>0.4</v>
      </c>
      <c r="CD1194">
        <f t="shared" si="366"/>
        <v>0</v>
      </c>
      <c r="CE1194">
        <f t="shared" si="367"/>
        <v>0</v>
      </c>
      <c r="CF1194">
        <f t="shared" si="368"/>
        <v>0</v>
      </c>
      <c r="CG1194">
        <f t="shared" si="369"/>
        <v>0</v>
      </c>
      <c r="CH1194">
        <f t="shared" si="370"/>
        <v>0</v>
      </c>
      <c r="CI1194">
        <f t="shared" si="371"/>
        <v>0</v>
      </c>
      <c r="CJ1194">
        <f t="shared" si="372"/>
        <v>0</v>
      </c>
      <c r="CK1194">
        <f t="shared" si="373"/>
        <v>0</v>
      </c>
      <c r="CL1194">
        <f t="shared" si="374"/>
        <v>0</v>
      </c>
      <c r="CM1194">
        <f t="shared" si="376"/>
        <v>0</v>
      </c>
      <c r="CN1194">
        <f t="shared" si="375"/>
        <v>0</v>
      </c>
      <c r="CO1194">
        <f t="shared" si="359"/>
        <v>0</v>
      </c>
    </row>
    <row r="1195" spans="1:93" hidden="1" x14ac:dyDescent="0.25">
      <c r="A1195" s="4">
        <v>2021</v>
      </c>
      <c r="B1195" s="315">
        <v>44279</v>
      </c>
      <c r="C1195" s="4" t="s">
        <v>66</v>
      </c>
      <c r="D1195" s="4" t="s">
        <v>1502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1503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+VLOOKUP(G1195,Liste!$A$7:$G$69,3,FALSE)</f>
        <v>Chêne sessile</v>
      </c>
      <c r="BI1195" s="96" t="str">
        <f>+VLOOKUP(H1195,Liste!$B$7:$G$69,5,FALSE)</f>
        <v>Guide chênaie continentale</v>
      </c>
      <c r="BJ1195" s="135">
        <f t="shared" si="358"/>
        <v>74</v>
      </c>
      <c r="BK1195" s="135" t="str">
        <f t="shared" si="360"/>
        <v>Chêne sessile_F1_Dynamique_Guide chênaie continentale_74_</v>
      </c>
      <c r="BL1195" s="319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97" t="str">
        <f>+VLOOKUP(G1195,Liste!$A$7:$H$69,8,FALSE)</f>
        <v>Feuillus</v>
      </c>
      <c r="BU1195" s="297">
        <f t="shared" si="361"/>
        <v>1</v>
      </c>
      <c r="BV1195" s="299">
        <f t="shared" si="362"/>
        <v>0</v>
      </c>
      <c r="BW1195" s="318">
        <v>0</v>
      </c>
      <c r="BX1195" s="297">
        <f t="shared" si="363"/>
        <v>0.25</v>
      </c>
      <c r="BY1195">
        <f t="shared" si="364"/>
        <v>0</v>
      </c>
      <c r="BZ1195" s="303">
        <f t="shared" si="365"/>
        <v>0</v>
      </c>
      <c r="CB1195" s="298">
        <v>0.6</v>
      </c>
      <c r="CC1195" s="298">
        <v>0.4</v>
      </c>
      <c r="CD1195">
        <f t="shared" si="366"/>
        <v>0</v>
      </c>
      <c r="CE1195">
        <f t="shared" si="367"/>
        <v>0</v>
      </c>
      <c r="CF1195">
        <f t="shared" si="368"/>
        <v>0</v>
      </c>
      <c r="CG1195">
        <f t="shared" si="369"/>
        <v>0</v>
      </c>
      <c r="CH1195">
        <f t="shared" si="370"/>
        <v>0</v>
      </c>
      <c r="CI1195">
        <f t="shared" si="371"/>
        <v>0</v>
      </c>
      <c r="CJ1195">
        <f t="shared" si="372"/>
        <v>0</v>
      </c>
      <c r="CK1195">
        <f t="shared" si="373"/>
        <v>0</v>
      </c>
      <c r="CL1195">
        <f t="shared" si="374"/>
        <v>0</v>
      </c>
      <c r="CM1195">
        <f t="shared" si="376"/>
        <v>0</v>
      </c>
      <c r="CN1195">
        <f t="shared" si="375"/>
        <v>0</v>
      </c>
      <c r="CO1195">
        <f t="shared" si="359"/>
        <v>0</v>
      </c>
    </row>
    <row r="1196" spans="1:93" hidden="1" x14ac:dyDescent="0.25">
      <c r="A1196" s="4">
        <v>2021</v>
      </c>
      <c r="B1196" s="315">
        <v>44279</v>
      </c>
      <c r="C1196" s="4" t="s">
        <v>66</v>
      </c>
      <c r="D1196" s="4" t="s">
        <v>1502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1503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+VLOOKUP(G1196,Liste!$A$7:$G$69,3,FALSE)</f>
        <v>Chêne sessile</v>
      </c>
      <c r="BI1196" s="96" t="str">
        <f>+VLOOKUP(H1196,Liste!$B$7:$G$69,5,FALSE)</f>
        <v>Guide chênaie continentale</v>
      </c>
      <c r="BJ1196" s="135">
        <f t="shared" si="358"/>
        <v>77</v>
      </c>
      <c r="BK1196" s="135" t="str">
        <f t="shared" si="360"/>
        <v>Chêne sessile_F1_Dynamique_Guide chênaie continentale_77_</v>
      </c>
      <c r="BL1196" s="319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97" t="str">
        <f>+VLOOKUP(G1196,Liste!$A$7:$H$69,8,FALSE)</f>
        <v>Feuillus</v>
      </c>
      <c r="BU1196" s="297">
        <f t="shared" si="361"/>
        <v>1</v>
      </c>
      <c r="BV1196" s="299">
        <f t="shared" si="362"/>
        <v>0</v>
      </c>
      <c r="BW1196" s="318">
        <v>0</v>
      </c>
      <c r="BX1196" s="297">
        <f t="shared" si="363"/>
        <v>0.25</v>
      </c>
      <c r="BY1196">
        <f t="shared" si="364"/>
        <v>0</v>
      </c>
      <c r="BZ1196" s="303">
        <f t="shared" si="365"/>
        <v>0</v>
      </c>
      <c r="CB1196" s="298">
        <v>0.6</v>
      </c>
      <c r="CC1196" s="298">
        <v>0.4</v>
      </c>
      <c r="CD1196">
        <f t="shared" si="366"/>
        <v>0</v>
      </c>
      <c r="CE1196">
        <f t="shared" si="367"/>
        <v>0</v>
      </c>
      <c r="CF1196">
        <f t="shared" si="368"/>
        <v>0</v>
      </c>
      <c r="CG1196">
        <f t="shared" si="369"/>
        <v>0</v>
      </c>
      <c r="CH1196">
        <f t="shared" si="370"/>
        <v>0</v>
      </c>
      <c r="CI1196">
        <f t="shared" si="371"/>
        <v>0</v>
      </c>
      <c r="CJ1196">
        <f t="shared" si="372"/>
        <v>0</v>
      </c>
      <c r="CK1196">
        <f t="shared" si="373"/>
        <v>0</v>
      </c>
      <c r="CL1196">
        <f t="shared" si="374"/>
        <v>0</v>
      </c>
      <c r="CM1196">
        <f t="shared" si="376"/>
        <v>0</v>
      </c>
      <c r="CN1196">
        <f t="shared" si="375"/>
        <v>0</v>
      </c>
      <c r="CO1196">
        <f t="shared" si="359"/>
        <v>0</v>
      </c>
    </row>
    <row r="1197" spans="1:93" hidden="1" x14ac:dyDescent="0.25">
      <c r="A1197" s="4">
        <v>2021</v>
      </c>
      <c r="B1197" s="315">
        <v>44279</v>
      </c>
      <c r="C1197" s="4" t="s">
        <v>66</v>
      </c>
      <c r="D1197" s="4" t="s">
        <v>1502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1503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+VLOOKUP(G1197,Liste!$A$7:$G$69,3,FALSE)</f>
        <v>Chêne sessile</v>
      </c>
      <c r="BI1197" s="96" t="str">
        <f>+VLOOKUP(H1197,Liste!$B$7:$G$69,5,FALSE)</f>
        <v>Guide chênaie continentale</v>
      </c>
      <c r="BJ1197" s="135">
        <f t="shared" si="358"/>
        <v>80</v>
      </c>
      <c r="BK1197" s="135" t="str">
        <f t="shared" si="360"/>
        <v>Chêne sessile_F1_Dynamique_Guide chênaie continentale_80_</v>
      </c>
      <c r="BL1197" s="319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97" t="str">
        <f>+VLOOKUP(G1197,Liste!$A$7:$H$69,8,FALSE)</f>
        <v>Feuillus</v>
      </c>
      <c r="BU1197" s="297">
        <f t="shared" si="361"/>
        <v>1</v>
      </c>
      <c r="BV1197" s="299">
        <f t="shared" si="362"/>
        <v>0</v>
      </c>
      <c r="BW1197" s="318">
        <v>0</v>
      </c>
      <c r="BX1197" s="297">
        <f t="shared" si="363"/>
        <v>0.25</v>
      </c>
      <c r="BY1197">
        <f t="shared" si="364"/>
        <v>0</v>
      </c>
      <c r="BZ1197" s="303">
        <f t="shared" si="365"/>
        <v>0</v>
      </c>
      <c r="CB1197" s="298">
        <v>0.6</v>
      </c>
      <c r="CC1197" s="298">
        <v>0.4</v>
      </c>
      <c r="CD1197">
        <f t="shared" si="366"/>
        <v>0</v>
      </c>
      <c r="CE1197">
        <f t="shared" si="367"/>
        <v>0</v>
      </c>
      <c r="CF1197">
        <f t="shared" si="368"/>
        <v>0</v>
      </c>
      <c r="CG1197">
        <f t="shared" si="369"/>
        <v>0</v>
      </c>
      <c r="CH1197">
        <f t="shared" si="370"/>
        <v>0</v>
      </c>
      <c r="CI1197">
        <f t="shared" si="371"/>
        <v>0</v>
      </c>
      <c r="CJ1197">
        <f t="shared" si="372"/>
        <v>0</v>
      </c>
      <c r="CK1197">
        <f t="shared" si="373"/>
        <v>0</v>
      </c>
      <c r="CL1197">
        <f t="shared" si="374"/>
        <v>0</v>
      </c>
      <c r="CM1197">
        <f t="shared" si="376"/>
        <v>0</v>
      </c>
      <c r="CN1197">
        <f t="shared" si="375"/>
        <v>0</v>
      </c>
      <c r="CO1197">
        <f t="shared" si="359"/>
        <v>0</v>
      </c>
    </row>
    <row r="1198" spans="1:93" hidden="1" x14ac:dyDescent="0.25">
      <c r="A1198" s="4">
        <v>2021</v>
      </c>
      <c r="B1198" s="315">
        <v>44279</v>
      </c>
      <c r="C1198" s="4" t="s">
        <v>66</v>
      </c>
      <c r="D1198" s="4" t="s">
        <v>1502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1503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+VLOOKUP(G1198,Liste!$A$7:$G$69,3,FALSE)</f>
        <v>Chêne sessile</v>
      </c>
      <c r="BI1198" s="96" t="str">
        <f>+VLOOKUP(H1198,Liste!$B$7:$G$69,5,FALSE)</f>
        <v>Guide chênaie continentale</v>
      </c>
      <c r="BJ1198" s="135">
        <f t="shared" si="358"/>
        <v>80</v>
      </c>
      <c r="BK1198" s="135" t="str">
        <f t="shared" si="360"/>
        <v>Chêne sessile_F1_Dynamique_Guide chênaie continentale_80_</v>
      </c>
      <c r="BL1198" s="319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97" t="str">
        <f>+VLOOKUP(G1198,Liste!$A$7:$H$69,8,FALSE)</f>
        <v>Feuillus</v>
      </c>
      <c r="BU1198" s="297">
        <f t="shared" si="361"/>
        <v>1</v>
      </c>
      <c r="BV1198" s="299">
        <f t="shared" si="362"/>
        <v>0</v>
      </c>
      <c r="BW1198" s="318">
        <v>0</v>
      </c>
      <c r="BX1198" s="297">
        <f t="shared" si="363"/>
        <v>0.25</v>
      </c>
      <c r="BY1198">
        <f t="shared" si="364"/>
        <v>0</v>
      </c>
      <c r="BZ1198" s="303">
        <f t="shared" si="365"/>
        <v>0</v>
      </c>
      <c r="CB1198" s="298">
        <v>0.6</v>
      </c>
      <c r="CC1198" s="298">
        <v>0.4</v>
      </c>
      <c r="CD1198">
        <f t="shared" si="366"/>
        <v>0</v>
      </c>
      <c r="CE1198">
        <f t="shared" si="367"/>
        <v>0</v>
      </c>
      <c r="CF1198">
        <f t="shared" si="368"/>
        <v>0</v>
      </c>
      <c r="CG1198">
        <f t="shared" si="369"/>
        <v>0</v>
      </c>
      <c r="CH1198">
        <f t="shared" si="370"/>
        <v>0</v>
      </c>
      <c r="CI1198">
        <f t="shared" si="371"/>
        <v>0</v>
      </c>
      <c r="CJ1198">
        <f t="shared" si="372"/>
        <v>0</v>
      </c>
      <c r="CK1198">
        <f t="shared" si="373"/>
        <v>0</v>
      </c>
      <c r="CL1198">
        <f t="shared" si="374"/>
        <v>0</v>
      </c>
      <c r="CM1198">
        <f t="shared" si="376"/>
        <v>0</v>
      </c>
      <c r="CN1198">
        <f t="shared" si="375"/>
        <v>0</v>
      </c>
      <c r="CO1198">
        <f t="shared" si="359"/>
        <v>0</v>
      </c>
    </row>
    <row r="1199" spans="1:93" hidden="1" x14ac:dyDescent="0.25">
      <c r="A1199" s="4">
        <v>2021</v>
      </c>
      <c r="B1199" s="315">
        <v>44279</v>
      </c>
      <c r="C1199" s="4" t="s">
        <v>66</v>
      </c>
      <c r="D1199" s="4" t="s">
        <v>1502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1503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+VLOOKUP(G1199,Liste!$A$7:$G$69,3,FALSE)</f>
        <v>Chêne sessile</v>
      </c>
      <c r="BI1199" s="96" t="str">
        <f>+VLOOKUP(H1199,Liste!$B$7:$G$69,5,FALSE)</f>
        <v>Guide chênaie continentale</v>
      </c>
      <c r="BJ1199" s="135">
        <f t="shared" si="358"/>
        <v>83</v>
      </c>
      <c r="BK1199" s="135" t="str">
        <f t="shared" si="360"/>
        <v>Chêne sessile_F1_Dynamique_Guide chênaie continentale_83_</v>
      </c>
      <c r="BL1199" s="319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97" t="str">
        <f>+VLOOKUP(G1199,Liste!$A$7:$H$69,8,FALSE)</f>
        <v>Feuillus</v>
      </c>
      <c r="BU1199" s="297">
        <f t="shared" si="361"/>
        <v>1</v>
      </c>
      <c r="BV1199" s="299">
        <f t="shared" si="362"/>
        <v>0</v>
      </c>
      <c r="BW1199" s="318">
        <v>0</v>
      </c>
      <c r="BX1199" s="297">
        <f t="shared" si="363"/>
        <v>0.25</v>
      </c>
      <c r="BY1199">
        <f t="shared" si="364"/>
        <v>0</v>
      </c>
      <c r="BZ1199" s="303">
        <f t="shared" si="365"/>
        <v>0</v>
      </c>
      <c r="CB1199" s="298">
        <v>0.6</v>
      </c>
      <c r="CC1199" s="298">
        <v>0.4</v>
      </c>
      <c r="CD1199">
        <f t="shared" si="366"/>
        <v>0</v>
      </c>
      <c r="CE1199">
        <f t="shared" si="367"/>
        <v>0</v>
      </c>
      <c r="CF1199">
        <f t="shared" si="368"/>
        <v>0</v>
      </c>
      <c r="CG1199">
        <f t="shared" si="369"/>
        <v>0</v>
      </c>
      <c r="CH1199">
        <f t="shared" si="370"/>
        <v>0</v>
      </c>
      <c r="CI1199">
        <f t="shared" si="371"/>
        <v>0</v>
      </c>
      <c r="CJ1199">
        <f t="shared" si="372"/>
        <v>0</v>
      </c>
      <c r="CK1199">
        <f t="shared" si="373"/>
        <v>0</v>
      </c>
      <c r="CL1199">
        <f t="shared" si="374"/>
        <v>0</v>
      </c>
      <c r="CM1199">
        <f t="shared" si="376"/>
        <v>0</v>
      </c>
      <c r="CN1199">
        <f t="shared" si="375"/>
        <v>0</v>
      </c>
      <c r="CO1199">
        <f t="shared" si="359"/>
        <v>0</v>
      </c>
    </row>
    <row r="1200" spans="1:93" hidden="1" x14ac:dyDescent="0.25">
      <c r="A1200" s="4">
        <v>2021</v>
      </c>
      <c r="B1200" s="315">
        <v>44279</v>
      </c>
      <c r="C1200" s="4" t="s">
        <v>66</v>
      </c>
      <c r="D1200" s="4" t="s">
        <v>1502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1503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+VLOOKUP(G1200,Liste!$A$7:$G$69,3,FALSE)</f>
        <v>Chêne sessile</v>
      </c>
      <c r="BI1200" s="96" t="str">
        <f>+VLOOKUP(H1200,Liste!$B$7:$G$69,5,FALSE)</f>
        <v>Guide chênaie continentale</v>
      </c>
      <c r="BJ1200" s="135">
        <f t="shared" si="358"/>
        <v>86</v>
      </c>
      <c r="BK1200" s="135" t="str">
        <f t="shared" si="360"/>
        <v>Chêne sessile_F1_Dynamique_Guide chênaie continentale_86_</v>
      </c>
      <c r="BL1200" s="319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97" t="str">
        <f>+VLOOKUP(G1200,Liste!$A$7:$H$69,8,FALSE)</f>
        <v>Feuillus</v>
      </c>
      <c r="BU1200" s="297">
        <f t="shared" si="361"/>
        <v>1</v>
      </c>
      <c r="BV1200" s="299">
        <f t="shared" si="362"/>
        <v>0</v>
      </c>
      <c r="BW1200" s="318">
        <v>0</v>
      </c>
      <c r="BX1200" s="297">
        <f t="shared" si="363"/>
        <v>0.25</v>
      </c>
      <c r="BY1200">
        <f t="shared" si="364"/>
        <v>0</v>
      </c>
      <c r="BZ1200" s="303">
        <f t="shared" si="365"/>
        <v>0</v>
      </c>
      <c r="CB1200" s="298">
        <v>0.6</v>
      </c>
      <c r="CC1200" s="298">
        <v>0.4</v>
      </c>
      <c r="CD1200">
        <f t="shared" si="366"/>
        <v>0</v>
      </c>
      <c r="CE1200">
        <f t="shared" si="367"/>
        <v>0</v>
      </c>
      <c r="CF1200">
        <f t="shared" si="368"/>
        <v>0</v>
      </c>
      <c r="CG1200">
        <f t="shared" si="369"/>
        <v>0</v>
      </c>
      <c r="CH1200">
        <f t="shared" si="370"/>
        <v>0</v>
      </c>
      <c r="CI1200">
        <f t="shared" si="371"/>
        <v>0</v>
      </c>
      <c r="CJ1200">
        <f t="shared" si="372"/>
        <v>0</v>
      </c>
      <c r="CK1200">
        <f t="shared" si="373"/>
        <v>0</v>
      </c>
      <c r="CL1200">
        <f t="shared" si="374"/>
        <v>0</v>
      </c>
      <c r="CM1200">
        <f t="shared" si="376"/>
        <v>0</v>
      </c>
      <c r="CN1200">
        <f t="shared" si="375"/>
        <v>0</v>
      </c>
      <c r="CO1200">
        <f t="shared" si="359"/>
        <v>0</v>
      </c>
    </row>
    <row r="1201" spans="1:93" hidden="1" x14ac:dyDescent="0.25">
      <c r="A1201" s="4">
        <v>2021</v>
      </c>
      <c r="B1201" s="315">
        <v>44279</v>
      </c>
      <c r="C1201" s="4" t="s">
        <v>66</v>
      </c>
      <c r="D1201" s="4" t="s">
        <v>1502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1503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+VLOOKUP(G1201,Liste!$A$7:$G$69,3,FALSE)</f>
        <v>Chêne sessile</v>
      </c>
      <c r="BI1201" s="96" t="str">
        <f>+VLOOKUP(H1201,Liste!$B$7:$G$69,5,FALSE)</f>
        <v>Guide chênaie continentale</v>
      </c>
      <c r="BJ1201" s="135">
        <f t="shared" si="358"/>
        <v>89</v>
      </c>
      <c r="BK1201" s="135" t="str">
        <f t="shared" si="360"/>
        <v>Chêne sessile_F1_Dynamique_Guide chênaie continentale_89_</v>
      </c>
      <c r="BL1201" s="319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97" t="str">
        <f>+VLOOKUP(G1201,Liste!$A$7:$H$69,8,FALSE)</f>
        <v>Feuillus</v>
      </c>
      <c r="BU1201" s="297">
        <f t="shared" si="361"/>
        <v>1</v>
      </c>
      <c r="BV1201" s="299">
        <f t="shared" si="362"/>
        <v>0</v>
      </c>
      <c r="BW1201" s="318">
        <v>0</v>
      </c>
      <c r="BX1201" s="297">
        <f t="shared" si="363"/>
        <v>0.25</v>
      </c>
      <c r="BY1201">
        <f t="shared" si="364"/>
        <v>0</v>
      </c>
      <c r="BZ1201" s="303">
        <f t="shared" si="365"/>
        <v>0</v>
      </c>
      <c r="CB1201" s="298">
        <v>0.6</v>
      </c>
      <c r="CC1201" s="298">
        <v>0.4</v>
      </c>
      <c r="CD1201">
        <f t="shared" si="366"/>
        <v>0</v>
      </c>
      <c r="CE1201">
        <f t="shared" si="367"/>
        <v>0</v>
      </c>
      <c r="CF1201">
        <f t="shared" si="368"/>
        <v>0</v>
      </c>
      <c r="CG1201">
        <f t="shared" si="369"/>
        <v>0</v>
      </c>
      <c r="CH1201">
        <f t="shared" si="370"/>
        <v>0</v>
      </c>
      <c r="CI1201">
        <f t="shared" si="371"/>
        <v>0</v>
      </c>
      <c r="CJ1201">
        <f t="shared" si="372"/>
        <v>0</v>
      </c>
      <c r="CK1201">
        <f t="shared" si="373"/>
        <v>0</v>
      </c>
      <c r="CL1201">
        <f t="shared" si="374"/>
        <v>0</v>
      </c>
      <c r="CM1201">
        <f t="shared" si="376"/>
        <v>0</v>
      </c>
      <c r="CN1201">
        <f t="shared" si="375"/>
        <v>0</v>
      </c>
      <c r="CO1201">
        <f t="shared" si="359"/>
        <v>0</v>
      </c>
    </row>
    <row r="1202" spans="1:93" hidden="1" x14ac:dyDescent="0.25">
      <c r="A1202" s="4">
        <v>2021</v>
      </c>
      <c r="B1202" s="315">
        <v>44279</v>
      </c>
      <c r="C1202" s="4" t="s">
        <v>66</v>
      </c>
      <c r="D1202" s="4" t="s">
        <v>1502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1503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+VLOOKUP(G1202,Liste!$A$7:$G$69,3,FALSE)</f>
        <v>Chêne sessile</v>
      </c>
      <c r="BI1202" s="96" t="str">
        <f>+VLOOKUP(H1202,Liste!$B$7:$G$69,5,FALSE)</f>
        <v>Guide chênaie continentale</v>
      </c>
      <c r="BJ1202" s="135">
        <f t="shared" si="358"/>
        <v>89</v>
      </c>
      <c r="BK1202" s="135" t="str">
        <f t="shared" si="360"/>
        <v>Chêne sessile_F1_Dynamique_Guide chênaie continentale_89_</v>
      </c>
      <c r="BL1202" s="319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97" t="str">
        <f>+VLOOKUP(G1202,Liste!$A$7:$H$69,8,FALSE)</f>
        <v>Feuillus</v>
      </c>
      <c r="BU1202" s="297">
        <f t="shared" si="361"/>
        <v>1</v>
      </c>
      <c r="BV1202" s="299">
        <f t="shared" si="362"/>
        <v>0</v>
      </c>
      <c r="BW1202" s="318">
        <v>0</v>
      </c>
      <c r="BX1202" s="297">
        <f t="shared" si="363"/>
        <v>0.25</v>
      </c>
      <c r="BY1202">
        <f t="shared" si="364"/>
        <v>0</v>
      </c>
      <c r="BZ1202" s="303">
        <f t="shared" si="365"/>
        <v>0</v>
      </c>
      <c r="CB1202" s="298">
        <v>0.6</v>
      </c>
      <c r="CC1202" s="298">
        <v>0.4</v>
      </c>
      <c r="CD1202">
        <f t="shared" si="366"/>
        <v>0</v>
      </c>
      <c r="CE1202">
        <f t="shared" si="367"/>
        <v>0</v>
      </c>
      <c r="CF1202">
        <f t="shared" si="368"/>
        <v>0</v>
      </c>
      <c r="CG1202">
        <f t="shared" si="369"/>
        <v>0</v>
      </c>
      <c r="CH1202">
        <f t="shared" si="370"/>
        <v>0</v>
      </c>
      <c r="CI1202">
        <f t="shared" si="371"/>
        <v>0</v>
      </c>
      <c r="CJ1202">
        <f t="shared" si="372"/>
        <v>0</v>
      </c>
      <c r="CK1202">
        <f t="shared" si="373"/>
        <v>0</v>
      </c>
      <c r="CL1202">
        <f t="shared" si="374"/>
        <v>0</v>
      </c>
      <c r="CM1202">
        <f t="shared" si="376"/>
        <v>0</v>
      </c>
      <c r="CN1202">
        <f t="shared" si="375"/>
        <v>0</v>
      </c>
      <c r="CO1202">
        <f t="shared" si="359"/>
        <v>0</v>
      </c>
    </row>
    <row r="1203" spans="1:93" hidden="1" x14ac:dyDescent="0.25">
      <c r="A1203" s="4">
        <v>2021</v>
      </c>
      <c r="B1203" s="315">
        <v>44279</v>
      </c>
      <c r="C1203" s="4" t="s">
        <v>66</v>
      </c>
      <c r="D1203" s="4" t="s">
        <v>1502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1503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+VLOOKUP(G1203,Liste!$A$7:$G$69,3,FALSE)</f>
        <v>Chêne sessile</v>
      </c>
      <c r="BI1203" s="96" t="str">
        <f>+VLOOKUP(H1203,Liste!$B$7:$G$69,5,FALSE)</f>
        <v>Guide chênaie continentale</v>
      </c>
      <c r="BJ1203" s="135">
        <f t="shared" si="358"/>
        <v>92</v>
      </c>
      <c r="BK1203" s="135" t="str">
        <f t="shared" si="360"/>
        <v>Chêne sessile_F1_Dynamique_Guide chênaie continentale_92_</v>
      </c>
      <c r="BL1203" s="319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97" t="str">
        <f>+VLOOKUP(G1203,Liste!$A$7:$H$69,8,FALSE)</f>
        <v>Feuillus</v>
      </c>
      <c r="BU1203" s="297">
        <f t="shared" si="361"/>
        <v>1</v>
      </c>
      <c r="BV1203" s="299">
        <f t="shared" si="362"/>
        <v>0</v>
      </c>
      <c r="BW1203" s="318">
        <v>0</v>
      </c>
      <c r="BX1203" s="297">
        <f t="shared" si="363"/>
        <v>0.25</v>
      </c>
      <c r="BY1203">
        <f t="shared" si="364"/>
        <v>0</v>
      </c>
      <c r="BZ1203" s="303">
        <f t="shared" si="365"/>
        <v>0</v>
      </c>
      <c r="CB1203" s="298">
        <v>0.6</v>
      </c>
      <c r="CC1203" s="298">
        <v>0.4</v>
      </c>
      <c r="CD1203">
        <f t="shared" si="366"/>
        <v>0</v>
      </c>
      <c r="CE1203">
        <f t="shared" si="367"/>
        <v>0</v>
      </c>
      <c r="CF1203">
        <f t="shared" si="368"/>
        <v>0</v>
      </c>
      <c r="CG1203">
        <f t="shared" si="369"/>
        <v>0</v>
      </c>
      <c r="CH1203">
        <f t="shared" si="370"/>
        <v>0</v>
      </c>
      <c r="CI1203">
        <f t="shared" si="371"/>
        <v>0</v>
      </c>
      <c r="CJ1203">
        <f t="shared" si="372"/>
        <v>0</v>
      </c>
      <c r="CK1203">
        <f t="shared" si="373"/>
        <v>0</v>
      </c>
      <c r="CL1203">
        <f t="shared" si="374"/>
        <v>0</v>
      </c>
      <c r="CM1203">
        <f t="shared" si="376"/>
        <v>0</v>
      </c>
      <c r="CN1203">
        <f t="shared" si="375"/>
        <v>0</v>
      </c>
      <c r="CO1203">
        <f t="shared" si="359"/>
        <v>0</v>
      </c>
    </row>
    <row r="1204" spans="1:93" hidden="1" x14ac:dyDescent="0.25">
      <c r="A1204" s="4">
        <v>2021</v>
      </c>
      <c r="B1204" s="315">
        <v>44279</v>
      </c>
      <c r="C1204" s="4" t="s">
        <v>66</v>
      </c>
      <c r="D1204" s="4" t="s">
        <v>1502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1503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+VLOOKUP(G1204,Liste!$A$7:$G$69,3,FALSE)</f>
        <v>Chêne sessile</v>
      </c>
      <c r="BI1204" s="96" t="str">
        <f>+VLOOKUP(H1204,Liste!$B$7:$G$69,5,FALSE)</f>
        <v>Guide chênaie continentale</v>
      </c>
      <c r="BJ1204" s="135">
        <f t="shared" si="358"/>
        <v>95</v>
      </c>
      <c r="BK1204" s="135" t="str">
        <f t="shared" si="360"/>
        <v>Chêne sessile_F1_Dynamique_Guide chênaie continentale_95_</v>
      </c>
      <c r="BL1204" s="319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97" t="str">
        <f>+VLOOKUP(G1204,Liste!$A$7:$H$69,8,FALSE)</f>
        <v>Feuillus</v>
      </c>
      <c r="BU1204" s="297">
        <f t="shared" si="361"/>
        <v>1</v>
      </c>
      <c r="BV1204" s="299">
        <f t="shared" si="362"/>
        <v>0</v>
      </c>
      <c r="BW1204" s="318">
        <v>0</v>
      </c>
      <c r="BX1204" s="297">
        <f t="shared" si="363"/>
        <v>0.25</v>
      </c>
      <c r="BY1204">
        <f t="shared" si="364"/>
        <v>0</v>
      </c>
      <c r="BZ1204" s="303">
        <f t="shared" si="365"/>
        <v>0</v>
      </c>
      <c r="CB1204" s="298">
        <v>0.6</v>
      </c>
      <c r="CC1204" s="298">
        <v>0.4</v>
      </c>
      <c r="CD1204">
        <f t="shared" si="366"/>
        <v>0</v>
      </c>
      <c r="CE1204">
        <f t="shared" si="367"/>
        <v>0</v>
      </c>
      <c r="CF1204">
        <f t="shared" si="368"/>
        <v>0</v>
      </c>
      <c r="CG1204">
        <f t="shared" si="369"/>
        <v>0</v>
      </c>
      <c r="CH1204">
        <f t="shared" si="370"/>
        <v>0</v>
      </c>
      <c r="CI1204">
        <f t="shared" si="371"/>
        <v>0</v>
      </c>
      <c r="CJ1204">
        <f t="shared" si="372"/>
        <v>0</v>
      </c>
      <c r="CK1204">
        <f t="shared" si="373"/>
        <v>0</v>
      </c>
      <c r="CL1204">
        <f t="shared" si="374"/>
        <v>0</v>
      </c>
      <c r="CM1204">
        <f t="shared" si="376"/>
        <v>0</v>
      </c>
      <c r="CN1204">
        <f t="shared" si="375"/>
        <v>0</v>
      </c>
      <c r="CO1204">
        <f t="shared" si="359"/>
        <v>0</v>
      </c>
    </row>
    <row r="1205" spans="1:93" hidden="1" x14ac:dyDescent="0.25">
      <c r="A1205" s="4">
        <v>2021</v>
      </c>
      <c r="B1205" s="315">
        <v>44279</v>
      </c>
      <c r="C1205" s="4" t="s">
        <v>66</v>
      </c>
      <c r="D1205" s="4" t="s">
        <v>1502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1503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+VLOOKUP(G1205,Liste!$A$7:$G$69,3,FALSE)</f>
        <v>Chêne sessile</v>
      </c>
      <c r="BI1205" s="96" t="str">
        <f>+VLOOKUP(H1205,Liste!$B$7:$G$69,5,FALSE)</f>
        <v>Guide chênaie continentale</v>
      </c>
      <c r="BJ1205" s="135">
        <f t="shared" si="358"/>
        <v>99</v>
      </c>
      <c r="BK1205" s="135" t="str">
        <f t="shared" si="360"/>
        <v>Chêne sessile_F1_Dynamique_Guide chênaie continentale_99_</v>
      </c>
      <c r="BL1205" s="319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97" t="str">
        <f>+VLOOKUP(G1205,Liste!$A$7:$H$69,8,FALSE)</f>
        <v>Feuillus</v>
      </c>
      <c r="BU1205" s="297">
        <f t="shared" si="361"/>
        <v>1</v>
      </c>
      <c r="BV1205" s="299">
        <f t="shared" si="362"/>
        <v>0</v>
      </c>
      <c r="BW1205" s="318">
        <v>0</v>
      </c>
      <c r="BX1205" s="297">
        <f t="shared" si="363"/>
        <v>0.25</v>
      </c>
      <c r="BY1205">
        <f t="shared" si="364"/>
        <v>0</v>
      </c>
      <c r="BZ1205" s="303">
        <f t="shared" si="365"/>
        <v>0</v>
      </c>
      <c r="CB1205" s="298">
        <v>0.6</v>
      </c>
      <c r="CC1205" s="298">
        <v>0.4</v>
      </c>
      <c r="CD1205">
        <f t="shared" si="366"/>
        <v>0</v>
      </c>
      <c r="CE1205">
        <f t="shared" si="367"/>
        <v>0</v>
      </c>
      <c r="CF1205">
        <f t="shared" si="368"/>
        <v>0</v>
      </c>
      <c r="CG1205">
        <f t="shared" si="369"/>
        <v>0</v>
      </c>
      <c r="CH1205">
        <f t="shared" si="370"/>
        <v>0</v>
      </c>
      <c r="CI1205">
        <f t="shared" si="371"/>
        <v>0</v>
      </c>
      <c r="CJ1205">
        <f t="shared" si="372"/>
        <v>0</v>
      </c>
      <c r="CK1205">
        <f t="shared" si="373"/>
        <v>0</v>
      </c>
      <c r="CL1205">
        <f t="shared" si="374"/>
        <v>0</v>
      </c>
      <c r="CM1205">
        <f t="shared" si="376"/>
        <v>0</v>
      </c>
      <c r="CN1205">
        <f t="shared" si="375"/>
        <v>0</v>
      </c>
      <c r="CO1205">
        <f t="shared" si="359"/>
        <v>0</v>
      </c>
    </row>
    <row r="1206" spans="1:93" hidden="1" x14ac:dyDescent="0.25">
      <c r="A1206" s="4">
        <v>2021</v>
      </c>
      <c r="B1206" s="315">
        <v>44279</v>
      </c>
      <c r="C1206" s="4" t="s">
        <v>66</v>
      </c>
      <c r="D1206" s="4" t="s">
        <v>1502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1503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+VLOOKUP(G1206,Liste!$A$7:$G$69,3,FALSE)</f>
        <v>Chêne sessile</v>
      </c>
      <c r="BI1206" s="96" t="str">
        <f>+VLOOKUP(H1206,Liste!$B$7:$G$69,5,FALSE)</f>
        <v>Guide chênaie continentale</v>
      </c>
      <c r="BJ1206" s="135">
        <f t="shared" si="358"/>
        <v>99</v>
      </c>
      <c r="BK1206" s="135" t="str">
        <f t="shared" si="360"/>
        <v>Chêne sessile_F1_Dynamique_Guide chênaie continentale_99_</v>
      </c>
      <c r="BL1206" s="319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97" t="str">
        <f>+VLOOKUP(G1206,Liste!$A$7:$H$69,8,FALSE)</f>
        <v>Feuillus</v>
      </c>
      <c r="BU1206" s="297">
        <f t="shared" si="361"/>
        <v>1</v>
      </c>
      <c r="BV1206" s="299">
        <f t="shared" si="362"/>
        <v>0</v>
      </c>
      <c r="BW1206" s="318">
        <v>0</v>
      </c>
      <c r="BX1206" s="297">
        <f t="shared" si="363"/>
        <v>0.25</v>
      </c>
      <c r="BY1206">
        <f t="shared" si="364"/>
        <v>0</v>
      </c>
      <c r="BZ1206" s="303">
        <f t="shared" si="365"/>
        <v>0</v>
      </c>
      <c r="CB1206" s="298">
        <v>0.6</v>
      </c>
      <c r="CC1206" s="298">
        <v>0.4</v>
      </c>
      <c r="CD1206">
        <f t="shared" si="366"/>
        <v>0</v>
      </c>
      <c r="CE1206">
        <f t="shared" si="367"/>
        <v>0</v>
      </c>
      <c r="CF1206">
        <f t="shared" si="368"/>
        <v>0</v>
      </c>
      <c r="CG1206">
        <f t="shared" si="369"/>
        <v>0</v>
      </c>
      <c r="CH1206">
        <f t="shared" si="370"/>
        <v>0</v>
      </c>
      <c r="CI1206">
        <f t="shared" si="371"/>
        <v>0</v>
      </c>
      <c r="CJ1206">
        <f t="shared" si="372"/>
        <v>0</v>
      </c>
      <c r="CK1206">
        <f t="shared" si="373"/>
        <v>0</v>
      </c>
      <c r="CL1206">
        <f t="shared" si="374"/>
        <v>0</v>
      </c>
      <c r="CM1206">
        <f t="shared" si="376"/>
        <v>0</v>
      </c>
      <c r="CN1206">
        <f t="shared" si="375"/>
        <v>0</v>
      </c>
      <c r="CO1206">
        <f t="shared" si="359"/>
        <v>0</v>
      </c>
    </row>
    <row r="1207" spans="1:93" hidden="1" x14ac:dyDescent="0.25">
      <c r="A1207" s="4">
        <v>2021</v>
      </c>
      <c r="B1207" s="315">
        <v>44279</v>
      </c>
      <c r="C1207" s="4" t="s">
        <v>66</v>
      </c>
      <c r="D1207" s="4" t="s">
        <v>1502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1503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+VLOOKUP(G1207,Liste!$A$7:$G$69,3,FALSE)</f>
        <v>Chêne sessile</v>
      </c>
      <c r="BI1207" s="96" t="str">
        <f>+VLOOKUP(H1207,Liste!$B$7:$G$69,5,FALSE)</f>
        <v>Guide chênaie continentale</v>
      </c>
      <c r="BJ1207" s="135">
        <f t="shared" si="358"/>
        <v>102</v>
      </c>
      <c r="BK1207" s="135" t="str">
        <f t="shared" si="360"/>
        <v>Chêne sessile_F1_Dynamique_Guide chênaie continentale_102_</v>
      </c>
      <c r="BL1207" s="319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97" t="str">
        <f>+VLOOKUP(G1207,Liste!$A$7:$H$69,8,FALSE)</f>
        <v>Feuillus</v>
      </c>
      <c r="BU1207" s="297">
        <f t="shared" si="361"/>
        <v>1</v>
      </c>
      <c r="BV1207" s="299">
        <f t="shared" si="362"/>
        <v>0</v>
      </c>
      <c r="BW1207" s="318">
        <v>0</v>
      </c>
      <c r="BX1207" s="297">
        <f t="shared" si="363"/>
        <v>0.25</v>
      </c>
      <c r="BY1207">
        <f t="shared" si="364"/>
        <v>0</v>
      </c>
      <c r="BZ1207" s="303">
        <f t="shared" si="365"/>
        <v>0</v>
      </c>
      <c r="CB1207" s="298">
        <v>0.6</v>
      </c>
      <c r="CC1207" s="298">
        <v>0.4</v>
      </c>
      <c r="CD1207">
        <f t="shared" si="366"/>
        <v>0</v>
      </c>
      <c r="CE1207">
        <f t="shared" si="367"/>
        <v>0</v>
      </c>
      <c r="CF1207">
        <f t="shared" si="368"/>
        <v>0</v>
      </c>
      <c r="CG1207">
        <f t="shared" si="369"/>
        <v>0</v>
      </c>
      <c r="CH1207">
        <f t="shared" si="370"/>
        <v>0</v>
      </c>
      <c r="CI1207">
        <f t="shared" si="371"/>
        <v>0</v>
      </c>
      <c r="CJ1207">
        <f t="shared" si="372"/>
        <v>0</v>
      </c>
      <c r="CK1207">
        <f t="shared" si="373"/>
        <v>0</v>
      </c>
      <c r="CL1207">
        <f t="shared" si="374"/>
        <v>0</v>
      </c>
      <c r="CM1207">
        <f t="shared" si="376"/>
        <v>0</v>
      </c>
      <c r="CN1207">
        <f t="shared" si="375"/>
        <v>0</v>
      </c>
      <c r="CO1207">
        <f t="shared" si="359"/>
        <v>0</v>
      </c>
    </row>
    <row r="1208" spans="1:93" hidden="1" x14ac:dyDescent="0.25">
      <c r="A1208" s="4">
        <v>2021</v>
      </c>
      <c r="B1208" s="315">
        <v>44279</v>
      </c>
      <c r="C1208" s="4" t="s">
        <v>66</v>
      </c>
      <c r="D1208" s="4" t="s">
        <v>1502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1503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+VLOOKUP(G1208,Liste!$A$7:$G$69,3,FALSE)</f>
        <v>Chêne sessile</v>
      </c>
      <c r="BI1208" s="96" t="str">
        <f>+VLOOKUP(H1208,Liste!$B$7:$G$69,5,FALSE)</f>
        <v>Guide chênaie continentale</v>
      </c>
      <c r="BJ1208" s="135">
        <f t="shared" si="358"/>
        <v>105</v>
      </c>
      <c r="BK1208" s="135" t="str">
        <f t="shared" si="360"/>
        <v>Chêne sessile_F1_Dynamique_Guide chênaie continentale_105_</v>
      </c>
      <c r="BL1208" s="319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97" t="str">
        <f>+VLOOKUP(G1208,Liste!$A$7:$H$69,8,FALSE)</f>
        <v>Feuillus</v>
      </c>
      <c r="BU1208" s="297">
        <f t="shared" si="361"/>
        <v>1</v>
      </c>
      <c r="BV1208" s="299">
        <f t="shared" si="362"/>
        <v>0</v>
      </c>
      <c r="BW1208" s="318">
        <v>0</v>
      </c>
      <c r="BX1208" s="297">
        <f t="shared" si="363"/>
        <v>0.25</v>
      </c>
      <c r="BY1208">
        <f t="shared" si="364"/>
        <v>0</v>
      </c>
      <c r="BZ1208" s="303">
        <f t="shared" si="365"/>
        <v>0</v>
      </c>
      <c r="CB1208" s="298">
        <v>0.6</v>
      </c>
      <c r="CC1208" s="298">
        <v>0.4</v>
      </c>
      <c r="CD1208">
        <f t="shared" si="366"/>
        <v>0</v>
      </c>
      <c r="CE1208">
        <f t="shared" si="367"/>
        <v>0</v>
      </c>
      <c r="CF1208">
        <f t="shared" si="368"/>
        <v>0</v>
      </c>
      <c r="CG1208">
        <f t="shared" si="369"/>
        <v>0</v>
      </c>
      <c r="CH1208">
        <f t="shared" si="370"/>
        <v>0</v>
      </c>
      <c r="CI1208">
        <f t="shared" si="371"/>
        <v>0</v>
      </c>
      <c r="CJ1208">
        <f t="shared" si="372"/>
        <v>0</v>
      </c>
      <c r="CK1208">
        <f t="shared" si="373"/>
        <v>0</v>
      </c>
      <c r="CL1208">
        <f t="shared" si="374"/>
        <v>0</v>
      </c>
      <c r="CM1208">
        <f t="shared" si="376"/>
        <v>0</v>
      </c>
      <c r="CN1208">
        <f t="shared" si="375"/>
        <v>0</v>
      </c>
      <c r="CO1208">
        <f t="shared" si="359"/>
        <v>0</v>
      </c>
    </row>
    <row r="1209" spans="1:93" hidden="1" x14ac:dyDescent="0.25">
      <c r="A1209" s="4">
        <v>2021</v>
      </c>
      <c r="B1209" s="315">
        <v>44279</v>
      </c>
      <c r="C1209" s="4" t="s">
        <v>66</v>
      </c>
      <c r="D1209" s="4" t="s">
        <v>1502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1503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+VLOOKUP(G1209,Liste!$A$7:$G$69,3,FALSE)</f>
        <v>Chêne sessile</v>
      </c>
      <c r="BI1209" s="96" t="str">
        <f>+VLOOKUP(H1209,Liste!$B$7:$G$69,5,FALSE)</f>
        <v>Guide chênaie continentale</v>
      </c>
      <c r="BJ1209" s="135">
        <f t="shared" si="358"/>
        <v>109</v>
      </c>
      <c r="BK1209" s="135" t="str">
        <f t="shared" si="360"/>
        <v>Chêne sessile_F1_Dynamique_Guide chênaie continentale_109_</v>
      </c>
      <c r="BL1209" s="319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97" t="str">
        <f>+VLOOKUP(G1209,Liste!$A$7:$H$69,8,FALSE)</f>
        <v>Feuillus</v>
      </c>
      <c r="BU1209" s="297">
        <f t="shared" si="361"/>
        <v>1</v>
      </c>
      <c r="BV1209" s="299">
        <f t="shared" si="362"/>
        <v>0</v>
      </c>
      <c r="BW1209" s="318">
        <v>0</v>
      </c>
      <c r="BX1209" s="297">
        <f t="shared" si="363"/>
        <v>0.25</v>
      </c>
      <c r="BY1209">
        <f t="shared" si="364"/>
        <v>0</v>
      </c>
      <c r="BZ1209" s="303">
        <f t="shared" si="365"/>
        <v>0</v>
      </c>
      <c r="CB1209" s="298">
        <v>0.6</v>
      </c>
      <c r="CC1209" s="298">
        <v>0.4</v>
      </c>
      <c r="CD1209">
        <f t="shared" si="366"/>
        <v>0</v>
      </c>
      <c r="CE1209">
        <f t="shared" si="367"/>
        <v>0</v>
      </c>
      <c r="CF1209">
        <f t="shared" si="368"/>
        <v>0</v>
      </c>
      <c r="CG1209">
        <f t="shared" si="369"/>
        <v>0</v>
      </c>
      <c r="CH1209">
        <f t="shared" si="370"/>
        <v>0</v>
      </c>
      <c r="CI1209">
        <f t="shared" si="371"/>
        <v>0</v>
      </c>
      <c r="CJ1209">
        <f t="shared" si="372"/>
        <v>0</v>
      </c>
      <c r="CK1209">
        <f t="shared" si="373"/>
        <v>0</v>
      </c>
      <c r="CL1209">
        <f t="shared" si="374"/>
        <v>0</v>
      </c>
      <c r="CM1209">
        <f t="shared" si="376"/>
        <v>0</v>
      </c>
      <c r="CN1209">
        <f t="shared" si="375"/>
        <v>0</v>
      </c>
      <c r="CO1209">
        <f t="shared" si="359"/>
        <v>0</v>
      </c>
    </row>
    <row r="1210" spans="1:93" hidden="1" x14ac:dyDescent="0.25">
      <c r="A1210" s="4">
        <v>2021</v>
      </c>
      <c r="B1210" s="315">
        <v>44279</v>
      </c>
      <c r="C1210" s="4" t="s">
        <v>66</v>
      </c>
      <c r="D1210" s="4" t="s">
        <v>1502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1503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+VLOOKUP(G1210,Liste!$A$7:$G$69,3,FALSE)</f>
        <v>Chêne sessile</v>
      </c>
      <c r="BI1210" s="96" t="str">
        <f>+VLOOKUP(H1210,Liste!$B$7:$G$69,5,FALSE)</f>
        <v>Guide chênaie continentale</v>
      </c>
      <c r="BJ1210" s="135">
        <f t="shared" si="358"/>
        <v>109</v>
      </c>
      <c r="BK1210" s="135" t="str">
        <f t="shared" si="360"/>
        <v>Chêne sessile_F1_Dynamique_Guide chênaie continentale_109_</v>
      </c>
      <c r="BL1210" s="319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97" t="str">
        <f>+VLOOKUP(G1210,Liste!$A$7:$H$69,8,FALSE)</f>
        <v>Feuillus</v>
      </c>
      <c r="BU1210" s="297">
        <f t="shared" si="361"/>
        <v>1</v>
      </c>
      <c r="BV1210" s="299">
        <f t="shared" si="362"/>
        <v>0</v>
      </c>
      <c r="BW1210" s="318">
        <v>0</v>
      </c>
      <c r="BX1210" s="297">
        <f t="shared" si="363"/>
        <v>0.25</v>
      </c>
      <c r="BY1210">
        <f t="shared" si="364"/>
        <v>0</v>
      </c>
      <c r="BZ1210" s="303">
        <f t="shared" si="365"/>
        <v>0</v>
      </c>
      <c r="CB1210" s="298">
        <v>0.6</v>
      </c>
      <c r="CC1210" s="298">
        <v>0.4</v>
      </c>
      <c r="CD1210">
        <f t="shared" si="366"/>
        <v>0</v>
      </c>
      <c r="CE1210">
        <f t="shared" si="367"/>
        <v>0</v>
      </c>
      <c r="CF1210">
        <f t="shared" si="368"/>
        <v>0</v>
      </c>
      <c r="CG1210">
        <f t="shared" si="369"/>
        <v>0</v>
      </c>
      <c r="CH1210">
        <f t="shared" si="370"/>
        <v>0</v>
      </c>
      <c r="CI1210">
        <f t="shared" si="371"/>
        <v>0</v>
      </c>
      <c r="CJ1210">
        <f t="shared" si="372"/>
        <v>0</v>
      </c>
      <c r="CK1210">
        <f t="shared" si="373"/>
        <v>0</v>
      </c>
      <c r="CL1210">
        <f t="shared" si="374"/>
        <v>0</v>
      </c>
      <c r="CM1210">
        <f t="shared" si="376"/>
        <v>0</v>
      </c>
      <c r="CN1210">
        <f t="shared" si="375"/>
        <v>0</v>
      </c>
      <c r="CO1210">
        <f t="shared" si="359"/>
        <v>0</v>
      </c>
    </row>
    <row r="1211" spans="1:93" hidden="1" x14ac:dyDescent="0.25">
      <c r="A1211" s="4">
        <v>2021</v>
      </c>
      <c r="B1211" s="315">
        <v>44279</v>
      </c>
      <c r="C1211" s="4" t="s">
        <v>66</v>
      </c>
      <c r="D1211" s="4" t="s">
        <v>1502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1503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+VLOOKUP(G1211,Liste!$A$7:$G$69,3,FALSE)</f>
        <v>Chêne sessile</v>
      </c>
      <c r="BI1211" s="96" t="str">
        <f>+VLOOKUP(H1211,Liste!$B$7:$G$69,5,FALSE)</f>
        <v>Guide chênaie continentale</v>
      </c>
      <c r="BJ1211" s="135">
        <f t="shared" si="358"/>
        <v>112</v>
      </c>
      <c r="BK1211" s="135" t="str">
        <f t="shared" si="360"/>
        <v>Chêne sessile_F1_Dynamique_Guide chênaie continentale_112_</v>
      </c>
      <c r="BL1211" s="319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97" t="str">
        <f>+VLOOKUP(G1211,Liste!$A$7:$H$69,8,FALSE)</f>
        <v>Feuillus</v>
      </c>
      <c r="BU1211" s="297">
        <f t="shared" si="361"/>
        <v>1</v>
      </c>
      <c r="BV1211" s="299">
        <f t="shared" si="362"/>
        <v>0</v>
      </c>
      <c r="BW1211" s="318">
        <v>0</v>
      </c>
      <c r="BX1211" s="297">
        <f t="shared" si="363"/>
        <v>0.25</v>
      </c>
      <c r="BY1211">
        <f t="shared" si="364"/>
        <v>0</v>
      </c>
      <c r="BZ1211" s="303">
        <f t="shared" si="365"/>
        <v>0</v>
      </c>
      <c r="CB1211" s="298">
        <v>0.6</v>
      </c>
      <c r="CC1211" s="298">
        <v>0.4</v>
      </c>
      <c r="CD1211">
        <f t="shared" si="366"/>
        <v>0</v>
      </c>
      <c r="CE1211">
        <f t="shared" si="367"/>
        <v>0</v>
      </c>
      <c r="CF1211">
        <f t="shared" si="368"/>
        <v>0</v>
      </c>
      <c r="CG1211">
        <f t="shared" si="369"/>
        <v>0</v>
      </c>
      <c r="CH1211">
        <f t="shared" si="370"/>
        <v>0</v>
      </c>
      <c r="CI1211">
        <f t="shared" si="371"/>
        <v>0</v>
      </c>
      <c r="CJ1211">
        <f t="shared" si="372"/>
        <v>0</v>
      </c>
      <c r="CK1211">
        <f t="shared" si="373"/>
        <v>0</v>
      </c>
      <c r="CL1211">
        <f t="shared" si="374"/>
        <v>0</v>
      </c>
      <c r="CM1211">
        <f t="shared" si="376"/>
        <v>0</v>
      </c>
      <c r="CN1211">
        <f t="shared" si="375"/>
        <v>0</v>
      </c>
      <c r="CO1211">
        <f t="shared" si="359"/>
        <v>0</v>
      </c>
    </row>
    <row r="1212" spans="1:93" hidden="1" x14ac:dyDescent="0.25">
      <c r="A1212" s="4">
        <v>2021</v>
      </c>
      <c r="B1212" s="315">
        <v>44279</v>
      </c>
      <c r="C1212" s="4" t="s">
        <v>66</v>
      </c>
      <c r="D1212" s="4" t="s">
        <v>1502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1503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+VLOOKUP(G1212,Liste!$A$7:$G$69,3,FALSE)</f>
        <v>Chêne sessile</v>
      </c>
      <c r="BI1212" s="96" t="str">
        <f>+VLOOKUP(H1212,Liste!$B$7:$G$69,5,FALSE)</f>
        <v>Guide chênaie continentale</v>
      </c>
      <c r="BJ1212" s="135">
        <f t="shared" si="358"/>
        <v>115</v>
      </c>
      <c r="BK1212" s="135" t="str">
        <f t="shared" si="360"/>
        <v>Chêne sessile_F1_Dynamique_Guide chênaie continentale_115_</v>
      </c>
      <c r="BL1212" s="319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97" t="str">
        <f>+VLOOKUP(G1212,Liste!$A$7:$H$69,8,FALSE)</f>
        <v>Feuillus</v>
      </c>
      <c r="BU1212" s="297">
        <f t="shared" si="361"/>
        <v>1</v>
      </c>
      <c r="BV1212" s="299">
        <f t="shared" si="362"/>
        <v>0</v>
      </c>
      <c r="BW1212" s="318">
        <v>0</v>
      </c>
      <c r="BX1212" s="297">
        <f t="shared" si="363"/>
        <v>0.25</v>
      </c>
      <c r="BY1212">
        <f t="shared" si="364"/>
        <v>0</v>
      </c>
      <c r="BZ1212" s="303">
        <f t="shared" si="365"/>
        <v>0</v>
      </c>
      <c r="CB1212" s="298">
        <v>0.6</v>
      </c>
      <c r="CC1212" s="298">
        <v>0.4</v>
      </c>
      <c r="CD1212">
        <f t="shared" si="366"/>
        <v>0</v>
      </c>
      <c r="CE1212">
        <f t="shared" si="367"/>
        <v>0</v>
      </c>
      <c r="CF1212">
        <f t="shared" si="368"/>
        <v>0</v>
      </c>
      <c r="CG1212">
        <f t="shared" si="369"/>
        <v>0</v>
      </c>
      <c r="CH1212">
        <f t="shared" si="370"/>
        <v>0</v>
      </c>
      <c r="CI1212">
        <f t="shared" si="371"/>
        <v>0</v>
      </c>
      <c r="CJ1212">
        <f t="shared" si="372"/>
        <v>0</v>
      </c>
      <c r="CK1212">
        <f t="shared" si="373"/>
        <v>0</v>
      </c>
      <c r="CL1212">
        <f t="shared" si="374"/>
        <v>0</v>
      </c>
      <c r="CM1212">
        <f t="shared" si="376"/>
        <v>0</v>
      </c>
      <c r="CN1212">
        <f t="shared" si="375"/>
        <v>0</v>
      </c>
      <c r="CO1212">
        <f t="shared" si="359"/>
        <v>0</v>
      </c>
    </row>
    <row r="1213" spans="1:93" hidden="1" x14ac:dyDescent="0.25">
      <c r="A1213" s="4">
        <v>2021</v>
      </c>
      <c r="B1213" s="315">
        <v>44279</v>
      </c>
      <c r="C1213" s="4" t="s">
        <v>66</v>
      </c>
      <c r="D1213" s="4" t="s">
        <v>1502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1503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+VLOOKUP(G1213,Liste!$A$7:$G$69,3,FALSE)</f>
        <v>Chêne sessile</v>
      </c>
      <c r="BI1213" s="96" t="str">
        <f>+VLOOKUP(H1213,Liste!$B$7:$G$69,5,FALSE)</f>
        <v>Guide chênaie continentale</v>
      </c>
      <c r="BJ1213" s="135">
        <f t="shared" si="358"/>
        <v>119</v>
      </c>
      <c r="BK1213" s="135" t="str">
        <f t="shared" si="360"/>
        <v>Chêne sessile_F1_Dynamique_Guide chênaie continentale_119_</v>
      </c>
      <c r="BL1213" s="319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97" t="str">
        <f>+VLOOKUP(G1213,Liste!$A$7:$H$69,8,FALSE)</f>
        <v>Feuillus</v>
      </c>
      <c r="BU1213" s="297">
        <f t="shared" si="361"/>
        <v>1</v>
      </c>
      <c r="BV1213" s="299">
        <f t="shared" si="362"/>
        <v>0</v>
      </c>
      <c r="BW1213" s="318">
        <v>0</v>
      </c>
      <c r="BX1213" s="297">
        <f t="shared" si="363"/>
        <v>0.25</v>
      </c>
      <c r="BY1213">
        <f t="shared" si="364"/>
        <v>0</v>
      </c>
      <c r="BZ1213" s="303">
        <f t="shared" si="365"/>
        <v>0</v>
      </c>
      <c r="CB1213" s="298">
        <v>0.6</v>
      </c>
      <c r="CC1213" s="298">
        <v>0.4</v>
      </c>
      <c r="CD1213">
        <f t="shared" si="366"/>
        <v>0</v>
      </c>
      <c r="CE1213">
        <f t="shared" si="367"/>
        <v>0</v>
      </c>
      <c r="CF1213">
        <f t="shared" si="368"/>
        <v>0</v>
      </c>
      <c r="CG1213">
        <f t="shared" si="369"/>
        <v>0</v>
      </c>
      <c r="CH1213">
        <f t="shared" si="370"/>
        <v>0</v>
      </c>
      <c r="CI1213">
        <f t="shared" si="371"/>
        <v>0</v>
      </c>
      <c r="CJ1213">
        <f t="shared" si="372"/>
        <v>0</v>
      </c>
      <c r="CK1213">
        <f t="shared" si="373"/>
        <v>0</v>
      </c>
      <c r="CL1213">
        <f t="shared" si="374"/>
        <v>0</v>
      </c>
      <c r="CM1213">
        <f t="shared" si="376"/>
        <v>0</v>
      </c>
      <c r="CN1213">
        <f t="shared" si="375"/>
        <v>0</v>
      </c>
      <c r="CO1213">
        <f t="shared" si="359"/>
        <v>0</v>
      </c>
    </row>
    <row r="1214" spans="1:93" hidden="1" x14ac:dyDescent="0.25">
      <c r="A1214" s="4">
        <v>2021</v>
      </c>
      <c r="B1214" s="315">
        <v>44279</v>
      </c>
      <c r="C1214" s="4" t="s">
        <v>66</v>
      </c>
      <c r="D1214" s="4" t="s">
        <v>1502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1503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+VLOOKUP(G1214,Liste!$A$7:$G$69,3,FALSE)</f>
        <v>Chêne sessile</v>
      </c>
      <c r="BI1214" s="96" t="str">
        <f>+VLOOKUP(H1214,Liste!$B$7:$G$69,5,FALSE)</f>
        <v>Guide chênaie continentale</v>
      </c>
      <c r="BJ1214" s="135">
        <f t="shared" si="358"/>
        <v>119</v>
      </c>
      <c r="BK1214" s="135" t="str">
        <f t="shared" si="360"/>
        <v>Chêne sessile_F1_Dynamique_Guide chênaie continentale_119_</v>
      </c>
      <c r="BL1214" s="319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97" t="str">
        <f>+VLOOKUP(G1214,Liste!$A$7:$H$69,8,FALSE)</f>
        <v>Feuillus</v>
      </c>
      <c r="BU1214" s="297">
        <f t="shared" si="361"/>
        <v>1</v>
      </c>
      <c r="BV1214" s="299">
        <f t="shared" si="362"/>
        <v>0</v>
      </c>
      <c r="BW1214" s="318">
        <v>0</v>
      </c>
      <c r="BX1214" s="297">
        <f t="shared" si="363"/>
        <v>0.25</v>
      </c>
      <c r="BY1214">
        <f t="shared" si="364"/>
        <v>0</v>
      </c>
      <c r="BZ1214" s="303">
        <f t="shared" si="365"/>
        <v>0</v>
      </c>
      <c r="CB1214" s="298">
        <v>0.6</v>
      </c>
      <c r="CC1214" s="298">
        <v>0.4</v>
      </c>
      <c r="CD1214">
        <f t="shared" si="366"/>
        <v>0</v>
      </c>
      <c r="CE1214">
        <f t="shared" si="367"/>
        <v>0</v>
      </c>
      <c r="CF1214">
        <f t="shared" si="368"/>
        <v>0</v>
      </c>
      <c r="CG1214">
        <f t="shared" si="369"/>
        <v>0</v>
      </c>
      <c r="CH1214">
        <f t="shared" si="370"/>
        <v>0</v>
      </c>
      <c r="CI1214">
        <f t="shared" si="371"/>
        <v>0</v>
      </c>
      <c r="CJ1214">
        <f t="shared" si="372"/>
        <v>0</v>
      </c>
      <c r="CK1214">
        <f t="shared" si="373"/>
        <v>0</v>
      </c>
      <c r="CL1214">
        <f t="shared" si="374"/>
        <v>0</v>
      </c>
      <c r="CM1214">
        <f t="shared" si="376"/>
        <v>0</v>
      </c>
      <c r="CN1214">
        <f t="shared" si="375"/>
        <v>0</v>
      </c>
      <c r="CO1214">
        <f t="shared" si="359"/>
        <v>0</v>
      </c>
    </row>
    <row r="1215" spans="1:93" hidden="1" x14ac:dyDescent="0.25">
      <c r="A1215" s="4">
        <v>2021</v>
      </c>
      <c r="B1215" s="315">
        <v>44279</v>
      </c>
      <c r="C1215" s="4" t="s">
        <v>66</v>
      </c>
      <c r="D1215" s="4" t="s">
        <v>1502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1503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+VLOOKUP(G1215,Liste!$A$7:$G$69,3,FALSE)</f>
        <v>Chêne sessile</v>
      </c>
      <c r="BI1215" s="96" t="str">
        <f>+VLOOKUP(H1215,Liste!$B$7:$G$69,5,FALSE)</f>
        <v>Guide chênaie continentale</v>
      </c>
      <c r="BJ1215" s="135">
        <f t="shared" si="358"/>
        <v>123</v>
      </c>
      <c r="BK1215" s="135" t="str">
        <f t="shared" si="360"/>
        <v>Chêne sessile_F1_Dynamique_Guide chênaie continentale_123_</v>
      </c>
      <c r="BL1215" s="319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97" t="str">
        <f>+VLOOKUP(G1215,Liste!$A$7:$H$69,8,FALSE)</f>
        <v>Feuillus</v>
      </c>
      <c r="BU1215" s="297">
        <f t="shared" si="361"/>
        <v>1</v>
      </c>
      <c r="BV1215" s="299">
        <f t="shared" si="362"/>
        <v>0</v>
      </c>
      <c r="BW1215" s="318">
        <v>0</v>
      </c>
      <c r="BX1215" s="297">
        <f t="shared" si="363"/>
        <v>0.25</v>
      </c>
      <c r="BY1215">
        <f t="shared" si="364"/>
        <v>0</v>
      </c>
      <c r="BZ1215" s="303">
        <f t="shared" si="365"/>
        <v>0</v>
      </c>
      <c r="CB1215" s="298">
        <v>0.6</v>
      </c>
      <c r="CC1215" s="298">
        <v>0.4</v>
      </c>
      <c r="CD1215">
        <f t="shared" si="366"/>
        <v>0</v>
      </c>
      <c r="CE1215">
        <f t="shared" si="367"/>
        <v>0</v>
      </c>
      <c r="CF1215">
        <f t="shared" si="368"/>
        <v>0</v>
      </c>
      <c r="CG1215">
        <f t="shared" si="369"/>
        <v>0</v>
      </c>
      <c r="CH1215">
        <f t="shared" si="370"/>
        <v>0</v>
      </c>
      <c r="CI1215">
        <f t="shared" si="371"/>
        <v>0</v>
      </c>
      <c r="CJ1215">
        <f t="shared" si="372"/>
        <v>0</v>
      </c>
      <c r="CK1215">
        <f t="shared" si="373"/>
        <v>0</v>
      </c>
      <c r="CL1215">
        <f t="shared" si="374"/>
        <v>0</v>
      </c>
      <c r="CM1215">
        <f t="shared" si="376"/>
        <v>0</v>
      </c>
      <c r="CN1215">
        <f t="shared" si="375"/>
        <v>0</v>
      </c>
      <c r="CO1215">
        <f t="shared" si="359"/>
        <v>0</v>
      </c>
    </row>
    <row r="1216" spans="1:93" hidden="1" x14ac:dyDescent="0.25">
      <c r="A1216" s="4">
        <v>2021</v>
      </c>
      <c r="B1216" s="315">
        <v>44279</v>
      </c>
      <c r="C1216" s="4" t="s">
        <v>66</v>
      </c>
      <c r="D1216" s="4" t="s">
        <v>1502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1503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+VLOOKUP(G1216,Liste!$A$7:$G$69,3,FALSE)</f>
        <v>Chêne sessile</v>
      </c>
      <c r="BI1216" s="96" t="str">
        <f>+VLOOKUP(H1216,Liste!$B$7:$G$69,5,FALSE)</f>
        <v>Guide chênaie continentale</v>
      </c>
      <c r="BJ1216" s="135">
        <f t="shared" si="358"/>
        <v>123</v>
      </c>
      <c r="BK1216" s="135" t="str">
        <f t="shared" si="360"/>
        <v>Chêne sessile_F1_Dynamique_Guide chênaie continentale_123_</v>
      </c>
      <c r="BL1216" s="319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97" t="str">
        <f>+VLOOKUP(G1216,Liste!$A$7:$H$69,8,FALSE)</f>
        <v>Feuillus</v>
      </c>
      <c r="BU1216" s="297">
        <f t="shared" si="361"/>
        <v>1</v>
      </c>
      <c r="BV1216" s="299">
        <f t="shared" si="362"/>
        <v>0</v>
      </c>
      <c r="BW1216" s="318">
        <v>0</v>
      </c>
      <c r="BX1216" s="297">
        <f t="shared" si="363"/>
        <v>0.25</v>
      </c>
      <c r="BY1216">
        <f t="shared" si="364"/>
        <v>0</v>
      </c>
      <c r="BZ1216" s="303">
        <f t="shared" si="365"/>
        <v>0</v>
      </c>
      <c r="CB1216" s="298">
        <v>0.6</v>
      </c>
      <c r="CC1216" s="298">
        <v>0.4</v>
      </c>
      <c r="CD1216">
        <f t="shared" si="366"/>
        <v>0</v>
      </c>
      <c r="CE1216">
        <f t="shared" si="367"/>
        <v>0</v>
      </c>
      <c r="CF1216">
        <f t="shared" si="368"/>
        <v>0</v>
      </c>
      <c r="CG1216">
        <f t="shared" si="369"/>
        <v>0</v>
      </c>
      <c r="CH1216">
        <f t="shared" si="370"/>
        <v>0</v>
      </c>
      <c r="CI1216">
        <f t="shared" si="371"/>
        <v>0</v>
      </c>
      <c r="CJ1216">
        <f t="shared" si="372"/>
        <v>0</v>
      </c>
      <c r="CK1216">
        <f t="shared" si="373"/>
        <v>0</v>
      </c>
      <c r="CL1216">
        <f t="shared" si="374"/>
        <v>0</v>
      </c>
      <c r="CM1216">
        <f t="shared" si="376"/>
        <v>0</v>
      </c>
      <c r="CN1216">
        <f t="shared" si="375"/>
        <v>0</v>
      </c>
      <c r="CO1216">
        <f t="shared" si="359"/>
        <v>0</v>
      </c>
    </row>
    <row r="1217" spans="1:93" hidden="1" x14ac:dyDescent="0.25">
      <c r="A1217" s="4">
        <v>2021</v>
      </c>
      <c r="B1217" s="315">
        <v>44279</v>
      </c>
      <c r="C1217" s="4" t="s">
        <v>66</v>
      </c>
      <c r="D1217" s="4" t="s">
        <v>1502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1503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+VLOOKUP(G1217,Liste!$A$7:$G$69,3,FALSE)</f>
        <v>Chêne sessile</v>
      </c>
      <c r="BI1217" s="96" t="str">
        <f>+VLOOKUP(H1217,Liste!$B$7:$G$69,5,FALSE)</f>
        <v>Guide chênaie continentale</v>
      </c>
      <c r="BJ1217" s="135">
        <f t="shared" si="358"/>
        <v>127</v>
      </c>
      <c r="BK1217" s="135" t="str">
        <f t="shared" si="360"/>
        <v>Chêne sessile_F1_Dynamique_Guide chênaie continentale_127_</v>
      </c>
      <c r="BL1217" s="319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97" t="str">
        <f>+VLOOKUP(G1217,Liste!$A$7:$H$69,8,FALSE)</f>
        <v>Feuillus</v>
      </c>
      <c r="BU1217" s="297">
        <f t="shared" si="361"/>
        <v>1</v>
      </c>
      <c r="BV1217" s="299">
        <f t="shared" si="362"/>
        <v>0</v>
      </c>
      <c r="BW1217" s="318">
        <v>0</v>
      </c>
      <c r="BX1217" s="297">
        <f t="shared" si="363"/>
        <v>0.25</v>
      </c>
      <c r="BY1217">
        <f t="shared" si="364"/>
        <v>0</v>
      </c>
      <c r="BZ1217" s="303">
        <f t="shared" si="365"/>
        <v>0</v>
      </c>
      <c r="CB1217" s="298">
        <v>0.6</v>
      </c>
      <c r="CC1217" s="298">
        <v>0.4</v>
      </c>
      <c r="CD1217">
        <f t="shared" si="366"/>
        <v>0</v>
      </c>
      <c r="CE1217">
        <f t="shared" si="367"/>
        <v>0</v>
      </c>
      <c r="CF1217">
        <f t="shared" si="368"/>
        <v>0</v>
      </c>
      <c r="CG1217">
        <f t="shared" si="369"/>
        <v>0</v>
      </c>
      <c r="CH1217">
        <f t="shared" si="370"/>
        <v>0</v>
      </c>
      <c r="CI1217">
        <f t="shared" si="371"/>
        <v>0</v>
      </c>
      <c r="CJ1217">
        <f t="shared" si="372"/>
        <v>0</v>
      </c>
      <c r="CK1217">
        <f t="shared" si="373"/>
        <v>0</v>
      </c>
      <c r="CL1217">
        <f t="shared" si="374"/>
        <v>0</v>
      </c>
      <c r="CM1217">
        <f t="shared" si="376"/>
        <v>0</v>
      </c>
      <c r="CN1217">
        <f t="shared" si="375"/>
        <v>0</v>
      </c>
      <c r="CO1217">
        <f t="shared" si="359"/>
        <v>0</v>
      </c>
    </row>
    <row r="1218" spans="1:93" hidden="1" x14ac:dyDescent="0.25">
      <c r="A1218" s="4">
        <v>2021</v>
      </c>
      <c r="B1218" s="315">
        <v>44279</v>
      </c>
      <c r="C1218" s="4" t="s">
        <v>66</v>
      </c>
      <c r="D1218" s="4" t="s">
        <v>1502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1503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+VLOOKUP(G1218,Liste!$A$7:$G$69,3,FALSE)</f>
        <v>Chêne sessile</v>
      </c>
      <c r="BI1218" s="96" t="str">
        <f>+VLOOKUP(H1218,Liste!$B$7:$G$69,5,FALSE)</f>
        <v>Guide chênaie continentale</v>
      </c>
      <c r="BJ1218" s="135">
        <f t="shared" si="358"/>
        <v>127</v>
      </c>
      <c r="BK1218" s="135" t="str">
        <f t="shared" si="360"/>
        <v>Chêne sessile_F1_Dynamique_Guide chênaie continentale_127_</v>
      </c>
      <c r="BL1218" s="319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97" t="str">
        <f>+VLOOKUP(G1218,Liste!$A$7:$H$69,8,FALSE)</f>
        <v>Feuillus</v>
      </c>
      <c r="BU1218" s="297">
        <f t="shared" si="361"/>
        <v>1</v>
      </c>
      <c r="BV1218" s="299">
        <f t="shared" si="362"/>
        <v>0</v>
      </c>
      <c r="BW1218" s="318">
        <v>0</v>
      </c>
      <c r="BX1218" s="297">
        <f t="shared" si="363"/>
        <v>0.25</v>
      </c>
      <c r="BY1218">
        <f t="shared" si="364"/>
        <v>0</v>
      </c>
      <c r="BZ1218" s="303">
        <f t="shared" si="365"/>
        <v>0</v>
      </c>
      <c r="CB1218" s="298">
        <v>0.6</v>
      </c>
      <c r="CC1218" s="298">
        <v>0.4</v>
      </c>
      <c r="CD1218">
        <f t="shared" si="366"/>
        <v>0</v>
      </c>
      <c r="CE1218">
        <f t="shared" si="367"/>
        <v>0</v>
      </c>
      <c r="CF1218">
        <f t="shared" si="368"/>
        <v>0</v>
      </c>
      <c r="CG1218">
        <f t="shared" si="369"/>
        <v>0</v>
      </c>
      <c r="CH1218">
        <f t="shared" si="370"/>
        <v>0</v>
      </c>
      <c r="CI1218">
        <f t="shared" si="371"/>
        <v>0</v>
      </c>
      <c r="CJ1218">
        <f t="shared" si="372"/>
        <v>0</v>
      </c>
      <c r="CK1218">
        <f t="shared" si="373"/>
        <v>0</v>
      </c>
      <c r="CL1218">
        <f t="shared" si="374"/>
        <v>0</v>
      </c>
      <c r="CM1218">
        <f t="shared" si="376"/>
        <v>0</v>
      </c>
      <c r="CN1218">
        <f t="shared" si="375"/>
        <v>0</v>
      </c>
      <c r="CO1218">
        <f t="shared" si="359"/>
        <v>0</v>
      </c>
    </row>
    <row r="1219" spans="1:93" hidden="1" x14ac:dyDescent="0.25">
      <c r="A1219" s="4">
        <v>2021</v>
      </c>
      <c r="B1219" s="315">
        <v>44279</v>
      </c>
      <c r="C1219" s="4" t="s">
        <v>66</v>
      </c>
      <c r="D1219" s="4" t="s">
        <v>1502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1503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+VLOOKUP(G1219,Liste!$A$7:$G$69,3,FALSE)</f>
        <v>Chêne sessile</v>
      </c>
      <c r="BI1219" s="96" t="str">
        <f>+VLOOKUP(H1219,Liste!$B$7:$G$69,5,FALSE)</f>
        <v>Guide chênaie continentale</v>
      </c>
      <c r="BJ1219" s="135">
        <f t="shared" ref="BJ1219:BJ1282" si="377">+AC1219</f>
        <v>131</v>
      </c>
      <c r="BK1219" s="135" t="str">
        <f t="shared" si="360"/>
        <v>Chêne sessile_F1_Dynamique_Guide chênaie continentale_131_</v>
      </c>
      <c r="BL1219" s="319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97" t="str">
        <f>+VLOOKUP(G1219,Liste!$A$7:$H$69,8,FALSE)</f>
        <v>Feuillus</v>
      </c>
      <c r="BU1219" s="297">
        <f t="shared" si="361"/>
        <v>1</v>
      </c>
      <c r="BV1219" s="299">
        <f t="shared" si="362"/>
        <v>0</v>
      </c>
      <c r="BW1219" s="318">
        <v>0</v>
      </c>
      <c r="BX1219" s="297">
        <f t="shared" si="363"/>
        <v>0.25</v>
      </c>
      <c r="BY1219">
        <f t="shared" si="364"/>
        <v>0</v>
      </c>
      <c r="BZ1219" s="303">
        <f t="shared" si="365"/>
        <v>0</v>
      </c>
      <c r="CB1219" s="298">
        <v>0.6</v>
      </c>
      <c r="CC1219" s="298">
        <v>0.4</v>
      </c>
      <c r="CD1219">
        <f t="shared" si="366"/>
        <v>0</v>
      </c>
      <c r="CE1219">
        <f t="shared" si="367"/>
        <v>0</v>
      </c>
      <c r="CF1219">
        <f t="shared" si="368"/>
        <v>0</v>
      </c>
      <c r="CG1219">
        <f t="shared" si="369"/>
        <v>0</v>
      </c>
      <c r="CH1219">
        <f t="shared" si="370"/>
        <v>0</v>
      </c>
      <c r="CI1219">
        <f t="shared" si="371"/>
        <v>0</v>
      </c>
      <c r="CJ1219">
        <f t="shared" si="372"/>
        <v>0</v>
      </c>
      <c r="CK1219">
        <f t="shared" si="373"/>
        <v>0</v>
      </c>
      <c r="CL1219">
        <f t="shared" si="374"/>
        <v>0</v>
      </c>
      <c r="CM1219">
        <f t="shared" si="376"/>
        <v>0</v>
      </c>
      <c r="CN1219">
        <f t="shared" si="375"/>
        <v>0</v>
      </c>
      <c r="CO1219">
        <f t="shared" ref="CO1219:CO1282" si="378">+IF(BJ1219=30,CN1219/30,0)</f>
        <v>0</v>
      </c>
    </row>
    <row r="1220" spans="1:93" hidden="1" x14ac:dyDescent="0.25">
      <c r="A1220" s="4">
        <v>2021</v>
      </c>
      <c r="B1220" s="315">
        <v>44279</v>
      </c>
      <c r="C1220" s="4" t="s">
        <v>66</v>
      </c>
      <c r="D1220" s="4" t="s">
        <v>1502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1503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+VLOOKUP(G1220,Liste!$A$7:$G$69,3,FALSE)</f>
        <v>Chêne sessile</v>
      </c>
      <c r="BI1220" s="96" t="str">
        <f>+VLOOKUP(H1220,Liste!$B$7:$G$69,5,FALSE)</f>
        <v>Guide chênaie continentale</v>
      </c>
      <c r="BJ1220" s="135">
        <f t="shared" si="377"/>
        <v>131</v>
      </c>
      <c r="BK1220" s="135" t="str">
        <f t="shared" ref="BK1220:BK1283" si="379">+_xlfn.CONCAT(BH1220,"_",J1220,"_",I1220,"_",BI1220,"_",BJ1220,"_")</f>
        <v>Chêne sessile_F1_Dynamique_Guide chênaie continentale_131_</v>
      </c>
      <c r="BL1220" s="319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97" t="str">
        <f>+VLOOKUP(G1220,Liste!$A$7:$H$69,8,FALSE)</f>
        <v>Feuillus</v>
      </c>
      <c r="BU1220" s="297">
        <f t="shared" ref="BU1220:BU1283" si="380">IF(BT1220="Résineux",0%,100%)</f>
        <v>1</v>
      </c>
      <c r="BV1220" s="299">
        <f t="shared" ref="BV1220:BV1283" si="381">+IF(BT1220="Résineux",100%,0%)</f>
        <v>0</v>
      </c>
      <c r="BW1220" s="318">
        <v>0</v>
      </c>
      <c r="BX1220" s="297">
        <f t="shared" ref="BX1220:BX1283" si="382">+IF(BV1220&lt;&gt;0,0.43,0.25)</f>
        <v>0.25</v>
      </c>
      <c r="BY1220">
        <f t="shared" ref="BY1220:BY1283" si="383">+IF(BJ1220&lt;=30,AV1220*BX1220,0)</f>
        <v>0</v>
      </c>
      <c r="BZ1220" s="303">
        <f t="shared" ref="BZ1220:BZ1283" si="384">+IF(BJ1220&gt;=31,0,BY1220+BZ1219)</f>
        <v>0</v>
      </c>
      <c r="CB1220" s="298">
        <v>0.6</v>
      </c>
      <c r="CC1220" s="298">
        <v>0.4</v>
      </c>
      <c r="CD1220">
        <f t="shared" ref="CD1220:CD1283" si="385">+IF(BJ1220&lt;=31,AV1220*CA1220*0.5,0)</f>
        <v>0</v>
      </c>
      <c r="CE1220">
        <f t="shared" ref="CE1220:CE1283" si="386">IF(BJ1220&lt;=31,AV1220*CB1220,0)</f>
        <v>0</v>
      </c>
      <c r="CF1220">
        <f t="shared" ref="CF1220:CF1283" si="387">IF(BJ1220&lt;=31,AV1220*CC1220,0)</f>
        <v>0</v>
      </c>
      <c r="CG1220">
        <f t="shared" ref="CG1220:CG1283" si="388">CD1220*44/12*0.475*BF1220</f>
        <v>0</v>
      </c>
      <c r="CH1220">
        <f t="shared" ref="CH1220:CH1283" si="389">CE1220*44/12*0.475*BF1220</f>
        <v>0</v>
      </c>
      <c r="CI1220">
        <f t="shared" ref="CI1220:CI1283" si="390">CF1220*44/12*0.475*BF1220</f>
        <v>0</v>
      </c>
      <c r="CJ1220">
        <f t="shared" ref="CJ1220:CJ1283" si="391">+IF(BJ1220&lt;=31,CJ1219*EXP(-$CJ$1)+CG1219*(1-EXP(-$CJ$1))/$CJ$1,0)</f>
        <v>0</v>
      </c>
      <c r="CK1220">
        <f t="shared" ref="CK1220:CK1283" si="392">+IF(BJ1220&lt;=31,CK1219*EXP(-$CK$1)+CH1219*(1-EXP(-$CK$1))/$CK$1,0)</f>
        <v>0</v>
      </c>
      <c r="CL1220">
        <f t="shared" ref="CL1220:CL1283" si="393">+IF(BJ1220&lt;=31,CL1219*EXP(-$CL$1)+CI1219*(1-EXP(-$CL$1))/$CL$1,0)</f>
        <v>0</v>
      </c>
      <c r="CM1220">
        <f t="shared" si="376"/>
        <v>0</v>
      </c>
      <c r="CN1220">
        <f t="shared" ref="CN1220:CN1283" si="394">+IF(BJ1220&lt;=31,CM1220+CN1219,0)</f>
        <v>0</v>
      </c>
      <c r="CO1220">
        <f t="shared" si="378"/>
        <v>0</v>
      </c>
    </row>
    <row r="1221" spans="1:93" hidden="1" x14ac:dyDescent="0.25">
      <c r="A1221" s="4">
        <v>2021</v>
      </c>
      <c r="B1221" s="315">
        <v>44298</v>
      </c>
      <c r="C1221" s="4" t="s">
        <v>66</v>
      </c>
      <c r="D1221" s="4" t="s">
        <v>1502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1503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+VLOOKUP(G1221,Liste!$A$7:$G$69,3,FALSE)</f>
        <v>Chene_pedoncule</v>
      </c>
      <c r="BI1221" s="96" t="str">
        <f>+VLOOKUP(H1221,Liste!$B$7:$G$69,5,FALSE)</f>
        <v>Guide chênaie continentale</v>
      </c>
      <c r="BJ1221" s="135">
        <f t="shared" si="377"/>
        <v>30</v>
      </c>
      <c r="BK1221" s="135" t="str">
        <f t="shared" si="379"/>
        <v>Chene_pedoncule_F1_Dynamique_Guide chênaie continentale_30_</v>
      </c>
      <c r="BL1221" s="319"/>
      <c r="BM1221" s="13">
        <v>50.979962860234501</v>
      </c>
      <c r="BN1221" s="13">
        <v>242.11839966918399</v>
      </c>
      <c r="BP1221" s="13">
        <v>307.101589782742</v>
      </c>
      <c r="BQ1221" s="13"/>
      <c r="BT1221" s="297" t="str">
        <f>+VLOOKUP(G1221,Liste!$A$7:$H$69,8,FALSE)</f>
        <v>Feuillus</v>
      </c>
      <c r="BU1221" s="297">
        <f t="shared" si="380"/>
        <v>1</v>
      </c>
      <c r="BV1221" s="299">
        <f t="shared" si="381"/>
        <v>0</v>
      </c>
      <c r="BW1221" s="318">
        <v>0</v>
      </c>
      <c r="BX1221" s="297">
        <f t="shared" si="382"/>
        <v>0.25</v>
      </c>
      <c r="BY1221">
        <f t="shared" si="383"/>
        <v>0</v>
      </c>
      <c r="BZ1221" s="303">
        <f t="shared" si="384"/>
        <v>0</v>
      </c>
      <c r="CB1221" s="298">
        <v>0.6</v>
      </c>
      <c r="CC1221" s="298">
        <v>0.4</v>
      </c>
      <c r="CD1221">
        <f t="shared" si="385"/>
        <v>0</v>
      </c>
      <c r="CE1221">
        <f t="shared" si="386"/>
        <v>0</v>
      </c>
      <c r="CF1221">
        <f t="shared" si="387"/>
        <v>0</v>
      </c>
      <c r="CG1221">
        <f t="shared" si="388"/>
        <v>0</v>
      </c>
      <c r="CH1221">
        <f t="shared" si="389"/>
        <v>0</v>
      </c>
      <c r="CI1221">
        <f t="shared" si="390"/>
        <v>0</v>
      </c>
      <c r="CJ1221">
        <f t="shared" si="391"/>
        <v>0</v>
      </c>
      <c r="CK1221">
        <f t="shared" si="392"/>
        <v>0</v>
      </c>
      <c r="CL1221">
        <f t="shared" si="393"/>
        <v>0</v>
      </c>
      <c r="CM1221">
        <f t="shared" ref="CM1221:CM1284" si="395">+CJ1221+CK1221+CL1221</f>
        <v>0</v>
      </c>
      <c r="CN1221">
        <f t="shared" si="394"/>
        <v>0</v>
      </c>
      <c r="CO1221">
        <f t="shared" si="378"/>
        <v>0</v>
      </c>
    </row>
    <row r="1222" spans="1:93" hidden="1" x14ac:dyDescent="0.25">
      <c r="A1222" s="4">
        <v>2021</v>
      </c>
      <c r="B1222" s="315">
        <v>44298</v>
      </c>
      <c r="C1222" s="4" t="s">
        <v>66</v>
      </c>
      <c r="D1222" s="4" t="s">
        <v>1502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1503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6" t="str">
        <f>+VLOOKUP(G1222,Liste!$A$7:$G$69,3,FALSE)</f>
        <v>Chene_pedoncule</v>
      </c>
      <c r="BI1222" s="96" t="str">
        <f>+VLOOKUP(H1222,Liste!$B$7:$G$69,5,FALSE)</f>
        <v>Guide chênaie continentale</v>
      </c>
      <c r="BJ1222" s="135">
        <f t="shared" si="377"/>
        <v>31</v>
      </c>
      <c r="BK1222" s="135" t="str">
        <f t="shared" si="379"/>
        <v>Chene_pedoncule_F1_Dynamique_Guide chênaie continentale_31_</v>
      </c>
      <c r="BL1222" s="319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97" t="str">
        <f>+VLOOKUP(G1222,Liste!$A$7:$H$69,8,FALSE)</f>
        <v>Feuillus</v>
      </c>
      <c r="BU1222" s="297">
        <f t="shared" si="380"/>
        <v>1</v>
      </c>
      <c r="BV1222" s="299">
        <f t="shared" si="381"/>
        <v>0</v>
      </c>
      <c r="BW1222" s="318">
        <v>0</v>
      </c>
      <c r="BX1222" s="297">
        <f t="shared" si="382"/>
        <v>0.25</v>
      </c>
      <c r="BY1222">
        <f t="shared" si="383"/>
        <v>0</v>
      </c>
      <c r="BZ1222" s="303">
        <f t="shared" si="384"/>
        <v>0</v>
      </c>
      <c r="CB1222" s="298">
        <v>0.6</v>
      </c>
      <c r="CC1222" s="298">
        <v>0.4</v>
      </c>
      <c r="CD1222">
        <f t="shared" si="385"/>
        <v>0</v>
      </c>
      <c r="CE1222">
        <f t="shared" si="386"/>
        <v>0</v>
      </c>
      <c r="CF1222">
        <f t="shared" si="387"/>
        <v>0</v>
      </c>
      <c r="CG1222">
        <f t="shared" si="388"/>
        <v>0</v>
      </c>
      <c r="CH1222">
        <f t="shared" si="389"/>
        <v>0</v>
      </c>
      <c r="CI1222">
        <f t="shared" si="390"/>
        <v>0</v>
      </c>
      <c r="CJ1222">
        <f t="shared" si="391"/>
        <v>0</v>
      </c>
      <c r="CK1222">
        <f t="shared" si="392"/>
        <v>0</v>
      </c>
      <c r="CL1222">
        <f t="shared" si="393"/>
        <v>0</v>
      </c>
      <c r="CM1222">
        <f t="shared" si="395"/>
        <v>0</v>
      </c>
      <c r="CN1222">
        <f t="shared" si="394"/>
        <v>0</v>
      </c>
      <c r="CO1222">
        <f t="shared" si="378"/>
        <v>0</v>
      </c>
    </row>
    <row r="1223" spans="1:93" hidden="1" x14ac:dyDescent="0.25">
      <c r="A1223" s="4">
        <v>2021</v>
      </c>
      <c r="B1223" s="315">
        <v>44298</v>
      </c>
      <c r="C1223" s="4" t="s">
        <v>66</v>
      </c>
      <c r="D1223" s="4" t="s">
        <v>1502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1503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+VLOOKUP(G1223,Liste!$A$7:$G$69,3,FALSE)</f>
        <v>Chene_pedoncule</v>
      </c>
      <c r="BI1223" s="96" t="str">
        <f>+VLOOKUP(H1223,Liste!$B$7:$G$69,5,FALSE)</f>
        <v>Guide chênaie continentale</v>
      </c>
      <c r="BJ1223" s="135">
        <f t="shared" si="377"/>
        <v>31</v>
      </c>
      <c r="BK1223" s="135" t="str">
        <f t="shared" si="379"/>
        <v>Chene_pedoncule_F1_Dynamique_Guide chênaie continentale_31_</v>
      </c>
      <c r="BL1223" s="319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97" t="str">
        <f>+VLOOKUP(G1223,Liste!$A$7:$H$69,8,FALSE)</f>
        <v>Feuillus</v>
      </c>
      <c r="BU1223" s="297">
        <f t="shared" si="380"/>
        <v>1</v>
      </c>
      <c r="BV1223" s="299">
        <f t="shared" si="381"/>
        <v>0</v>
      </c>
      <c r="BW1223" s="318">
        <v>0</v>
      </c>
      <c r="BX1223" s="297">
        <f t="shared" si="382"/>
        <v>0.25</v>
      </c>
      <c r="BY1223">
        <f t="shared" si="383"/>
        <v>0</v>
      </c>
      <c r="BZ1223" s="303">
        <f t="shared" si="384"/>
        <v>0</v>
      </c>
      <c r="CB1223" s="298">
        <v>0.6</v>
      </c>
      <c r="CC1223" s="298">
        <v>0.4</v>
      </c>
      <c r="CD1223">
        <f t="shared" si="385"/>
        <v>0</v>
      </c>
      <c r="CE1223">
        <f t="shared" si="386"/>
        <v>39.81386145149213</v>
      </c>
      <c r="CF1223">
        <f t="shared" si="387"/>
        <v>26.542574300994758</v>
      </c>
      <c r="CG1223">
        <f t="shared" si="388"/>
        <v>0</v>
      </c>
      <c r="CH1223">
        <f t="shared" si="389"/>
        <v>39.525210955968809</v>
      </c>
      <c r="CI1223">
        <f t="shared" si="390"/>
        <v>26.350140637312538</v>
      </c>
      <c r="CJ1223">
        <f t="shared" si="391"/>
        <v>0</v>
      </c>
      <c r="CK1223">
        <f t="shared" si="392"/>
        <v>0</v>
      </c>
      <c r="CL1223">
        <f t="shared" si="393"/>
        <v>0</v>
      </c>
      <c r="CM1223">
        <f t="shared" si="395"/>
        <v>0</v>
      </c>
      <c r="CN1223">
        <f t="shared" si="394"/>
        <v>0</v>
      </c>
      <c r="CO1223">
        <f t="shared" si="378"/>
        <v>0</v>
      </c>
    </row>
    <row r="1224" spans="1:93" hidden="1" x14ac:dyDescent="0.25">
      <c r="A1224" s="4">
        <v>2021</v>
      </c>
      <c r="B1224" s="315">
        <v>44298</v>
      </c>
      <c r="C1224" s="4" t="s">
        <v>66</v>
      </c>
      <c r="D1224" s="4" t="s">
        <v>1502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1503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+VLOOKUP(G1224,Liste!$A$7:$G$69,3,FALSE)</f>
        <v>Chene_pedoncule</v>
      </c>
      <c r="BI1224" s="96" t="str">
        <f>+VLOOKUP(H1224,Liste!$B$7:$G$69,5,FALSE)</f>
        <v>Guide chênaie continentale</v>
      </c>
      <c r="BJ1224" s="135">
        <f t="shared" si="377"/>
        <v>34</v>
      </c>
      <c r="BK1224" s="135" t="str">
        <f t="shared" si="379"/>
        <v>Chene_pedoncule_F1_Dynamique_Guide chênaie continentale_34_</v>
      </c>
      <c r="BL1224" s="319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97" t="str">
        <f>+VLOOKUP(G1224,Liste!$A$7:$H$69,8,FALSE)</f>
        <v>Feuillus</v>
      </c>
      <c r="BU1224" s="297">
        <f t="shared" si="380"/>
        <v>1</v>
      </c>
      <c r="BV1224" s="299">
        <f t="shared" si="381"/>
        <v>0</v>
      </c>
      <c r="BW1224" s="318">
        <v>0</v>
      </c>
      <c r="BX1224" s="297">
        <f t="shared" si="382"/>
        <v>0.25</v>
      </c>
      <c r="BY1224">
        <f t="shared" si="383"/>
        <v>0</v>
      </c>
      <c r="BZ1224" s="303">
        <f t="shared" si="384"/>
        <v>0</v>
      </c>
      <c r="CB1224" s="298">
        <v>0.6</v>
      </c>
      <c r="CC1224" s="298">
        <v>0.4</v>
      </c>
      <c r="CD1224">
        <f t="shared" si="385"/>
        <v>0</v>
      </c>
      <c r="CE1224">
        <f t="shared" si="386"/>
        <v>0</v>
      </c>
      <c r="CF1224">
        <f t="shared" si="387"/>
        <v>0</v>
      </c>
      <c r="CG1224">
        <f t="shared" si="388"/>
        <v>0</v>
      </c>
      <c r="CH1224">
        <f t="shared" si="389"/>
        <v>0</v>
      </c>
      <c r="CI1224">
        <f t="shared" si="390"/>
        <v>0</v>
      </c>
      <c r="CJ1224">
        <f t="shared" si="391"/>
        <v>0</v>
      </c>
      <c r="CK1224">
        <f t="shared" si="392"/>
        <v>0</v>
      </c>
      <c r="CL1224">
        <f t="shared" si="393"/>
        <v>0</v>
      </c>
      <c r="CM1224">
        <f t="shared" si="395"/>
        <v>0</v>
      </c>
      <c r="CN1224">
        <f t="shared" si="394"/>
        <v>0</v>
      </c>
      <c r="CO1224">
        <f t="shared" si="378"/>
        <v>0</v>
      </c>
    </row>
    <row r="1225" spans="1:93" hidden="1" x14ac:dyDescent="0.25">
      <c r="A1225" s="4">
        <v>2021</v>
      </c>
      <c r="B1225" s="315">
        <v>44298</v>
      </c>
      <c r="C1225" s="4" t="s">
        <v>66</v>
      </c>
      <c r="D1225" s="4" t="s">
        <v>1502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1503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+VLOOKUP(G1225,Liste!$A$7:$G$69,3,FALSE)</f>
        <v>Chene_pedoncule</v>
      </c>
      <c r="BI1225" s="96" t="str">
        <f>+VLOOKUP(H1225,Liste!$B$7:$G$69,5,FALSE)</f>
        <v>Guide chênaie continentale</v>
      </c>
      <c r="BJ1225" s="135">
        <f t="shared" si="377"/>
        <v>37</v>
      </c>
      <c r="BK1225" s="135" t="str">
        <f t="shared" si="379"/>
        <v>Chene_pedoncule_F1_Dynamique_Guide chênaie continentale_37_</v>
      </c>
      <c r="BL1225" s="319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97" t="str">
        <f>+VLOOKUP(G1225,Liste!$A$7:$H$69,8,FALSE)</f>
        <v>Feuillus</v>
      </c>
      <c r="BU1225" s="297">
        <f t="shared" si="380"/>
        <v>1</v>
      </c>
      <c r="BV1225" s="299">
        <f t="shared" si="381"/>
        <v>0</v>
      </c>
      <c r="BW1225" s="318">
        <v>0</v>
      </c>
      <c r="BX1225" s="297">
        <f t="shared" si="382"/>
        <v>0.25</v>
      </c>
      <c r="BY1225">
        <f t="shared" si="383"/>
        <v>0</v>
      </c>
      <c r="BZ1225" s="303">
        <f t="shared" si="384"/>
        <v>0</v>
      </c>
      <c r="CB1225" s="298">
        <v>0.6</v>
      </c>
      <c r="CC1225" s="298">
        <v>0.4</v>
      </c>
      <c r="CD1225">
        <f t="shared" si="385"/>
        <v>0</v>
      </c>
      <c r="CE1225">
        <f t="shared" si="386"/>
        <v>0</v>
      </c>
      <c r="CF1225">
        <f t="shared" si="387"/>
        <v>0</v>
      </c>
      <c r="CG1225">
        <f t="shared" si="388"/>
        <v>0</v>
      </c>
      <c r="CH1225">
        <f t="shared" si="389"/>
        <v>0</v>
      </c>
      <c r="CI1225">
        <f t="shared" si="390"/>
        <v>0</v>
      </c>
      <c r="CJ1225">
        <f t="shared" si="391"/>
        <v>0</v>
      </c>
      <c r="CK1225">
        <f t="shared" si="392"/>
        <v>0</v>
      </c>
      <c r="CL1225">
        <f t="shared" si="393"/>
        <v>0</v>
      </c>
      <c r="CM1225">
        <f t="shared" si="395"/>
        <v>0</v>
      </c>
      <c r="CN1225">
        <f t="shared" si="394"/>
        <v>0</v>
      </c>
      <c r="CO1225">
        <f t="shared" si="378"/>
        <v>0</v>
      </c>
    </row>
    <row r="1226" spans="1:93" hidden="1" x14ac:dyDescent="0.25">
      <c r="A1226" s="4">
        <v>2021</v>
      </c>
      <c r="B1226" s="315">
        <v>44298</v>
      </c>
      <c r="C1226" s="4" t="s">
        <v>66</v>
      </c>
      <c r="D1226" s="4" t="s">
        <v>1502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1503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+VLOOKUP(G1226,Liste!$A$7:$G$69,3,FALSE)</f>
        <v>Chene_pedoncule</v>
      </c>
      <c r="BI1226" s="96" t="str">
        <f>+VLOOKUP(H1226,Liste!$B$7:$G$69,5,FALSE)</f>
        <v>Guide chênaie continentale</v>
      </c>
      <c r="BJ1226" s="135">
        <f t="shared" si="377"/>
        <v>37</v>
      </c>
      <c r="BK1226" s="135" t="str">
        <f t="shared" si="379"/>
        <v>Chene_pedoncule_F1_Dynamique_Guide chênaie continentale_37_</v>
      </c>
      <c r="BL1226" s="319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97" t="str">
        <f>+VLOOKUP(G1226,Liste!$A$7:$H$69,8,FALSE)</f>
        <v>Feuillus</v>
      </c>
      <c r="BU1226" s="297">
        <f t="shared" si="380"/>
        <v>1</v>
      </c>
      <c r="BV1226" s="299">
        <f t="shared" si="381"/>
        <v>0</v>
      </c>
      <c r="BW1226" s="318">
        <v>0</v>
      </c>
      <c r="BX1226" s="297">
        <f t="shared" si="382"/>
        <v>0.25</v>
      </c>
      <c r="BY1226">
        <f t="shared" si="383"/>
        <v>0</v>
      </c>
      <c r="BZ1226" s="303">
        <f t="shared" si="384"/>
        <v>0</v>
      </c>
      <c r="CB1226" s="298">
        <v>0.6</v>
      </c>
      <c r="CC1226" s="298">
        <v>0.4</v>
      </c>
      <c r="CD1226">
        <f t="shared" si="385"/>
        <v>0</v>
      </c>
      <c r="CE1226">
        <f t="shared" si="386"/>
        <v>0</v>
      </c>
      <c r="CF1226">
        <f t="shared" si="387"/>
        <v>0</v>
      </c>
      <c r="CG1226">
        <f t="shared" si="388"/>
        <v>0</v>
      </c>
      <c r="CH1226">
        <f t="shared" si="389"/>
        <v>0</v>
      </c>
      <c r="CI1226">
        <f t="shared" si="390"/>
        <v>0</v>
      </c>
      <c r="CJ1226">
        <f t="shared" si="391"/>
        <v>0</v>
      </c>
      <c r="CK1226">
        <f t="shared" si="392"/>
        <v>0</v>
      </c>
      <c r="CL1226">
        <f t="shared" si="393"/>
        <v>0</v>
      </c>
      <c r="CM1226">
        <f t="shared" si="395"/>
        <v>0</v>
      </c>
      <c r="CN1226">
        <f t="shared" si="394"/>
        <v>0</v>
      </c>
      <c r="CO1226">
        <f t="shared" si="378"/>
        <v>0</v>
      </c>
    </row>
    <row r="1227" spans="1:93" hidden="1" x14ac:dyDescent="0.25">
      <c r="A1227" s="4">
        <v>2021</v>
      </c>
      <c r="B1227" s="315">
        <v>44298</v>
      </c>
      <c r="C1227" s="4" t="s">
        <v>66</v>
      </c>
      <c r="D1227" s="4" t="s">
        <v>1502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1503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+VLOOKUP(G1227,Liste!$A$7:$G$69,3,FALSE)</f>
        <v>Chene_pedoncule</v>
      </c>
      <c r="BI1227" s="96" t="str">
        <f>+VLOOKUP(H1227,Liste!$B$7:$G$69,5,FALSE)</f>
        <v>Guide chênaie continentale</v>
      </c>
      <c r="BJ1227" s="135">
        <f t="shared" si="377"/>
        <v>40</v>
      </c>
      <c r="BK1227" s="135" t="str">
        <f t="shared" si="379"/>
        <v>Chene_pedoncule_F1_Dynamique_Guide chênaie continentale_40_</v>
      </c>
      <c r="BL1227" s="319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97" t="str">
        <f>+VLOOKUP(G1227,Liste!$A$7:$H$69,8,FALSE)</f>
        <v>Feuillus</v>
      </c>
      <c r="BU1227" s="297">
        <f t="shared" si="380"/>
        <v>1</v>
      </c>
      <c r="BV1227" s="299">
        <f t="shared" si="381"/>
        <v>0</v>
      </c>
      <c r="BW1227" s="318">
        <v>0</v>
      </c>
      <c r="BX1227" s="297">
        <f t="shared" si="382"/>
        <v>0.25</v>
      </c>
      <c r="BY1227">
        <f t="shared" si="383"/>
        <v>0</v>
      </c>
      <c r="BZ1227" s="303">
        <f t="shared" si="384"/>
        <v>0</v>
      </c>
      <c r="CB1227" s="298">
        <v>0.6</v>
      </c>
      <c r="CC1227" s="298">
        <v>0.4</v>
      </c>
      <c r="CD1227">
        <f t="shared" si="385"/>
        <v>0</v>
      </c>
      <c r="CE1227">
        <f t="shared" si="386"/>
        <v>0</v>
      </c>
      <c r="CF1227">
        <f t="shared" si="387"/>
        <v>0</v>
      </c>
      <c r="CG1227">
        <f t="shared" si="388"/>
        <v>0</v>
      </c>
      <c r="CH1227">
        <f t="shared" si="389"/>
        <v>0</v>
      </c>
      <c r="CI1227">
        <f t="shared" si="390"/>
        <v>0</v>
      </c>
      <c r="CJ1227">
        <f t="shared" si="391"/>
        <v>0</v>
      </c>
      <c r="CK1227">
        <f t="shared" si="392"/>
        <v>0</v>
      </c>
      <c r="CL1227">
        <f t="shared" si="393"/>
        <v>0</v>
      </c>
      <c r="CM1227">
        <f t="shared" si="395"/>
        <v>0</v>
      </c>
      <c r="CN1227">
        <f t="shared" si="394"/>
        <v>0</v>
      </c>
      <c r="CO1227">
        <f t="shared" si="378"/>
        <v>0</v>
      </c>
    </row>
    <row r="1228" spans="1:93" hidden="1" x14ac:dyDescent="0.25">
      <c r="A1228" s="4">
        <v>2021</v>
      </c>
      <c r="B1228" s="315">
        <v>44298</v>
      </c>
      <c r="C1228" s="4" t="s">
        <v>66</v>
      </c>
      <c r="D1228" s="4" t="s">
        <v>1502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1503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+VLOOKUP(G1228,Liste!$A$7:$G$69,3,FALSE)</f>
        <v>Chene_pedoncule</v>
      </c>
      <c r="BI1228" s="96" t="str">
        <f>+VLOOKUP(H1228,Liste!$B$7:$G$69,5,FALSE)</f>
        <v>Guide chênaie continentale</v>
      </c>
      <c r="BJ1228" s="135">
        <f t="shared" si="377"/>
        <v>44</v>
      </c>
      <c r="BK1228" s="135" t="str">
        <f t="shared" si="379"/>
        <v>Chene_pedoncule_F1_Dynamique_Guide chênaie continentale_44_</v>
      </c>
      <c r="BL1228" s="319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97" t="str">
        <f>+VLOOKUP(G1228,Liste!$A$7:$H$69,8,FALSE)</f>
        <v>Feuillus</v>
      </c>
      <c r="BU1228" s="297">
        <f t="shared" si="380"/>
        <v>1</v>
      </c>
      <c r="BV1228" s="299">
        <f t="shared" si="381"/>
        <v>0</v>
      </c>
      <c r="BW1228" s="318">
        <v>0</v>
      </c>
      <c r="BX1228" s="297">
        <f t="shared" si="382"/>
        <v>0.25</v>
      </c>
      <c r="BY1228">
        <f t="shared" si="383"/>
        <v>0</v>
      </c>
      <c r="BZ1228" s="303">
        <f t="shared" si="384"/>
        <v>0</v>
      </c>
      <c r="CB1228" s="298">
        <v>0.6</v>
      </c>
      <c r="CC1228" s="298">
        <v>0.4</v>
      </c>
      <c r="CD1228">
        <f t="shared" si="385"/>
        <v>0</v>
      </c>
      <c r="CE1228">
        <f t="shared" si="386"/>
        <v>0</v>
      </c>
      <c r="CF1228">
        <f t="shared" si="387"/>
        <v>0</v>
      </c>
      <c r="CG1228">
        <f t="shared" si="388"/>
        <v>0</v>
      </c>
      <c r="CH1228">
        <f t="shared" si="389"/>
        <v>0</v>
      </c>
      <c r="CI1228">
        <f t="shared" si="390"/>
        <v>0</v>
      </c>
      <c r="CJ1228">
        <f t="shared" si="391"/>
        <v>0</v>
      </c>
      <c r="CK1228">
        <f t="shared" si="392"/>
        <v>0</v>
      </c>
      <c r="CL1228">
        <f t="shared" si="393"/>
        <v>0</v>
      </c>
      <c r="CM1228">
        <f t="shared" si="395"/>
        <v>0</v>
      </c>
      <c r="CN1228">
        <f t="shared" si="394"/>
        <v>0</v>
      </c>
      <c r="CO1228">
        <f t="shared" si="378"/>
        <v>0</v>
      </c>
    </row>
    <row r="1229" spans="1:93" hidden="1" x14ac:dyDescent="0.25">
      <c r="A1229" s="4">
        <v>2021</v>
      </c>
      <c r="B1229" s="315">
        <v>44298</v>
      </c>
      <c r="C1229" s="4" t="s">
        <v>66</v>
      </c>
      <c r="D1229" s="4" t="s">
        <v>1502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1503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+VLOOKUP(G1229,Liste!$A$7:$G$69,3,FALSE)</f>
        <v>Chene_pedoncule</v>
      </c>
      <c r="BI1229" s="96" t="str">
        <f>+VLOOKUP(H1229,Liste!$B$7:$G$69,5,FALSE)</f>
        <v>Guide chênaie continentale</v>
      </c>
      <c r="BJ1229" s="135">
        <f t="shared" si="377"/>
        <v>44</v>
      </c>
      <c r="BK1229" s="135" t="str">
        <f t="shared" si="379"/>
        <v>Chene_pedoncule_F1_Dynamique_Guide chênaie continentale_44_</v>
      </c>
      <c r="BL1229" s="319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97" t="str">
        <f>+VLOOKUP(G1229,Liste!$A$7:$H$69,8,FALSE)</f>
        <v>Feuillus</v>
      </c>
      <c r="BU1229" s="297">
        <f t="shared" si="380"/>
        <v>1</v>
      </c>
      <c r="BV1229" s="299">
        <f t="shared" si="381"/>
        <v>0</v>
      </c>
      <c r="BW1229" s="318">
        <v>0</v>
      </c>
      <c r="BX1229" s="297">
        <f t="shared" si="382"/>
        <v>0.25</v>
      </c>
      <c r="BY1229">
        <f t="shared" si="383"/>
        <v>0</v>
      </c>
      <c r="BZ1229" s="303">
        <f t="shared" si="384"/>
        <v>0</v>
      </c>
      <c r="CB1229" s="298">
        <v>0.6</v>
      </c>
      <c r="CC1229" s="298">
        <v>0.4</v>
      </c>
      <c r="CD1229">
        <f t="shared" si="385"/>
        <v>0</v>
      </c>
      <c r="CE1229">
        <f t="shared" si="386"/>
        <v>0</v>
      </c>
      <c r="CF1229">
        <f t="shared" si="387"/>
        <v>0</v>
      </c>
      <c r="CG1229">
        <f t="shared" si="388"/>
        <v>0</v>
      </c>
      <c r="CH1229">
        <f t="shared" si="389"/>
        <v>0</v>
      </c>
      <c r="CI1229">
        <f t="shared" si="390"/>
        <v>0</v>
      </c>
      <c r="CJ1229">
        <f t="shared" si="391"/>
        <v>0</v>
      </c>
      <c r="CK1229">
        <f t="shared" si="392"/>
        <v>0</v>
      </c>
      <c r="CL1229">
        <f t="shared" si="393"/>
        <v>0</v>
      </c>
      <c r="CM1229">
        <f t="shared" si="395"/>
        <v>0</v>
      </c>
      <c r="CN1229">
        <f t="shared" si="394"/>
        <v>0</v>
      </c>
      <c r="CO1229">
        <f t="shared" si="378"/>
        <v>0</v>
      </c>
    </row>
    <row r="1230" spans="1:93" hidden="1" x14ac:dyDescent="0.25">
      <c r="A1230" s="4">
        <v>2021</v>
      </c>
      <c r="B1230" s="315">
        <v>44298</v>
      </c>
      <c r="C1230" s="4" t="s">
        <v>66</v>
      </c>
      <c r="D1230" s="4" t="s">
        <v>1502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1503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+VLOOKUP(G1230,Liste!$A$7:$G$69,3,FALSE)</f>
        <v>Chene_pedoncule</v>
      </c>
      <c r="BI1230" s="96" t="str">
        <f>+VLOOKUP(H1230,Liste!$B$7:$G$69,5,FALSE)</f>
        <v>Guide chênaie continentale</v>
      </c>
      <c r="BJ1230" s="135">
        <f t="shared" si="377"/>
        <v>47</v>
      </c>
      <c r="BK1230" s="135" t="str">
        <f t="shared" si="379"/>
        <v>Chene_pedoncule_F1_Dynamique_Guide chênaie continentale_47_</v>
      </c>
      <c r="BL1230" s="319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97" t="str">
        <f>+VLOOKUP(G1230,Liste!$A$7:$H$69,8,FALSE)</f>
        <v>Feuillus</v>
      </c>
      <c r="BU1230" s="297">
        <f t="shared" si="380"/>
        <v>1</v>
      </c>
      <c r="BV1230" s="299">
        <f t="shared" si="381"/>
        <v>0</v>
      </c>
      <c r="BW1230" s="318">
        <v>0</v>
      </c>
      <c r="BX1230" s="297">
        <f t="shared" si="382"/>
        <v>0.25</v>
      </c>
      <c r="BY1230">
        <f t="shared" si="383"/>
        <v>0</v>
      </c>
      <c r="BZ1230" s="303">
        <f t="shared" si="384"/>
        <v>0</v>
      </c>
      <c r="CB1230" s="298">
        <v>0.6</v>
      </c>
      <c r="CC1230" s="298">
        <v>0.4</v>
      </c>
      <c r="CD1230">
        <f t="shared" si="385"/>
        <v>0</v>
      </c>
      <c r="CE1230">
        <f t="shared" si="386"/>
        <v>0</v>
      </c>
      <c r="CF1230">
        <f t="shared" si="387"/>
        <v>0</v>
      </c>
      <c r="CG1230">
        <f t="shared" si="388"/>
        <v>0</v>
      </c>
      <c r="CH1230">
        <f t="shared" si="389"/>
        <v>0</v>
      </c>
      <c r="CI1230">
        <f t="shared" si="390"/>
        <v>0</v>
      </c>
      <c r="CJ1230">
        <f t="shared" si="391"/>
        <v>0</v>
      </c>
      <c r="CK1230">
        <f t="shared" si="392"/>
        <v>0</v>
      </c>
      <c r="CL1230">
        <f t="shared" si="393"/>
        <v>0</v>
      </c>
      <c r="CM1230">
        <f t="shared" si="395"/>
        <v>0</v>
      </c>
      <c r="CN1230">
        <f t="shared" si="394"/>
        <v>0</v>
      </c>
      <c r="CO1230">
        <f t="shared" si="378"/>
        <v>0</v>
      </c>
    </row>
    <row r="1231" spans="1:93" hidden="1" x14ac:dyDescent="0.25">
      <c r="A1231" s="4">
        <v>2021</v>
      </c>
      <c r="B1231" s="315">
        <v>44298</v>
      </c>
      <c r="C1231" s="4" t="s">
        <v>66</v>
      </c>
      <c r="D1231" s="4" t="s">
        <v>1502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1503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+VLOOKUP(G1231,Liste!$A$7:$G$69,3,FALSE)</f>
        <v>Chene_pedoncule</v>
      </c>
      <c r="BI1231" s="96" t="str">
        <f>+VLOOKUP(H1231,Liste!$B$7:$G$69,5,FALSE)</f>
        <v>Guide chênaie continentale</v>
      </c>
      <c r="BJ1231" s="135">
        <f t="shared" si="377"/>
        <v>51</v>
      </c>
      <c r="BK1231" s="135" t="str">
        <f t="shared" si="379"/>
        <v>Chene_pedoncule_F1_Dynamique_Guide chênaie continentale_51_</v>
      </c>
      <c r="BL1231" s="319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97" t="str">
        <f>+VLOOKUP(G1231,Liste!$A$7:$H$69,8,FALSE)</f>
        <v>Feuillus</v>
      </c>
      <c r="BU1231" s="297">
        <f t="shared" si="380"/>
        <v>1</v>
      </c>
      <c r="BV1231" s="299">
        <f t="shared" si="381"/>
        <v>0</v>
      </c>
      <c r="BW1231" s="318">
        <v>0</v>
      </c>
      <c r="BX1231" s="297">
        <f t="shared" si="382"/>
        <v>0.25</v>
      </c>
      <c r="BY1231">
        <f t="shared" si="383"/>
        <v>0</v>
      </c>
      <c r="BZ1231" s="303">
        <f t="shared" si="384"/>
        <v>0</v>
      </c>
      <c r="CB1231" s="298">
        <v>0.6</v>
      </c>
      <c r="CC1231" s="298">
        <v>0.4</v>
      </c>
      <c r="CD1231">
        <f t="shared" si="385"/>
        <v>0</v>
      </c>
      <c r="CE1231">
        <f t="shared" si="386"/>
        <v>0</v>
      </c>
      <c r="CF1231">
        <f t="shared" si="387"/>
        <v>0</v>
      </c>
      <c r="CG1231">
        <f t="shared" si="388"/>
        <v>0</v>
      </c>
      <c r="CH1231">
        <f t="shared" si="389"/>
        <v>0</v>
      </c>
      <c r="CI1231">
        <f t="shared" si="390"/>
        <v>0</v>
      </c>
      <c r="CJ1231">
        <f t="shared" si="391"/>
        <v>0</v>
      </c>
      <c r="CK1231">
        <f t="shared" si="392"/>
        <v>0</v>
      </c>
      <c r="CL1231">
        <f t="shared" si="393"/>
        <v>0</v>
      </c>
      <c r="CM1231">
        <f t="shared" si="395"/>
        <v>0</v>
      </c>
      <c r="CN1231">
        <f t="shared" si="394"/>
        <v>0</v>
      </c>
      <c r="CO1231">
        <f t="shared" si="378"/>
        <v>0</v>
      </c>
    </row>
    <row r="1232" spans="1:93" hidden="1" x14ac:dyDescent="0.25">
      <c r="A1232" s="4">
        <v>2021</v>
      </c>
      <c r="B1232" s="315">
        <v>44298</v>
      </c>
      <c r="C1232" s="4" t="s">
        <v>66</v>
      </c>
      <c r="D1232" s="4" t="s">
        <v>1502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1503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+VLOOKUP(G1232,Liste!$A$7:$G$69,3,FALSE)</f>
        <v>Chene_pedoncule</v>
      </c>
      <c r="BI1232" s="96" t="str">
        <f>+VLOOKUP(H1232,Liste!$B$7:$G$69,5,FALSE)</f>
        <v>Guide chênaie continentale</v>
      </c>
      <c r="BJ1232" s="135">
        <f t="shared" si="377"/>
        <v>51</v>
      </c>
      <c r="BK1232" s="135" t="str">
        <f t="shared" si="379"/>
        <v>Chene_pedoncule_F1_Dynamique_Guide chênaie continentale_51_</v>
      </c>
      <c r="BL1232" s="319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97" t="str">
        <f>+VLOOKUP(G1232,Liste!$A$7:$H$69,8,FALSE)</f>
        <v>Feuillus</v>
      </c>
      <c r="BU1232" s="297">
        <f t="shared" si="380"/>
        <v>1</v>
      </c>
      <c r="BV1232" s="299">
        <f t="shared" si="381"/>
        <v>0</v>
      </c>
      <c r="BW1232" s="318">
        <v>0</v>
      </c>
      <c r="BX1232" s="297">
        <f t="shared" si="382"/>
        <v>0.25</v>
      </c>
      <c r="BY1232">
        <f t="shared" si="383"/>
        <v>0</v>
      </c>
      <c r="BZ1232" s="303">
        <f t="shared" si="384"/>
        <v>0</v>
      </c>
      <c r="CB1232" s="298">
        <v>0.6</v>
      </c>
      <c r="CC1232" s="298">
        <v>0.4</v>
      </c>
      <c r="CD1232">
        <f t="shared" si="385"/>
        <v>0</v>
      </c>
      <c r="CE1232">
        <f t="shared" si="386"/>
        <v>0</v>
      </c>
      <c r="CF1232">
        <f t="shared" si="387"/>
        <v>0</v>
      </c>
      <c r="CG1232">
        <f t="shared" si="388"/>
        <v>0</v>
      </c>
      <c r="CH1232">
        <f t="shared" si="389"/>
        <v>0</v>
      </c>
      <c r="CI1232">
        <f t="shared" si="390"/>
        <v>0</v>
      </c>
      <c r="CJ1232">
        <f t="shared" si="391"/>
        <v>0</v>
      </c>
      <c r="CK1232">
        <f t="shared" si="392"/>
        <v>0</v>
      </c>
      <c r="CL1232">
        <f t="shared" si="393"/>
        <v>0</v>
      </c>
      <c r="CM1232">
        <f t="shared" si="395"/>
        <v>0</v>
      </c>
      <c r="CN1232">
        <f t="shared" si="394"/>
        <v>0</v>
      </c>
      <c r="CO1232">
        <f t="shared" si="378"/>
        <v>0</v>
      </c>
    </row>
    <row r="1233" spans="1:93" hidden="1" x14ac:dyDescent="0.25">
      <c r="A1233" s="4">
        <v>2021</v>
      </c>
      <c r="B1233" s="315">
        <v>44298</v>
      </c>
      <c r="C1233" s="4" t="s">
        <v>66</v>
      </c>
      <c r="D1233" s="4" t="s">
        <v>1502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1503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+VLOOKUP(G1233,Liste!$A$7:$G$69,3,FALSE)</f>
        <v>Chene_pedoncule</v>
      </c>
      <c r="BI1233" s="96" t="str">
        <f>+VLOOKUP(H1233,Liste!$B$7:$G$69,5,FALSE)</f>
        <v>Guide chênaie continentale</v>
      </c>
      <c r="BJ1233" s="135">
        <f t="shared" si="377"/>
        <v>54</v>
      </c>
      <c r="BK1233" s="135" t="str">
        <f t="shared" si="379"/>
        <v>Chene_pedoncule_F1_Dynamique_Guide chênaie continentale_54_</v>
      </c>
      <c r="BL1233" s="319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97" t="str">
        <f>+VLOOKUP(G1233,Liste!$A$7:$H$69,8,FALSE)</f>
        <v>Feuillus</v>
      </c>
      <c r="BU1233" s="297">
        <f t="shared" si="380"/>
        <v>1</v>
      </c>
      <c r="BV1233" s="299">
        <f t="shared" si="381"/>
        <v>0</v>
      </c>
      <c r="BW1233" s="318">
        <v>0</v>
      </c>
      <c r="BX1233" s="297">
        <f t="shared" si="382"/>
        <v>0.25</v>
      </c>
      <c r="BY1233">
        <f t="shared" si="383"/>
        <v>0</v>
      </c>
      <c r="BZ1233" s="303">
        <f t="shared" si="384"/>
        <v>0</v>
      </c>
      <c r="CB1233" s="298">
        <v>0.6</v>
      </c>
      <c r="CC1233" s="298">
        <v>0.4</v>
      </c>
      <c r="CD1233">
        <f t="shared" si="385"/>
        <v>0</v>
      </c>
      <c r="CE1233">
        <f t="shared" si="386"/>
        <v>0</v>
      </c>
      <c r="CF1233">
        <f t="shared" si="387"/>
        <v>0</v>
      </c>
      <c r="CG1233">
        <f t="shared" si="388"/>
        <v>0</v>
      </c>
      <c r="CH1233">
        <f t="shared" si="389"/>
        <v>0</v>
      </c>
      <c r="CI1233">
        <f t="shared" si="390"/>
        <v>0</v>
      </c>
      <c r="CJ1233">
        <f t="shared" si="391"/>
        <v>0</v>
      </c>
      <c r="CK1233">
        <f t="shared" si="392"/>
        <v>0</v>
      </c>
      <c r="CL1233">
        <f t="shared" si="393"/>
        <v>0</v>
      </c>
      <c r="CM1233">
        <f t="shared" si="395"/>
        <v>0</v>
      </c>
      <c r="CN1233">
        <f t="shared" si="394"/>
        <v>0</v>
      </c>
      <c r="CO1233">
        <f t="shared" si="378"/>
        <v>0</v>
      </c>
    </row>
    <row r="1234" spans="1:93" hidden="1" x14ac:dyDescent="0.25">
      <c r="A1234" s="4">
        <v>2021</v>
      </c>
      <c r="B1234" s="315">
        <v>44298</v>
      </c>
      <c r="C1234" s="4" t="s">
        <v>66</v>
      </c>
      <c r="D1234" s="4" t="s">
        <v>1502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1503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+VLOOKUP(G1234,Liste!$A$7:$G$69,3,FALSE)</f>
        <v>Chene_pedoncule</v>
      </c>
      <c r="BI1234" s="96" t="str">
        <f>+VLOOKUP(H1234,Liste!$B$7:$G$69,5,FALSE)</f>
        <v>Guide chênaie continentale</v>
      </c>
      <c r="BJ1234" s="135">
        <f t="shared" si="377"/>
        <v>58</v>
      </c>
      <c r="BK1234" s="135" t="str">
        <f t="shared" si="379"/>
        <v>Chene_pedoncule_F1_Dynamique_Guide chênaie continentale_58_</v>
      </c>
      <c r="BL1234" s="319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97" t="str">
        <f>+VLOOKUP(G1234,Liste!$A$7:$H$69,8,FALSE)</f>
        <v>Feuillus</v>
      </c>
      <c r="BU1234" s="297">
        <f t="shared" si="380"/>
        <v>1</v>
      </c>
      <c r="BV1234" s="299">
        <f t="shared" si="381"/>
        <v>0</v>
      </c>
      <c r="BW1234" s="318">
        <v>0</v>
      </c>
      <c r="BX1234" s="297">
        <f t="shared" si="382"/>
        <v>0.25</v>
      </c>
      <c r="BY1234">
        <f t="shared" si="383"/>
        <v>0</v>
      </c>
      <c r="BZ1234" s="303">
        <f t="shared" si="384"/>
        <v>0</v>
      </c>
      <c r="CB1234" s="298">
        <v>0.6</v>
      </c>
      <c r="CC1234" s="298">
        <v>0.4</v>
      </c>
      <c r="CD1234">
        <f t="shared" si="385"/>
        <v>0</v>
      </c>
      <c r="CE1234">
        <f t="shared" si="386"/>
        <v>0</v>
      </c>
      <c r="CF1234">
        <f t="shared" si="387"/>
        <v>0</v>
      </c>
      <c r="CG1234">
        <f t="shared" si="388"/>
        <v>0</v>
      </c>
      <c r="CH1234">
        <f t="shared" si="389"/>
        <v>0</v>
      </c>
      <c r="CI1234">
        <f t="shared" si="390"/>
        <v>0</v>
      </c>
      <c r="CJ1234">
        <f t="shared" si="391"/>
        <v>0</v>
      </c>
      <c r="CK1234">
        <f t="shared" si="392"/>
        <v>0</v>
      </c>
      <c r="CL1234">
        <f t="shared" si="393"/>
        <v>0</v>
      </c>
      <c r="CM1234">
        <f t="shared" si="395"/>
        <v>0</v>
      </c>
      <c r="CN1234">
        <f t="shared" si="394"/>
        <v>0</v>
      </c>
      <c r="CO1234">
        <f t="shared" si="378"/>
        <v>0</v>
      </c>
    </row>
    <row r="1235" spans="1:93" hidden="1" x14ac:dyDescent="0.25">
      <c r="A1235" s="4">
        <v>2021</v>
      </c>
      <c r="B1235" s="315">
        <v>44298</v>
      </c>
      <c r="C1235" s="4" t="s">
        <v>66</v>
      </c>
      <c r="D1235" s="4" t="s">
        <v>1502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1503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+VLOOKUP(G1235,Liste!$A$7:$G$69,3,FALSE)</f>
        <v>Chene_pedoncule</v>
      </c>
      <c r="BI1235" s="96" t="str">
        <f>+VLOOKUP(H1235,Liste!$B$7:$G$69,5,FALSE)</f>
        <v>Guide chênaie continentale</v>
      </c>
      <c r="BJ1235" s="135">
        <f t="shared" si="377"/>
        <v>58</v>
      </c>
      <c r="BK1235" s="135" t="str">
        <f t="shared" si="379"/>
        <v>Chene_pedoncule_F1_Dynamique_Guide chênaie continentale_58_</v>
      </c>
      <c r="BL1235" s="319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97" t="str">
        <f>+VLOOKUP(G1235,Liste!$A$7:$H$69,8,FALSE)</f>
        <v>Feuillus</v>
      </c>
      <c r="BU1235" s="297">
        <f t="shared" si="380"/>
        <v>1</v>
      </c>
      <c r="BV1235" s="299">
        <f t="shared" si="381"/>
        <v>0</v>
      </c>
      <c r="BW1235" s="318">
        <v>0</v>
      </c>
      <c r="BX1235" s="297">
        <f t="shared" si="382"/>
        <v>0.25</v>
      </c>
      <c r="BY1235">
        <f t="shared" si="383"/>
        <v>0</v>
      </c>
      <c r="BZ1235" s="303">
        <f t="shared" si="384"/>
        <v>0</v>
      </c>
      <c r="CB1235" s="298">
        <v>0.6</v>
      </c>
      <c r="CC1235" s="298">
        <v>0.4</v>
      </c>
      <c r="CD1235">
        <f t="shared" si="385"/>
        <v>0</v>
      </c>
      <c r="CE1235">
        <f t="shared" si="386"/>
        <v>0</v>
      </c>
      <c r="CF1235">
        <f t="shared" si="387"/>
        <v>0</v>
      </c>
      <c r="CG1235">
        <f t="shared" si="388"/>
        <v>0</v>
      </c>
      <c r="CH1235">
        <f t="shared" si="389"/>
        <v>0</v>
      </c>
      <c r="CI1235">
        <f t="shared" si="390"/>
        <v>0</v>
      </c>
      <c r="CJ1235">
        <f t="shared" si="391"/>
        <v>0</v>
      </c>
      <c r="CK1235">
        <f t="shared" si="392"/>
        <v>0</v>
      </c>
      <c r="CL1235">
        <f t="shared" si="393"/>
        <v>0</v>
      </c>
      <c r="CM1235">
        <f t="shared" si="395"/>
        <v>0</v>
      </c>
      <c r="CN1235">
        <f t="shared" si="394"/>
        <v>0</v>
      </c>
      <c r="CO1235">
        <f t="shared" si="378"/>
        <v>0</v>
      </c>
    </row>
    <row r="1236" spans="1:93" hidden="1" x14ac:dyDescent="0.25">
      <c r="A1236" s="4">
        <v>2021</v>
      </c>
      <c r="B1236" s="315">
        <v>44298</v>
      </c>
      <c r="C1236" s="4" t="s">
        <v>66</v>
      </c>
      <c r="D1236" s="4" t="s">
        <v>1502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1503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+VLOOKUP(G1236,Liste!$A$7:$G$69,3,FALSE)</f>
        <v>Chene_pedoncule</v>
      </c>
      <c r="BI1236" s="96" t="str">
        <f>+VLOOKUP(H1236,Liste!$B$7:$G$69,5,FALSE)</f>
        <v>Guide chênaie continentale</v>
      </c>
      <c r="BJ1236" s="135">
        <f t="shared" si="377"/>
        <v>61</v>
      </c>
      <c r="BK1236" s="135" t="str">
        <f t="shared" si="379"/>
        <v>Chene_pedoncule_F1_Dynamique_Guide chênaie continentale_61_</v>
      </c>
      <c r="BL1236" s="319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97" t="str">
        <f>+VLOOKUP(G1236,Liste!$A$7:$H$69,8,FALSE)</f>
        <v>Feuillus</v>
      </c>
      <c r="BU1236" s="297">
        <f t="shared" si="380"/>
        <v>1</v>
      </c>
      <c r="BV1236" s="299">
        <f t="shared" si="381"/>
        <v>0</v>
      </c>
      <c r="BW1236" s="318">
        <v>0</v>
      </c>
      <c r="BX1236" s="297">
        <f t="shared" si="382"/>
        <v>0.25</v>
      </c>
      <c r="BY1236">
        <f t="shared" si="383"/>
        <v>0</v>
      </c>
      <c r="BZ1236" s="303">
        <f t="shared" si="384"/>
        <v>0</v>
      </c>
      <c r="CB1236" s="298">
        <v>0.6</v>
      </c>
      <c r="CC1236" s="298">
        <v>0.4</v>
      </c>
      <c r="CD1236">
        <f t="shared" si="385"/>
        <v>0</v>
      </c>
      <c r="CE1236">
        <f t="shared" si="386"/>
        <v>0</v>
      </c>
      <c r="CF1236">
        <f t="shared" si="387"/>
        <v>0</v>
      </c>
      <c r="CG1236">
        <f t="shared" si="388"/>
        <v>0</v>
      </c>
      <c r="CH1236">
        <f t="shared" si="389"/>
        <v>0</v>
      </c>
      <c r="CI1236">
        <f t="shared" si="390"/>
        <v>0</v>
      </c>
      <c r="CJ1236">
        <f t="shared" si="391"/>
        <v>0</v>
      </c>
      <c r="CK1236">
        <f t="shared" si="392"/>
        <v>0</v>
      </c>
      <c r="CL1236">
        <f t="shared" si="393"/>
        <v>0</v>
      </c>
      <c r="CM1236">
        <f t="shared" si="395"/>
        <v>0</v>
      </c>
      <c r="CN1236">
        <f t="shared" si="394"/>
        <v>0</v>
      </c>
      <c r="CO1236">
        <f t="shared" si="378"/>
        <v>0</v>
      </c>
    </row>
    <row r="1237" spans="1:93" hidden="1" x14ac:dyDescent="0.25">
      <c r="A1237" s="4">
        <v>2021</v>
      </c>
      <c r="B1237" s="315">
        <v>44298</v>
      </c>
      <c r="C1237" s="4" t="s">
        <v>66</v>
      </c>
      <c r="D1237" s="4" t="s">
        <v>1502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1503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+VLOOKUP(G1237,Liste!$A$7:$G$69,3,FALSE)</f>
        <v>Chene_pedoncule</v>
      </c>
      <c r="BI1237" s="96" t="str">
        <f>+VLOOKUP(H1237,Liste!$B$7:$G$69,5,FALSE)</f>
        <v>Guide chênaie continentale</v>
      </c>
      <c r="BJ1237" s="135">
        <f t="shared" si="377"/>
        <v>65</v>
      </c>
      <c r="BK1237" s="135" t="str">
        <f t="shared" si="379"/>
        <v>Chene_pedoncule_F1_Dynamique_Guide chênaie continentale_65_</v>
      </c>
      <c r="BL1237" s="319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97" t="str">
        <f>+VLOOKUP(G1237,Liste!$A$7:$H$69,8,FALSE)</f>
        <v>Feuillus</v>
      </c>
      <c r="BU1237" s="297">
        <f t="shared" si="380"/>
        <v>1</v>
      </c>
      <c r="BV1237" s="299">
        <f t="shared" si="381"/>
        <v>0</v>
      </c>
      <c r="BW1237" s="318">
        <v>0</v>
      </c>
      <c r="BX1237" s="297">
        <f t="shared" si="382"/>
        <v>0.25</v>
      </c>
      <c r="BY1237">
        <f t="shared" si="383"/>
        <v>0</v>
      </c>
      <c r="BZ1237" s="303">
        <f t="shared" si="384"/>
        <v>0</v>
      </c>
      <c r="CB1237" s="298">
        <v>0.6</v>
      </c>
      <c r="CC1237" s="298">
        <v>0.4</v>
      </c>
      <c r="CD1237">
        <f t="shared" si="385"/>
        <v>0</v>
      </c>
      <c r="CE1237">
        <f t="shared" si="386"/>
        <v>0</v>
      </c>
      <c r="CF1237">
        <f t="shared" si="387"/>
        <v>0</v>
      </c>
      <c r="CG1237">
        <f t="shared" si="388"/>
        <v>0</v>
      </c>
      <c r="CH1237">
        <f t="shared" si="389"/>
        <v>0</v>
      </c>
      <c r="CI1237">
        <f t="shared" si="390"/>
        <v>0</v>
      </c>
      <c r="CJ1237">
        <f t="shared" si="391"/>
        <v>0</v>
      </c>
      <c r="CK1237">
        <f t="shared" si="392"/>
        <v>0</v>
      </c>
      <c r="CL1237">
        <f t="shared" si="393"/>
        <v>0</v>
      </c>
      <c r="CM1237">
        <f t="shared" si="395"/>
        <v>0</v>
      </c>
      <c r="CN1237">
        <f t="shared" si="394"/>
        <v>0</v>
      </c>
      <c r="CO1237">
        <f t="shared" si="378"/>
        <v>0</v>
      </c>
    </row>
    <row r="1238" spans="1:93" hidden="1" x14ac:dyDescent="0.25">
      <c r="A1238" s="4">
        <v>2021</v>
      </c>
      <c r="B1238" s="315">
        <v>44298</v>
      </c>
      <c r="C1238" s="4" t="s">
        <v>66</v>
      </c>
      <c r="D1238" s="4" t="s">
        <v>1502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1503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+VLOOKUP(G1238,Liste!$A$7:$G$69,3,FALSE)</f>
        <v>Chene_pedoncule</v>
      </c>
      <c r="BI1238" s="96" t="str">
        <f>+VLOOKUP(H1238,Liste!$B$7:$G$69,5,FALSE)</f>
        <v>Guide chênaie continentale</v>
      </c>
      <c r="BJ1238" s="135">
        <f t="shared" si="377"/>
        <v>65</v>
      </c>
      <c r="BK1238" s="135" t="str">
        <f t="shared" si="379"/>
        <v>Chene_pedoncule_F1_Dynamique_Guide chênaie continentale_65_</v>
      </c>
      <c r="BL1238" s="319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97" t="str">
        <f>+VLOOKUP(G1238,Liste!$A$7:$H$69,8,FALSE)</f>
        <v>Feuillus</v>
      </c>
      <c r="BU1238" s="297">
        <f t="shared" si="380"/>
        <v>1</v>
      </c>
      <c r="BV1238" s="299">
        <f t="shared" si="381"/>
        <v>0</v>
      </c>
      <c r="BW1238" s="318">
        <v>0</v>
      </c>
      <c r="BX1238" s="297">
        <f t="shared" si="382"/>
        <v>0.25</v>
      </c>
      <c r="BY1238">
        <f t="shared" si="383"/>
        <v>0</v>
      </c>
      <c r="BZ1238" s="303">
        <f t="shared" si="384"/>
        <v>0</v>
      </c>
      <c r="CB1238" s="298">
        <v>0.6</v>
      </c>
      <c r="CC1238" s="298">
        <v>0.4</v>
      </c>
      <c r="CD1238">
        <f t="shared" si="385"/>
        <v>0</v>
      </c>
      <c r="CE1238">
        <f t="shared" si="386"/>
        <v>0</v>
      </c>
      <c r="CF1238">
        <f t="shared" si="387"/>
        <v>0</v>
      </c>
      <c r="CG1238">
        <f t="shared" si="388"/>
        <v>0</v>
      </c>
      <c r="CH1238">
        <f t="shared" si="389"/>
        <v>0</v>
      </c>
      <c r="CI1238">
        <f t="shared" si="390"/>
        <v>0</v>
      </c>
      <c r="CJ1238">
        <f t="shared" si="391"/>
        <v>0</v>
      </c>
      <c r="CK1238">
        <f t="shared" si="392"/>
        <v>0</v>
      </c>
      <c r="CL1238">
        <f t="shared" si="393"/>
        <v>0</v>
      </c>
      <c r="CM1238">
        <f t="shared" si="395"/>
        <v>0</v>
      </c>
      <c r="CN1238">
        <f t="shared" si="394"/>
        <v>0</v>
      </c>
      <c r="CO1238">
        <f t="shared" si="378"/>
        <v>0</v>
      </c>
    </row>
    <row r="1239" spans="1:93" hidden="1" x14ac:dyDescent="0.25">
      <c r="A1239" s="4">
        <v>2021</v>
      </c>
      <c r="B1239" s="315">
        <v>44298</v>
      </c>
      <c r="C1239" s="4" t="s">
        <v>66</v>
      </c>
      <c r="D1239" s="4" t="s">
        <v>1502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1503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+VLOOKUP(G1239,Liste!$A$7:$G$69,3,FALSE)</f>
        <v>Chene_pedoncule</v>
      </c>
      <c r="BI1239" s="96" t="str">
        <f>+VLOOKUP(H1239,Liste!$B$7:$G$69,5,FALSE)</f>
        <v>Guide chênaie continentale</v>
      </c>
      <c r="BJ1239" s="135">
        <f t="shared" si="377"/>
        <v>68</v>
      </c>
      <c r="BK1239" s="135" t="str">
        <f t="shared" si="379"/>
        <v>Chene_pedoncule_F1_Dynamique_Guide chênaie continentale_68_</v>
      </c>
      <c r="BL1239" s="319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97" t="str">
        <f>+VLOOKUP(G1239,Liste!$A$7:$H$69,8,FALSE)</f>
        <v>Feuillus</v>
      </c>
      <c r="BU1239" s="297">
        <f t="shared" si="380"/>
        <v>1</v>
      </c>
      <c r="BV1239" s="299">
        <f t="shared" si="381"/>
        <v>0</v>
      </c>
      <c r="BW1239" s="318">
        <v>0</v>
      </c>
      <c r="BX1239" s="297">
        <f t="shared" si="382"/>
        <v>0.25</v>
      </c>
      <c r="BY1239">
        <f t="shared" si="383"/>
        <v>0</v>
      </c>
      <c r="BZ1239" s="303">
        <f t="shared" si="384"/>
        <v>0</v>
      </c>
      <c r="CB1239" s="298">
        <v>0.6</v>
      </c>
      <c r="CC1239" s="298">
        <v>0.4</v>
      </c>
      <c r="CD1239">
        <f t="shared" si="385"/>
        <v>0</v>
      </c>
      <c r="CE1239">
        <f t="shared" si="386"/>
        <v>0</v>
      </c>
      <c r="CF1239">
        <f t="shared" si="387"/>
        <v>0</v>
      </c>
      <c r="CG1239">
        <f t="shared" si="388"/>
        <v>0</v>
      </c>
      <c r="CH1239">
        <f t="shared" si="389"/>
        <v>0</v>
      </c>
      <c r="CI1239">
        <f t="shared" si="390"/>
        <v>0</v>
      </c>
      <c r="CJ1239">
        <f t="shared" si="391"/>
        <v>0</v>
      </c>
      <c r="CK1239">
        <f t="shared" si="392"/>
        <v>0</v>
      </c>
      <c r="CL1239">
        <f t="shared" si="393"/>
        <v>0</v>
      </c>
      <c r="CM1239">
        <f t="shared" si="395"/>
        <v>0</v>
      </c>
      <c r="CN1239">
        <f t="shared" si="394"/>
        <v>0</v>
      </c>
      <c r="CO1239">
        <f t="shared" si="378"/>
        <v>0</v>
      </c>
    </row>
    <row r="1240" spans="1:93" hidden="1" x14ac:dyDescent="0.25">
      <c r="A1240" s="4">
        <v>2021</v>
      </c>
      <c r="B1240" s="315">
        <v>44298</v>
      </c>
      <c r="C1240" s="4" t="s">
        <v>66</v>
      </c>
      <c r="D1240" s="4" t="s">
        <v>1502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1503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+VLOOKUP(G1240,Liste!$A$7:$G$69,3,FALSE)</f>
        <v>Chene_pedoncule</v>
      </c>
      <c r="BI1240" s="96" t="str">
        <f>+VLOOKUP(H1240,Liste!$B$7:$G$69,5,FALSE)</f>
        <v>Guide chênaie continentale</v>
      </c>
      <c r="BJ1240" s="135">
        <f t="shared" si="377"/>
        <v>72</v>
      </c>
      <c r="BK1240" s="135" t="str">
        <f t="shared" si="379"/>
        <v>Chene_pedoncule_F1_Dynamique_Guide chênaie continentale_72_</v>
      </c>
      <c r="BL1240" s="319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97" t="str">
        <f>+VLOOKUP(G1240,Liste!$A$7:$H$69,8,FALSE)</f>
        <v>Feuillus</v>
      </c>
      <c r="BU1240" s="297">
        <f t="shared" si="380"/>
        <v>1</v>
      </c>
      <c r="BV1240" s="299">
        <f t="shared" si="381"/>
        <v>0</v>
      </c>
      <c r="BW1240" s="318">
        <v>0</v>
      </c>
      <c r="BX1240" s="297">
        <f t="shared" si="382"/>
        <v>0.25</v>
      </c>
      <c r="BY1240">
        <f t="shared" si="383"/>
        <v>0</v>
      </c>
      <c r="BZ1240" s="303">
        <f t="shared" si="384"/>
        <v>0</v>
      </c>
      <c r="CB1240" s="298">
        <v>0.6</v>
      </c>
      <c r="CC1240" s="298">
        <v>0.4</v>
      </c>
      <c r="CD1240">
        <f t="shared" si="385"/>
        <v>0</v>
      </c>
      <c r="CE1240">
        <f t="shared" si="386"/>
        <v>0</v>
      </c>
      <c r="CF1240">
        <f t="shared" si="387"/>
        <v>0</v>
      </c>
      <c r="CG1240">
        <f t="shared" si="388"/>
        <v>0</v>
      </c>
      <c r="CH1240">
        <f t="shared" si="389"/>
        <v>0</v>
      </c>
      <c r="CI1240">
        <f t="shared" si="390"/>
        <v>0</v>
      </c>
      <c r="CJ1240">
        <f t="shared" si="391"/>
        <v>0</v>
      </c>
      <c r="CK1240">
        <f t="shared" si="392"/>
        <v>0</v>
      </c>
      <c r="CL1240">
        <f t="shared" si="393"/>
        <v>0</v>
      </c>
      <c r="CM1240">
        <f t="shared" si="395"/>
        <v>0</v>
      </c>
      <c r="CN1240">
        <f t="shared" si="394"/>
        <v>0</v>
      </c>
      <c r="CO1240">
        <f t="shared" si="378"/>
        <v>0</v>
      </c>
    </row>
    <row r="1241" spans="1:93" hidden="1" x14ac:dyDescent="0.25">
      <c r="A1241" s="4">
        <v>2021</v>
      </c>
      <c r="B1241" s="315">
        <v>44298</v>
      </c>
      <c r="C1241" s="4" t="s">
        <v>66</v>
      </c>
      <c r="D1241" s="4" t="s">
        <v>1502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1503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+VLOOKUP(G1241,Liste!$A$7:$G$69,3,FALSE)</f>
        <v>Chene_pedoncule</v>
      </c>
      <c r="BI1241" s="96" t="str">
        <f>+VLOOKUP(H1241,Liste!$B$7:$G$69,5,FALSE)</f>
        <v>Guide chênaie continentale</v>
      </c>
      <c r="BJ1241" s="135">
        <f t="shared" si="377"/>
        <v>72</v>
      </c>
      <c r="BK1241" s="135" t="str">
        <f t="shared" si="379"/>
        <v>Chene_pedoncule_F1_Dynamique_Guide chênaie continentale_72_</v>
      </c>
      <c r="BL1241" s="319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97" t="str">
        <f>+VLOOKUP(G1241,Liste!$A$7:$H$69,8,FALSE)</f>
        <v>Feuillus</v>
      </c>
      <c r="BU1241" s="297">
        <f t="shared" si="380"/>
        <v>1</v>
      </c>
      <c r="BV1241" s="299">
        <f t="shared" si="381"/>
        <v>0</v>
      </c>
      <c r="BW1241" s="318">
        <v>0</v>
      </c>
      <c r="BX1241" s="297">
        <f t="shared" si="382"/>
        <v>0.25</v>
      </c>
      <c r="BY1241">
        <f t="shared" si="383"/>
        <v>0</v>
      </c>
      <c r="BZ1241" s="303">
        <f t="shared" si="384"/>
        <v>0</v>
      </c>
      <c r="CB1241" s="298">
        <v>0.6</v>
      </c>
      <c r="CC1241" s="298">
        <v>0.4</v>
      </c>
      <c r="CD1241">
        <f t="shared" si="385"/>
        <v>0</v>
      </c>
      <c r="CE1241">
        <f t="shared" si="386"/>
        <v>0</v>
      </c>
      <c r="CF1241">
        <f t="shared" si="387"/>
        <v>0</v>
      </c>
      <c r="CG1241">
        <f t="shared" si="388"/>
        <v>0</v>
      </c>
      <c r="CH1241">
        <f t="shared" si="389"/>
        <v>0</v>
      </c>
      <c r="CI1241">
        <f t="shared" si="390"/>
        <v>0</v>
      </c>
      <c r="CJ1241">
        <f t="shared" si="391"/>
        <v>0</v>
      </c>
      <c r="CK1241">
        <f t="shared" si="392"/>
        <v>0</v>
      </c>
      <c r="CL1241">
        <f t="shared" si="393"/>
        <v>0</v>
      </c>
      <c r="CM1241">
        <f t="shared" si="395"/>
        <v>0</v>
      </c>
      <c r="CN1241">
        <f t="shared" si="394"/>
        <v>0</v>
      </c>
      <c r="CO1241">
        <f t="shared" si="378"/>
        <v>0</v>
      </c>
    </row>
    <row r="1242" spans="1:93" hidden="1" x14ac:dyDescent="0.25">
      <c r="A1242" s="4">
        <v>2021</v>
      </c>
      <c r="B1242" s="315">
        <v>44298</v>
      </c>
      <c r="C1242" s="4" t="s">
        <v>66</v>
      </c>
      <c r="D1242" s="4" t="s">
        <v>1502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1503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+VLOOKUP(G1242,Liste!$A$7:$G$69,3,FALSE)</f>
        <v>Chene_pedoncule</v>
      </c>
      <c r="BI1242" s="96" t="str">
        <f>+VLOOKUP(H1242,Liste!$B$7:$G$69,5,FALSE)</f>
        <v>Guide chênaie continentale</v>
      </c>
      <c r="BJ1242" s="135">
        <f t="shared" si="377"/>
        <v>75</v>
      </c>
      <c r="BK1242" s="135" t="str">
        <f t="shared" si="379"/>
        <v>Chene_pedoncule_F1_Dynamique_Guide chênaie continentale_75_</v>
      </c>
      <c r="BL1242" s="319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97" t="str">
        <f>+VLOOKUP(G1242,Liste!$A$7:$H$69,8,FALSE)</f>
        <v>Feuillus</v>
      </c>
      <c r="BU1242" s="297">
        <f t="shared" si="380"/>
        <v>1</v>
      </c>
      <c r="BV1242" s="299">
        <f t="shared" si="381"/>
        <v>0</v>
      </c>
      <c r="BW1242" s="318">
        <v>0</v>
      </c>
      <c r="BX1242" s="297">
        <f t="shared" si="382"/>
        <v>0.25</v>
      </c>
      <c r="BY1242">
        <f t="shared" si="383"/>
        <v>0</v>
      </c>
      <c r="BZ1242" s="303">
        <f t="shared" si="384"/>
        <v>0</v>
      </c>
      <c r="CB1242" s="298">
        <v>0.6</v>
      </c>
      <c r="CC1242" s="298">
        <v>0.4</v>
      </c>
      <c r="CD1242">
        <f t="shared" si="385"/>
        <v>0</v>
      </c>
      <c r="CE1242">
        <f t="shared" si="386"/>
        <v>0</v>
      </c>
      <c r="CF1242">
        <f t="shared" si="387"/>
        <v>0</v>
      </c>
      <c r="CG1242">
        <f t="shared" si="388"/>
        <v>0</v>
      </c>
      <c r="CH1242">
        <f t="shared" si="389"/>
        <v>0</v>
      </c>
      <c r="CI1242">
        <f t="shared" si="390"/>
        <v>0</v>
      </c>
      <c r="CJ1242">
        <f t="shared" si="391"/>
        <v>0</v>
      </c>
      <c r="CK1242">
        <f t="shared" si="392"/>
        <v>0</v>
      </c>
      <c r="CL1242">
        <f t="shared" si="393"/>
        <v>0</v>
      </c>
      <c r="CM1242">
        <f t="shared" si="395"/>
        <v>0</v>
      </c>
      <c r="CN1242">
        <f t="shared" si="394"/>
        <v>0</v>
      </c>
      <c r="CO1242">
        <f t="shared" si="378"/>
        <v>0</v>
      </c>
    </row>
    <row r="1243" spans="1:93" hidden="1" x14ac:dyDescent="0.25">
      <c r="A1243" s="4">
        <v>2021</v>
      </c>
      <c r="B1243" s="315">
        <v>44298</v>
      </c>
      <c r="C1243" s="4" t="s">
        <v>66</v>
      </c>
      <c r="D1243" s="4" t="s">
        <v>1502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1503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+VLOOKUP(G1243,Liste!$A$7:$G$69,3,FALSE)</f>
        <v>Chene_pedoncule</v>
      </c>
      <c r="BI1243" s="96" t="str">
        <f>+VLOOKUP(H1243,Liste!$B$7:$G$69,5,FALSE)</f>
        <v>Guide chênaie continentale</v>
      </c>
      <c r="BJ1243" s="135">
        <f t="shared" si="377"/>
        <v>78</v>
      </c>
      <c r="BK1243" s="135" t="str">
        <f t="shared" si="379"/>
        <v>Chene_pedoncule_F1_Dynamique_Guide chênaie continentale_78_</v>
      </c>
      <c r="BL1243" s="319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97" t="str">
        <f>+VLOOKUP(G1243,Liste!$A$7:$H$69,8,FALSE)</f>
        <v>Feuillus</v>
      </c>
      <c r="BU1243" s="297">
        <f t="shared" si="380"/>
        <v>1</v>
      </c>
      <c r="BV1243" s="299">
        <f t="shared" si="381"/>
        <v>0</v>
      </c>
      <c r="BW1243" s="318">
        <v>0</v>
      </c>
      <c r="BX1243" s="297">
        <f t="shared" si="382"/>
        <v>0.25</v>
      </c>
      <c r="BY1243">
        <f t="shared" si="383"/>
        <v>0</v>
      </c>
      <c r="BZ1243" s="303">
        <f t="shared" si="384"/>
        <v>0</v>
      </c>
      <c r="CB1243" s="298">
        <v>0.6</v>
      </c>
      <c r="CC1243" s="298">
        <v>0.4</v>
      </c>
      <c r="CD1243">
        <f t="shared" si="385"/>
        <v>0</v>
      </c>
      <c r="CE1243">
        <f t="shared" si="386"/>
        <v>0</v>
      </c>
      <c r="CF1243">
        <f t="shared" si="387"/>
        <v>0</v>
      </c>
      <c r="CG1243">
        <f t="shared" si="388"/>
        <v>0</v>
      </c>
      <c r="CH1243">
        <f t="shared" si="389"/>
        <v>0</v>
      </c>
      <c r="CI1243">
        <f t="shared" si="390"/>
        <v>0</v>
      </c>
      <c r="CJ1243">
        <f t="shared" si="391"/>
        <v>0</v>
      </c>
      <c r="CK1243">
        <f t="shared" si="392"/>
        <v>0</v>
      </c>
      <c r="CL1243">
        <f t="shared" si="393"/>
        <v>0</v>
      </c>
      <c r="CM1243">
        <f t="shared" si="395"/>
        <v>0</v>
      </c>
      <c r="CN1243">
        <f t="shared" si="394"/>
        <v>0</v>
      </c>
      <c r="CO1243">
        <f t="shared" si="378"/>
        <v>0</v>
      </c>
    </row>
    <row r="1244" spans="1:93" hidden="1" x14ac:dyDescent="0.25">
      <c r="A1244" s="4">
        <v>2021</v>
      </c>
      <c r="B1244" s="315">
        <v>44298</v>
      </c>
      <c r="C1244" s="4" t="s">
        <v>66</v>
      </c>
      <c r="D1244" s="4" t="s">
        <v>1502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1503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+VLOOKUP(G1244,Liste!$A$7:$G$69,3,FALSE)</f>
        <v>Chene_pedoncule</v>
      </c>
      <c r="BI1244" s="96" t="str">
        <f>+VLOOKUP(H1244,Liste!$B$7:$G$69,5,FALSE)</f>
        <v>Guide chênaie continentale</v>
      </c>
      <c r="BJ1244" s="135">
        <f t="shared" si="377"/>
        <v>81</v>
      </c>
      <c r="BK1244" s="135" t="str">
        <f t="shared" si="379"/>
        <v>Chene_pedoncule_F1_Dynamique_Guide chênaie continentale_81_</v>
      </c>
      <c r="BL1244" s="319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97" t="str">
        <f>+VLOOKUP(G1244,Liste!$A$7:$H$69,8,FALSE)</f>
        <v>Feuillus</v>
      </c>
      <c r="BU1244" s="297">
        <f t="shared" si="380"/>
        <v>1</v>
      </c>
      <c r="BV1244" s="299">
        <f t="shared" si="381"/>
        <v>0</v>
      </c>
      <c r="BW1244" s="318">
        <v>0</v>
      </c>
      <c r="BX1244" s="297">
        <f t="shared" si="382"/>
        <v>0.25</v>
      </c>
      <c r="BY1244">
        <f t="shared" si="383"/>
        <v>0</v>
      </c>
      <c r="BZ1244" s="303">
        <f t="shared" si="384"/>
        <v>0</v>
      </c>
      <c r="CB1244" s="298">
        <v>0.6</v>
      </c>
      <c r="CC1244" s="298">
        <v>0.4</v>
      </c>
      <c r="CD1244">
        <f t="shared" si="385"/>
        <v>0</v>
      </c>
      <c r="CE1244">
        <f t="shared" si="386"/>
        <v>0</v>
      </c>
      <c r="CF1244">
        <f t="shared" si="387"/>
        <v>0</v>
      </c>
      <c r="CG1244">
        <f t="shared" si="388"/>
        <v>0</v>
      </c>
      <c r="CH1244">
        <f t="shared" si="389"/>
        <v>0</v>
      </c>
      <c r="CI1244">
        <f t="shared" si="390"/>
        <v>0</v>
      </c>
      <c r="CJ1244">
        <f t="shared" si="391"/>
        <v>0</v>
      </c>
      <c r="CK1244">
        <f t="shared" si="392"/>
        <v>0</v>
      </c>
      <c r="CL1244">
        <f t="shared" si="393"/>
        <v>0</v>
      </c>
      <c r="CM1244">
        <f t="shared" si="395"/>
        <v>0</v>
      </c>
      <c r="CN1244">
        <f t="shared" si="394"/>
        <v>0</v>
      </c>
      <c r="CO1244">
        <f t="shared" si="378"/>
        <v>0</v>
      </c>
    </row>
    <row r="1245" spans="1:93" hidden="1" x14ac:dyDescent="0.25">
      <c r="A1245" s="4">
        <v>2021</v>
      </c>
      <c r="B1245" s="315">
        <v>44298</v>
      </c>
      <c r="C1245" s="4" t="s">
        <v>66</v>
      </c>
      <c r="D1245" s="4" t="s">
        <v>1502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1503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+VLOOKUP(G1245,Liste!$A$7:$G$69,3,FALSE)</f>
        <v>Chene_pedoncule</v>
      </c>
      <c r="BI1245" s="96" t="str">
        <f>+VLOOKUP(H1245,Liste!$B$7:$G$69,5,FALSE)</f>
        <v>Guide chênaie continentale</v>
      </c>
      <c r="BJ1245" s="135">
        <f t="shared" si="377"/>
        <v>81</v>
      </c>
      <c r="BK1245" s="135" t="str">
        <f t="shared" si="379"/>
        <v>Chene_pedoncule_F1_Dynamique_Guide chênaie continentale_81_</v>
      </c>
      <c r="BL1245" s="319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97" t="str">
        <f>+VLOOKUP(G1245,Liste!$A$7:$H$69,8,FALSE)</f>
        <v>Feuillus</v>
      </c>
      <c r="BU1245" s="297">
        <f t="shared" si="380"/>
        <v>1</v>
      </c>
      <c r="BV1245" s="299">
        <f t="shared" si="381"/>
        <v>0</v>
      </c>
      <c r="BW1245" s="318">
        <v>0</v>
      </c>
      <c r="BX1245" s="297">
        <f t="shared" si="382"/>
        <v>0.25</v>
      </c>
      <c r="BY1245">
        <f t="shared" si="383"/>
        <v>0</v>
      </c>
      <c r="BZ1245" s="303">
        <f t="shared" si="384"/>
        <v>0</v>
      </c>
      <c r="CB1245" s="298">
        <v>0.6</v>
      </c>
      <c r="CC1245" s="298">
        <v>0.4</v>
      </c>
      <c r="CD1245">
        <f t="shared" si="385"/>
        <v>0</v>
      </c>
      <c r="CE1245">
        <f t="shared" si="386"/>
        <v>0</v>
      </c>
      <c r="CF1245">
        <f t="shared" si="387"/>
        <v>0</v>
      </c>
      <c r="CG1245">
        <f t="shared" si="388"/>
        <v>0</v>
      </c>
      <c r="CH1245">
        <f t="shared" si="389"/>
        <v>0</v>
      </c>
      <c r="CI1245">
        <f t="shared" si="390"/>
        <v>0</v>
      </c>
      <c r="CJ1245">
        <f t="shared" si="391"/>
        <v>0</v>
      </c>
      <c r="CK1245">
        <f t="shared" si="392"/>
        <v>0</v>
      </c>
      <c r="CL1245">
        <f t="shared" si="393"/>
        <v>0</v>
      </c>
      <c r="CM1245">
        <f t="shared" si="395"/>
        <v>0</v>
      </c>
      <c r="CN1245">
        <f t="shared" si="394"/>
        <v>0</v>
      </c>
      <c r="CO1245">
        <f t="shared" si="378"/>
        <v>0</v>
      </c>
    </row>
    <row r="1246" spans="1:93" hidden="1" x14ac:dyDescent="0.25">
      <c r="A1246" s="4">
        <v>2021</v>
      </c>
      <c r="B1246" s="315">
        <v>44298</v>
      </c>
      <c r="C1246" s="4" t="s">
        <v>66</v>
      </c>
      <c r="D1246" s="4" t="s">
        <v>1502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1503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+VLOOKUP(G1246,Liste!$A$7:$G$69,3,FALSE)</f>
        <v>Chene_pedoncule</v>
      </c>
      <c r="BI1246" s="96" t="str">
        <f>+VLOOKUP(H1246,Liste!$B$7:$G$69,5,FALSE)</f>
        <v>Guide chênaie continentale</v>
      </c>
      <c r="BJ1246" s="135">
        <f t="shared" si="377"/>
        <v>84</v>
      </c>
      <c r="BK1246" s="135" t="str">
        <f t="shared" si="379"/>
        <v>Chene_pedoncule_F1_Dynamique_Guide chênaie continentale_84_</v>
      </c>
      <c r="BL1246" s="319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97" t="str">
        <f>+VLOOKUP(G1246,Liste!$A$7:$H$69,8,FALSE)</f>
        <v>Feuillus</v>
      </c>
      <c r="BU1246" s="297">
        <f t="shared" si="380"/>
        <v>1</v>
      </c>
      <c r="BV1246" s="299">
        <f t="shared" si="381"/>
        <v>0</v>
      </c>
      <c r="BW1246" s="318">
        <v>0</v>
      </c>
      <c r="BX1246" s="297">
        <f t="shared" si="382"/>
        <v>0.25</v>
      </c>
      <c r="BY1246">
        <f t="shared" si="383"/>
        <v>0</v>
      </c>
      <c r="BZ1246" s="303">
        <f t="shared" si="384"/>
        <v>0</v>
      </c>
      <c r="CB1246" s="298">
        <v>0.6</v>
      </c>
      <c r="CC1246" s="298">
        <v>0.4</v>
      </c>
      <c r="CD1246">
        <f t="shared" si="385"/>
        <v>0</v>
      </c>
      <c r="CE1246">
        <f t="shared" si="386"/>
        <v>0</v>
      </c>
      <c r="CF1246">
        <f t="shared" si="387"/>
        <v>0</v>
      </c>
      <c r="CG1246">
        <f t="shared" si="388"/>
        <v>0</v>
      </c>
      <c r="CH1246">
        <f t="shared" si="389"/>
        <v>0</v>
      </c>
      <c r="CI1246">
        <f t="shared" si="390"/>
        <v>0</v>
      </c>
      <c r="CJ1246">
        <f t="shared" si="391"/>
        <v>0</v>
      </c>
      <c r="CK1246">
        <f t="shared" si="392"/>
        <v>0</v>
      </c>
      <c r="CL1246">
        <f t="shared" si="393"/>
        <v>0</v>
      </c>
      <c r="CM1246">
        <f t="shared" si="395"/>
        <v>0</v>
      </c>
      <c r="CN1246">
        <f t="shared" si="394"/>
        <v>0</v>
      </c>
      <c r="CO1246">
        <f t="shared" si="378"/>
        <v>0</v>
      </c>
    </row>
    <row r="1247" spans="1:93" hidden="1" x14ac:dyDescent="0.25">
      <c r="A1247" s="4">
        <v>2021</v>
      </c>
      <c r="B1247" s="315">
        <v>44298</v>
      </c>
      <c r="C1247" s="4" t="s">
        <v>66</v>
      </c>
      <c r="D1247" s="4" t="s">
        <v>1502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1503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+VLOOKUP(G1247,Liste!$A$7:$G$69,3,FALSE)</f>
        <v>Chene_pedoncule</v>
      </c>
      <c r="BI1247" s="96" t="str">
        <f>+VLOOKUP(H1247,Liste!$B$7:$G$69,5,FALSE)</f>
        <v>Guide chênaie continentale</v>
      </c>
      <c r="BJ1247" s="135">
        <f t="shared" si="377"/>
        <v>87</v>
      </c>
      <c r="BK1247" s="135" t="str">
        <f t="shared" si="379"/>
        <v>Chene_pedoncule_F1_Dynamique_Guide chênaie continentale_87_</v>
      </c>
      <c r="BL1247" s="319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97" t="str">
        <f>+VLOOKUP(G1247,Liste!$A$7:$H$69,8,FALSE)</f>
        <v>Feuillus</v>
      </c>
      <c r="BU1247" s="297">
        <f t="shared" si="380"/>
        <v>1</v>
      </c>
      <c r="BV1247" s="299">
        <f t="shared" si="381"/>
        <v>0</v>
      </c>
      <c r="BW1247" s="318">
        <v>0</v>
      </c>
      <c r="BX1247" s="297">
        <f t="shared" si="382"/>
        <v>0.25</v>
      </c>
      <c r="BY1247">
        <f t="shared" si="383"/>
        <v>0</v>
      </c>
      <c r="BZ1247" s="303">
        <f t="shared" si="384"/>
        <v>0</v>
      </c>
      <c r="CB1247" s="298">
        <v>0.6</v>
      </c>
      <c r="CC1247" s="298">
        <v>0.4</v>
      </c>
      <c r="CD1247">
        <f t="shared" si="385"/>
        <v>0</v>
      </c>
      <c r="CE1247">
        <f t="shared" si="386"/>
        <v>0</v>
      </c>
      <c r="CF1247">
        <f t="shared" si="387"/>
        <v>0</v>
      </c>
      <c r="CG1247">
        <f t="shared" si="388"/>
        <v>0</v>
      </c>
      <c r="CH1247">
        <f t="shared" si="389"/>
        <v>0</v>
      </c>
      <c r="CI1247">
        <f t="shared" si="390"/>
        <v>0</v>
      </c>
      <c r="CJ1247">
        <f t="shared" si="391"/>
        <v>0</v>
      </c>
      <c r="CK1247">
        <f t="shared" si="392"/>
        <v>0</v>
      </c>
      <c r="CL1247">
        <f t="shared" si="393"/>
        <v>0</v>
      </c>
      <c r="CM1247">
        <f t="shared" si="395"/>
        <v>0</v>
      </c>
      <c r="CN1247">
        <f t="shared" si="394"/>
        <v>0</v>
      </c>
      <c r="CO1247">
        <f t="shared" si="378"/>
        <v>0</v>
      </c>
    </row>
    <row r="1248" spans="1:93" hidden="1" x14ac:dyDescent="0.25">
      <c r="A1248" s="4">
        <v>2021</v>
      </c>
      <c r="B1248" s="315">
        <v>44298</v>
      </c>
      <c r="C1248" s="4" t="s">
        <v>66</v>
      </c>
      <c r="D1248" s="4" t="s">
        <v>1502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1503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+VLOOKUP(G1248,Liste!$A$7:$G$69,3,FALSE)</f>
        <v>Chene_pedoncule</v>
      </c>
      <c r="BI1248" s="96" t="str">
        <f>+VLOOKUP(H1248,Liste!$B$7:$G$69,5,FALSE)</f>
        <v>Guide chênaie continentale</v>
      </c>
      <c r="BJ1248" s="135">
        <f t="shared" si="377"/>
        <v>90</v>
      </c>
      <c r="BK1248" s="135" t="str">
        <f t="shared" si="379"/>
        <v>Chene_pedoncule_F1_Dynamique_Guide chênaie continentale_90_</v>
      </c>
      <c r="BL1248" s="319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97" t="str">
        <f>+VLOOKUP(G1248,Liste!$A$7:$H$69,8,FALSE)</f>
        <v>Feuillus</v>
      </c>
      <c r="BU1248" s="297">
        <f t="shared" si="380"/>
        <v>1</v>
      </c>
      <c r="BV1248" s="299">
        <f t="shared" si="381"/>
        <v>0</v>
      </c>
      <c r="BW1248" s="318">
        <v>0</v>
      </c>
      <c r="BX1248" s="297">
        <f t="shared" si="382"/>
        <v>0.25</v>
      </c>
      <c r="BY1248">
        <f t="shared" si="383"/>
        <v>0</v>
      </c>
      <c r="BZ1248" s="303">
        <f t="shared" si="384"/>
        <v>0</v>
      </c>
      <c r="CB1248" s="298">
        <v>0.6</v>
      </c>
      <c r="CC1248" s="298">
        <v>0.4</v>
      </c>
      <c r="CD1248">
        <f t="shared" si="385"/>
        <v>0</v>
      </c>
      <c r="CE1248">
        <f t="shared" si="386"/>
        <v>0</v>
      </c>
      <c r="CF1248">
        <f t="shared" si="387"/>
        <v>0</v>
      </c>
      <c r="CG1248">
        <f t="shared" si="388"/>
        <v>0</v>
      </c>
      <c r="CH1248">
        <f t="shared" si="389"/>
        <v>0</v>
      </c>
      <c r="CI1248">
        <f t="shared" si="390"/>
        <v>0</v>
      </c>
      <c r="CJ1248">
        <f t="shared" si="391"/>
        <v>0</v>
      </c>
      <c r="CK1248">
        <f t="shared" si="392"/>
        <v>0</v>
      </c>
      <c r="CL1248">
        <f t="shared" si="393"/>
        <v>0</v>
      </c>
      <c r="CM1248">
        <f t="shared" si="395"/>
        <v>0</v>
      </c>
      <c r="CN1248">
        <f t="shared" si="394"/>
        <v>0</v>
      </c>
      <c r="CO1248">
        <f t="shared" si="378"/>
        <v>0</v>
      </c>
    </row>
    <row r="1249" spans="1:93" hidden="1" x14ac:dyDescent="0.25">
      <c r="A1249" s="4">
        <v>2021</v>
      </c>
      <c r="B1249" s="315">
        <v>44298</v>
      </c>
      <c r="C1249" s="4" t="s">
        <v>66</v>
      </c>
      <c r="D1249" s="4" t="s">
        <v>1502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1503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+VLOOKUP(G1249,Liste!$A$7:$G$69,3,FALSE)</f>
        <v>Chene_pedoncule</v>
      </c>
      <c r="BI1249" s="96" t="str">
        <f>+VLOOKUP(H1249,Liste!$B$7:$G$69,5,FALSE)</f>
        <v>Guide chênaie continentale</v>
      </c>
      <c r="BJ1249" s="135">
        <f t="shared" si="377"/>
        <v>90</v>
      </c>
      <c r="BK1249" s="135" t="str">
        <f t="shared" si="379"/>
        <v>Chene_pedoncule_F1_Dynamique_Guide chênaie continentale_90_</v>
      </c>
      <c r="BL1249" s="319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97" t="str">
        <f>+VLOOKUP(G1249,Liste!$A$7:$H$69,8,FALSE)</f>
        <v>Feuillus</v>
      </c>
      <c r="BU1249" s="297">
        <f t="shared" si="380"/>
        <v>1</v>
      </c>
      <c r="BV1249" s="299">
        <f t="shared" si="381"/>
        <v>0</v>
      </c>
      <c r="BW1249" s="318">
        <v>0</v>
      </c>
      <c r="BX1249" s="297">
        <f t="shared" si="382"/>
        <v>0.25</v>
      </c>
      <c r="BY1249">
        <f t="shared" si="383"/>
        <v>0</v>
      </c>
      <c r="BZ1249" s="303">
        <f t="shared" si="384"/>
        <v>0</v>
      </c>
      <c r="CB1249" s="298">
        <v>0.6</v>
      </c>
      <c r="CC1249" s="298">
        <v>0.4</v>
      </c>
      <c r="CD1249">
        <f t="shared" si="385"/>
        <v>0</v>
      </c>
      <c r="CE1249">
        <f t="shared" si="386"/>
        <v>0</v>
      </c>
      <c r="CF1249">
        <f t="shared" si="387"/>
        <v>0</v>
      </c>
      <c r="CG1249">
        <f t="shared" si="388"/>
        <v>0</v>
      </c>
      <c r="CH1249">
        <f t="shared" si="389"/>
        <v>0</v>
      </c>
      <c r="CI1249">
        <f t="shared" si="390"/>
        <v>0</v>
      </c>
      <c r="CJ1249">
        <f t="shared" si="391"/>
        <v>0</v>
      </c>
      <c r="CK1249">
        <f t="shared" si="392"/>
        <v>0</v>
      </c>
      <c r="CL1249">
        <f t="shared" si="393"/>
        <v>0</v>
      </c>
      <c r="CM1249">
        <f t="shared" si="395"/>
        <v>0</v>
      </c>
      <c r="CN1249">
        <f t="shared" si="394"/>
        <v>0</v>
      </c>
      <c r="CO1249">
        <f t="shared" si="378"/>
        <v>0</v>
      </c>
    </row>
    <row r="1250" spans="1:93" hidden="1" x14ac:dyDescent="0.25">
      <c r="A1250" s="4">
        <v>2021</v>
      </c>
      <c r="B1250" s="315">
        <v>44298</v>
      </c>
      <c r="C1250" s="4" t="s">
        <v>66</v>
      </c>
      <c r="D1250" s="4" t="s">
        <v>1502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1503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+VLOOKUP(G1250,Liste!$A$7:$G$69,3,FALSE)</f>
        <v>Chene_pedoncule</v>
      </c>
      <c r="BI1250" s="96" t="str">
        <f>+VLOOKUP(H1250,Liste!$B$7:$G$69,5,FALSE)</f>
        <v>Guide chênaie continentale</v>
      </c>
      <c r="BJ1250" s="135">
        <f t="shared" si="377"/>
        <v>93</v>
      </c>
      <c r="BK1250" s="135" t="str">
        <f t="shared" si="379"/>
        <v>Chene_pedoncule_F1_Dynamique_Guide chênaie continentale_93_</v>
      </c>
      <c r="BL1250" s="319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97" t="str">
        <f>+VLOOKUP(G1250,Liste!$A$7:$H$69,8,FALSE)</f>
        <v>Feuillus</v>
      </c>
      <c r="BU1250" s="297">
        <f t="shared" si="380"/>
        <v>1</v>
      </c>
      <c r="BV1250" s="299">
        <f t="shared" si="381"/>
        <v>0</v>
      </c>
      <c r="BW1250" s="318">
        <v>0</v>
      </c>
      <c r="BX1250" s="297">
        <f t="shared" si="382"/>
        <v>0.25</v>
      </c>
      <c r="BY1250">
        <f t="shared" si="383"/>
        <v>0</v>
      </c>
      <c r="BZ1250" s="303">
        <f t="shared" si="384"/>
        <v>0</v>
      </c>
      <c r="CB1250" s="298">
        <v>0.6</v>
      </c>
      <c r="CC1250" s="298">
        <v>0.4</v>
      </c>
      <c r="CD1250">
        <f t="shared" si="385"/>
        <v>0</v>
      </c>
      <c r="CE1250">
        <f t="shared" si="386"/>
        <v>0</v>
      </c>
      <c r="CF1250">
        <f t="shared" si="387"/>
        <v>0</v>
      </c>
      <c r="CG1250">
        <f t="shared" si="388"/>
        <v>0</v>
      </c>
      <c r="CH1250">
        <f t="shared" si="389"/>
        <v>0</v>
      </c>
      <c r="CI1250">
        <f t="shared" si="390"/>
        <v>0</v>
      </c>
      <c r="CJ1250">
        <f t="shared" si="391"/>
        <v>0</v>
      </c>
      <c r="CK1250">
        <f t="shared" si="392"/>
        <v>0</v>
      </c>
      <c r="CL1250">
        <f t="shared" si="393"/>
        <v>0</v>
      </c>
      <c r="CM1250">
        <f t="shared" si="395"/>
        <v>0</v>
      </c>
      <c r="CN1250">
        <f t="shared" si="394"/>
        <v>0</v>
      </c>
      <c r="CO1250">
        <f t="shared" si="378"/>
        <v>0</v>
      </c>
    </row>
    <row r="1251" spans="1:93" hidden="1" x14ac:dyDescent="0.25">
      <c r="A1251" s="4">
        <v>2021</v>
      </c>
      <c r="B1251" s="315">
        <v>44298</v>
      </c>
      <c r="C1251" s="4" t="s">
        <v>66</v>
      </c>
      <c r="D1251" s="4" t="s">
        <v>1502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1503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+VLOOKUP(G1251,Liste!$A$7:$G$69,3,FALSE)</f>
        <v>Chene_pedoncule</v>
      </c>
      <c r="BI1251" s="96" t="str">
        <f>+VLOOKUP(H1251,Liste!$B$7:$G$69,5,FALSE)</f>
        <v>Guide chênaie continentale</v>
      </c>
      <c r="BJ1251" s="135">
        <f t="shared" si="377"/>
        <v>96</v>
      </c>
      <c r="BK1251" s="135" t="str">
        <f t="shared" si="379"/>
        <v>Chene_pedoncule_F1_Dynamique_Guide chênaie continentale_96_</v>
      </c>
      <c r="BL1251" s="319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97" t="str">
        <f>+VLOOKUP(G1251,Liste!$A$7:$H$69,8,FALSE)</f>
        <v>Feuillus</v>
      </c>
      <c r="BU1251" s="297">
        <f t="shared" si="380"/>
        <v>1</v>
      </c>
      <c r="BV1251" s="299">
        <f t="shared" si="381"/>
        <v>0</v>
      </c>
      <c r="BW1251" s="318">
        <v>0</v>
      </c>
      <c r="BX1251" s="297">
        <f t="shared" si="382"/>
        <v>0.25</v>
      </c>
      <c r="BY1251">
        <f t="shared" si="383"/>
        <v>0</v>
      </c>
      <c r="BZ1251" s="303">
        <f t="shared" si="384"/>
        <v>0</v>
      </c>
      <c r="CB1251" s="298">
        <v>0.6</v>
      </c>
      <c r="CC1251" s="298">
        <v>0.4</v>
      </c>
      <c r="CD1251">
        <f t="shared" si="385"/>
        <v>0</v>
      </c>
      <c r="CE1251">
        <f t="shared" si="386"/>
        <v>0</v>
      </c>
      <c r="CF1251">
        <f t="shared" si="387"/>
        <v>0</v>
      </c>
      <c r="CG1251">
        <f t="shared" si="388"/>
        <v>0</v>
      </c>
      <c r="CH1251">
        <f t="shared" si="389"/>
        <v>0</v>
      </c>
      <c r="CI1251">
        <f t="shared" si="390"/>
        <v>0</v>
      </c>
      <c r="CJ1251">
        <f t="shared" si="391"/>
        <v>0</v>
      </c>
      <c r="CK1251">
        <f t="shared" si="392"/>
        <v>0</v>
      </c>
      <c r="CL1251">
        <f t="shared" si="393"/>
        <v>0</v>
      </c>
      <c r="CM1251">
        <f t="shared" si="395"/>
        <v>0</v>
      </c>
      <c r="CN1251">
        <f t="shared" si="394"/>
        <v>0</v>
      </c>
      <c r="CO1251">
        <f t="shared" si="378"/>
        <v>0</v>
      </c>
    </row>
    <row r="1252" spans="1:93" hidden="1" x14ac:dyDescent="0.25">
      <c r="A1252" s="4">
        <v>2021</v>
      </c>
      <c r="B1252" s="315">
        <v>44298</v>
      </c>
      <c r="C1252" s="4" t="s">
        <v>66</v>
      </c>
      <c r="D1252" s="4" t="s">
        <v>1502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1503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+VLOOKUP(G1252,Liste!$A$7:$G$69,3,FALSE)</f>
        <v>Chene_pedoncule</v>
      </c>
      <c r="BI1252" s="96" t="str">
        <f>+VLOOKUP(H1252,Liste!$B$7:$G$69,5,FALSE)</f>
        <v>Guide chênaie continentale</v>
      </c>
      <c r="BJ1252" s="135">
        <f t="shared" si="377"/>
        <v>99</v>
      </c>
      <c r="BK1252" s="135" t="str">
        <f t="shared" si="379"/>
        <v>Chene_pedoncule_F1_Dynamique_Guide chênaie continentale_99_</v>
      </c>
      <c r="BL1252" s="319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97" t="str">
        <f>+VLOOKUP(G1252,Liste!$A$7:$H$69,8,FALSE)</f>
        <v>Feuillus</v>
      </c>
      <c r="BU1252" s="297">
        <f t="shared" si="380"/>
        <v>1</v>
      </c>
      <c r="BV1252" s="299">
        <f t="shared" si="381"/>
        <v>0</v>
      </c>
      <c r="BW1252" s="318">
        <v>0</v>
      </c>
      <c r="BX1252" s="297">
        <f t="shared" si="382"/>
        <v>0.25</v>
      </c>
      <c r="BY1252">
        <f t="shared" si="383"/>
        <v>0</v>
      </c>
      <c r="BZ1252" s="303">
        <f t="shared" si="384"/>
        <v>0</v>
      </c>
      <c r="CB1252" s="298">
        <v>0.6</v>
      </c>
      <c r="CC1252" s="298">
        <v>0.4</v>
      </c>
      <c r="CD1252">
        <f t="shared" si="385"/>
        <v>0</v>
      </c>
      <c r="CE1252">
        <f t="shared" si="386"/>
        <v>0</v>
      </c>
      <c r="CF1252">
        <f t="shared" si="387"/>
        <v>0</v>
      </c>
      <c r="CG1252">
        <f t="shared" si="388"/>
        <v>0</v>
      </c>
      <c r="CH1252">
        <f t="shared" si="389"/>
        <v>0</v>
      </c>
      <c r="CI1252">
        <f t="shared" si="390"/>
        <v>0</v>
      </c>
      <c r="CJ1252">
        <f t="shared" si="391"/>
        <v>0</v>
      </c>
      <c r="CK1252">
        <f t="shared" si="392"/>
        <v>0</v>
      </c>
      <c r="CL1252">
        <f t="shared" si="393"/>
        <v>0</v>
      </c>
      <c r="CM1252">
        <f t="shared" si="395"/>
        <v>0</v>
      </c>
      <c r="CN1252">
        <f t="shared" si="394"/>
        <v>0</v>
      </c>
      <c r="CO1252">
        <f t="shared" si="378"/>
        <v>0</v>
      </c>
    </row>
    <row r="1253" spans="1:93" hidden="1" x14ac:dyDescent="0.25">
      <c r="A1253" s="4">
        <v>2021</v>
      </c>
      <c r="B1253" s="315">
        <v>44298</v>
      </c>
      <c r="C1253" s="4" t="s">
        <v>66</v>
      </c>
      <c r="D1253" s="4" t="s">
        <v>1502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1503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+VLOOKUP(G1253,Liste!$A$7:$G$69,3,FALSE)</f>
        <v>Chene_pedoncule</v>
      </c>
      <c r="BI1253" s="96" t="str">
        <f>+VLOOKUP(H1253,Liste!$B$7:$G$69,5,FALSE)</f>
        <v>Guide chênaie continentale</v>
      </c>
      <c r="BJ1253" s="135">
        <f t="shared" si="377"/>
        <v>99</v>
      </c>
      <c r="BK1253" s="135" t="str">
        <f t="shared" si="379"/>
        <v>Chene_pedoncule_F1_Dynamique_Guide chênaie continentale_99_</v>
      </c>
      <c r="BL1253" s="319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97" t="str">
        <f>+VLOOKUP(G1253,Liste!$A$7:$H$69,8,FALSE)</f>
        <v>Feuillus</v>
      </c>
      <c r="BU1253" s="297">
        <f t="shared" si="380"/>
        <v>1</v>
      </c>
      <c r="BV1253" s="299">
        <f t="shared" si="381"/>
        <v>0</v>
      </c>
      <c r="BW1253" s="318">
        <v>0</v>
      </c>
      <c r="BX1253" s="297">
        <f t="shared" si="382"/>
        <v>0.25</v>
      </c>
      <c r="BY1253">
        <f t="shared" si="383"/>
        <v>0</v>
      </c>
      <c r="BZ1253" s="303">
        <f t="shared" si="384"/>
        <v>0</v>
      </c>
      <c r="CB1253" s="298">
        <v>0.6</v>
      </c>
      <c r="CC1253" s="298">
        <v>0.4</v>
      </c>
      <c r="CD1253">
        <f t="shared" si="385"/>
        <v>0</v>
      </c>
      <c r="CE1253">
        <f t="shared" si="386"/>
        <v>0</v>
      </c>
      <c r="CF1253">
        <f t="shared" si="387"/>
        <v>0</v>
      </c>
      <c r="CG1253">
        <f t="shared" si="388"/>
        <v>0</v>
      </c>
      <c r="CH1253">
        <f t="shared" si="389"/>
        <v>0</v>
      </c>
      <c r="CI1253">
        <f t="shared" si="390"/>
        <v>0</v>
      </c>
      <c r="CJ1253">
        <f t="shared" si="391"/>
        <v>0</v>
      </c>
      <c r="CK1253">
        <f t="shared" si="392"/>
        <v>0</v>
      </c>
      <c r="CL1253">
        <f t="shared" si="393"/>
        <v>0</v>
      </c>
      <c r="CM1253">
        <f t="shared" si="395"/>
        <v>0</v>
      </c>
      <c r="CN1253">
        <f t="shared" si="394"/>
        <v>0</v>
      </c>
      <c r="CO1253">
        <f t="shared" si="378"/>
        <v>0</v>
      </c>
    </row>
    <row r="1254" spans="1:93" hidden="1" x14ac:dyDescent="0.25">
      <c r="A1254" s="4">
        <v>2021</v>
      </c>
      <c r="B1254" s="315">
        <v>44298</v>
      </c>
      <c r="C1254" s="4" t="s">
        <v>66</v>
      </c>
      <c r="D1254" s="4" t="s">
        <v>1502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1503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+VLOOKUP(G1254,Liste!$A$7:$G$69,3,FALSE)</f>
        <v>Chene_pedoncule</v>
      </c>
      <c r="BI1254" s="96" t="str">
        <f>+VLOOKUP(H1254,Liste!$B$7:$G$69,5,FALSE)</f>
        <v>Guide chênaie continentale</v>
      </c>
      <c r="BJ1254" s="135">
        <f t="shared" si="377"/>
        <v>101</v>
      </c>
      <c r="BK1254" s="135" t="str">
        <f t="shared" si="379"/>
        <v>Chene_pedoncule_F1_Dynamique_Guide chênaie continentale_101_</v>
      </c>
      <c r="BL1254" s="319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97" t="str">
        <f>+VLOOKUP(G1254,Liste!$A$7:$H$69,8,FALSE)</f>
        <v>Feuillus</v>
      </c>
      <c r="BU1254" s="297">
        <f t="shared" si="380"/>
        <v>1</v>
      </c>
      <c r="BV1254" s="299">
        <f t="shared" si="381"/>
        <v>0</v>
      </c>
      <c r="BW1254" s="318">
        <v>0</v>
      </c>
      <c r="BX1254" s="297">
        <f t="shared" si="382"/>
        <v>0.25</v>
      </c>
      <c r="BY1254">
        <f t="shared" si="383"/>
        <v>0</v>
      </c>
      <c r="BZ1254" s="303">
        <f t="shared" si="384"/>
        <v>0</v>
      </c>
      <c r="CB1254" s="298">
        <v>0.6</v>
      </c>
      <c r="CC1254" s="298">
        <v>0.4</v>
      </c>
      <c r="CD1254">
        <f t="shared" si="385"/>
        <v>0</v>
      </c>
      <c r="CE1254">
        <f t="shared" si="386"/>
        <v>0</v>
      </c>
      <c r="CF1254">
        <f t="shared" si="387"/>
        <v>0</v>
      </c>
      <c r="CG1254">
        <f t="shared" si="388"/>
        <v>0</v>
      </c>
      <c r="CH1254">
        <f t="shared" si="389"/>
        <v>0</v>
      </c>
      <c r="CI1254">
        <f t="shared" si="390"/>
        <v>0</v>
      </c>
      <c r="CJ1254">
        <f t="shared" si="391"/>
        <v>0</v>
      </c>
      <c r="CK1254">
        <f t="shared" si="392"/>
        <v>0</v>
      </c>
      <c r="CL1254">
        <f t="shared" si="393"/>
        <v>0</v>
      </c>
      <c r="CM1254">
        <f t="shared" si="395"/>
        <v>0</v>
      </c>
      <c r="CN1254">
        <f t="shared" si="394"/>
        <v>0</v>
      </c>
      <c r="CO1254">
        <f t="shared" si="378"/>
        <v>0</v>
      </c>
    </row>
    <row r="1255" spans="1:93" hidden="1" x14ac:dyDescent="0.25">
      <c r="A1255" s="4">
        <v>2021</v>
      </c>
      <c r="B1255" s="315">
        <v>44298</v>
      </c>
      <c r="C1255" s="4" t="s">
        <v>66</v>
      </c>
      <c r="D1255" s="4" t="s">
        <v>1502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1503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+VLOOKUP(G1255,Liste!$A$7:$G$69,3,FALSE)</f>
        <v>Chene_pedoncule</v>
      </c>
      <c r="BI1255" s="96" t="str">
        <f>+VLOOKUP(H1255,Liste!$B$7:$G$69,5,FALSE)</f>
        <v>Guide chênaie continentale</v>
      </c>
      <c r="BJ1255" s="135">
        <f t="shared" si="377"/>
        <v>101</v>
      </c>
      <c r="BK1255" s="135" t="str">
        <f t="shared" si="379"/>
        <v>Chene_pedoncule_F1_Dynamique_Guide chênaie continentale_101_</v>
      </c>
      <c r="BL1255" s="319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97" t="str">
        <f>+VLOOKUP(G1255,Liste!$A$7:$H$69,8,FALSE)</f>
        <v>Feuillus</v>
      </c>
      <c r="BU1255" s="297">
        <f t="shared" si="380"/>
        <v>1</v>
      </c>
      <c r="BV1255" s="299">
        <f t="shared" si="381"/>
        <v>0</v>
      </c>
      <c r="BW1255" s="318">
        <v>0</v>
      </c>
      <c r="BX1255" s="297">
        <f t="shared" si="382"/>
        <v>0.25</v>
      </c>
      <c r="BY1255">
        <f t="shared" si="383"/>
        <v>0</v>
      </c>
      <c r="BZ1255" s="303">
        <f t="shared" si="384"/>
        <v>0</v>
      </c>
      <c r="CB1255" s="298">
        <v>0.6</v>
      </c>
      <c r="CC1255" s="298">
        <v>0.4</v>
      </c>
      <c r="CD1255">
        <f t="shared" si="385"/>
        <v>0</v>
      </c>
      <c r="CE1255">
        <f t="shared" si="386"/>
        <v>0</v>
      </c>
      <c r="CF1255">
        <f t="shared" si="387"/>
        <v>0</v>
      </c>
      <c r="CG1255">
        <f t="shared" si="388"/>
        <v>0</v>
      </c>
      <c r="CH1255">
        <f t="shared" si="389"/>
        <v>0</v>
      </c>
      <c r="CI1255">
        <f t="shared" si="390"/>
        <v>0</v>
      </c>
      <c r="CJ1255">
        <f t="shared" si="391"/>
        <v>0</v>
      </c>
      <c r="CK1255">
        <f t="shared" si="392"/>
        <v>0</v>
      </c>
      <c r="CL1255">
        <f t="shared" si="393"/>
        <v>0</v>
      </c>
      <c r="CM1255">
        <f t="shared" si="395"/>
        <v>0</v>
      </c>
      <c r="CN1255">
        <f t="shared" si="394"/>
        <v>0</v>
      </c>
      <c r="CO1255">
        <f t="shared" si="378"/>
        <v>0</v>
      </c>
    </row>
    <row r="1256" spans="1:93" hidden="1" x14ac:dyDescent="0.25">
      <c r="A1256" s="4">
        <v>2021</v>
      </c>
      <c r="B1256" s="315">
        <v>44298</v>
      </c>
      <c r="C1256" s="4" t="s">
        <v>66</v>
      </c>
      <c r="D1256" s="4" t="s">
        <v>1502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1503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+VLOOKUP(G1256,Liste!$A$7:$G$69,3,FALSE)</f>
        <v>Chene_pedoncule</v>
      </c>
      <c r="BI1256" s="96" t="str">
        <f>+VLOOKUP(H1256,Liste!$B$7:$G$69,5,FALSE)</f>
        <v>Guide chênaie continentale</v>
      </c>
      <c r="BJ1256" s="135">
        <f t="shared" si="377"/>
        <v>103</v>
      </c>
      <c r="BK1256" s="135" t="str">
        <f t="shared" si="379"/>
        <v>Chene_pedoncule_F1_Dynamique_Guide chênaie continentale_103_</v>
      </c>
      <c r="BL1256" s="319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97" t="str">
        <f>+VLOOKUP(G1256,Liste!$A$7:$H$69,8,FALSE)</f>
        <v>Feuillus</v>
      </c>
      <c r="BU1256" s="297">
        <f t="shared" si="380"/>
        <v>1</v>
      </c>
      <c r="BV1256" s="299">
        <f t="shared" si="381"/>
        <v>0</v>
      </c>
      <c r="BW1256" s="318">
        <v>0</v>
      </c>
      <c r="BX1256" s="297">
        <f t="shared" si="382"/>
        <v>0.25</v>
      </c>
      <c r="BY1256">
        <f t="shared" si="383"/>
        <v>0</v>
      </c>
      <c r="BZ1256" s="303">
        <f t="shared" si="384"/>
        <v>0</v>
      </c>
      <c r="CB1256" s="298">
        <v>0.6</v>
      </c>
      <c r="CC1256" s="298">
        <v>0.4</v>
      </c>
      <c r="CD1256">
        <f t="shared" si="385"/>
        <v>0</v>
      </c>
      <c r="CE1256">
        <f t="shared" si="386"/>
        <v>0</v>
      </c>
      <c r="CF1256">
        <f t="shared" si="387"/>
        <v>0</v>
      </c>
      <c r="CG1256">
        <f t="shared" si="388"/>
        <v>0</v>
      </c>
      <c r="CH1256">
        <f t="shared" si="389"/>
        <v>0</v>
      </c>
      <c r="CI1256">
        <f t="shared" si="390"/>
        <v>0</v>
      </c>
      <c r="CJ1256">
        <f t="shared" si="391"/>
        <v>0</v>
      </c>
      <c r="CK1256">
        <f t="shared" si="392"/>
        <v>0</v>
      </c>
      <c r="CL1256">
        <f t="shared" si="393"/>
        <v>0</v>
      </c>
      <c r="CM1256">
        <f t="shared" si="395"/>
        <v>0</v>
      </c>
      <c r="CN1256">
        <f t="shared" si="394"/>
        <v>0</v>
      </c>
      <c r="CO1256">
        <f t="shared" si="378"/>
        <v>0</v>
      </c>
    </row>
    <row r="1257" spans="1:93" hidden="1" x14ac:dyDescent="0.25">
      <c r="A1257" s="4">
        <v>2021</v>
      </c>
      <c r="B1257" s="315">
        <v>44298</v>
      </c>
      <c r="C1257" s="4" t="s">
        <v>66</v>
      </c>
      <c r="D1257" s="4" t="s">
        <v>1502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1503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+VLOOKUP(G1257,Liste!$A$7:$G$69,3,FALSE)</f>
        <v>Chene_pedoncule</v>
      </c>
      <c r="BI1257" s="96" t="str">
        <f>+VLOOKUP(H1257,Liste!$B$7:$G$69,5,FALSE)</f>
        <v>Guide chênaie continentale</v>
      </c>
      <c r="BJ1257" s="135">
        <f t="shared" si="377"/>
        <v>103</v>
      </c>
      <c r="BK1257" s="135" t="str">
        <f t="shared" si="379"/>
        <v>Chene_pedoncule_F1_Dynamique_Guide chênaie continentale_103_</v>
      </c>
      <c r="BL1257" s="319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97" t="str">
        <f>+VLOOKUP(G1257,Liste!$A$7:$H$69,8,FALSE)</f>
        <v>Feuillus</v>
      </c>
      <c r="BU1257" s="297">
        <f t="shared" si="380"/>
        <v>1</v>
      </c>
      <c r="BV1257" s="299">
        <f t="shared" si="381"/>
        <v>0</v>
      </c>
      <c r="BW1257" s="318">
        <v>0</v>
      </c>
      <c r="BX1257" s="297">
        <f t="shared" si="382"/>
        <v>0.25</v>
      </c>
      <c r="BY1257">
        <f t="shared" si="383"/>
        <v>0</v>
      </c>
      <c r="BZ1257" s="303">
        <f t="shared" si="384"/>
        <v>0</v>
      </c>
      <c r="CB1257" s="298">
        <v>0.6</v>
      </c>
      <c r="CC1257" s="298">
        <v>0.4</v>
      </c>
      <c r="CD1257">
        <f t="shared" si="385"/>
        <v>0</v>
      </c>
      <c r="CE1257">
        <f t="shared" si="386"/>
        <v>0</v>
      </c>
      <c r="CF1257">
        <f t="shared" si="387"/>
        <v>0</v>
      </c>
      <c r="CG1257">
        <f t="shared" si="388"/>
        <v>0</v>
      </c>
      <c r="CH1257">
        <f t="shared" si="389"/>
        <v>0</v>
      </c>
      <c r="CI1257">
        <f t="shared" si="390"/>
        <v>0</v>
      </c>
      <c r="CJ1257">
        <f t="shared" si="391"/>
        <v>0</v>
      </c>
      <c r="CK1257">
        <f t="shared" si="392"/>
        <v>0</v>
      </c>
      <c r="CL1257">
        <f t="shared" si="393"/>
        <v>0</v>
      </c>
      <c r="CM1257">
        <f t="shared" si="395"/>
        <v>0</v>
      </c>
      <c r="CN1257">
        <f t="shared" si="394"/>
        <v>0</v>
      </c>
      <c r="CO1257">
        <f t="shared" si="378"/>
        <v>0</v>
      </c>
    </row>
    <row r="1258" spans="1:93" hidden="1" x14ac:dyDescent="0.25">
      <c r="A1258" s="4">
        <v>2021</v>
      </c>
      <c r="B1258" s="315">
        <v>44298</v>
      </c>
      <c r="C1258" s="4" t="s">
        <v>66</v>
      </c>
      <c r="D1258" s="4" t="s">
        <v>1502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1503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+VLOOKUP(G1258,Liste!$A$7:$G$69,3,FALSE)</f>
        <v>Chene_pedoncule</v>
      </c>
      <c r="BI1258" s="96" t="str">
        <f>+VLOOKUP(H1258,Liste!$B$7:$G$69,5,FALSE)</f>
        <v>Guide chênaie continentale</v>
      </c>
      <c r="BJ1258" s="135">
        <f t="shared" si="377"/>
        <v>106</v>
      </c>
      <c r="BK1258" s="135" t="str">
        <f t="shared" si="379"/>
        <v>Chene_pedoncule_F1_Dynamique_Guide chênaie continentale_106_</v>
      </c>
      <c r="BL1258" s="319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97" t="str">
        <f>+VLOOKUP(G1258,Liste!$A$7:$H$69,8,FALSE)</f>
        <v>Feuillus</v>
      </c>
      <c r="BU1258" s="297">
        <f t="shared" si="380"/>
        <v>1</v>
      </c>
      <c r="BV1258" s="299">
        <f t="shared" si="381"/>
        <v>0</v>
      </c>
      <c r="BW1258" s="318">
        <v>0</v>
      </c>
      <c r="BX1258" s="297">
        <f t="shared" si="382"/>
        <v>0.25</v>
      </c>
      <c r="BY1258">
        <f t="shared" si="383"/>
        <v>0</v>
      </c>
      <c r="BZ1258" s="303">
        <f t="shared" si="384"/>
        <v>0</v>
      </c>
      <c r="CB1258" s="298">
        <v>0.6</v>
      </c>
      <c r="CC1258" s="298">
        <v>0.4</v>
      </c>
      <c r="CD1258">
        <f t="shared" si="385"/>
        <v>0</v>
      </c>
      <c r="CE1258">
        <f t="shared" si="386"/>
        <v>0</v>
      </c>
      <c r="CF1258">
        <f t="shared" si="387"/>
        <v>0</v>
      </c>
      <c r="CG1258">
        <f t="shared" si="388"/>
        <v>0</v>
      </c>
      <c r="CH1258">
        <f t="shared" si="389"/>
        <v>0</v>
      </c>
      <c r="CI1258">
        <f t="shared" si="390"/>
        <v>0</v>
      </c>
      <c r="CJ1258">
        <f t="shared" si="391"/>
        <v>0</v>
      </c>
      <c r="CK1258">
        <f t="shared" si="392"/>
        <v>0</v>
      </c>
      <c r="CL1258">
        <f t="shared" si="393"/>
        <v>0</v>
      </c>
      <c r="CM1258">
        <f t="shared" si="395"/>
        <v>0</v>
      </c>
      <c r="CN1258">
        <f t="shared" si="394"/>
        <v>0</v>
      </c>
      <c r="CO1258">
        <f t="shared" si="378"/>
        <v>0</v>
      </c>
    </row>
    <row r="1259" spans="1:93" hidden="1" x14ac:dyDescent="0.25">
      <c r="A1259" s="4">
        <v>2021</v>
      </c>
      <c r="B1259" s="315">
        <v>44298</v>
      </c>
      <c r="C1259" s="4" t="s">
        <v>66</v>
      </c>
      <c r="D1259" s="4" t="s">
        <v>1502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1503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+VLOOKUP(G1259,Liste!$A$7:$G$69,3,FALSE)</f>
        <v>Chene_pedoncule</v>
      </c>
      <c r="BI1259" s="96" t="str">
        <f>+VLOOKUP(H1259,Liste!$B$7:$G$69,5,FALSE)</f>
        <v>Guide chênaie continentale</v>
      </c>
      <c r="BJ1259" s="135">
        <f t="shared" si="377"/>
        <v>106</v>
      </c>
      <c r="BK1259" s="135" t="str">
        <f t="shared" si="379"/>
        <v>Chene_pedoncule_F1_Dynamique_Guide chênaie continentale_106_</v>
      </c>
      <c r="BL1259" s="319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97" t="str">
        <f>+VLOOKUP(G1259,Liste!$A$7:$H$69,8,FALSE)</f>
        <v>Feuillus</v>
      </c>
      <c r="BU1259" s="297">
        <f t="shared" si="380"/>
        <v>1</v>
      </c>
      <c r="BV1259" s="299">
        <f t="shared" si="381"/>
        <v>0</v>
      </c>
      <c r="BW1259" s="318">
        <v>0</v>
      </c>
      <c r="BX1259" s="297">
        <f t="shared" si="382"/>
        <v>0.25</v>
      </c>
      <c r="BY1259">
        <f t="shared" si="383"/>
        <v>0</v>
      </c>
      <c r="BZ1259" s="303">
        <f t="shared" si="384"/>
        <v>0</v>
      </c>
      <c r="CB1259" s="298">
        <v>0.6</v>
      </c>
      <c r="CC1259" s="298">
        <v>0.4</v>
      </c>
      <c r="CD1259">
        <f t="shared" si="385"/>
        <v>0</v>
      </c>
      <c r="CE1259">
        <f t="shared" si="386"/>
        <v>0</v>
      </c>
      <c r="CF1259">
        <f t="shared" si="387"/>
        <v>0</v>
      </c>
      <c r="CG1259">
        <f t="shared" si="388"/>
        <v>0</v>
      </c>
      <c r="CH1259">
        <f t="shared" si="389"/>
        <v>0</v>
      </c>
      <c r="CI1259">
        <f t="shared" si="390"/>
        <v>0</v>
      </c>
      <c r="CJ1259">
        <f t="shared" si="391"/>
        <v>0</v>
      </c>
      <c r="CK1259">
        <f t="shared" si="392"/>
        <v>0</v>
      </c>
      <c r="CL1259">
        <f t="shared" si="393"/>
        <v>0</v>
      </c>
      <c r="CM1259">
        <f t="shared" si="395"/>
        <v>0</v>
      </c>
      <c r="CN1259">
        <f t="shared" si="394"/>
        <v>0</v>
      </c>
      <c r="CO1259">
        <f t="shared" si="378"/>
        <v>0</v>
      </c>
    </row>
    <row r="1260" spans="1:93" hidden="1" x14ac:dyDescent="0.25">
      <c r="A1260" s="4">
        <v>2021</v>
      </c>
      <c r="B1260" s="315">
        <v>44298</v>
      </c>
      <c r="C1260" s="4" t="s">
        <v>66</v>
      </c>
      <c r="D1260" s="4" t="s">
        <v>1502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1503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+VLOOKUP(G1260,Liste!$A$7:$G$69,3,FALSE)</f>
        <v>Chene_pedoncule</v>
      </c>
      <c r="BI1260" s="96" t="str">
        <f>+VLOOKUP(H1260,Liste!$B$7:$G$69,5,FALSE)</f>
        <v>Guide chênaie continentale</v>
      </c>
      <c r="BJ1260" s="135">
        <f t="shared" si="377"/>
        <v>30</v>
      </c>
      <c r="BK1260" s="135" t="str">
        <f t="shared" si="379"/>
        <v>Chene_pedoncule_F2_Dynamique_Guide chênaie continentale_30_</v>
      </c>
      <c r="BL1260" s="319"/>
      <c r="BM1260" s="13">
        <v>42.655981799321701</v>
      </c>
      <c r="BN1260" s="13">
        <v>198.873481257864</v>
      </c>
      <c r="BO1260" s="13"/>
      <c r="BP1260" s="13">
        <v>281.59342762421699</v>
      </c>
      <c r="BT1260" s="297" t="str">
        <f>+VLOOKUP(G1260,Liste!$A$7:$H$69,8,FALSE)</f>
        <v>Feuillus</v>
      </c>
      <c r="BU1260" s="297">
        <f t="shared" si="380"/>
        <v>1</v>
      </c>
      <c r="BV1260" s="299">
        <f t="shared" si="381"/>
        <v>0</v>
      </c>
      <c r="BW1260" s="318">
        <v>0</v>
      </c>
      <c r="BX1260" s="297">
        <f t="shared" si="382"/>
        <v>0.25</v>
      </c>
      <c r="BY1260">
        <f t="shared" si="383"/>
        <v>0</v>
      </c>
      <c r="BZ1260" s="303">
        <f t="shared" si="384"/>
        <v>0</v>
      </c>
      <c r="CB1260" s="298">
        <v>0.6</v>
      </c>
      <c r="CC1260" s="298">
        <v>0.4</v>
      </c>
      <c r="CD1260">
        <f t="shared" si="385"/>
        <v>0</v>
      </c>
      <c r="CE1260">
        <f t="shared" si="386"/>
        <v>0</v>
      </c>
      <c r="CF1260">
        <f t="shared" si="387"/>
        <v>0</v>
      </c>
      <c r="CG1260">
        <f t="shared" si="388"/>
        <v>0</v>
      </c>
      <c r="CH1260">
        <f t="shared" si="389"/>
        <v>0</v>
      </c>
      <c r="CI1260">
        <f t="shared" si="390"/>
        <v>0</v>
      </c>
      <c r="CJ1260">
        <f t="shared" si="391"/>
        <v>0</v>
      </c>
      <c r="CK1260">
        <f t="shared" si="392"/>
        <v>0</v>
      </c>
      <c r="CL1260">
        <f t="shared" si="393"/>
        <v>0</v>
      </c>
      <c r="CM1260">
        <f t="shared" si="395"/>
        <v>0</v>
      </c>
      <c r="CN1260">
        <f t="shared" si="394"/>
        <v>0</v>
      </c>
      <c r="CO1260">
        <f t="shared" si="378"/>
        <v>0</v>
      </c>
    </row>
    <row r="1261" spans="1:93" hidden="1" x14ac:dyDescent="0.25">
      <c r="A1261" s="4">
        <v>2021</v>
      </c>
      <c r="B1261" s="315">
        <v>44298</v>
      </c>
      <c r="C1261" s="4" t="s">
        <v>66</v>
      </c>
      <c r="D1261" s="4" t="s">
        <v>1502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1503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+VLOOKUP(G1261,Liste!$A$7:$G$69,3,FALSE)</f>
        <v>Chene_pedoncule</v>
      </c>
      <c r="BI1261" s="96" t="str">
        <f>+VLOOKUP(H1261,Liste!$B$7:$G$69,5,FALSE)</f>
        <v>Guide chênaie continentale</v>
      </c>
      <c r="BJ1261" s="135">
        <f t="shared" si="377"/>
        <v>38</v>
      </c>
      <c r="BK1261" s="135" t="str">
        <f t="shared" si="379"/>
        <v>Chene_pedoncule_F2_Dynamique_Guide chênaie continentale_38_</v>
      </c>
      <c r="BL1261" s="319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97" t="str">
        <f>+VLOOKUP(G1261,Liste!$A$7:$H$69,8,FALSE)</f>
        <v>Feuillus</v>
      </c>
      <c r="BU1261" s="297">
        <f t="shared" si="380"/>
        <v>1</v>
      </c>
      <c r="BV1261" s="299">
        <f t="shared" si="381"/>
        <v>0</v>
      </c>
      <c r="BW1261" s="318">
        <v>0</v>
      </c>
      <c r="BX1261" s="297">
        <f t="shared" si="382"/>
        <v>0.25</v>
      </c>
      <c r="BY1261">
        <f t="shared" si="383"/>
        <v>0</v>
      </c>
      <c r="BZ1261" s="303">
        <f t="shared" si="384"/>
        <v>0</v>
      </c>
      <c r="CB1261" s="298">
        <v>0.6</v>
      </c>
      <c r="CC1261" s="298">
        <v>0.4</v>
      </c>
      <c r="CD1261">
        <f t="shared" si="385"/>
        <v>0</v>
      </c>
      <c r="CE1261">
        <f t="shared" si="386"/>
        <v>0</v>
      </c>
      <c r="CF1261">
        <f t="shared" si="387"/>
        <v>0</v>
      </c>
      <c r="CG1261">
        <f t="shared" si="388"/>
        <v>0</v>
      </c>
      <c r="CH1261">
        <f t="shared" si="389"/>
        <v>0</v>
      </c>
      <c r="CI1261">
        <f t="shared" si="390"/>
        <v>0</v>
      </c>
      <c r="CJ1261">
        <f t="shared" si="391"/>
        <v>0</v>
      </c>
      <c r="CK1261">
        <f t="shared" si="392"/>
        <v>0</v>
      </c>
      <c r="CL1261">
        <f t="shared" si="393"/>
        <v>0</v>
      </c>
      <c r="CM1261">
        <f t="shared" si="395"/>
        <v>0</v>
      </c>
      <c r="CN1261">
        <f t="shared" si="394"/>
        <v>0</v>
      </c>
      <c r="CO1261">
        <f t="shared" si="378"/>
        <v>0</v>
      </c>
    </row>
    <row r="1262" spans="1:93" hidden="1" x14ac:dyDescent="0.25">
      <c r="A1262" s="4">
        <v>2021</v>
      </c>
      <c r="B1262" s="315">
        <v>44298</v>
      </c>
      <c r="C1262" s="4" t="s">
        <v>66</v>
      </c>
      <c r="D1262" s="4" t="s">
        <v>1502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1503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+VLOOKUP(G1262,Liste!$A$7:$G$69,3,FALSE)</f>
        <v>Chene_pedoncule</v>
      </c>
      <c r="BI1262" s="96" t="str">
        <f>+VLOOKUP(H1262,Liste!$B$7:$G$69,5,FALSE)</f>
        <v>Guide chênaie continentale</v>
      </c>
      <c r="BJ1262" s="135">
        <f t="shared" si="377"/>
        <v>38</v>
      </c>
      <c r="BK1262" s="135" t="str">
        <f t="shared" si="379"/>
        <v>Chene_pedoncule_F2_Dynamique_Guide chênaie continentale_38_</v>
      </c>
      <c r="BL1262" s="319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97" t="str">
        <f>+VLOOKUP(G1262,Liste!$A$7:$H$69,8,FALSE)</f>
        <v>Feuillus</v>
      </c>
      <c r="BU1262" s="297">
        <f t="shared" si="380"/>
        <v>1</v>
      </c>
      <c r="BV1262" s="299">
        <f t="shared" si="381"/>
        <v>0</v>
      </c>
      <c r="BW1262" s="318">
        <v>0</v>
      </c>
      <c r="BX1262" s="297">
        <f t="shared" si="382"/>
        <v>0.25</v>
      </c>
      <c r="BY1262">
        <f t="shared" si="383"/>
        <v>0</v>
      </c>
      <c r="BZ1262" s="303">
        <f t="shared" si="384"/>
        <v>0</v>
      </c>
      <c r="CB1262" s="298">
        <v>0.6</v>
      </c>
      <c r="CC1262" s="298">
        <v>0.4</v>
      </c>
      <c r="CD1262">
        <f t="shared" si="385"/>
        <v>0</v>
      </c>
      <c r="CE1262">
        <f t="shared" si="386"/>
        <v>0</v>
      </c>
      <c r="CF1262">
        <f t="shared" si="387"/>
        <v>0</v>
      </c>
      <c r="CG1262">
        <f t="shared" si="388"/>
        <v>0</v>
      </c>
      <c r="CH1262">
        <f t="shared" si="389"/>
        <v>0</v>
      </c>
      <c r="CI1262">
        <f t="shared" si="390"/>
        <v>0</v>
      </c>
      <c r="CJ1262">
        <f t="shared" si="391"/>
        <v>0</v>
      </c>
      <c r="CK1262">
        <f t="shared" si="392"/>
        <v>0</v>
      </c>
      <c r="CL1262">
        <f t="shared" si="393"/>
        <v>0</v>
      </c>
      <c r="CM1262">
        <f t="shared" si="395"/>
        <v>0</v>
      </c>
      <c r="CN1262">
        <f t="shared" si="394"/>
        <v>0</v>
      </c>
      <c r="CO1262">
        <f t="shared" si="378"/>
        <v>0</v>
      </c>
    </row>
    <row r="1263" spans="1:93" hidden="1" x14ac:dyDescent="0.25">
      <c r="A1263" s="4">
        <v>2021</v>
      </c>
      <c r="B1263" s="315">
        <v>44298</v>
      </c>
      <c r="C1263" s="4" t="s">
        <v>66</v>
      </c>
      <c r="D1263" s="4" t="s">
        <v>1502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1503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+VLOOKUP(G1263,Liste!$A$7:$G$69,3,FALSE)</f>
        <v>Chene_pedoncule</v>
      </c>
      <c r="BI1263" s="96" t="str">
        <f>+VLOOKUP(H1263,Liste!$B$7:$G$69,5,FALSE)</f>
        <v>Guide chênaie continentale</v>
      </c>
      <c r="BJ1263" s="135">
        <f t="shared" si="377"/>
        <v>41</v>
      </c>
      <c r="BK1263" s="135" t="str">
        <f t="shared" si="379"/>
        <v>Chene_pedoncule_F2_Dynamique_Guide chênaie continentale_41_</v>
      </c>
      <c r="BL1263" s="319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97" t="str">
        <f>+VLOOKUP(G1263,Liste!$A$7:$H$69,8,FALSE)</f>
        <v>Feuillus</v>
      </c>
      <c r="BU1263" s="297">
        <f t="shared" si="380"/>
        <v>1</v>
      </c>
      <c r="BV1263" s="299">
        <f t="shared" si="381"/>
        <v>0</v>
      </c>
      <c r="BW1263" s="318">
        <v>0</v>
      </c>
      <c r="BX1263" s="297">
        <f t="shared" si="382"/>
        <v>0.25</v>
      </c>
      <c r="BY1263">
        <f t="shared" si="383"/>
        <v>0</v>
      </c>
      <c r="BZ1263" s="303">
        <f t="shared" si="384"/>
        <v>0</v>
      </c>
      <c r="CB1263" s="298">
        <v>0.6</v>
      </c>
      <c r="CC1263" s="298">
        <v>0.4</v>
      </c>
      <c r="CD1263">
        <f t="shared" si="385"/>
        <v>0</v>
      </c>
      <c r="CE1263">
        <f t="shared" si="386"/>
        <v>0</v>
      </c>
      <c r="CF1263">
        <f t="shared" si="387"/>
        <v>0</v>
      </c>
      <c r="CG1263">
        <f t="shared" si="388"/>
        <v>0</v>
      </c>
      <c r="CH1263">
        <f t="shared" si="389"/>
        <v>0</v>
      </c>
      <c r="CI1263">
        <f t="shared" si="390"/>
        <v>0</v>
      </c>
      <c r="CJ1263">
        <f t="shared" si="391"/>
        <v>0</v>
      </c>
      <c r="CK1263">
        <f t="shared" si="392"/>
        <v>0</v>
      </c>
      <c r="CL1263">
        <f t="shared" si="393"/>
        <v>0</v>
      </c>
      <c r="CM1263">
        <f t="shared" si="395"/>
        <v>0</v>
      </c>
      <c r="CN1263">
        <f t="shared" si="394"/>
        <v>0</v>
      </c>
      <c r="CO1263">
        <f t="shared" si="378"/>
        <v>0</v>
      </c>
    </row>
    <row r="1264" spans="1:93" hidden="1" x14ac:dyDescent="0.25">
      <c r="A1264" s="4">
        <v>2021</v>
      </c>
      <c r="B1264" s="315">
        <v>44298</v>
      </c>
      <c r="C1264" s="4" t="s">
        <v>66</v>
      </c>
      <c r="D1264" s="4" t="s">
        <v>1502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1503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+VLOOKUP(G1264,Liste!$A$7:$G$69,3,FALSE)</f>
        <v>Chene_pedoncule</v>
      </c>
      <c r="BI1264" s="96" t="str">
        <f>+VLOOKUP(H1264,Liste!$B$7:$G$69,5,FALSE)</f>
        <v>Guide chênaie continentale</v>
      </c>
      <c r="BJ1264" s="135">
        <f t="shared" si="377"/>
        <v>45</v>
      </c>
      <c r="BK1264" s="135" t="str">
        <f t="shared" si="379"/>
        <v>Chene_pedoncule_F2_Dynamique_Guide chênaie continentale_45_</v>
      </c>
      <c r="BL1264" s="319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97" t="str">
        <f>+VLOOKUP(G1264,Liste!$A$7:$H$69,8,FALSE)</f>
        <v>Feuillus</v>
      </c>
      <c r="BU1264" s="297">
        <f t="shared" si="380"/>
        <v>1</v>
      </c>
      <c r="BV1264" s="299">
        <f t="shared" si="381"/>
        <v>0</v>
      </c>
      <c r="BW1264" s="318">
        <v>0</v>
      </c>
      <c r="BX1264" s="297">
        <f t="shared" si="382"/>
        <v>0.25</v>
      </c>
      <c r="BY1264">
        <f t="shared" si="383"/>
        <v>0</v>
      </c>
      <c r="BZ1264" s="303">
        <f t="shared" si="384"/>
        <v>0</v>
      </c>
      <c r="CB1264" s="298">
        <v>0.6</v>
      </c>
      <c r="CC1264" s="298">
        <v>0.4</v>
      </c>
      <c r="CD1264">
        <f t="shared" si="385"/>
        <v>0</v>
      </c>
      <c r="CE1264">
        <f t="shared" si="386"/>
        <v>0</v>
      </c>
      <c r="CF1264">
        <f t="shared" si="387"/>
        <v>0</v>
      </c>
      <c r="CG1264">
        <f t="shared" si="388"/>
        <v>0</v>
      </c>
      <c r="CH1264">
        <f t="shared" si="389"/>
        <v>0</v>
      </c>
      <c r="CI1264">
        <f t="shared" si="390"/>
        <v>0</v>
      </c>
      <c r="CJ1264">
        <f t="shared" si="391"/>
        <v>0</v>
      </c>
      <c r="CK1264">
        <f t="shared" si="392"/>
        <v>0</v>
      </c>
      <c r="CL1264">
        <f t="shared" si="393"/>
        <v>0</v>
      </c>
      <c r="CM1264">
        <f t="shared" si="395"/>
        <v>0</v>
      </c>
      <c r="CN1264">
        <f t="shared" si="394"/>
        <v>0</v>
      </c>
      <c r="CO1264">
        <f t="shared" si="378"/>
        <v>0</v>
      </c>
    </row>
    <row r="1265" spans="1:93" hidden="1" x14ac:dyDescent="0.25">
      <c r="A1265" s="4">
        <v>2021</v>
      </c>
      <c r="B1265" s="315">
        <v>44298</v>
      </c>
      <c r="C1265" s="4" t="s">
        <v>66</v>
      </c>
      <c r="D1265" s="4" t="s">
        <v>1502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1503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+VLOOKUP(G1265,Liste!$A$7:$G$69,3,FALSE)</f>
        <v>Chene_pedoncule</v>
      </c>
      <c r="BI1265" s="96" t="str">
        <f>+VLOOKUP(H1265,Liste!$B$7:$G$69,5,FALSE)</f>
        <v>Guide chênaie continentale</v>
      </c>
      <c r="BJ1265" s="135">
        <f t="shared" si="377"/>
        <v>45</v>
      </c>
      <c r="BK1265" s="135" t="str">
        <f t="shared" si="379"/>
        <v>Chene_pedoncule_F2_Dynamique_Guide chênaie continentale_45_</v>
      </c>
      <c r="BL1265" s="319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97" t="str">
        <f>+VLOOKUP(G1265,Liste!$A$7:$H$69,8,FALSE)</f>
        <v>Feuillus</v>
      </c>
      <c r="BU1265" s="297">
        <f t="shared" si="380"/>
        <v>1</v>
      </c>
      <c r="BV1265" s="299">
        <f t="shared" si="381"/>
        <v>0</v>
      </c>
      <c r="BW1265" s="318">
        <v>0</v>
      </c>
      <c r="BX1265" s="297">
        <f t="shared" si="382"/>
        <v>0.25</v>
      </c>
      <c r="BY1265">
        <f t="shared" si="383"/>
        <v>0</v>
      </c>
      <c r="BZ1265" s="303">
        <f t="shared" si="384"/>
        <v>0</v>
      </c>
      <c r="CB1265" s="298">
        <v>0.6</v>
      </c>
      <c r="CC1265" s="298">
        <v>0.4</v>
      </c>
      <c r="CD1265">
        <f t="shared" si="385"/>
        <v>0</v>
      </c>
      <c r="CE1265">
        <f t="shared" si="386"/>
        <v>0</v>
      </c>
      <c r="CF1265">
        <f t="shared" si="387"/>
        <v>0</v>
      </c>
      <c r="CG1265">
        <f t="shared" si="388"/>
        <v>0</v>
      </c>
      <c r="CH1265">
        <f t="shared" si="389"/>
        <v>0</v>
      </c>
      <c r="CI1265">
        <f t="shared" si="390"/>
        <v>0</v>
      </c>
      <c r="CJ1265">
        <f t="shared" si="391"/>
        <v>0</v>
      </c>
      <c r="CK1265">
        <f t="shared" si="392"/>
        <v>0</v>
      </c>
      <c r="CL1265">
        <f t="shared" si="393"/>
        <v>0</v>
      </c>
      <c r="CM1265">
        <f t="shared" si="395"/>
        <v>0</v>
      </c>
      <c r="CN1265">
        <f t="shared" si="394"/>
        <v>0</v>
      </c>
      <c r="CO1265">
        <f t="shared" si="378"/>
        <v>0</v>
      </c>
    </row>
    <row r="1266" spans="1:93" hidden="1" x14ac:dyDescent="0.25">
      <c r="A1266" s="4">
        <v>2021</v>
      </c>
      <c r="B1266" s="315">
        <v>44298</v>
      </c>
      <c r="C1266" s="4" t="s">
        <v>66</v>
      </c>
      <c r="D1266" s="4" t="s">
        <v>1502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1503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+VLOOKUP(G1266,Liste!$A$7:$G$69,3,FALSE)</f>
        <v>Chene_pedoncule</v>
      </c>
      <c r="BI1266" s="96" t="str">
        <f>+VLOOKUP(H1266,Liste!$B$7:$G$69,5,FALSE)</f>
        <v>Guide chênaie continentale</v>
      </c>
      <c r="BJ1266" s="135">
        <f t="shared" si="377"/>
        <v>48</v>
      </c>
      <c r="BK1266" s="135" t="str">
        <f t="shared" si="379"/>
        <v>Chene_pedoncule_F2_Dynamique_Guide chênaie continentale_48_</v>
      </c>
      <c r="BL1266" s="319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97" t="str">
        <f>+VLOOKUP(G1266,Liste!$A$7:$H$69,8,FALSE)</f>
        <v>Feuillus</v>
      </c>
      <c r="BU1266" s="297">
        <f t="shared" si="380"/>
        <v>1</v>
      </c>
      <c r="BV1266" s="299">
        <f t="shared" si="381"/>
        <v>0</v>
      </c>
      <c r="BW1266" s="318">
        <v>0</v>
      </c>
      <c r="BX1266" s="297">
        <f t="shared" si="382"/>
        <v>0.25</v>
      </c>
      <c r="BY1266">
        <f t="shared" si="383"/>
        <v>0</v>
      </c>
      <c r="BZ1266" s="303">
        <f t="shared" si="384"/>
        <v>0</v>
      </c>
      <c r="CB1266" s="298">
        <v>0.6</v>
      </c>
      <c r="CC1266" s="298">
        <v>0.4</v>
      </c>
      <c r="CD1266">
        <f t="shared" si="385"/>
        <v>0</v>
      </c>
      <c r="CE1266">
        <f t="shared" si="386"/>
        <v>0</v>
      </c>
      <c r="CF1266">
        <f t="shared" si="387"/>
        <v>0</v>
      </c>
      <c r="CG1266">
        <f t="shared" si="388"/>
        <v>0</v>
      </c>
      <c r="CH1266">
        <f t="shared" si="389"/>
        <v>0</v>
      </c>
      <c r="CI1266">
        <f t="shared" si="390"/>
        <v>0</v>
      </c>
      <c r="CJ1266">
        <f t="shared" si="391"/>
        <v>0</v>
      </c>
      <c r="CK1266">
        <f t="shared" si="392"/>
        <v>0</v>
      </c>
      <c r="CL1266">
        <f t="shared" si="393"/>
        <v>0</v>
      </c>
      <c r="CM1266">
        <f t="shared" si="395"/>
        <v>0</v>
      </c>
      <c r="CN1266">
        <f t="shared" si="394"/>
        <v>0</v>
      </c>
      <c r="CO1266">
        <f t="shared" si="378"/>
        <v>0</v>
      </c>
    </row>
    <row r="1267" spans="1:93" hidden="1" x14ac:dyDescent="0.25">
      <c r="A1267" s="4">
        <v>2021</v>
      </c>
      <c r="B1267" s="315">
        <v>44298</v>
      </c>
      <c r="C1267" s="4" t="s">
        <v>66</v>
      </c>
      <c r="D1267" s="4" t="s">
        <v>1502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1503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+VLOOKUP(G1267,Liste!$A$7:$G$69,3,FALSE)</f>
        <v>Chene_pedoncule</v>
      </c>
      <c r="BI1267" s="96" t="str">
        <f>+VLOOKUP(H1267,Liste!$B$7:$G$69,5,FALSE)</f>
        <v>Guide chênaie continentale</v>
      </c>
      <c r="BJ1267" s="135">
        <f t="shared" si="377"/>
        <v>52</v>
      </c>
      <c r="BK1267" s="135" t="str">
        <f t="shared" si="379"/>
        <v>Chene_pedoncule_F2_Dynamique_Guide chênaie continentale_52_</v>
      </c>
      <c r="BL1267" s="319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97" t="str">
        <f>+VLOOKUP(G1267,Liste!$A$7:$H$69,8,FALSE)</f>
        <v>Feuillus</v>
      </c>
      <c r="BU1267" s="297">
        <f t="shared" si="380"/>
        <v>1</v>
      </c>
      <c r="BV1267" s="299">
        <f t="shared" si="381"/>
        <v>0</v>
      </c>
      <c r="BW1267" s="318">
        <v>0</v>
      </c>
      <c r="BX1267" s="297">
        <f t="shared" si="382"/>
        <v>0.25</v>
      </c>
      <c r="BY1267">
        <f t="shared" si="383"/>
        <v>0</v>
      </c>
      <c r="BZ1267" s="303">
        <f t="shared" si="384"/>
        <v>0</v>
      </c>
      <c r="CB1267" s="298">
        <v>0.6</v>
      </c>
      <c r="CC1267" s="298">
        <v>0.4</v>
      </c>
      <c r="CD1267">
        <f t="shared" si="385"/>
        <v>0</v>
      </c>
      <c r="CE1267">
        <f t="shared" si="386"/>
        <v>0</v>
      </c>
      <c r="CF1267">
        <f t="shared" si="387"/>
        <v>0</v>
      </c>
      <c r="CG1267">
        <f t="shared" si="388"/>
        <v>0</v>
      </c>
      <c r="CH1267">
        <f t="shared" si="389"/>
        <v>0</v>
      </c>
      <c r="CI1267">
        <f t="shared" si="390"/>
        <v>0</v>
      </c>
      <c r="CJ1267">
        <f t="shared" si="391"/>
        <v>0</v>
      </c>
      <c r="CK1267">
        <f t="shared" si="392"/>
        <v>0</v>
      </c>
      <c r="CL1267">
        <f t="shared" si="393"/>
        <v>0</v>
      </c>
      <c r="CM1267">
        <f t="shared" si="395"/>
        <v>0</v>
      </c>
      <c r="CN1267">
        <f t="shared" si="394"/>
        <v>0</v>
      </c>
      <c r="CO1267">
        <f t="shared" si="378"/>
        <v>0</v>
      </c>
    </row>
    <row r="1268" spans="1:93" hidden="1" x14ac:dyDescent="0.25">
      <c r="A1268" s="4">
        <v>2021</v>
      </c>
      <c r="B1268" s="315">
        <v>44298</v>
      </c>
      <c r="C1268" s="4" t="s">
        <v>66</v>
      </c>
      <c r="D1268" s="4" t="s">
        <v>1502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1503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+VLOOKUP(G1268,Liste!$A$7:$G$69,3,FALSE)</f>
        <v>Chene_pedoncule</v>
      </c>
      <c r="BI1268" s="96" t="str">
        <f>+VLOOKUP(H1268,Liste!$B$7:$G$69,5,FALSE)</f>
        <v>Guide chênaie continentale</v>
      </c>
      <c r="BJ1268" s="135">
        <f t="shared" si="377"/>
        <v>52</v>
      </c>
      <c r="BK1268" s="135" t="str">
        <f t="shared" si="379"/>
        <v>Chene_pedoncule_F2_Dynamique_Guide chênaie continentale_52_</v>
      </c>
      <c r="BL1268" s="319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97" t="str">
        <f>+VLOOKUP(G1268,Liste!$A$7:$H$69,8,FALSE)</f>
        <v>Feuillus</v>
      </c>
      <c r="BU1268" s="297">
        <f t="shared" si="380"/>
        <v>1</v>
      </c>
      <c r="BV1268" s="299">
        <f t="shared" si="381"/>
        <v>0</v>
      </c>
      <c r="BW1268" s="318">
        <v>0</v>
      </c>
      <c r="BX1268" s="297">
        <f t="shared" si="382"/>
        <v>0.25</v>
      </c>
      <c r="BY1268">
        <f t="shared" si="383"/>
        <v>0</v>
      </c>
      <c r="BZ1268" s="303">
        <f t="shared" si="384"/>
        <v>0</v>
      </c>
      <c r="CB1268" s="298">
        <v>0.6</v>
      </c>
      <c r="CC1268" s="298">
        <v>0.4</v>
      </c>
      <c r="CD1268">
        <f t="shared" si="385"/>
        <v>0</v>
      </c>
      <c r="CE1268">
        <f t="shared" si="386"/>
        <v>0</v>
      </c>
      <c r="CF1268">
        <f t="shared" si="387"/>
        <v>0</v>
      </c>
      <c r="CG1268">
        <f t="shared" si="388"/>
        <v>0</v>
      </c>
      <c r="CH1268">
        <f t="shared" si="389"/>
        <v>0</v>
      </c>
      <c r="CI1268">
        <f t="shared" si="390"/>
        <v>0</v>
      </c>
      <c r="CJ1268">
        <f t="shared" si="391"/>
        <v>0</v>
      </c>
      <c r="CK1268">
        <f t="shared" si="392"/>
        <v>0</v>
      </c>
      <c r="CL1268">
        <f t="shared" si="393"/>
        <v>0</v>
      </c>
      <c r="CM1268">
        <f t="shared" si="395"/>
        <v>0</v>
      </c>
      <c r="CN1268">
        <f t="shared" si="394"/>
        <v>0</v>
      </c>
      <c r="CO1268">
        <f t="shared" si="378"/>
        <v>0</v>
      </c>
    </row>
    <row r="1269" spans="1:93" hidden="1" x14ac:dyDescent="0.25">
      <c r="A1269" s="4">
        <v>2021</v>
      </c>
      <c r="B1269" s="315">
        <v>44298</v>
      </c>
      <c r="C1269" s="4" t="s">
        <v>66</v>
      </c>
      <c r="D1269" s="4" t="s">
        <v>1502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1503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+VLOOKUP(G1269,Liste!$A$7:$G$69,3,FALSE)</f>
        <v>Chene_pedoncule</v>
      </c>
      <c r="BI1269" s="96" t="str">
        <f>+VLOOKUP(H1269,Liste!$B$7:$G$69,5,FALSE)</f>
        <v>Guide chênaie continentale</v>
      </c>
      <c r="BJ1269" s="135">
        <f t="shared" si="377"/>
        <v>55</v>
      </c>
      <c r="BK1269" s="135" t="str">
        <f t="shared" si="379"/>
        <v>Chene_pedoncule_F2_Dynamique_Guide chênaie continentale_55_</v>
      </c>
      <c r="BL1269" s="319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97" t="str">
        <f>+VLOOKUP(G1269,Liste!$A$7:$H$69,8,FALSE)</f>
        <v>Feuillus</v>
      </c>
      <c r="BU1269" s="297">
        <f t="shared" si="380"/>
        <v>1</v>
      </c>
      <c r="BV1269" s="299">
        <f t="shared" si="381"/>
        <v>0</v>
      </c>
      <c r="BW1269" s="318">
        <v>0</v>
      </c>
      <c r="BX1269" s="297">
        <f t="shared" si="382"/>
        <v>0.25</v>
      </c>
      <c r="BY1269">
        <f t="shared" si="383"/>
        <v>0</v>
      </c>
      <c r="BZ1269" s="303">
        <f t="shared" si="384"/>
        <v>0</v>
      </c>
      <c r="CB1269" s="298">
        <v>0.6</v>
      </c>
      <c r="CC1269" s="298">
        <v>0.4</v>
      </c>
      <c r="CD1269">
        <f t="shared" si="385"/>
        <v>0</v>
      </c>
      <c r="CE1269">
        <f t="shared" si="386"/>
        <v>0</v>
      </c>
      <c r="CF1269">
        <f t="shared" si="387"/>
        <v>0</v>
      </c>
      <c r="CG1269">
        <f t="shared" si="388"/>
        <v>0</v>
      </c>
      <c r="CH1269">
        <f t="shared" si="389"/>
        <v>0</v>
      </c>
      <c r="CI1269">
        <f t="shared" si="390"/>
        <v>0</v>
      </c>
      <c r="CJ1269">
        <f t="shared" si="391"/>
        <v>0</v>
      </c>
      <c r="CK1269">
        <f t="shared" si="392"/>
        <v>0</v>
      </c>
      <c r="CL1269">
        <f t="shared" si="393"/>
        <v>0</v>
      </c>
      <c r="CM1269">
        <f t="shared" si="395"/>
        <v>0</v>
      </c>
      <c r="CN1269">
        <f t="shared" si="394"/>
        <v>0</v>
      </c>
      <c r="CO1269">
        <f t="shared" si="378"/>
        <v>0</v>
      </c>
    </row>
    <row r="1270" spans="1:93" hidden="1" x14ac:dyDescent="0.25">
      <c r="A1270" s="4">
        <v>2021</v>
      </c>
      <c r="B1270" s="315">
        <v>44298</v>
      </c>
      <c r="C1270" s="4" t="s">
        <v>66</v>
      </c>
      <c r="D1270" s="4" t="s">
        <v>1502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1503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+VLOOKUP(G1270,Liste!$A$7:$G$69,3,FALSE)</f>
        <v>Chene_pedoncule</v>
      </c>
      <c r="BI1270" s="96" t="str">
        <f>+VLOOKUP(H1270,Liste!$B$7:$G$69,5,FALSE)</f>
        <v>Guide chênaie continentale</v>
      </c>
      <c r="BJ1270" s="135">
        <f t="shared" si="377"/>
        <v>59</v>
      </c>
      <c r="BK1270" s="135" t="str">
        <f t="shared" si="379"/>
        <v>Chene_pedoncule_F2_Dynamique_Guide chênaie continentale_59_</v>
      </c>
      <c r="BL1270" s="319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97" t="str">
        <f>+VLOOKUP(G1270,Liste!$A$7:$H$69,8,FALSE)</f>
        <v>Feuillus</v>
      </c>
      <c r="BU1270" s="297">
        <f t="shared" si="380"/>
        <v>1</v>
      </c>
      <c r="BV1270" s="299">
        <f t="shared" si="381"/>
        <v>0</v>
      </c>
      <c r="BW1270" s="318">
        <v>0</v>
      </c>
      <c r="BX1270" s="297">
        <f t="shared" si="382"/>
        <v>0.25</v>
      </c>
      <c r="BY1270">
        <f t="shared" si="383"/>
        <v>0</v>
      </c>
      <c r="BZ1270" s="303">
        <f t="shared" si="384"/>
        <v>0</v>
      </c>
      <c r="CB1270" s="298">
        <v>0.6</v>
      </c>
      <c r="CC1270" s="298">
        <v>0.4</v>
      </c>
      <c r="CD1270">
        <f t="shared" si="385"/>
        <v>0</v>
      </c>
      <c r="CE1270">
        <f t="shared" si="386"/>
        <v>0</v>
      </c>
      <c r="CF1270">
        <f t="shared" si="387"/>
        <v>0</v>
      </c>
      <c r="CG1270">
        <f t="shared" si="388"/>
        <v>0</v>
      </c>
      <c r="CH1270">
        <f t="shared" si="389"/>
        <v>0</v>
      </c>
      <c r="CI1270">
        <f t="shared" si="390"/>
        <v>0</v>
      </c>
      <c r="CJ1270">
        <f t="shared" si="391"/>
        <v>0</v>
      </c>
      <c r="CK1270">
        <f t="shared" si="392"/>
        <v>0</v>
      </c>
      <c r="CL1270">
        <f t="shared" si="393"/>
        <v>0</v>
      </c>
      <c r="CM1270">
        <f t="shared" si="395"/>
        <v>0</v>
      </c>
      <c r="CN1270">
        <f t="shared" si="394"/>
        <v>0</v>
      </c>
      <c r="CO1270">
        <f t="shared" si="378"/>
        <v>0</v>
      </c>
    </row>
    <row r="1271" spans="1:93" hidden="1" x14ac:dyDescent="0.25">
      <c r="A1271" s="4">
        <v>2021</v>
      </c>
      <c r="B1271" s="315">
        <v>44298</v>
      </c>
      <c r="C1271" s="4" t="s">
        <v>66</v>
      </c>
      <c r="D1271" s="4" t="s">
        <v>1502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1503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+VLOOKUP(G1271,Liste!$A$7:$G$69,3,FALSE)</f>
        <v>Chene_pedoncule</v>
      </c>
      <c r="BI1271" s="96" t="str">
        <f>+VLOOKUP(H1271,Liste!$B$7:$G$69,5,FALSE)</f>
        <v>Guide chênaie continentale</v>
      </c>
      <c r="BJ1271" s="135">
        <f t="shared" si="377"/>
        <v>59</v>
      </c>
      <c r="BK1271" s="135" t="str">
        <f t="shared" si="379"/>
        <v>Chene_pedoncule_F2_Dynamique_Guide chênaie continentale_59_</v>
      </c>
      <c r="BL1271" s="319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97" t="str">
        <f>+VLOOKUP(G1271,Liste!$A$7:$H$69,8,FALSE)</f>
        <v>Feuillus</v>
      </c>
      <c r="BU1271" s="297">
        <f t="shared" si="380"/>
        <v>1</v>
      </c>
      <c r="BV1271" s="299">
        <f t="shared" si="381"/>
        <v>0</v>
      </c>
      <c r="BW1271" s="318">
        <v>0</v>
      </c>
      <c r="BX1271" s="297">
        <f t="shared" si="382"/>
        <v>0.25</v>
      </c>
      <c r="BY1271">
        <f t="shared" si="383"/>
        <v>0</v>
      </c>
      <c r="BZ1271" s="303">
        <f t="shared" si="384"/>
        <v>0</v>
      </c>
      <c r="CB1271" s="298">
        <v>0.6</v>
      </c>
      <c r="CC1271" s="298">
        <v>0.4</v>
      </c>
      <c r="CD1271">
        <f t="shared" si="385"/>
        <v>0</v>
      </c>
      <c r="CE1271">
        <f t="shared" si="386"/>
        <v>0</v>
      </c>
      <c r="CF1271">
        <f t="shared" si="387"/>
        <v>0</v>
      </c>
      <c r="CG1271">
        <f t="shared" si="388"/>
        <v>0</v>
      </c>
      <c r="CH1271">
        <f t="shared" si="389"/>
        <v>0</v>
      </c>
      <c r="CI1271">
        <f t="shared" si="390"/>
        <v>0</v>
      </c>
      <c r="CJ1271">
        <f t="shared" si="391"/>
        <v>0</v>
      </c>
      <c r="CK1271">
        <f t="shared" si="392"/>
        <v>0</v>
      </c>
      <c r="CL1271">
        <f t="shared" si="393"/>
        <v>0</v>
      </c>
      <c r="CM1271">
        <f t="shared" si="395"/>
        <v>0</v>
      </c>
      <c r="CN1271">
        <f t="shared" si="394"/>
        <v>0</v>
      </c>
      <c r="CO1271">
        <f t="shared" si="378"/>
        <v>0</v>
      </c>
    </row>
    <row r="1272" spans="1:93" hidden="1" x14ac:dyDescent="0.25">
      <c r="A1272" s="4">
        <v>2021</v>
      </c>
      <c r="B1272" s="315">
        <v>44298</v>
      </c>
      <c r="C1272" s="4" t="s">
        <v>66</v>
      </c>
      <c r="D1272" s="4" t="s">
        <v>1502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1503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+VLOOKUP(G1272,Liste!$A$7:$G$69,3,FALSE)</f>
        <v>Chene_pedoncule</v>
      </c>
      <c r="BI1272" s="96" t="str">
        <f>+VLOOKUP(H1272,Liste!$B$7:$G$69,5,FALSE)</f>
        <v>Guide chênaie continentale</v>
      </c>
      <c r="BJ1272" s="135">
        <f t="shared" si="377"/>
        <v>62</v>
      </c>
      <c r="BK1272" s="135" t="str">
        <f t="shared" si="379"/>
        <v>Chene_pedoncule_F2_Dynamique_Guide chênaie continentale_62_</v>
      </c>
      <c r="BL1272" s="319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97" t="str">
        <f>+VLOOKUP(G1272,Liste!$A$7:$H$69,8,FALSE)</f>
        <v>Feuillus</v>
      </c>
      <c r="BU1272" s="297">
        <f t="shared" si="380"/>
        <v>1</v>
      </c>
      <c r="BV1272" s="299">
        <f t="shared" si="381"/>
        <v>0</v>
      </c>
      <c r="BW1272" s="318">
        <v>0</v>
      </c>
      <c r="BX1272" s="297">
        <f t="shared" si="382"/>
        <v>0.25</v>
      </c>
      <c r="BY1272">
        <f t="shared" si="383"/>
        <v>0</v>
      </c>
      <c r="BZ1272" s="303">
        <f t="shared" si="384"/>
        <v>0</v>
      </c>
      <c r="CB1272" s="298">
        <v>0.6</v>
      </c>
      <c r="CC1272" s="298">
        <v>0.4</v>
      </c>
      <c r="CD1272">
        <f t="shared" si="385"/>
        <v>0</v>
      </c>
      <c r="CE1272">
        <f t="shared" si="386"/>
        <v>0</v>
      </c>
      <c r="CF1272">
        <f t="shared" si="387"/>
        <v>0</v>
      </c>
      <c r="CG1272">
        <f t="shared" si="388"/>
        <v>0</v>
      </c>
      <c r="CH1272">
        <f t="shared" si="389"/>
        <v>0</v>
      </c>
      <c r="CI1272">
        <f t="shared" si="390"/>
        <v>0</v>
      </c>
      <c r="CJ1272">
        <f t="shared" si="391"/>
        <v>0</v>
      </c>
      <c r="CK1272">
        <f t="shared" si="392"/>
        <v>0</v>
      </c>
      <c r="CL1272">
        <f t="shared" si="393"/>
        <v>0</v>
      </c>
      <c r="CM1272">
        <f t="shared" si="395"/>
        <v>0</v>
      </c>
      <c r="CN1272">
        <f t="shared" si="394"/>
        <v>0</v>
      </c>
      <c r="CO1272">
        <f t="shared" si="378"/>
        <v>0</v>
      </c>
    </row>
    <row r="1273" spans="1:93" hidden="1" x14ac:dyDescent="0.25">
      <c r="A1273" s="4">
        <v>2021</v>
      </c>
      <c r="B1273" s="315">
        <v>44298</v>
      </c>
      <c r="C1273" s="4" t="s">
        <v>66</v>
      </c>
      <c r="D1273" s="4" t="s">
        <v>1502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1503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+VLOOKUP(G1273,Liste!$A$7:$G$69,3,FALSE)</f>
        <v>Chene_pedoncule</v>
      </c>
      <c r="BI1273" s="96" t="str">
        <f>+VLOOKUP(H1273,Liste!$B$7:$G$69,5,FALSE)</f>
        <v>Guide chênaie continentale</v>
      </c>
      <c r="BJ1273" s="135">
        <f t="shared" si="377"/>
        <v>65</v>
      </c>
      <c r="BK1273" s="135" t="str">
        <f t="shared" si="379"/>
        <v>Chene_pedoncule_F2_Dynamique_Guide chênaie continentale_65_</v>
      </c>
      <c r="BL1273" s="319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97" t="str">
        <f>+VLOOKUP(G1273,Liste!$A$7:$H$69,8,FALSE)</f>
        <v>Feuillus</v>
      </c>
      <c r="BU1273" s="297">
        <f t="shared" si="380"/>
        <v>1</v>
      </c>
      <c r="BV1273" s="299">
        <f t="shared" si="381"/>
        <v>0</v>
      </c>
      <c r="BW1273" s="318">
        <v>0</v>
      </c>
      <c r="BX1273" s="297">
        <f t="shared" si="382"/>
        <v>0.25</v>
      </c>
      <c r="BY1273">
        <f t="shared" si="383"/>
        <v>0</v>
      </c>
      <c r="BZ1273" s="303">
        <f t="shared" si="384"/>
        <v>0</v>
      </c>
      <c r="CB1273" s="298">
        <v>0.6</v>
      </c>
      <c r="CC1273" s="298">
        <v>0.4</v>
      </c>
      <c r="CD1273">
        <f t="shared" si="385"/>
        <v>0</v>
      </c>
      <c r="CE1273">
        <f t="shared" si="386"/>
        <v>0</v>
      </c>
      <c r="CF1273">
        <f t="shared" si="387"/>
        <v>0</v>
      </c>
      <c r="CG1273">
        <f t="shared" si="388"/>
        <v>0</v>
      </c>
      <c r="CH1273">
        <f t="shared" si="389"/>
        <v>0</v>
      </c>
      <c r="CI1273">
        <f t="shared" si="390"/>
        <v>0</v>
      </c>
      <c r="CJ1273">
        <f t="shared" si="391"/>
        <v>0</v>
      </c>
      <c r="CK1273">
        <f t="shared" si="392"/>
        <v>0</v>
      </c>
      <c r="CL1273">
        <f t="shared" si="393"/>
        <v>0</v>
      </c>
      <c r="CM1273">
        <f t="shared" si="395"/>
        <v>0</v>
      </c>
      <c r="CN1273">
        <f t="shared" si="394"/>
        <v>0</v>
      </c>
      <c r="CO1273">
        <f t="shared" si="378"/>
        <v>0</v>
      </c>
    </row>
    <row r="1274" spans="1:93" hidden="1" x14ac:dyDescent="0.25">
      <c r="A1274" s="4">
        <v>2021</v>
      </c>
      <c r="B1274" s="315">
        <v>44298</v>
      </c>
      <c r="C1274" s="4" t="s">
        <v>66</v>
      </c>
      <c r="D1274" s="4" t="s">
        <v>1502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1503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+VLOOKUP(G1274,Liste!$A$7:$G$69,3,FALSE)</f>
        <v>Chene_pedoncule</v>
      </c>
      <c r="BI1274" s="96" t="str">
        <f>+VLOOKUP(H1274,Liste!$B$7:$G$69,5,FALSE)</f>
        <v>Guide chênaie continentale</v>
      </c>
      <c r="BJ1274" s="135">
        <f t="shared" si="377"/>
        <v>67</v>
      </c>
      <c r="BK1274" s="135" t="str">
        <f t="shared" si="379"/>
        <v>Chene_pedoncule_F2_Dynamique_Guide chênaie continentale_67_</v>
      </c>
      <c r="BL1274" s="319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97" t="str">
        <f>+VLOOKUP(G1274,Liste!$A$7:$H$69,8,FALSE)</f>
        <v>Feuillus</v>
      </c>
      <c r="BU1274" s="297">
        <f t="shared" si="380"/>
        <v>1</v>
      </c>
      <c r="BV1274" s="299">
        <f t="shared" si="381"/>
        <v>0</v>
      </c>
      <c r="BW1274" s="318">
        <v>0</v>
      </c>
      <c r="BX1274" s="297">
        <f t="shared" si="382"/>
        <v>0.25</v>
      </c>
      <c r="BY1274">
        <f t="shared" si="383"/>
        <v>0</v>
      </c>
      <c r="BZ1274" s="303">
        <f t="shared" si="384"/>
        <v>0</v>
      </c>
      <c r="CB1274" s="298">
        <v>0.6</v>
      </c>
      <c r="CC1274" s="298">
        <v>0.4</v>
      </c>
      <c r="CD1274">
        <f t="shared" si="385"/>
        <v>0</v>
      </c>
      <c r="CE1274">
        <f t="shared" si="386"/>
        <v>0</v>
      </c>
      <c r="CF1274">
        <f t="shared" si="387"/>
        <v>0</v>
      </c>
      <c r="CG1274">
        <f t="shared" si="388"/>
        <v>0</v>
      </c>
      <c r="CH1274">
        <f t="shared" si="389"/>
        <v>0</v>
      </c>
      <c r="CI1274">
        <f t="shared" si="390"/>
        <v>0</v>
      </c>
      <c r="CJ1274">
        <f t="shared" si="391"/>
        <v>0</v>
      </c>
      <c r="CK1274">
        <f t="shared" si="392"/>
        <v>0</v>
      </c>
      <c r="CL1274">
        <f t="shared" si="393"/>
        <v>0</v>
      </c>
      <c r="CM1274">
        <f t="shared" si="395"/>
        <v>0</v>
      </c>
      <c r="CN1274">
        <f t="shared" si="394"/>
        <v>0</v>
      </c>
      <c r="CO1274">
        <f t="shared" si="378"/>
        <v>0</v>
      </c>
    </row>
    <row r="1275" spans="1:93" hidden="1" x14ac:dyDescent="0.25">
      <c r="A1275" s="4">
        <v>2021</v>
      </c>
      <c r="B1275" s="315">
        <v>44298</v>
      </c>
      <c r="C1275" s="4" t="s">
        <v>66</v>
      </c>
      <c r="D1275" s="4" t="s">
        <v>1502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1503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+VLOOKUP(G1275,Liste!$A$7:$G$69,3,FALSE)</f>
        <v>Chene_pedoncule</v>
      </c>
      <c r="BI1275" s="96" t="str">
        <f>+VLOOKUP(H1275,Liste!$B$7:$G$69,5,FALSE)</f>
        <v>Guide chênaie continentale</v>
      </c>
      <c r="BJ1275" s="135">
        <f t="shared" si="377"/>
        <v>67</v>
      </c>
      <c r="BK1275" s="135" t="str">
        <f t="shared" si="379"/>
        <v>Chene_pedoncule_F2_Dynamique_Guide chênaie continentale_67_</v>
      </c>
      <c r="BL1275" s="319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97" t="str">
        <f>+VLOOKUP(G1275,Liste!$A$7:$H$69,8,FALSE)</f>
        <v>Feuillus</v>
      </c>
      <c r="BU1275" s="297">
        <f t="shared" si="380"/>
        <v>1</v>
      </c>
      <c r="BV1275" s="299">
        <f t="shared" si="381"/>
        <v>0</v>
      </c>
      <c r="BW1275" s="318">
        <v>0</v>
      </c>
      <c r="BX1275" s="297">
        <f t="shared" si="382"/>
        <v>0.25</v>
      </c>
      <c r="BY1275">
        <f t="shared" si="383"/>
        <v>0</v>
      </c>
      <c r="BZ1275" s="303">
        <f t="shared" si="384"/>
        <v>0</v>
      </c>
      <c r="CB1275" s="298">
        <v>0.6</v>
      </c>
      <c r="CC1275" s="298">
        <v>0.4</v>
      </c>
      <c r="CD1275">
        <f t="shared" si="385"/>
        <v>0</v>
      </c>
      <c r="CE1275">
        <f t="shared" si="386"/>
        <v>0</v>
      </c>
      <c r="CF1275">
        <f t="shared" si="387"/>
        <v>0</v>
      </c>
      <c r="CG1275">
        <f t="shared" si="388"/>
        <v>0</v>
      </c>
      <c r="CH1275">
        <f t="shared" si="389"/>
        <v>0</v>
      </c>
      <c r="CI1275">
        <f t="shared" si="390"/>
        <v>0</v>
      </c>
      <c r="CJ1275">
        <f t="shared" si="391"/>
        <v>0</v>
      </c>
      <c r="CK1275">
        <f t="shared" si="392"/>
        <v>0</v>
      </c>
      <c r="CL1275">
        <f t="shared" si="393"/>
        <v>0</v>
      </c>
      <c r="CM1275">
        <f t="shared" si="395"/>
        <v>0</v>
      </c>
      <c r="CN1275">
        <f t="shared" si="394"/>
        <v>0</v>
      </c>
      <c r="CO1275">
        <f t="shared" si="378"/>
        <v>0</v>
      </c>
    </row>
    <row r="1276" spans="1:93" hidden="1" x14ac:dyDescent="0.25">
      <c r="A1276" s="4">
        <v>2021</v>
      </c>
      <c r="B1276" s="315">
        <v>44298</v>
      </c>
      <c r="C1276" s="4" t="s">
        <v>66</v>
      </c>
      <c r="D1276" s="4" t="s">
        <v>1502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1503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+VLOOKUP(G1276,Liste!$A$7:$G$69,3,FALSE)</f>
        <v>Chene_pedoncule</v>
      </c>
      <c r="BI1276" s="96" t="str">
        <f>+VLOOKUP(H1276,Liste!$B$7:$G$69,5,FALSE)</f>
        <v>Guide chênaie continentale</v>
      </c>
      <c r="BJ1276" s="135">
        <f t="shared" si="377"/>
        <v>70</v>
      </c>
      <c r="BK1276" s="135" t="str">
        <f t="shared" si="379"/>
        <v>Chene_pedoncule_F2_Dynamique_Guide chênaie continentale_70_</v>
      </c>
      <c r="BL1276" s="319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97" t="str">
        <f>+VLOOKUP(G1276,Liste!$A$7:$H$69,8,FALSE)</f>
        <v>Feuillus</v>
      </c>
      <c r="BU1276" s="297">
        <f t="shared" si="380"/>
        <v>1</v>
      </c>
      <c r="BV1276" s="299">
        <f t="shared" si="381"/>
        <v>0</v>
      </c>
      <c r="BW1276" s="318">
        <v>0</v>
      </c>
      <c r="BX1276" s="297">
        <f t="shared" si="382"/>
        <v>0.25</v>
      </c>
      <c r="BY1276">
        <f t="shared" si="383"/>
        <v>0</v>
      </c>
      <c r="BZ1276" s="303">
        <f t="shared" si="384"/>
        <v>0</v>
      </c>
      <c r="CB1276" s="298">
        <v>0.6</v>
      </c>
      <c r="CC1276" s="298">
        <v>0.4</v>
      </c>
      <c r="CD1276">
        <f t="shared" si="385"/>
        <v>0</v>
      </c>
      <c r="CE1276">
        <f t="shared" si="386"/>
        <v>0</v>
      </c>
      <c r="CF1276">
        <f t="shared" si="387"/>
        <v>0</v>
      </c>
      <c r="CG1276">
        <f t="shared" si="388"/>
        <v>0</v>
      </c>
      <c r="CH1276">
        <f t="shared" si="389"/>
        <v>0</v>
      </c>
      <c r="CI1276">
        <f t="shared" si="390"/>
        <v>0</v>
      </c>
      <c r="CJ1276">
        <f t="shared" si="391"/>
        <v>0</v>
      </c>
      <c r="CK1276">
        <f t="shared" si="392"/>
        <v>0</v>
      </c>
      <c r="CL1276">
        <f t="shared" si="393"/>
        <v>0</v>
      </c>
      <c r="CM1276">
        <f t="shared" si="395"/>
        <v>0</v>
      </c>
      <c r="CN1276">
        <f t="shared" si="394"/>
        <v>0</v>
      </c>
      <c r="CO1276">
        <f t="shared" si="378"/>
        <v>0</v>
      </c>
    </row>
    <row r="1277" spans="1:93" hidden="1" x14ac:dyDescent="0.25">
      <c r="A1277" s="4">
        <v>2021</v>
      </c>
      <c r="B1277" s="315">
        <v>44298</v>
      </c>
      <c r="C1277" s="4" t="s">
        <v>66</v>
      </c>
      <c r="D1277" s="4" t="s">
        <v>1502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1503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+VLOOKUP(G1277,Liste!$A$7:$G$69,3,FALSE)</f>
        <v>Chene_pedoncule</v>
      </c>
      <c r="BI1277" s="96" t="str">
        <f>+VLOOKUP(H1277,Liste!$B$7:$G$69,5,FALSE)</f>
        <v>Guide chênaie continentale</v>
      </c>
      <c r="BJ1277" s="135">
        <f t="shared" si="377"/>
        <v>73</v>
      </c>
      <c r="BK1277" s="135" t="str">
        <f t="shared" si="379"/>
        <v>Chene_pedoncule_F2_Dynamique_Guide chênaie continentale_73_</v>
      </c>
      <c r="BL1277" s="319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97" t="str">
        <f>+VLOOKUP(G1277,Liste!$A$7:$H$69,8,FALSE)</f>
        <v>Feuillus</v>
      </c>
      <c r="BU1277" s="297">
        <f t="shared" si="380"/>
        <v>1</v>
      </c>
      <c r="BV1277" s="299">
        <f t="shared" si="381"/>
        <v>0</v>
      </c>
      <c r="BW1277" s="318">
        <v>0</v>
      </c>
      <c r="BX1277" s="297">
        <f t="shared" si="382"/>
        <v>0.25</v>
      </c>
      <c r="BY1277">
        <f t="shared" si="383"/>
        <v>0</v>
      </c>
      <c r="BZ1277" s="303">
        <f t="shared" si="384"/>
        <v>0</v>
      </c>
      <c r="CB1277" s="298">
        <v>0.6</v>
      </c>
      <c r="CC1277" s="298">
        <v>0.4</v>
      </c>
      <c r="CD1277">
        <f t="shared" si="385"/>
        <v>0</v>
      </c>
      <c r="CE1277">
        <f t="shared" si="386"/>
        <v>0</v>
      </c>
      <c r="CF1277">
        <f t="shared" si="387"/>
        <v>0</v>
      </c>
      <c r="CG1277">
        <f t="shared" si="388"/>
        <v>0</v>
      </c>
      <c r="CH1277">
        <f t="shared" si="389"/>
        <v>0</v>
      </c>
      <c r="CI1277">
        <f t="shared" si="390"/>
        <v>0</v>
      </c>
      <c r="CJ1277">
        <f t="shared" si="391"/>
        <v>0</v>
      </c>
      <c r="CK1277">
        <f t="shared" si="392"/>
        <v>0</v>
      </c>
      <c r="CL1277">
        <f t="shared" si="393"/>
        <v>0</v>
      </c>
      <c r="CM1277">
        <f t="shared" si="395"/>
        <v>0</v>
      </c>
      <c r="CN1277">
        <f t="shared" si="394"/>
        <v>0</v>
      </c>
      <c r="CO1277">
        <f t="shared" si="378"/>
        <v>0</v>
      </c>
    </row>
    <row r="1278" spans="1:93" hidden="1" x14ac:dyDescent="0.25">
      <c r="A1278" s="4">
        <v>2021</v>
      </c>
      <c r="B1278" s="315">
        <v>44298</v>
      </c>
      <c r="C1278" s="4" t="s">
        <v>66</v>
      </c>
      <c r="D1278" s="4" t="s">
        <v>1502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1503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+VLOOKUP(G1278,Liste!$A$7:$G$69,3,FALSE)</f>
        <v>Chene_pedoncule</v>
      </c>
      <c r="BI1278" s="96" t="str">
        <f>+VLOOKUP(H1278,Liste!$B$7:$G$69,5,FALSE)</f>
        <v>Guide chênaie continentale</v>
      </c>
      <c r="BJ1278" s="135">
        <f t="shared" si="377"/>
        <v>75</v>
      </c>
      <c r="BK1278" s="135" t="str">
        <f t="shared" si="379"/>
        <v>Chene_pedoncule_F2_Dynamique_Guide chênaie continentale_75_</v>
      </c>
      <c r="BL1278" s="319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97" t="str">
        <f>+VLOOKUP(G1278,Liste!$A$7:$H$69,8,FALSE)</f>
        <v>Feuillus</v>
      </c>
      <c r="BU1278" s="297">
        <f t="shared" si="380"/>
        <v>1</v>
      </c>
      <c r="BV1278" s="299">
        <f t="shared" si="381"/>
        <v>0</v>
      </c>
      <c r="BW1278" s="318">
        <v>0</v>
      </c>
      <c r="BX1278" s="297">
        <f t="shared" si="382"/>
        <v>0.25</v>
      </c>
      <c r="BY1278">
        <f t="shared" si="383"/>
        <v>0</v>
      </c>
      <c r="BZ1278" s="303">
        <f t="shared" si="384"/>
        <v>0</v>
      </c>
      <c r="CB1278" s="298">
        <v>0.6</v>
      </c>
      <c r="CC1278" s="298">
        <v>0.4</v>
      </c>
      <c r="CD1278">
        <f t="shared" si="385"/>
        <v>0</v>
      </c>
      <c r="CE1278">
        <f t="shared" si="386"/>
        <v>0</v>
      </c>
      <c r="CF1278">
        <f t="shared" si="387"/>
        <v>0</v>
      </c>
      <c r="CG1278">
        <f t="shared" si="388"/>
        <v>0</v>
      </c>
      <c r="CH1278">
        <f t="shared" si="389"/>
        <v>0</v>
      </c>
      <c r="CI1278">
        <f t="shared" si="390"/>
        <v>0</v>
      </c>
      <c r="CJ1278">
        <f t="shared" si="391"/>
        <v>0</v>
      </c>
      <c r="CK1278">
        <f t="shared" si="392"/>
        <v>0</v>
      </c>
      <c r="CL1278">
        <f t="shared" si="393"/>
        <v>0</v>
      </c>
      <c r="CM1278">
        <f t="shared" si="395"/>
        <v>0</v>
      </c>
      <c r="CN1278">
        <f t="shared" si="394"/>
        <v>0</v>
      </c>
      <c r="CO1278">
        <f t="shared" si="378"/>
        <v>0</v>
      </c>
    </row>
    <row r="1279" spans="1:93" hidden="1" x14ac:dyDescent="0.25">
      <c r="A1279" s="4">
        <v>2021</v>
      </c>
      <c r="B1279" s="315">
        <v>44298</v>
      </c>
      <c r="C1279" s="4" t="s">
        <v>66</v>
      </c>
      <c r="D1279" s="4" t="s">
        <v>1502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1503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+VLOOKUP(G1279,Liste!$A$7:$G$69,3,FALSE)</f>
        <v>Chene_pedoncule</v>
      </c>
      <c r="BI1279" s="96" t="str">
        <f>+VLOOKUP(H1279,Liste!$B$7:$G$69,5,FALSE)</f>
        <v>Guide chênaie continentale</v>
      </c>
      <c r="BJ1279" s="135">
        <f t="shared" si="377"/>
        <v>75</v>
      </c>
      <c r="BK1279" s="135" t="str">
        <f t="shared" si="379"/>
        <v>Chene_pedoncule_F2_Dynamique_Guide chênaie continentale_75_</v>
      </c>
      <c r="BL1279" s="319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97" t="str">
        <f>+VLOOKUP(G1279,Liste!$A$7:$H$69,8,FALSE)</f>
        <v>Feuillus</v>
      </c>
      <c r="BU1279" s="297">
        <f t="shared" si="380"/>
        <v>1</v>
      </c>
      <c r="BV1279" s="299">
        <f t="shared" si="381"/>
        <v>0</v>
      </c>
      <c r="BW1279" s="318">
        <v>0</v>
      </c>
      <c r="BX1279" s="297">
        <f t="shared" si="382"/>
        <v>0.25</v>
      </c>
      <c r="BY1279">
        <f t="shared" si="383"/>
        <v>0</v>
      </c>
      <c r="BZ1279" s="303">
        <f t="shared" si="384"/>
        <v>0</v>
      </c>
      <c r="CB1279" s="298">
        <v>0.6</v>
      </c>
      <c r="CC1279" s="298">
        <v>0.4</v>
      </c>
      <c r="CD1279">
        <f t="shared" si="385"/>
        <v>0</v>
      </c>
      <c r="CE1279">
        <f t="shared" si="386"/>
        <v>0</v>
      </c>
      <c r="CF1279">
        <f t="shared" si="387"/>
        <v>0</v>
      </c>
      <c r="CG1279">
        <f t="shared" si="388"/>
        <v>0</v>
      </c>
      <c r="CH1279">
        <f t="shared" si="389"/>
        <v>0</v>
      </c>
      <c r="CI1279">
        <f t="shared" si="390"/>
        <v>0</v>
      </c>
      <c r="CJ1279">
        <f t="shared" si="391"/>
        <v>0</v>
      </c>
      <c r="CK1279">
        <f t="shared" si="392"/>
        <v>0</v>
      </c>
      <c r="CL1279">
        <f t="shared" si="393"/>
        <v>0</v>
      </c>
      <c r="CM1279">
        <f t="shared" si="395"/>
        <v>0</v>
      </c>
      <c r="CN1279">
        <f t="shared" si="394"/>
        <v>0</v>
      </c>
      <c r="CO1279">
        <f t="shared" si="378"/>
        <v>0</v>
      </c>
    </row>
    <row r="1280" spans="1:93" hidden="1" x14ac:dyDescent="0.25">
      <c r="A1280" s="4">
        <v>2021</v>
      </c>
      <c r="B1280" s="315">
        <v>44298</v>
      </c>
      <c r="C1280" s="4" t="s">
        <v>66</v>
      </c>
      <c r="D1280" s="4" t="s">
        <v>1502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1503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+VLOOKUP(G1280,Liste!$A$7:$G$69,3,FALSE)</f>
        <v>Chene_pedoncule</v>
      </c>
      <c r="BI1280" s="96" t="str">
        <f>+VLOOKUP(H1280,Liste!$B$7:$G$69,5,FALSE)</f>
        <v>Guide chênaie continentale</v>
      </c>
      <c r="BJ1280" s="135">
        <f t="shared" si="377"/>
        <v>78</v>
      </c>
      <c r="BK1280" s="135" t="str">
        <f t="shared" si="379"/>
        <v>Chene_pedoncule_F2_Dynamique_Guide chênaie continentale_78_</v>
      </c>
      <c r="BL1280" s="319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97" t="str">
        <f>+VLOOKUP(G1280,Liste!$A$7:$H$69,8,FALSE)</f>
        <v>Feuillus</v>
      </c>
      <c r="BU1280" s="297">
        <f t="shared" si="380"/>
        <v>1</v>
      </c>
      <c r="BV1280" s="299">
        <f t="shared" si="381"/>
        <v>0</v>
      </c>
      <c r="BW1280" s="318">
        <v>0</v>
      </c>
      <c r="BX1280" s="297">
        <f t="shared" si="382"/>
        <v>0.25</v>
      </c>
      <c r="BY1280">
        <f t="shared" si="383"/>
        <v>0</v>
      </c>
      <c r="BZ1280" s="303">
        <f t="shared" si="384"/>
        <v>0</v>
      </c>
      <c r="CB1280" s="298">
        <v>0.6</v>
      </c>
      <c r="CC1280" s="298">
        <v>0.4</v>
      </c>
      <c r="CD1280">
        <f t="shared" si="385"/>
        <v>0</v>
      </c>
      <c r="CE1280">
        <f t="shared" si="386"/>
        <v>0</v>
      </c>
      <c r="CF1280">
        <f t="shared" si="387"/>
        <v>0</v>
      </c>
      <c r="CG1280">
        <f t="shared" si="388"/>
        <v>0</v>
      </c>
      <c r="CH1280">
        <f t="shared" si="389"/>
        <v>0</v>
      </c>
      <c r="CI1280">
        <f t="shared" si="390"/>
        <v>0</v>
      </c>
      <c r="CJ1280">
        <f t="shared" si="391"/>
        <v>0</v>
      </c>
      <c r="CK1280">
        <f t="shared" si="392"/>
        <v>0</v>
      </c>
      <c r="CL1280">
        <f t="shared" si="393"/>
        <v>0</v>
      </c>
      <c r="CM1280">
        <f t="shared" si="395"/>
        <v>0</v>
      </c>
      <c r="CN1280">
        <f t="shared" si="394"/>
        <v>0</v>
      </c>
      <c r="CO1280">
        <f t="shared" si="378"/>
        <v>0</v>
      </c>
    </row>
    <row r="1281" spans="1:93" hidden="1" x14ac:dyDescent="0.25">
      <c r="A1281" s="4">
        <v>2021</v>
      </c>
      <c r="B1281" s="315">
        <v>44298</v>
      </c>
      <c r="C1281" s="4" t="s">
        <v>66</v>
      </c>
      <c r="D1281" s="4" t="s">
        <v>1502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1503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+VLOOKUP(G1281,Liste!$A$7:$G$69,3,FALSE)</f>
        <v>Chene_pedoncule</v>
      </c>
      <c r="BI1281" s="96" t="str">
        <f>+VLOOKUP(H1281,Liste!$B$7:$G$69,5,FALSE)</f>
        <v>Guide chênaie continentale</v>
      </c>
      <c r="BJ1281" s="135">
        <f t="shared" si="377"/>
        <v>81</v>
      </c>
      <c r="BK1281" s="135" t="str">
        <f t="shared" si="379"/>
        <v>Chene_pedoncule_F2_Dynamique_Guide chênaie continentale_81_</v>
      </c>
      <c r="BL1281" s="319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97" t="str">
        <f>+VLOOKUP(G1281,Liste!$A$7:$H$69,8,FALSE)</f>
        <v>Feuillus</v>
      </c>
      <c r="BU1281" s="297">
        <f t="shared" si="380"/>
        <v>1</v>
      </c>
      <c r="BV1281" s="299">
        <f t="shared" si="381"/>
        <v>0</v>
      </c>
      <c r="BW1281" s="318">
        <v>0</v>
      </c>
      <c r="BX1281" s="297">
        <f t="shared" si="382"/>
        <v>0.25</v>
      </c>
      <c r="BY1281">
        <f t="shared" si="383"/>
        <v>0</v>
      </c>
      <c r="BZ1281" s="303">
        <f t="shared" si="384"/>
        <v>0</v>
      </c>
      <c r="CB1281" s="298">
        <v>0.6</v>
      </c>
      <c r="CC1281" s="298">
        <v>0.4</v>
      </c>
      <c r="CD1281">
        <f t="shared" si="385"/>
        <v>0</v>
      </c>
      <c r="CE1281">
        <f t="shared" si="386"/>
        <v>0</v>
      </c>
      <c r="CF1281">
        <f t="shared" si="387"/>
        <v>0</v>
      </c>
      <c r="CG1281">
        <f t="shared" si="388"/>
        <v>0</v>
      </c>
      <c r="CH1281">
        <f t="shared" si="389"/>
        <v>0</v>
      </c>
      <c r="CI1281">
        <f t="shared" si="390"/>
        <v>0</v>
      </c>
      <c r="CJ1281">
        <f t="shared" si="391"/>
        <v>0</v>
      </c>
      <c r="CK1281">
        <f t="shared" si="392"/>
        <v>0</v>
      </c>
      <c r="CL1281">
        <f t="shared" si="393"/>
        <v>0</v>
      </c>
      <c r="CM1281">
        <f t="shared" si="395"/>
        <v>0</v>
      </c>
      <c r="CN1281">
        <f t="shared" si="394"/>
        <v>0</v>
      </c>
      <c r="CO1281">
        <f t="shared" si="378"/>
        <v>0</v>
      </c>
    </row>
    <row r="1282" spans="1:93" hidden="1" x14ac:dyDescent="0.25">
      <c r="A1282" s="4">
        <v>2021</v>
      </c>
      <c r="B1282" s="315">
        <v>44298</v>
      </c>
      <c r="C1282" s="4" t="s">
        <v>66</v>
      </c>
      <c r="D1282" s="4" t="s">
        <v>1502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1503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+VLOOKUP(G1282,Liste!$A$7:$G$69,3,FALSE)</f>
        <v>Chene_pedoncule</v>
      </c>
      <c r="BI1282" s="96" t="str">
        <f>+VLOOKUP(H1282,Liste!$B$7:$G$69,5,FALSE)</f>
        <v>Guide chênaie continentale</v>
      </c>
      <c r="BJ1282" s="135">
        <f t="shared" si="377"/>
        <v>83</v>
      </c>
      <c r="BK1282" s="135" t="str">
        <f t="shared" si="379"/>
        <v>Chene_pedoncule_F2_Dynamique_Guide chênaie continentale_83_</v>
      </c>
      <c r="BL1282" s="319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97" t="str">
        <f>+VLOOKUP(G1282,Liste!$A$7:$H$69,8,FALSE)</f>
        <v>Feuillus</v>
      </c>
      <c r="BU1282" s="297">
        <f t="shared" si="380"/>
        <v>1</v>
      </c>
      <c r="BV1282" s="299">
        <f t="shared" si="381"/>
        <v>0</v>
      </c>
      <c r="BW1282" s="318">
        <v>0</v>
      </c>
      <c r="BX1282" s="297">
        <f t="shared" si="382"/>
        <v>0.25</v>
      </c>
      <c r="BY1282">
        <f t="shared" si="383"/>
        <v>0</v>
      </c>
      <c r="BZ1282" s="303">
        <f t="shared" si="384"/>
        <v>0</v>
      </c>
      <c r="CB1282" s="298">
        <v>0.6</v>
      </c>
      <c r="CC1282" s="298">
        <v>0.4</v>
      </c>
      <c r="CD1282">
        <f t="shared" si="385"/>
        <v>0</v>
      </c>
      <c r="CE1282">
        <f t="shared" si="386"/>
        <v>0</v>
      </c>
      <c r="CF1282">
        <f t="shared" si="387"/>
        <v>0</v>
      </c>
      <c r="CG1282">
        <f t="shared" si="388"/>
        <v>0</v>
      </c>
      <c r="CH1282">
        <f t="shared" si="389"/>
        <v>0</v>
      </c>
      <c r="CI1282">
        <f t="shared" si="390"/>
        <v>0</v>
      </c>
      <c r="CJ1282">
        <f t="shared" si="391"/>
        <v>0</v>
      </c>
      <c r="CK1282">
        <f t="shared" si="392"/>
        <v>0</v>
      </c>
      <c r="CL1282">
        <f t="shared" si="393"/>
        <v>0</v>
      </c>
      <c r="CM1282">
        <f t="shared" si="395"/>
        <v>0</v>
      </c>
      <c r="CN1282">
        <f t="shared" si="394"/>
        <v>0</v>
      </c>
      <c r="CO1282">
        <f t="shared" si="378"/>
        <v>0</v>
      </c>
    </row>
    <row r="1283" spans="1:93" hidden="1" x14ac:dyDescent="0.25">
      <c r="A1283" s="4">
        <v>2021</v>
      </c>
      <c r="B1283" s="315">
        <v>44298</v>
      </c>
      <c r="C1283" s="4" t="s">
        <v>66</v>
      </c>
      <c r="D1283" s="4" t="s">
        <v>1502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1503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+VLOOKUP(G1283,Liste!$A$7:$G$69,3,FALSE)</f>
        <v>Chene_pedoncule</v>
      </c>
      <c r="BI1283" s="96" t="str">
        <f>+VLOOKUP(H1283,Liste!$B$7:$G$69,5,FALSE)</f>
        <v>Guide chênaie continentale</v>
      </c>
      <c r="BJ1283" s="135">
        <f t="shared" ref="BJ1283:BJ1346" si="396">+AC1283</f>
        <v>83</v>
      </c>
      <c r="BK1283" s="135" t="str">
        <f t="shared" si="379"/>
        <v>Chene_pedoncule_F2_Dynamique_Guide chênaie continentale_83_</v>
      </c>
      <c r="BL1283" s="319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97" t="str">
        <f>+VLOOKUP(G1283,Liste!$A$7:$H$69,8,FALSE)</f>
        <v>Feuillus</v>
      </c>
      <c r="BU1283" s="297">
        <f t="shared" si="380"/>
        <v>1</v>
      </c>
      <c r="BV1283" s="299">
        <f t="shared" si="381"/>
        <v>0</v>
      </c>
      <c r="BW1283" s="318">
        <v>0</v>
      </c>
      <c r="BX1283" s="297">
        <f t="shared" si="382"/>
        <v>0.25</v>
      </c>
      <c r="BY1283">
        <f t="shared" si="383"/>
        <v>0</v>
      </c>
      <c r="BZ1283" s="303">
        <f t="shared" si="384"/>
        <v>0</v>
      </c>
      <c r="CB1283" s="298">
        <v>0.6</v>
      </c>
      <c r="CC1283" s="298">
        <v>0.4</v>
      </c>
      <c r="CD1283">
        <f t="shared" si="385"/>
        <v>0</v>
      </c>
      <c r="CE1283">
        <f t="shared" si="386"/>
        <v>0</v>
      </c>
      <c r="CF1283">
        <f t="shared" si="387"/>
        <v>0</v>
      </c>
      <c r="CG1283">
        <f t="shared" si="388"/>
        <v>0</v>
      </c>
      <c r="CH1283">
        <f t="shared" si="389"/>
        <v>0</v>
      </c>
      <c r="CI1283">
        <f t="shared" si="390"/>
        <v>0</v>
      </c>
      <c r="CJ1283">
        <f t="shared" si="391"/>
        <v>0</v>
      </c>
      <c r="CK1283">
        <f t="shared" si="392"/>
        <v>0</v>
      </c>
      <c r="CL1283">
        <f t="shared" si="393"/>
        <v>0</v>
      </c>
      <c r="CM1283">
        <f t="shared" si="395"/>
        <v>0</v>
      </c>
      <c r="CN1283">
        <f t="shared" si="394"/>
        <v>0</v>
      </c>
      <c r="CO1283">
        <f t="shared" ref="CO1283:CO1346" si="397">+IF(BJ1283=30,CN1283/30,0)</f>
        <v>0</v>
      </c>
    </row>
    <row r="1284" spans="1:93" hidden="1" x14ac:dyDescent="0.25">
      <c r="A1284" s="4">
        <v>2021</v>
      </c>
      <c r="B1284" s="315">
        <v>44298</v>
      </c>
      <c r="C1284" s="4" t="s">
        <v>66</v>
      </c>
      <c r="D1284" s="4" t="s">
        <v>1502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1503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+VLOOKUP(G1284,Liste!$A$7:$G$69,3,FALSE)</f>
        <v>Chene_pedoncule</v>
      </c>
      <c r="BI1284" s="96" t="str">
        <f>+VLOOKUP(H1284,Liste!$B$7:$G$69,5,FALSE)</f>
        <v>Guide chênaie continentale</v>
      </c>
      <c r="BJ1284" s="135">
        <f t="shared" si="396"/>
        <v>86</v>
      </c>
      <c r="BK1284" s="135" t="str">
        <f t="shared" ref="BK1284:BK1347" si="398">+_xlfn.CONCAT(BH1284,"_",J1284,"_",I1284,"_",BI1284,"_",BJ1284,"_")</f>
        <v>Chene_pedoncule_F2_Dynamique_Guide chênaie continentale_86_</v>
      </c>
      <c r="BL1284" s="319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97" t="str">
        <f>+VLOOKUP(G1284,Liste!$A$7:$H$69,8,FALSE)</f>
        <v>Feuillus</v>
      </c>
      <c r="BU1284" s="297">
        <f t="shared" ref="BU1284:BU1347" si="399">IF(BT1284="Résineux",0%,100%)</f>
        <v>1</v>
      </c>
      <c r="BV1284" s="299">
        <f t="shared" ref="BV1284:BV1347" si="400">+IF(BT1284="Résineux",100%,0%)</f>
        <v>0</v>
      </c>
      <c r="BW1284" s="318">
        <v>0</v>
      </c>
      <c r="BX1284" s="297">
        <f t="shared" ref="BX1284:BX1347" si="401">+IF(BV1284&lt;&gt;0,0.43,0.25)</f>
        <v>0.25</v>
      </c>
      <c r="BY1284">
        <f t="shared" ref="BY1284:BY1347" si="402">+IF(BJ1284&lt;=30,AV1284*BX1284,0)</f>
        <v>0</v>
      </c>
      <c r="BZ1284" s="303">
        <f t="shared" ref="BZ1284:BZ1347" si="403">+IF(BJ1284&gt;=31,0,BY1284+BZ1283)</f>
        <v>0</v>
      </c>
      <c r="CB1284" s="298">
        <v>0.6</v>
      </c>
      <c r="CC1284" s="298">
        <v>0.4</v>
      </c>
      <c r="CD1284">
        <f t="shared" ref="CD1284:CD1347" si="404">+IF(BJ1284&lt;=31,AV1284*CA1284*0.5,0)</f>
        <v>0</v>
      </c>
      <c r="CE1284">
        <f t="shared" ref="CE1284:CE1347" si="405">IF(BJ1284&lt;=31,AV1284*CB1284,0)</f>
        <v>0</v>
      </c>
      <c r="CF1284">
        <f t="shared" ref="CF1284:CF1347" si="406">IF(BJ1284&lt;=31,AV1284*CC1284,0)</f>
        <v>0</v>
      </c>
      <c r="CG1284">
        <f t="shared" ref="CG1284:CG1347" si="407">CD1284*44/12*0.475*BF1284</f>
        <v>0</v>
      </c>
      <c r="CH1284">
        <f t="shared" ref="CH1284:CH1347" si="408">CE1284*44/12*0.475*BF1284</f>
        <v>0</v>
      </c>
      <c r="CI1284">
        <f t="shared" ref="CI1284:CI1347" si="409">CF1284*44/12*0.475*BF1284</f>
        <v>0</v>
      </c>
      <c r="CJ1284">
        <f t="shared" ref="CJ1284:CJ1347" si="410">+IF(BJ1284&lt;=31,CJ1283*EXP(-$CJ$1)+CG1283*(1-EXP(-$CJ$1))/$CJ$1,0)</f>
        <v>0</v>
      </c>
      <c r="CK1284">
        <f t="shared" ref="CK1284:CK1347" si="411">+IF(BJ1284&lt;=31,CK1283*EXP(-$CK$1)+CH1283*(1-EXP(-$CK$1))/$CK$1,0)</f>
        <v>0</v>
      </c>
      <c r="CL1284">
        <f t="shared" ref="CL1284:CL1347" si="412">+IF(BJ1284&lt;=31,CL1283*EXP(-$CL$1)+CI1283*(1-EXP(-$CL$1))/$CL$1,0)</f>
        <v>0</v>
      </c>
      <c r="CM1284">
        <f t="shared" si="395"/>
        <v>0</v>
      </c>
      <c r="CN1284">
        <f t="shared" ref="CN1284:CN1347" si="413">+IF(BJ1284&lt;=31,CM1284+CN1283,0)</f>
        <v>0</v>
      </c>
      <c r="CO1284">
        <f t="shared" si="397"/>
        <v>0</v>
      </c>
    </row>
    <row r="1285" spans="1:93" hidden="1" x14ac:dyDescent="0.25">
      <c r="A1285" s="4">
        <v>2021</v>
      </c>
      <c r="B1285" s="315">
        <v>44298</v>
      </c>
      <c r="C1285" s="4" t="s">
        <v>66</v>
      </c>
      <c r="D1285" s="4" t="s">
        <v>1502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1503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+VLOOKUP(G1285,Liste!$A$7:$G$69,3,FALSE)</f>
        <v>Chene_pedoncule</v>
      </c>
      <c r="BI1285" s="96" t="str">
        <f>+VLOOKUP(H1285,Liste!$B$7:$G$69,5,FALSE)</f>
        <v>Guide chênaie continentale</v>
      </c>
      <c r="BJ1285" s="135">
        <f t="shared" si="396"/>
        <v>89</v>
      </c>
      <c r="BK1285" s="135" t="str">
        <f t="shared" si="398"/>
        <v>Chene_pedoncule_F2_Dynamique_Guide chênaie continentale_89_</v>
      </c>
      <c r="BL1285" s="319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97" t="str">
        <f>+VLOOKUP(G1285,Liste!$A$7:$H$69,8,FALSE)</f>
        <v>Feuillus</v>
      </c>
      <c r="BU1285" s="297">
        <f t="shared" si="399"/>
        <v>1</v>
      </c>
      <c r="BV1285" s="299">
        <f t="shared" si="400"/>
        <v>0</v>
      </c>
      <c r="BW1285" s="318">
        <v>0</v>
      </c>
      <c r="BX1285" s="297">
        <f t="shared" si="401"/>
        <v>0.25</v>
      </c>
      <c r="BY1285">
        <f t="shared" si="402"/>
        <v>0</v>
      </c>
      <c r="BZ1285" s="303">
        <f t="shared" si="403"/>
        <v>0</v>
      </c>
      <c r="CB1285" s="298">
        <v>0.6</v>
      </c>
      <c r="CC1285" s="298">
        <v>0.4</v>
      </c>
      <c r="CD1285">
        <f t="shared" si="404"/>
        <v>0</v>
      </c>
      <c r="CE1285">
        <f t="shared" si="405"/>
        <v>0</v>
      </c>
      <c r="CF1285">
        <f t="shared" si="406"/>
        <v>0</v>
      </c>
      <c r="CG1285">
        <f t="shared" si="407"/>
        <v>0</v>
      </c>
      <c r="CH1285">
        <f t="shared" si="408"/>
        <v>0</v>
      </c>
      <c r="CI1285">
        <f t="shared" si="409"/>
        <v>0</v>
      </c>
      <c r="CJ1285">
        <f t="shared" si="410"/>
        <v>0</v>
      </c>
      <c r="CK1285">
        <f t="shared" si="411"/>
        <v>0</v>
      </c>
      <c r="CL1285">
        <f t="shared" si="412"/>
        <v>0</v>
      </c>
      <c r="CM1285">
        <f t="shared" ref="CM1285:CM1348" si="414">+CJ1285+CK1285+CL1285</f>
        <v>0</v>
      </c>
      <c r="CN1285">
        <f t="shared" si="413"/>
        <v>0</v>
      </c>
      <c r="CO1285">
        <f t="shared" si="397"/>
        <v>0</v>
      </c>
    </row>
    <row r="1286" spans="1:93" hidden="1" x14ac:dyDescent="0.25">
      <c r="A1286" s="4">
        <v>2021</v>
      </c>
      <c r="B1286" s="315">
        <v>44298</v>
      </c>
      <c r="C1286" s="4" t="s">
        <v>66</v>
      </c>
      <c r="D1286" s="4" t="s">
        <v>1502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1503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+VLOOKUP(G1286,Liste!$A$7:$G$69,3,FALSE)</f>
        <v>Chene_pedoncule</v>
      </c>
      <c r="BI1286" s="96" t="str">
        <f>+VLOOKUP(H1286,Liste!$B$7:$G$69,5,FALSE)</f>
        <v>Guide chênaie continentale</v>
      </c>
      <c r="BJ1286" s="135">
        <f t="shared" si="396"/>
        <v>93</v>
      </c>
      <c r="BK1286" s="135" t="str">
        <f t="shared" si="398"/>
        <v>Chene_pedoncule_F2_Dynamique_Guide chênaie continentale_93_</v>
      </c>
      <c r="BL1286" s="319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97" t="str">
        <f>+VLOOKUP(G1286,Liste!$A$7:$H$69,8,FALSE)</f>
        <v>Feuillus</v>
      </c>
      <c r="BU1286" s="297">
        <f t="shared" si="399"/>
        <v>1</v>
      </c>
      <c r="BV1286" s="299">
        <f t="shared" si="400"/>
        <v>0</v>
      </c>
      <c r="BW1286" s="318">
        <v>0</v>
      </c>
      <c r="BX1286" s="297">
        <f t="shared" si="401"/>
        <v>0.25</v>
      </c>
      <c r="BY1286">
        <f t="shared" si="402"/>
        <v>0</v>
      </c>
      <c r="BZ1286" s="303">
        <f t="shared" si="403"/>
        <v>0</v>
      </c>
      <c r="CB1286" s="298">
        <v>0.6</v>
      </c>
      <c r="CC1286" s="298">
        <v>0.4</v>
      </c>
      <c r="CD1286">
        <f t="shared" si="404"/>
        <v>0</v>
      </c>
      <c r="CE1286">
        <f t="shared" si="405"/>
        <v>0</v>
      </c>
      <c r="CF1286">
        <f t="shared" si="406"/>
        <v>0</v>
      </c>
      <c r="CG1286">
        <f t="shared" si="407"/>
        <v>0</v>
      </c>
      <c r="CH1286">
        <f t="shared" si="408"/>
        <v>0</v>
      </c>
      <c r="CI1286">
        <f t="shared" si="409"/>
        <v>0</v>
      </c>
      <c r="CJ1286">
        <f t="shared" si="410"/>
        <v>0</v>
      </c>
      <c r="CK1286">
        <f t="shared" si="411"/>
        <v>0</v>
      </c>
      <c r="CL1286">
        <f t="shared" si="412"/>
        <v>0</v>
      </c>
      <c r="CM1286">
        <f t="shared" si="414"/>
        <v>0</v>
      </c>
      <c r="CN1286">
        <f t="shared" si="413"/>
        <v>0</v>
      </c>
      <c r="CO1286">
        <f t="shared" si="397"/>
        <v>0</v>
      </c>
    </row>
    <row r="1287" spans="1:93" hidden="1" x14ac:dyDescent="0.25">
      <c r="A1287" s="4">
        <v>2021</v>
      </c>
      <c r="B1287" s="315">
        <v>44298</v>
      </c>
      <c r="C1287" s="4" t="s">
        <v>66</v>
      </c>
      <c r="D1287" s="4" t="s">
        <v>1502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1503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+VLOOKUP(G1287,Liste!$A$7:$G$69,3,FALSE)</f>
        <v>Chene_pedoncule</v>
      </c>
      <c r="BI1287" s="96" t="str">
        <f>+VLOOKUP(H1287,Liste!$B$7:$G$69,5,FALSE)</f>
        <v>Guide chênaie continentale</v>
      </c>
      <c r="BJ1287" s="135">
        <f t="shared" si="396"/>
        <v>93</v>
      </c>
      <c r="BK1287" s="135" t="str">
        <f t="shared" si="398"/>
        <v>Chene_pedoncule_F2_Dynamique_Guide chênaie continentale_93_</v>
      </c>
      <c r="BL1287" s="319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97" t="str">
        <f>+VLOOKUP(G1287,Liste!$A$7:$H$69,8,FALSE)</f>
        <v>Feuillus</v>
      </c>
      <c r="BU1287" s="297">
        <f t="shared" si="399"/>
        <v>1</v>
      </c>
      <c r="BV1287" s="299">
        <f t="shared" si="400"/>
        <v>0</v>
      </c>
      <c r="BW1287" s="318">
        <v>0</v>
      </c>
      <c r="BX1287" s="297">
        <f t="shared" si="401"/>
        <v>0.25</v>
      </c>
      <c r="BY1287">
        <f t="shared" si="402"/>
        <v>0</v>
      </c>
      <c r="BZ1287" s="303">
        <f t="shared" si="403"/>
        <v>0</v>
      </c>
      <c r="CB1287" s="298">
        <v>0.6</v>
      </c>
      <c r="CC1287" s="298">
        <v>0.4</v>
      </c>
      <c r="CD1287">
        <f t="shared" si="404"/>
        <v>0</v>
      </c>
      <c r="CE1287">
        <f t="shared" si="405"/>
        <v>0</v>
      </c>
      <c r="CF1287">
        <f t="shared" si="406"/>
        <v>0</v>
      </c>
      <c r="CG1287">
        <f t="shared" si="407"/>
        <v>0</v>
      </c>
      <c r="CH1287">
        <f t="shared" si="408"/>
        <v>0</v>
      </c>
      <c r="CI1287">
        <f t="shared" si="409"/>
        <v>0</v>
      </c>
      <c r="CJ1287">
        <f t="shared" si="410"/>
        <v>0</v>
      </c>
      <c r="CK1287">
        <f t="shared" si="411"/>
        <v>0</v>
      </c>
      <c r="CL1287">
        <f t="shared" si="412"/>
        <v>0</v>
      </c>
      <c r="CM1287">
        <f t="shared" si="414"/>
        <v>0</v>
      </c>
      <c r="CN1287">
        <f t="shared" si="413"/>
        <v>0</v>
      </c>
      <c r="CO1287">
        <f t="shared" si="397"/>
        <v>0</v>
      </c>
    </row>
    <row r="1288" spans="1:93" hidden="1" x14ac:dyDescent="0.25">
      <c r="A1288" s="4">
        <v>2021</v>
      </c>
      <c r="B1288" s="315">
        <v>44298</v>
      </c>
      <c r="C1288" s="4" t="s">
        <v>66</v>
      </c>
      <c r="D1288" s="4" t="s">
        <v>1502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1503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+VLOOKUP(G1288,Liste!$A$7:$G$69,3,FALSE)</f>
        <v>Chene_pedoncule</v>
      </c>
      <c r="BI1288" s="96" t="str">
        <f>+VLOOKUP(H1288,Liste!$B$7:$G$69,5,FALSE)</f>
        <v>Guide chênaie continentale</v>
      </c>
      <c r="BJ1288" s="135">
        <f t="shared" si="396"/>
        <v>96</v>
      </c>
      <c r="BK1288" s="135" t="str">
        <f t="shared" si="398"/>
        <v>Chene_pedoncule_F2_Dynamique_Guide chênaie continentale_96_</v>
      </c>
      <c r="BL1288" s="319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97" t="str">
        <f>+VLOOKUP(G1288,Liste!$A$7:$H$69,8,FALSE)</f>
        <v>Feuillus</v>
      </c>
      <c r="BU1288" s="297">
        <f t="shared" si="399"/>
        <v>1</v>
      </c>
      <c r="BV1288" s="299">
        <f t="shared" si="400"/>
        <v>0</v>
      </c>
      <c r="BW1288" s="318">
        <v>0</v>
      </c>
      <c r="BX1288" s="297">
        <f t="shared" si="401"/>
        <v>0.25</v>
      </c>
      <c r="BY1288">
        <f t="shared" si="402"/>
        <v>0</v>
      </c>
      <c r="BZ1288" s="303">
        <f t="shared" si="403"/>
        <v>0</v>
      </c>
      <c r="CB1288" s="298">
        <v>0.6</v>
      </c>
      <c r="CC1288" s="298">
        <v>0.4</v>
      </c>
      <c r="CD1288">
        <f t="shared" si="404"/>
        <v>0</v>
      </c>
      <c r="CE1288">
        <f t="shared" si="405"/>
        <v>0</v>
      </c>
      <c r="CF1288">
        <f t="shared" si="406"/>
        <v>0</v>
      </c>
      <c r="CG1288">
        <f t="shared" si="407"/>
        <v>0</v>
      </c>
      <c r="CH1288">
        <f t="shared" si="408"/>
        <v>0</v>
      </c>
      <c r="CI1288">
        <f t="shared" si="409"/>
        <v>0</v>
      </c>
      <c r="CJ1288">
        <f t="shared" si="410"/>
        <v>0</v>
      </c>
      <c r="CK1288">
        <f t="shared" si="411"/>
        <v>0</v>
      </c>
      <c r="CL1288">
        <f t="shared" si="412"/>
        <v>0</v>
      </c>
      <c r="CM1288">
        <f t="shared" si="414"/>
        <v>0</v>
      </c>
      <c r="CN1288">
        <f t="shared" si="413"/>
        <v>0</v>
      </c>
      <c r="CO1288">
        <f t="shared" si="397"/>
        <v>0</v>
      </c>
    </row>
    <row r="1289" spans="1:93" hidden="1" x14ac:dyDescent="0.25">
      <c r="A1289" s="4">
        <v>2021</v>
      </c>
      <c r="B1289" s="315">
        <v>44298</v>
      </c>
      <c r="C1289" s="4" t="s">
        <v>66</v>
      </c>
      <c r="D1289" s="4" t="s">
        <v>1502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1503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+VLOOKUP(G1289,Liste!$A$7:$G$69,3,FALSE)</f>
        <v>Chene_pedoncule</v>
      </c>
      <c r="BI1289" s="96" t="str">
        <f>+VLOOKUP(H1289,Liste!$B$7:$G$69,5,FALSE)</f>
        <v>Guide chênaie continentale</v>
      </c>
      <c r="BJ1289" s="135">
        <f t="shared" si="396"/>
        <v>99</v>
      </c>
      <c r="BK1289" s="135" t="str">
        <f t="shared" si="398"/>
        <v>Chene_pedoncule_F2_Dynamique_Guide chênaie continentale_99_</v>
      </c>
      <c r="BL1289" s="319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97" t="str">
        <f>+VLOOKUP(G1289,Liste!$A$7:$H$69,8,FALSE)</f>
        <v>Feuillus</v>
      </c>
      <c r="BU1289" s="297">
        <f t="shared" si="399"/>
        <v>1</v>
      </c>
      <c r="BV1289" s="299">
        <f t="shared" si="400"/>
        <v>0</v>
      </c>
      <c r="BW1289" s="318">
        <v>0</v>
      </c>
      <c r="BX1289" s="297">
        <f t="shared" si="401"/>
        <v>0.25</v>
      </c>
      <c r="BY1289">
        <f t="shared" si="402"/>
        <v>0</v>
      </c>
      <c r="BZ1289" s="303">
        <f t="shared" si="403"/>
        <v>0</v>
      </c>
      <c r="CB1289" s="298">
        <v>0.6</v>
      </c>
      <c r="CC1289" s="298">
        <v>0.4</v>
      </c>
      <c r="CD1289">
        <f t="shared" si="404"/>
        <v>0</v>
      </c>
      <c r="CE1289">
        <f t="shared" si="405"/>
        <v>0</v>
      </c>
      <c r="CF1289">
        <f t="shared" si="406"/>
        <v>0</v>
      </c>
      <c r="CG1289">
        <f t="shared" si="407"/>
        <v>0</v>
      </c>
      <c r="CH1289">
        <f t="shared" si="408"/>
        <v>0</v>
      </c>
      <c r="CI1289">
        <f t="shared" si="409"/>
        <v>0</v>
      </c>
      <c r="CJ1289">
        <f t="shared" si="410"/>
        <v>0</v>
      </c>
      <c r="CK1289">
        <f t="shared" si="411"/>
        <v>0</v>
      </c>
      <c r="CL1289">
        <f t="shared" si="412"/>
        <v>0</v>
      </c>
      <c r="CM1289">
        <f t="shared" si="414"/>
        <v>0</v>
      </c>
      <c r="CN1289">
        <f t="shared" si="413"/>
        <v>0</v>
      </c>
      <c r="CO1289">
        <f t="shared" si="397"/>
        <v>0</v>
      </c>
    </row>
    <row r="1290" spans="1:93" hidden="1" x14ac:dyDescent="0.25">
      <c r="A1290" s="4">
        <v>2021</v>
      </c>
      <c r="B1290" s="315">
        <v>44298</v>
      </c>
      <c r="C1290" s="4" t="s">
        <v>66</v>
      </c>
      <c r="D1290" s="4" t="s">
        <v>1502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1503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+VLOOKUP(G1290,Liste!$A$7:$G$69,3,FALSE)</f>
        <v>Chene_pedoncule</v>
      </c>
      <c r="BI1290" s="96" t="str">
        <f>+VLOOKUP(H1290,Liste!$B$7:$G$69,5,FALSE)</f>
        <v>Guide chênaie continentale</v>
      </c>
      <c r="BJ1290" s="135">
        <f t="shared" si="396"/>
        <v>103</v>
      </c>
      <c r="BK1290" s="135" t="str">
        <f t="shared" si="398"/>
        <v>Chene_pedoncule_F2_Dynamique_Guide chênaie continentale_103_</v>
      </c>
      <c r="BL1290" s="319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97" t="str">
        <f>+VLOOKUP(G1290,Liste!$A$7:$H$69,8,FALSE)</f>
        <v>Feuillus</v>
      </c>
      <c r="BU1290" s="297">
        <f t="shared" si="399"/>
        <v>1</v>
      </c>
      <c r="BV1290" s="299">
        <f t="shared" si="400"/>
        <v>0</v>
      </c>
      <c r="BW1290" s="318">
        <v>0</v>
      </c>
      <c r="BX1290" s="297">
        <f t="shared" si="401"/>
        <v>0.25</v>
      </c>
      <c r="BY1290">
        <f t="shared" si="402"/>
        <v>0</v>
      </c>
      <c r="BZ1290" s="303">
        <f t="shared" si="403"/>
        <v>0</v>
      </c>
      <c r="CB1290" s="298">
        <v>0.6</v>
      </c>
      <c r="CC1290" s="298">
        <v>0.4</v>
      </c>
      <c r="CD1290">
        <f t="shared" si="404"/>
        <v>0</v>
      </c>
      <c r="CE1290">
        <f t="shared" si="405"/>
        <v>0</v>
      </c>
      <c r="CF1290">
        <f t="shared" si="406"/>
        <v>0</v>
      </c>
      <c r="CG1290">
        <f t="shared" si="407"/>
        <v>0</v>
      </c>
      <c r="CH1290">
        <f t="shared" si="408"/>
        <v>0</v>
      </c>
      <c r="CI1290">
        <f t="shared" si="409"/>
        <v>0</v>
      </c>
      <c r="CJ1290">
        <f t="shared" si="410"/>
        <v>0</v>
      </c>
      <c r="CK1290">
        <f t="shared" si="411"/>
        <v>0</v>
      </c>
      <c r="CL1290">
        <f t="shared" si="412"/>
        <v>0</v>
      </c>
      <c r="CM1290">
        <f t="shared" si="414"/>
        <v>0</v>
      </c>
      <c r="CN1290">
        <f t="shared" si="413"/>
        <v>0</v>
      </c>
      <c r="CO1290">
        <f t="shared" si="397"/>
        <v>0</v>
      </c>
    </row>
    <row r="1291" spans="1:93" hidden="1" x14ac:dyDescent="0.25">
      <c r="A1291" s="4">
        <v>2021</v>
      </c>
      <c r="B1291" s="315">
        <v>44298</v>
      </c>
      <c r="C1291" s="4" t="s">
        <v>66</v>
      </c>
      <c r="D1291" s="4" t="s">
        <v>1502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1503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+VLOOKUP(G1291,Liste!$A$7:$G$69,3,FALSE)</f>
        <v>Chene_pedoncule</v>
      </c>
      <c r="BI1291" s="96" t="str">
        <f>+VLOOKUP(H1291,Liste!$B$7:$G$69,5,FALSE)</f>
        <v>Guide chênaie continentale</v>
      </c>
      <c r="BJ1291" s="135">
        <f t="shared" si="396"/>
        <v>103</v>
      </c>
      <c r="BK1291" s="135" t="str">
        <f t="shared" si="398"/>
        <v>Chene_pedoncule_F2_Dynamique_Guide chênaie continentale_103_</v>
      </c>
      <c r="BL1291" s="319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97" t="str">
        <f>+VLOOKUP(G1291,Liste!$A$7:$H$69,8,FALSE)</f>
        <v>Feuillus</v>
      </c>
      <c r="BU1291" s="297">
        <f t="shared" si="399"/>
        <v>1</v>
      </c>
      <c r="BV1291" s="299">
        <f t="shared" si="400"/>
        <v>0</v>
      </c>
      <c r="BW1291" s="318">
        <v>0</v>
      </c>
      <c r="BX1291" s="297">
        <f t="shared" si="401"/>
        <v>0.25</v>
      </c>
      <c r="BY1291">
        <f t="shared" si="402"/>
        <v>0</v>
      </c>
      <c r="BZ1291" s="303">
        <f t="shared" si="403"/>
        <v>0</v>
      </c>
      <c r="CB1291" s="298">
        <v>0.6</v>
      </c>
      <c r="CC1291" s="298">
        <v>0.4</v>
      </c>
      <c r="CD1291">
        <f t="shared" si="404"/>
        <v>0</v>
      </c>
      <c r="CE1291">
        <f t="shared" si="405"/>
        <v>0</v>
      </c>
      <c r="CF1291">
        <f t="shared" si="406"/>
        <v>0</v>
      </c>
      <c r="CG1291">
        <f t="shared" si="407"/>
        <v>0</v>
      </c>
      <c r="CH1291">
        <f t="shared" si="408"/>
        <v>0</v>
      </c>
      <c r="CI1291">
        <f t="shared" si="409"/>
        <v>0</v>
      </c>
      <c r="CJ1291">
        <f t="shared" si="410"/>
        <v>0</v>
      </c>
      <c r="CK1291">
        <f t="shared" si="411"/>
        <v>0</v>
      </c>
      <c r="CL1291">
        <f t="shared" si="412"/>
        <v>0</v>
      </c>
      <c r="CM1291">
        <f t="shared" si="414"/>
        <v>0</v>
      </c>
      <c r="CN1291">
        <f t="shared" si="413"/>
        <v>0</v>
      </c>
      <c r="CO1291">
        <f t="shared" si="397"/>
        <v>0</v>
      </c>
    </row>
    <row r="1292" spans="1:93" hidden="1" x14ac:dyDescent="0.25">
      <c r="A1292" s="4">
        <v>2021</v>
      </c>
      <c r="B1292" s="315">
        <v>44298</v>
      </c>
      <c r="C1292" s="4" t="s">
        <v>66</v>
      </c>
      <c r="D1292" s="4" t="s">
        <v>1502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1503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+VLOOKUP(G1292,Liste!$A$7:$G$69,3,FALSE)</f>
        <v>Chene_pedoncule</v>
      </c>
      <c r="BI1292" s="96" t="str">
        <f>+VLOOKUP(H1292,Liste!$B$7:$G$69,5,FALSE)</f>
        <v>Guide chênaie continentale</v>
      </c>
      <c r="BJ1292" s="135">
        <f t="shared" si="396"/>
        <v>106</v>
      </c>
      <c r="BK1292" s="135" t="str">
        <f t="shared" si="398"/>
        <v>Chene_pedoncule_F2_Dynamique_Guide chênaie continentale_106_</v>
      </c>
      <c r="BL1292" s="319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97" t="str">
        <f>+VLOOKUP(G1292,Liste!$A$7:$H$69,8,FALSE)</f>
        <v>Feuillus</v>
      </c>
      <c r="BU1292" s="297">
        <f t="shared" si="399"/>
        <v>1</v>
      </c>
      <c r="BV1292" s="299">
        <f t="shared" si="400"/>
        <v>0</v>
      </c>
      <c r="BW1292" s="318">
        <v>0</v>
      </c>
      <c r="BX1292" s="297">
        <f t="shared" si="401"/>
        <v>0.25</v>
      </c>
      <c r="BY1292">
        <f t="shared" si="402"/>
        <v>0</v>
      </c>
      <c r="BZ1292" s="303">
        <f t="shared" si="403"/>
        <v>0</v>
      </c>
      <c r="CB1292" s="298">
        <v>0.6</v>
      </c>
      <c r="CC1292" s="298">
        <v>0.4</v>
      </c>
      <c r="CD1292">
        <f t="shared" si="404"/>
        <v>0</v>
      </c>
      <c r="CE1292">
        <f t="shared" si="405"/>
        <v>0</v>
      </c>
      <c r="CF1292">
        <f t="shared" si="406"/>
        <v>0</v>
      </c>
      <c r="CG1292">
        <f t="shared" si="407"/>
        <v>0</v>
      </c>
      <c r="CH1292">
        <f t="shared" si="408"/>
        <v>0</v>
      </c>
      <c r="CI1292">
        <f t="shared" si="409"/>
        <v>0</v>
      </c>
      <c r="CJ1292">
        <f t="shared" si="410"/>
        <v>0</v>
      </c>
      <c r="CK1292">
        <f t="shared" si="411"/>
        <v>0</v>
      </c>
      <c r="CL1292">
        <f t="shared" si="412"/>
        <v>0</v>
      </c>
      <c r="CM1292">
        <f t="shared" si="414"/>
        <v>0</v>
      </c>
      <c r="CN1292">
        <f t="shared" si="413"/>
        <v>0</v>
      </c>
      <c r="CO1292">
        <f t="shared" si="397"/>
        <v>0</v>
      </c>
    </row>
    <row r="1293" spans="1:93" hidden="1" x14ac:dyDescent="0.25">
      <c r="A1293" s="4">
        <v>2021</v>
      </c>
      <c r="B1293" s="315">
        <v>44298</v>
      </c>
      <c r="C1293" s="4" t="s">
        <v>66</v>
      </c>
      <c r="D1293" s="4" t="s">
        <v>1502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1503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+VLOOKUP(G1293,Liste!$A$7:$G$69,3,FALSE)</f>
        <v>Chene_pedoncule</v>
      </c>
      <c r="BI1293" s="96" t="str">
        <f>+VLOOKUP(H1293,Liste!$B$7:$G$69,5,FALSE)</f>
        <v>Guide chênaie continentale</v>
      </c>
      <c r="BJ1293" s="135">
        <f t="shared" si="396"/>
        <v>109</v>
      </c>
      <c r="BK1293" s="135" t="str">
        <f t="shared" si="398"/>
        <v>Chene_pedoncule_F2_Dynamique_Guide chênaie continentale_109_</v>
      </c>
      <c r="BL1293" s="319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97" t="str">
        <f>+VLOOKUP(G1293,Liste!$A$7:$H$69,8,FALSE)</f>
        <v>Feuillus</v>
      </c>
      <c r="BU1293" s="297">
        <f t="shared" si="399"/>
        <v>1</v>
      </c>
      <c r="BV1293" s="299">
        <f t="shared" si="400"/>
        <v>0</v>
      </c>
      <c r="BW1293" s="318">
        <v>0</v>
      </c>
      <c r="BX1293" s="297">
        <f t="shared" si="401"/>
        <v>0.25</v>
      </c>
      <c r="BY1293">
        <f t="shared" si="402"/>
        <v>0</v>
      </c>
      <c r="BZ1293" s="303">
        <f t="shared" si="403"/>
        <v>0</v>
      </c>
      <c r="CB1293" s="298">
        <v>0.6</v>
      </c>
      <c r="CC1293" s="298">
        <v>0.4</v>
      </c>
      <c r="CD1293">
        <f t="shared" si="404"/>
        <v>0</v>
      </c>
      <c r="CE1293">
        <f t="shared" si="405"/>
        <v>0</v>
      </c>
      <c r="CF1293">
        <f t="shared" si="406"/>
        <v>0</v>
      </c>
      <c r="CG1293">
        <f t="shared" si="407"/>
        <v>0</v>
      </c>
      <c r="CH1293">
        <f t="shared" si="408"/>
        <v>0</v>
      </c>
      <c r="CI1293">
        <f t="shared" si="409"/>
        <v>0</v>
      </c>
      <c r="CJ1293">
        <f t="shared" si="410"/>
        <v>0</v>
      </c>
      <c r="CK1293">
        <f t="shared" si="411"/>
        <v>0</v>
      </c>
      <c r="CL1293">
        <f t="shared" si="412"/>
        <v>0</v>
      </c>
      <c r="CM1293">
        <f t="shared" si="414"/>
        <v>0</v>
      </c>
      <c r="CN1293">
        <f t="shared" si="413"/>
        <v>0</v>
      </c>
      <c r="CO1293">
        <f t="shared" si="397"/>
        <v>0</v>
      </c>
    </row>
    <row r="1294" spans="1:93" hidden="1" x14ac:dyDescent="0.25">
      <c r="A1294" s="4">
        <v>2021</v>
      </c>
      <c r="B1294" s="315">
        <v>44298</v>
      </c>
      <c r="C1294" s="4" t="s">
        <v>66</v>
      </c>
      <c r="D1294" s="4" t="s">
        <v>1502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1503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+VLOOKUP(G1294,Liste!$A$7:$G$69,3,FALSE)</f>
        <v>Chene_pedoncule</v>
      </c>
      <c r="BI1294" s="96" t="str">
        <f>+VLOOKUP(H1294,Liste!$B$7:$G$69,5,FALSE)</f>
        <v>Guide chênaie continentale</v>
      </c>
      <c r="BJ1294" s="135">
        <f t="shared" si="396"/>
        <v>113</v>
      </c>
      <c r="BK1294" s="135" t="str">
        <f t="shared" si="398"/>
        <v>Chene_pedoncule_F2_Dynamique_Guide chênaie continentale_113_</v>
      </c>
      <c r="BL1294" s="319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97" t="str">
        <f>+VLOOKUP(G1294,Liste!$A$7:$H$69,8,FALSE)</f>
        <v>Feuillus</v>
      </c>
      <c r="BU1294" s="297">
        <f t="shared" si="399"/>
        <v>1</v>
      </c>
      <c r="BV1294" s="299">
        <f t="shared" si="400"/>
        <v>0</v>
      </c>
      <c r="BW1294" s="318">
        <v>0</v>
      </c>
      <c r="BX1294" s="297">
        <f t="shared" si="401"/>
        <v>0.25</v>
      </c>
      <c r="BY1294">
        <f t="shared" si="402"/>
        <v>0</v>
      </c>
      <c r="BZ1294" s="303">
        <f t="shared" si="403"/>
        <v>0</v>
      </c>
      <c r="CB1294" s="298">
        <v>0.6</v>
      </c>
      <c r="CC1294" s="298">
        <v>0.4</v>
      </c>
      <c r="CD1294">
        <f t="shared" si="404"/>
        <v>0</v>
      </c>
      <c r="CE1294">
        <f t="shared" si="405"/>
        <v>0</v>
      </c>
      <c r="CF1294">
        <f t="shared" si="406"/>
        <v>0</v>
      </c>
      <c r="CG1294">
        <f t="shared" si="407"/>
        <v>0</v>
      </c>
      <c r="CH1294">
        <f t="shared" si="408"/>
        <v>0</v>
      </c>
      <c r="CI1294">
        <f t="shared" si="409"/>
        <v>0</v>
      </c>
      <c r="CJ1294">
        <f t="shared" si="410"/>
        <v>0</v>
      </c>
      <c r="CK1294">
        <f t="shared" si="411"/>
        <v>0</v>
      </c>
      <c r="CL1294">
        <f t="shared" si="412"/>
        <v>0</v>
      </c>
      <c r="CM1294">
        <f t="shared" si="414"/>
        <v>0</v>
      </c>
      <c r="CN1294">
        <f t="shared" si="413"/>
        <v>0</v>
      </c>
      <c r="CO1294">
        <f t="shared" si="397"/>
        <v>0</v>
      </c>
    </row>
    <row r="1295" spans="1:93" hidden="1" x14ac:dyDescent="0.25">
      <c r="A1295" s="4">
        <v>2021</v>
      </c>
      <c r="B1295" s="315">
        <v>44298</v>
      </c>
      <c r="C1295" s="4" t="s">
        <v>66</v>
      </c>
      <c r="D1295" s="4" t="s">
        <v>1502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1503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+VLOOKUP(G1295,Liste!$A$7:$G$69,3,FALSE)</f>
        <v>Chene_pedoncule</v>
      </c>
      <c r="BI1295" s="96" t="str">
        <f>+VLOOKUP(H1295,Liste!$B$7:$G$69,5,FALSE)</f>
        <v>Guide chênaie continentale</v>
      </c>
      <c r="BJ1295" s="135">
        <f t="shared" si="396"/>
        <v>113</v>
      </c>
      <c r="BK1295" s="135" t="str">
        <f t="shared" si="398"/>
        <v>Chene_pedoncule_F2_Dynamique_Guide chênaie continentale_113_</v>
      </c>
      <c r="BL1295" s="319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97" t="str">
        <f>+VLOOKUP(G1295,Liste!$A$7:$H$69,8,FALSE)</f>
        <v>Feuillus</v>
      </c>
      <c r="BU1295" s="297">
        <f t="shared" si="399"/>
        <v>1</v>
      </c>
      <c r="BV1295" s="299">
        <f t="shared" si="400"/>
        <v>0</v>
      </c>
      <c r="BW1295" s="318">
        <v>0</v>
      </c>
      <c r="BX1295" s="297">
        <f t="shared" si="401"/>
        <v>0.25</v>
      </c>
      <c r="BY1295">
        <f t="shared" si="402"/>
        <v>0</v>
      </c>
      <c r="BZ1295" s="303">
        <f t="shared" si="403"/>
        <v>0</v>
      </c>
      <c r="CB1295" s="298">
        <v>0.6</v>
      </c>
      <c r="CC1295" s="298">
        <v>0.4</v>
      </c>
      <c r="CD1295">
        <f t="shared" si="404"/>
        <v>0</v>
      </c>
      <c r="CE1295">
        <f t="shared" si="405"/>
        <v>0</v>
      </c>
      <c r="CF1295">
        <f t="shared" si="406"/>
        <v>0</v>
      </c>
      <c r="CG1295">
        <f t="shared" si="407"/>
        <v>0</v>
      </c>
      <c r="CH1295">
        <f t="shared" si="408"/>
        <v>0</v>
      </c>
      <c r="CI1295">
        <f t="shared" si="409"/>
        <v>0</v>
      </c>
      <c r="CJ1295">
        <f t="shared" si="410"/>
        <v>0</v>
      </c>
      <c r="CK1295">
        <f t="shared" si="411"/>
        <v>0</v>
      </c>
      <c r="CL1295">
        <f t="shared" si="412"/>
        <v>0</v>
      </c>
      <c r="CM1295">
        <f t="shared" si="414"/>
        <v>0</v>
      </c>
      <c r="CN1295">
        <f t="shared" si="413"/>
        <v>0</v>
      </c>
      <c r="CO1295">
        <f t="shared" si="397"/>
        <v>0</v>
      </c>
    </row>
    <row r="1296" spans="1:93" hidden="1" x14ac:dyDescent="0.25">
      <c r="A1296" s="4">
        <v>2021</v>
      </c>
      <c r="B1296" s="315">
        <v>44298</v>
      </c>
      <c r="C1296" s="4" t="s">
        <v>66</v>
      </c>
      <c r="D1296" s="4" t="s">
        <v>1502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1503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+VLOOKUP(G1296,Liste!$A$7:$G$69,3,FALSE)</f>
        <v>Chene_pedoncule</v>
      </c>
      <c r="BI1296" s="96" t="str">
        <f>+VLOOKUP(H1296,Liste!$B$7:$G$69,5,FALSE)</f>
        <v>Guide chênaie continentale</v>
      </c>
      <c r="BJ1296" s="135">
        <f t="shared" si="396"/>
        <v>116</v>
      </c>
      <c r="BK1296" s="135" t="str">
        <f t="shared" si="398"/>
        <v>Chene_pedoncule_F2_Dynamique_Guide chênaie continentale_116_</v>
      </c>
      <c r="BL1296" s="319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97" t="str">
        <f>+VLOOKUP(G1296,Liste!$A$7:$H$69,8,FALSE)</f>
        <v>Feuillus</v>
      </c>
      <c r="BU1296" s="297">
        <f t="shared" si="399"/>
        <v>1</v>
      </c>
      <c r="BV1296" s="299">
        <f t="shared" si="400"/>
        <v>0</v>
      </c>
      <c r="BW1296" s="318">
        <v>0</v>
      </c>
      <c r="BX1296" s="297">
        <f t="shared" si="401"/>
        <v>0.25</v>
      </c>
      <c r="BY1296">
        <f t="shared" si="402"/>
        <v>0</v>
      </c>
      <c r="BZ1296" s="303">
        <f t="shared" si="403"/>
        <v>0</v>
      </c>
      <c r="CB1296" s="298">
        <v>0.6</v>
      </c>
      <c r="CC1296" s="298">
        <v>0.4</v>
      </c>
      <c r="CD1296">
        <f t="shared" si="404"/>
        <v>0</v>
      </c>
      <c r="CE1296">
        <f t="shared" si="405"/>
        <v>0</v>
      </c>
      <c r="CF1296">
        <f t="shared" si="406"/>
        <v>0</v>
      </c>
      <c r="CG1296">
        <f t="shared" si="407"/>
        <v>0</v>
      </c>
      <c r="CH1296">
        <f t="shared" si="408"/>
        <v>0</v>
      </c>
      <c r="CI1296">
        <f t="shared" si="409"/>
        <v>0</v>
      </c>
      <c r="CJ1296">
        <f t="shared" si="410"/>
        <v>0</v>
      </c>
      <c r="CK1296">
        <f t="shared" si="411"/>
        <v>0</v>
      </c>
      <c r="CL1296">
        <f t="shared" si="412"/>
        <v>0</v>
      </c>
      <c r="CM1296">
        <f t="shared" si="414"/>
        <v>0</v>
      </c>
      <c r="CN1296">
        <f t="shared" si="413"/>
        <v>0</v>
      </c>
      <c r="CO1296">
        <f t="shared" si="397"/>
        <v>0</v>
      </c>
    </row>
    <row r="1297" spans="1:93" hidden="1" x14ac:dyDescent="0.25">
      <c r="A1297" s="4">
        <v>2021</v>
      </c>
      <c r="B1297" s="315">
        <v>44298</v>
      </c>
      <c r="C1297" s="4" t="s">
        <v>66</v>
      </c>
      <c r="D1297" s="4" t="s">
        <v>1502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1503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+VLOOKUP(G1297,Liste!$A$7:$G$69,3,FALSE)</f>
        <v>Chene_pedoncule</v>
      </c>
      <c r="BI1297" s="96" t="str">
        <f>+VLOOKUP(H1297,Liste!$B$7:$G$69,5,FALSE)</f>
        <v>Guide chênaie continentale</v>
      </c>
      <c r="BJ1297" s="135">
        <f t="shared" si="396"/>
        <v>119</v>
      </c>
      <c r="BK1297" s="135" t="str">
        <f t="shared" si="398"/>
        <v>Chene_pedoncule_F2_Dynamique_Guide chênaie continentale_119_</v>
      </c>
      <c r="BL1297" s="319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97" t="str">
        <f>+VLOOKUP(G1297,Liste!$A$7:$H$69,8,FALSE)</f>
        <v>Feuillus</v>
      </c>
      <c r="BU1297" s="297">
        <f t="shared" si="399"/>
        <v>1</v>
      </c>
      <c r="BV1297" s="299">
        <f t="shared" si="400"/>
        <v>0</v>
      </c>
      <c r="BW1297" s="318">
        <v>0</v>
      </c>
      <c r="BX1297" s="297">
        <f t="shared" si="401"/>
        <v>0.25</v>
      </c>
      <c r="BY1297">
        <f t="shared" si="402"/>
        <v>0</v>
      </c>
      <c r="BZ1297" s="303">
        <f t="shared" si="403"/>
        <v>0</v>
      </c>
      <c r="CB1297" s="298">
        <v>0.6</v>
      </c>
      <c r="CC1297" s="298">
        <v>0.4</v>
      </c>
      <c r="CD1297">
        <f t="shared" si="404"/>
        <v>0</v>
      </c>
      <c r="CE1297">
        <f t="shared" si="405"/>
        <v>0</v>
      </c>
      <c r="CF1297">
        <f t="shared" si="406"/>
        <v>0</v>
      </c>
      <c r="CG1297">
        <f t="shared" si="407"/>
        <v>0</v>
      </c>
      <c r="CH1297">
        <f t="shared" si="408"/>
        <v>0</v>
      </c>
      <c r="CI1297">
        <f t="shared" si="409"/>
        <v>0</v>
      </c>
      <c r="CJ1297">
        <f t="shared" si="410"/>
        <v>0</v>
      </c>
      <c r="CK1297">
        <f t="shared" si="411"/>
        <v>0</v>
      </c>
      <c r="CL1297">
        <f t="shared" si="412"/>
        <v>0</v>
      </c>
      <c r="CM1297">
        <f t="shared" si="414"/>
        <v>0</v>
      </c>
      <c r="CN1297">
        <f t="shared" si="413"/>
        <v>0</v>
      </c>
      <c r="CO1297">
        <f t="shared" si="397"/>
        <v>0</v>
      </c>
    </row>
    <row r="1298" spans="1:93" hidden="1" x14ac:dyDescent="0.25">
      <c r="A1298" s="4">
        <v>2021</v>
      </c>
      <c r="B1298" s="315">
        <v>44298</v>
      </c>
      <c r="C1298" s="4" t="s">
        <v>66</v>
      </c>
      <c r="D1298" s="4" t="s">
        <v>1502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1503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+VLOOKUP(G1298,Liste!$A$7:$G$69,3,FALSE)</f>
        <v>Chene_pedoncule</v>
      </c>
      <c r="BI1298" s="96" t="str">
        <f>+VLOOKUP(H1298,Liste!$B$7:$G$69,5,FALSE)</f>
        <v>Guide chênaie continentale</v>
      </c>
      <c r="BJ1298" s="135">
        <f t="shared" si="396"/>
        <v>123</v>
      </c>
      <c r="BK1298" s="135" t="str">
        <f t="shared" si="398"/>
        <v>Chene_pedoncule_F2_Dynamique_Guide chênaie continentale_123_</v>
      </c>
      <c r="BL1298" s="319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97" t="str">
        <f>+VLOOKUP(G1298,Liste!$A$7:$H$69,8,FALSE)</f>
        <v>Feuillus</v>
      </c>
      <c r="BU1298" s="297">
        <f t="shared" si="399"/>
        <v>1</v>
      </c>
      <c r="BV1298" s="299">
        <f t="shared" si="400"/>
        <v>0</v>
      </c>
      <c r="BW1298" s="318">
        <v>0</v>
      </c>
      <c r="BX1298" s="297">
        <f t="shared" si="401"/>
        <v>0.25</v>
      </c>
      <c r="BY1298">
        <f t="shared" si="402"/>
        <v>0</v>
      </c>
      <c r="BZ1298" s="303">
        <f t="shared" si="403"/>
        <v>0</v>
      </c>
      <c r="CB1298" s="298">
        <v>0.6</v>
      </c>
      <c r="CC1298" s="298">
        <v>0.4</v>
      </c>
      <c r="CD1298">
        <f t="shared" si="404"/>
        <v>0</v>
      </c>
      <c r="CE1298">
        <f t="shared" si="405"/>
        <v>0</v>
      </c>
      <c r="CF1298">
        <f t="shared" si="406"/>
        <v>0</v>
      </c>
      <c r="CG1298">
        <f t="shared" si="407"/>
        <v>0</v>
      </c>
      <c r="CH1298">
        <f t="shared" si="408"/>
        <v>0</v>
      </c>
      <c r="CI1298">
        <f t="shared" si="409"/>
        <v>0</v>
      </c>
      <c r="CJ1298">
        <f t="shared" si="410"/>
        <v>0</v>
      </c>
      <c r="CK1298">
        <f t="shared" si="411"/>
        <v>0</v>
      </c>
      <c r="CL1298">
        <f t="shared" si="412"/>
        <v>0</v>
      </c>
      <c r="CM1298">
        <f t="shared" si="414"/>
        <v>0</v>
      </c>
      <c r="CN1298">
        <f t="shared" si="413"/>
        <v>0</v>
      </c>
      <c r="CO1298">
        <f t="shared" si="397"/>
        <v>0</v>
      </c>
    </row>
    <row r="1299" spans="1:93" hidden="1" x14ac:dyDescent="0.25">
      <c r="A1299" s="4">
        <v>2021</v>
      </c>
      <c r="B1299" s="315">
        <v>44298</v>
      </c>
      <c r="C1299" s="4" t="s">
        <v>66</v>
      </c>
      <c r="D1299" s="4" t="s">
        <v>1502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1503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+VLOOKUP(G1299,Liste!$A$7:$G$69,3,FALSE)</f>
        <v>Chene_pedoncule</v>
      </c>
      <c r="BI1299" s="96" t="str">
        <f>+VLOOKUP(H1299,Liste!$B$7:$G$69,5,FALSE)</f>
        <v>Guide chênaie continentale</v>
      </c>
      <c r="BJ1299" s="135">
        <f t="shared" si="396"/>
        <v>123</v>
      </c>
      <c r="BK1299" s="135" t="str">
        <f t="shared" si="398"/>
        <v>Chene_pedoncule_F2_Dynamique_Guide chênaie continentale_123_</v>
      </c>
      <c r="BL1299" s="319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97" t="str">
        <f>+VLOOKUP(G1299,Liste!$A$7:$H$69,8,FALSE)</f>
        <v>Feuillus</v>
      </c>
      <c r="BU1299" s="297">
        <f t="shared" si="399"/>
        <v>1</v>
      </c>
      <c r="BV1299" s="299">
        <f t="shared" si="400"/>
        <v>0</v>
      </c>
      <c r="BW1299" s="318">
        <v>0</v>
      </c>
      <c r="BX1299" s="297">
        <f t="shared" si="401"/>
        <v>0.25</v>
      </c>
      <c r="BY1299">
        <f t="shared" si="402"/>
        <v>0</v>
      </c>
      <c r="BZ1299" s="303">
        <f t="shared" si="403"/>
        <v>0</v>
      </c>
      <c r="CB1299" s="298">
        <v>0.6</v>
      </c>
      <c r="CC1299" s="298">
        <v>0.4</v>
      </c>
      <c r="CD1299">
        <f t="shared" si="404"/>
        <v>0</v>
      </c>
      <c r="CE1299">
        <f t="shared" si="405"/>
        <v>0</v>
      </c>
      <c r="CF1299">
        <f t="shared" si="406"/>
        <v>0</v>
      </c>
      <c r="CG1299">
        <f t="shared" si="407"/>
        <v>0</v>
      </c>
      <c r="CH1299">
        <f t="shared" si="408"/>
        <v>0</v>
      </c>
      <c r="CI1299">
        <f t="shared" si="409"/>
        <v>0</v>
      </c>
      <c r="CJ1299">
        <f t="shared" si="410"/>
        <v>0</v>
      </c>
      <c r="CK1299">
        <f t="shared" si="411"/>
        <v>0</v>
      </c>
      <c r="CL1299">
        <f t="shared" si="412"/>
        <v>0</v>
      </c>
      <c r="CM1299">
        <f t="shared" si="414"/>
        <v>0</v>
      </c>
      <c r="CN1299">
        <f t="shared" si="413"/>
        <v>0</v>
      </c>
      <c r="CO1299">
        <f t="shared" si="397"/>
        <v>0</v>
      </c>
    </row>
    <row r="1300" spans="1:93" hidden="1" x14ac:dyDescent="0.25">
      <c r="A1300" s="4">
        <v>2021</v>
      </c>
      <c r="B1300" s="315">
        <v>44298</v>
      </c>
      <c r="C1300" s="4" t="s">
        <v>66</v>
      </c>
      <c r="D1300" s="4" t="s">
        <v>1502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1503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+VLOOKUP(G1300,Liste!$A$7:$G$69,3,FALSE)</f>
        <v>Chene_pedoncule</v>
      </c>
      <c r="BI1300" s="96" t="str">
        <f>+VLOOKUP(H1300,Liste!$B$7:$G$69,5,FALSE)</f>
        <v>Guide chênaie continentale</v>
      </c>
      <c r="BJ1300" s="135">
        <f t="shared" si="396"/>
        <v>125</v>
      </c>
      <c r="BK1300" s="135" t="str">
        <f t="shared" si="398"/>
        <v>Chene_pedoncule_F2_Dynamique_Guide chênaie continentale_125_</v>
      </c>
      <c r="BL1300" s="319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97" t="str">
        <f>+VLOOKUP(G1300,Liste!$A$7:$H$69,8,FALSE)</f>
        <v>Feuillus</v>
      </c>
      <c r="BU1300" s="297">
        <f t="shared" si="399"/>
        <v>1</v>
      </c>
      <c r="BV1300" s="299">
        <f t="shared" si="400"/>
        <v>0</v>
      </c>
      <c r="BW1300" s="318">
        <v>0</v>
      </c>
      <c r="BX1300" s="297">
        <f t="shared" si="401"/>
        <v>0.25</v>
      </c>
      <c r="BY1300">
        <f t="shared" si="402"/>
        <v>0</v>
      </c>
      <c r="BZ1300" s="303">
        <f t="shared" si="403"/>
        <v>0</v>
      </c>
      <c r="CB1300" s="298">
        <v>0.6</v>
      </c>
      <c r="CC1300" s="298">
        <v>0.4</v>
      </c>
      <c r="CD1300">
        <f t="shared" si="404"/>
        <v>0</v>
      </c>
      <c r="CE1300">
        <f t="shared" si="405"/>
        <v>0</v>
      </c>
      <c r="CF1300">
        <f t="shared" si="406"/>
        <v>0</v>
      </c>
      <c r="CG1300">
        <f t="shared" si="407"/>
        <v>0</v>
      </c>
      <c r="CH1300">
        <f t="shared" si="408"/>
        <v>0</v>
      </c>
      <c r="CI1300">
        <f t="shared" si="409"/>
        <v>0</v>
      </c>
      <c r="CJ1300">
        <f t="shared" si="410"/>
        <v>0</v>
      </c>
      <c r="CK1300">
        <f t="shared" si="411"/>
        <v>0</v>
      </c>
      <c r="CL1300">
        <f t="shared" si="412"/>
        <v>0</v>
      </c>
      <c r="CM1300">
        <f t="shared" si="414"/>
        <v>0</v>
      </c>
      <c r="CN1300">
        <f t="shared" si="413"/>
        <v>0</v>
      </c>
      <c r="CO1300">
        <f t="shared" si="397"/>
        <v>0</v>
      </c>
    </row>
    <row r="1301" spans="1:93" hidden="1" x14ac:dyDescent="0.25">
      <c r="A1301" s="4">
        <v>2021</v>
      </c>
      <c r="B1301" s="315">
        <v>44298</v>
      </c>
      <c r="C1301" s="4" t="s">
        <v>66</v>
      </c>
      <c r="D1301" s="4" t="s">
        <v>1502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1503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+VLOOKUP(G1301,Liste!$A$7:$G$69,3,FALSE)</f>
        <v>Chene_pedoncule</v>
      </c>
      <c r="BI1301" s="96" t="str">
        <f>+VLOOKUP(H1301,Liste!$B$7:$G$69,5,FALSE)</f>
        <v>Guide chênaie continentale</v>
      </c>
      <c r="BJ1301" s="135">
        <f t="shared" si="396"/>
        <v>125</v>
      </c>
      <c r="BK1301" s="135" t="str">
        <f t="shared" si="398"/>
        <v>Chene_pedoncule_F2_Dynamique_Guide chênaie continentale_125_</v>
      </c>
      <c r="BL1301" s="319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97" t="str">
        <f>+VLOOKUP(G1301,Liste!$A$7:$H$69,8,FALSE)</f>
        <v>Feuillus</v>
      </c>
      <c r="BU1301" s="297">
        <f t="shared" si="399"/>
        <v>1</v>
      </c>
      <c r="BV1301" s="299">
        <f t="shared" si="400"/>
        <v>0</v>
      </c>
      <c r="BW1301" s="318">
        <v>0</v>
      </c>
      <c r="BX1301" s="297">
        <f t="shared" si="401"/>
        <v>0.25</v>
      </c>
      <c r="BY1301">
        <f t="shared" si="402"/>
        <v>0</v>
      </c>
      <c r="BZ1301" s="303">
        <f t="shared" si="403"/>
        <v>0</v>
      </c>
      <c r="CB1301" s="298">
        <v>0.6</v>
      </c>
      <c r="CC1301" s="298">
        <v>0.4</v>
      </c>
      <c r="CD1301">
        <f t="shared" si="404"/>
        <v>0</v>
      </c>
      <c r="CE1301">
        <f t="shared" si="405"/>
        <v>0</v>
      </c>
      <c r="CF1301">
        <f t="shared" si="406"/>
        <v>0</v>
      </c>
      <c r="CG1301">
        <f t="shared" si="407"/>
        <v>0</v>
      </c>
      <c r="CH1301">
        <f t="shared" si="408"/>
        <v>0</v>
      </c>
      <c r="CI1301">
        <f t="shared" si="409"/>
        <v>0</v>
      </c>
      <c r="CJ1301">
        <f t="shared" si="410"/>
        <v>0</v>
      </c>
      <c r="CK1301">
        <f t="shared" si="411"/>
        <v>0</v>
      </c>
      <c r="CL1301">
        <f t="shared" si="412"/>
        <v>0</v>
      </c>
      <c r="CM1301">
        <f t="shared" si="414"/>
        <v>0</v>
      </c>
      <c r="CN1301">
        <f t="shared" si="413"/>
        <v>0</v>
      </c>
      <c r="CO1301">
        <f t="shared" si="397"/>
        <v>0</v>
      </c>
    </row>
    <row r="1302" spans="1:93" hidden="1" x14ac:dyDescent="0.25">
      <c r="A1302" s="4">
        <v>2021</v>
      </c>
      <c r="B1302" s="315">
        <v>44298</v>
      </c>
      <c r="C1302" s="4" t="s">
        <v>66</v>
      </c>
      <c r="D1302" s="4" t="s">
        <v>1502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1503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+VLOOKUP(G1302,Liste!$A$7:$G$69,3,FALSE)</f>
        <v>Chene_pedoncule</v>
      </c>
      <c r="BI1302" s="96" t="str">
        <f>+VLOOKUP(H1302,Liste!$B$7:$G$69,5,FALSE)</f>
        <v>Guide chênaie continentale</v>
      </c>
      <c r="BJ1302" s="135">
        <f t="shared" si="396"/>
        <v>127</v>
      </c>
      <c r="BK1302" s="135" t="str">
        <f t="shared" si="398"/>
        <v>Chene_pedoncule_F2_Dynamique_Guide chênaie continentale_127_</v>
      </c>
      <c r="BL1302" s="319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97" t="str">
        <f>+VLOOKUP(G1302,Liste!$A$7:$H$69,8,FALSE)</f>
        <v>Feuillus</v>
      </c>
      <c r="BU1302" s="297">
        <f t="shared" si="399"/>
        <v>1</v>
      </c>
      <c r="BV1302" s="299">
        <f t="shared" si="400"/>
        <v>0</v>
      </c>
      <c r="BW1302" s="318">
        <v>0</v>
      </c>
      <c r="BX1302" s="297">
        <f t="shared" si="401"/>
        <v>0.25</v>
      </c>
      <c r="BY1302">
        <f t="shared" si="402"/>
        <v>0</v>
      </c>
      <c r="BZ1302" s="303">
        <f t="shared" si="403"/>
        <v>0</v>
      </c>
      <c r="CB1302" s="298">
        <v>0.6</v>
      </c>
      <c r="CC1302" s="298">
        <v>0.4</v>
      </c>
      <c r="CD1302">
        <f t="shared" si="404"/>
        <v>0</v>
      </c>
      <c r="CE1302">
        <f t="shared" si="405"/>
        <v>0</v>
      </c>
      <c r="CF1302">
        <f t="shared" si="406"/>
        <v>0</v>
      </c>
      <c r="CG1302">
        <f t="shared" si="407"/>
        <v>0</v>
      </c>
      <c r="CH1302">
        <f t="shared" si="408"/>
        <v>0</v>
      </c>
      <c r="CI1302">
        <f t="shared" si="409"/>
        <v>0</v>
      </c>
      <c r="CJ1302">
        <f t="shared" si="410"/>
        <v>0</v>
      </c>
      <c r="CK1302">
        <f t="shared" si="411"/>
        <v>0</v>
      </c>
      <c r="CL1302">
        <f t="shared" si="412"/>
        <v>0</v>
      </c>
      <c r="CM1302">
        <f t="shared" si="414"/>
        <v>0</v>
      </c>
      <c r="CN1302">
        <f t="shared" si="413"/>
        <v>0</v>
      </c>
      <c r="CO1302">
        <f t="shared" si="397"/>
        <v>0</v>
      </c>
    </row>
    <row r="1303" spans="1:93" hidden="1" x14ac:dyDescent="0.25">
      <c r="A1303" s="4">
        <v>2021</v>
      </c>
      <c r="B1303" s="315">
        <v>44298</v>
      </c>
      <c r="C1303" s="4" t="s">
        <v>66</v>
      </c>
      <c r="D1303" s="4" t="s">
        <v>1502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1503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+VLOOKUP(G1303,Liste!$A$7:$G$69,3,FALSE)</f>
        <v>Chene_pedoncule</v>
      </c>
      <c r="BI1303" s="96" t="str">
        <f>+VLOOKUP(H1303,Liste!$B$7:$G$69,5,FALSE)</f>
        <v>Guide chênaie continentale</v>
      </c>
      <c r="BJ1303" s="135">
        <f t="shared" si="396"/>
        <v>127</v>
      </c>
      <c r="BK1303" s="135" t="str">
        <f t="shared" si="398"/>
        <v>Chene_pedoncule_F2_Dynamique_Guide chênaie continentale_127_</v>
      </c>
      <c r="BL1303" s="319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97" t="str">
        <f>+VLOOKUP(G1303,Liste!$A$7:$H$69,8,FALSE)</f>
        <v>Feuillus</v>
      </c>
      <c r="BU1303" s="297">
        <f t="shared" si="399"/>
        <v>1</v>
      </c>
      <c r="BV1303" s="299">
        <f t="shared" si="400"/>
        <v>0</v>
      </c>
      <c r="BW1303" s="318">
        <v>0</v>
      </c>
      <c r="BX1303" s="297">
        <f t="shared" si="401"/>
        <v>0.25</v>
      </c>
      <c r="BY1303">
        <f t="shared" si="402"/>
        <v>0</v>
      </c>
      <c r="BZ1303" s="303">
        <f t="shared" si="403"/>
        <v>0</v>
      </c>
      <c r="CB1303" s="298">
        <v>0.6</v>
      </c>
      <c r="CC1303" s="298">
        <v>0.4</v>
      </c>
      <c r="CD1303">
        <f t="shared" si="404"/>
        <v>0</v>
      </c>
      <c r="CE1303">
        <f t="shared" si="405"/>
        <v>0</v>
      </c>
      <c r="CF1303">
        <f t="shared" si="406"/>
        <v>0</v>
      </c>
      <c r="CG1303">
        <f t="shared" si="407"/>
        <v>0</v>
      </c>
      <c r="CH1303">
        <f t="shared" si="408"/>
        <v>0</v>
      </c>
      <c r="CI1303">
        <f t="shared" si="409"/>
        <v>0</v>
      </c>
      <c r="CJ1303">
        <f t="shared" si="410"/>
        <v>0</v>
      </c>
      <c r="CK1303">
        <f t="shared" si="411"/>
        <v>0</v>
      </c>
      <c r="CL1303">
        <f t="shared" si="412"/>
        <v>0</v>
      </c>
      <c r="CM1303">
        <f t="shared" si="414"/>
        <v>0</v>
      </c>
      <c r="CN1303">
        <f t="shared" si="413"/>
        <v>0</v>
      </c>
      <c r="CO1303">
        <f t="shared" si="397"/>
        <v>0</v>
      </c>
    </row>
    <row r="1304" spans="1:93" hidden="1" x14ac:dyDescent="0.25">
      <c r="A1304" s="4">
        <v>2021</v>
      </c>
      <c r="B1304" s="315">
        <v>44298</v>
      </c>
      <c r="C1304" s="4" t="s">
        <v>66</v>
      </c>
      <c r="D1304" s="4" t="s">
        <v>1502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1503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+VLOOKUP(G1304,Liste!$A$7:$G$69,3,FALSE)</f>
        <v>Chene_pedoncule</v>
      </c>
      <c r="BI1304" s="96" t="str">
        <f>+VLOOKUP(H1304,Liste!$B$7:$G$69,5,FALSE)</f>
        <v>Guide chênaie continentale</v>
      </c>
      <c r="BJ1304" s="135">
        <f t="shared" si="396"/>
        <v>130</v>
      </c>
      <c r="BK1304" s="135" t="str">
        <f t="shared" si="398"/>
        <v>Chene_pedoncule_F2_Dynamique_Guide chênaie continentale_130_</v>
      </c>
      <c r="BL1304" s="319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97" t="str">
        <f>+VLOOKUP(G1304,Liste!$A$7:$H$69,8,FALSE)</f>
        <v>Feuillus</v>
      </c>
      <c r="BU1304" s="297">
        <f t="shared" si="399"/>
        <v>1</v>
      </c>
      <c r="BV1304" s="299">
        <f t="shared" si="400"/>
        <v>0</v>
      </c>
      <c r="BW1304" s="318">
        <v>0</v>
      </c>
      <c r="BX1304" s="297">
        <f t="shared" si="401"/>
        <v>0.25</v>
      </c>
      <c r="BY1304">
        <f t="shared" si="402"/>
        <v>0</v>
      </c>
      <c r="BZ1304" s="303">
        <f t="shared" si="403"/>
        <v>0</v>
      </c>
      <c r="CB1304" s="298">
        <v>0.6</v>
      </c>
      <c r="CC1304" s="298">
        <v>0.4</v>
      </c>
      <c r="CD1304">
        <f t="shared" si="404"/>
        <v>0</v>
      </c>
      <c r="CE1304">
        <f t="shared" si="405"/>
        <v>0</v>
      </c>
      <c r="CF1304">
        <f t="shared" si="406"/>
        <v>0</v>
      </c>
      <c r="CG1304">
        <f t="shared" si="407"/>
        <v>0</v>
      </c>
      <c r="CH1304">
        <f t="shared" si="408"/>
        <v>0</v>
      </c>
      <c r="CI1304">
        <f t="shared" si="409"/>
        <v>0</v>
      </c>
      <c r="CJ1304">
        <f t="shared" si="410"/>
        <v>0</v>
      </c>
      <c r="CK1304">
        <f t="shared" si="411"/>
        <v>0</v>
      </c>
      <c r="CL1304">
        <f t="shared" si="412"/>
        <v>0</v>
      </c>
      <c r="CM1304">
        <f t="shared" si="414"/>
        <v>0</v>
      </c>
      <c r="CN1304">
        <f t="shared" si="413"/>
        <v>0</v>
      </c>
      <c r="CO1304">
        <f t="shared" si="397"/>
        <v>0</v>
      </c>
    </row>
    <row r="1305" spans="1:93" hidden="1" x14ac:dyDescent="0.25">
      <c r="A1305" s="4">
        <v>2021</v>
      </c>
      <c r="B1305" s="315">
        <v>44298</v>
      </c>
      <c r="C1305" s="4" t="s">
        <v>66</v>
      </c>
      <c r="D1305" s="4" t="s">
        <v>1502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1503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+VLOOKUP(G1305,Liste!$A$7:$G$69,3,FALSE)</f>
        <v>Chene_pedoncule</v>
      </c>
      <c r="BI1305" s="96" t="str">
        <f>+VLOOKUP(H1305,Liste!$B$7:$G$69,5,FALSE)</f>
        <v>Guide chênaie continentale</v>
      </c>
      <c r="BJ1305" s="135">
        <f t="shared" si="396"/>
        <v>130</v>
      </c>
      <c r="BK1305" s="135" t="str">
        <f t="shared" si="398"/>
        <v>Chene_pedoncule_F2_Dynamique_Guide chênaie continentale_130_</v>
      </c>
      <c r="BL1305" s="319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97" t="str">
        <f>+VLOOKUP(G1305,Liste!$A$7:$H$69,8,FALSE)</f>
        <v>Feuillus</v>
      </c>
      <c r="BU1305" s="297">
        <f t="shared" si="399"/>
        <v>1</v>
      </c>
      <c r="BV1305" s="299">
        <f t="shared" si="400"/>
        <v>0</v>
      </c>
      <c r="BW1305" s="318">
        <v>0</v>
      </c>
      <c r="BX1305" s="297">
        <f t="shared" si="401"/>
        <v>0.25</v>
      </c>
      <c r="BY1305">
        <f t="shared" si="402"/>
        <v>0</v>
      </c>
      <c r="BZ1305" s="303">
        <f t="shared" si="403"/>
        <v>0</v>
      </c>
      <c r="CB1305" s="298">
        <v>0.6</v>
      </c>
      <c r="CC1305" s="298">
        <v>0.4</v>
      </c>
      <c r="CD1305">
        <f t="shared" si="404"/>
        <v>0</v>
      </c>
      <c r="CE1305">
        <f t="shared" si="405"/>
        <v>0</v>
      </c>
      <c r="CF1305">
        <f t="shared" si="406"/>
        <v>0</v>
      </c>
      <c r="CG1305">
        <f t="shared" si="407"/>
        <v>0</v>
      </c>
      <c r="CH1305">
        <f t="shared" si="408"/>
        <v>0</v>
      </c>
      <c r="CI1305">
        <f t="shared" si="409"/>
        <v>0</v>
      </c>
      <c r="CJ1305">
        <f t="shared" si="410"/>
        <v>0</v>
      </c>
      <c r="CK1305">
        <f t="shared" si="411"/>
        <v>0</v>
      </c>
      <c r="CL1305">
        <f t="shared" si="412"/>
        <v>0</v>
      </c>
      <c r="CM1305">
        <f t="shared" si="414"/>
        <v>0</v>
      </c>
      <c r="CN1305">
        <f t="shared" si="413"/>
        <v>0</v>
      </c>
      <c r="CO1305">
        <f t="shared" si="397"/>
        <v>0</v>
      </c>
    </row>
    <row r="1306" spans="1:93" hidden="1" x14ac:dyDescent="0.25">
      <c r="A1306" s="4">
        <v>2021</v>
      </c>
      <c r="B1306" s="315">
        <v>44320</v>
      </c>
      <c r="C1306" s="4" t="s">
        <v>1522</v>
      </c>
      <c r="D1306" s="4" t="s">
        <v>1523</v>
      </c>
      <c r="F1306" s="4" t="s">
        <v>1524</v>
      </c>
      <c r="G1306" s="5" t="s">
        <v>1512</v>
      </c>
      <c r="H1306" s="5" t="s">
        <v>1525</v>
      </c>
      <c r="I1306" s="5" t="s">
        <v>18</v>
      </c>
      <c r="J1306" s="5" t="s">
        <v>9</v>
      </c>
      <c r="K1306" s="5">
        <v>15.5</v>
      </c>
      <c r="L1306" s="5" t="s">
        <v>1526</v>
      </c>
      <c r="M1306" s="5">
        <v>1100</v>
      </c>
      <c r="N1306" s="5" t="s">
        <v>170</v>
      </c>
      <c r="O1306" s="6" t="s">
        <v>81</v>
      </c>
      <c r="P1306" s="6" t="s">
        <v>1528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6" t="str">
        <f>+VLOOKUP(G1306,Liste!$A$7:$G$69,3,FALSE)</f>
        <v>Pin d'Alep</v>
      </c>
      <c r="BI1306" s="96" t="str">
        <f>+VLOOKUP(H1306,Liste!$B$7:$G$69,5,FALSE)</f>
        <v>Pin d'Alep</v>
      </c>
      <c r="BJ1306" s="135">
        <f t="shared" si="396"/>
        <v>15</v>
      </c>
      <c r="BK1306" s="135" t="str">
        <f t="shared" si="398"/>
        <v>Pin d'Alep_F1_Classique_Pin d'Alep_15_</v>
      </c>
      <c r="BL1306" s="319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97" t="str">
        <f>+VLOOKUP(G1306,Liste!$A$7:$H$69,8,FALSE)</f>
        <v>Résineux</v>
      </c>
      <c r="BU1306" s="297">
        <f t="shared" si="399"/>
        <v>0</v>
      </c>
      <c r="BV1306" s="299">
        <f t="shared" si="400"/>
        <v>1</v>
      </c>
      <c r="BW1306" s="318">
        <v>0</v>
      </c>
      <c r="BX1306" s="297">
        <f t="shared" si="401"/>
        <v>0.43</v>
      </c>
      <c r="BY1306">
        <f t="shared" si="402"/>
        <v>0</v>
      </c>
      <c r="BZ1306" s="303">
        <f t="shared" si="403"/>
        <v>0</v>
      </c>
      <c r="CB1306" s="298">
        <v>0.6</v>
      </c>
      <c r="CC1306" s="298">
        <v>0.4</v>
      </c>
      <c r="CD1306">
        <f t="shared" si="404"/>
        <v>0</v>
      </c>
      <c r="CE1306">
        <f t="shared" si="405"/>
        <v>0</v>
      </c>
      <c r="CF1306">
        <f t="shared" si="406"/>
        <v>0</v>
      </c>
      <c r="CG1306">
        <f t="shared" si="407"/>
        <v>0</v>
      </c>
      <c r="CH1306">
        <f t="shared" si="408"/>
        <v>0</v>
      </c>
      <c r="CI1306">
        <f t="shared" si="409"/>
        <v>0</v>
      </c>
      <c r="CJ1306">
        <f t="shared" si="410"/>
        <v>0</v>
      </c>
      <c r="CK1306">
        <f t="shared" si="411"/>
        <v>0</v>
      </c>
      <c r="CL1306">
        <f t="shared" si="412"/>
        <v>0</v>
      </c>
      <c r="CM1306">
        <f t="shared" si="414"/>
        <v>0</v>
      </c>
      <c r="CN1306">
        <f t="shared" si="413"/>
        <v>0</v>
      </c>
      <c r="CO1306">
        <f t="shared" si="397"/>
        <v>0</v>
      </c>
    </row>
    <row r="1307" spans="1:93" hidden="1" x14ac:dyDescent="0.25">
      <c r="A1307" s="4">
        <v>2021</v>
      </c>
      <c r="B1307" s="315">
        <v>44320</v>
      </c>
      <c r="C1307" s="4" t="s">
        <v>1522</v>
      </c>
      <c r="D1307" s="4" t="s">
        <v>1523</v>
      </c>
      <c r="F1307" s="4" t="s">
        <v>1524</v>
      </c>
      <c r="G1307" s="5" t="s">
        <v>1512</v>
      </c>
      <c r="H1307" s="5" t="s">
        <v>1525</v>
      </c>
      <c r="I1307" s="5" t="s">
        <v>18</v>
      </c>
      <c r="J1307" s="5" t="s">
        <v>9</v>
      </c>
      <c r="K1307" s="5">
        <v>15.5</v>
      </c>
      <c r="L1307" s="5" t="s">
        <v>1526</v>
      </c>
      <c r="M1307" s="5">
        <v>1100</v>
      </c>
      <c r="N1307" s="5" t="s">
        <v>170</v>
      </c>
      <c r="O1307" s="6" t="s">
        <v>81</v>
      </c>
      <c r="P1307" s="6" t="s">
        <v>1528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+VLOOKUP(G1307,Liste!$A$7:$G$69,3,FALSE)</f>
        <v>Pin d'Alep</v>
      </c>
      <c r="BI1307" s="96" t="str">
        <f>+VLOOKUP(H1307,Liste!$B$7:$G$69,5,FALSE)</f>
        <v>Pin d'Alep</v>
      </c>
      <c r="BJ1307" s="135">
        <f t="shared" si="396"/>
        <v>16</v>
      </c>
      <c r="BK1307" s="135" t="str">
        <f t="shared" si="398"/>
        <v>Pin d'Alep_F1_Classique_Pin d'Alep_16_</v>
      </c>
      <c r="BL1307" s="319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97" t="str">
        <f>+VLOOKUP(G1307,Liste!$A$7:$H$69,8,FALSE)</f>
        <v>Résineux</v>
      </c>
      <c r="BU1307" s="297">
        <f t="shared" si="399"/>
        <v>0</v>
      </c>
      <c r="BV1307" s="299">
        <f t="shared" si="400"/>
        <v>1</v>
      </c>
      <c r="BW1307" s="318">
        <v>0</v>
      </c>
      <c r="BX1307" s="297">
        <f t="shared" si="401"/>
        <v>0.43</v>
      </c>
      <c r="BY1307">
        <f t="shared" si="402"/>
        <v>0</v>
      </c>
      <c r="BZ1307" s="303">
        <f t="shared" si="403"/>
        <v>0</v>
      </c>
      <c r="CB1307" s="298">
        <v>0.6</v>
      </c>
      <c r="CC1307" s="298">
        <v>0.4</v>
      </c>
      <c r="CD1307">
        <f t="shared" si="404"/>
        <v>0</v>
      </c>
      <c r="CE1307">
        <f t="shared" si="405"/>
        <v>0</v>
      </c>
      <c r="CF1307">
        <f t="shared" si="406"/>
        <v>0</v>
      </c>
      <c r="CG1307">
        <f t="shared" si="407"/>
        <v>0</v>
      </c>
      <c r="CH1307">
        <f t="shared" si="408"/>
        <v>0</v>
      </c>
      <c r="CI1307">
        <f t="shared" si="409"/>
        <v>0</v>
      </c>
      <c r="CJ1307">
        <f t="shared" si="410"/>
        <v>0</v>
      </c>
      <c r="CK1307">
        <f t="shared" si="411"/>
        <v>0</v>
      </c>
      <c r="CL1307">
        <f t="shared" si="412"/>
        <v>0</v>
      </c>
      <c r="CM1307">
        <f t="shared" si="414"/>
        <v>0</v>
      </c>
      <c r="CN1307">
        <f t="shared" si="413"/>
        <v>0</v>
      </c>
      <c r="CO1307">
        <f t="shared" si="397"/>
        <v>0</v>
      </c>
    </row>
    <row r="1308" spans="1:93" hidden="1" x14ac:dyDescent="0.25">
      <c r="A1308" s="4">
        <v>2021</v>
      </c>
      <c r="B1308" s="315">
        <v>44320</v>
      </c>
      <c r="C1308" s="4" t="s">
        <v>1522</v>
      </c>
      <c r="D1308" s="4" t="s">
        <v>1523</v>
      </c>
      <c r="F1308" s="4" t="s">
        <v>1524</v>
      </c>
      <c r="G1308" s="5" t="s">
        <v>1512</v>
      </c>
      <c r="H1308" s="5" t="s">
        <v>1525</v>
      </c>
      <c r="I1308" s="5" t="s">
        <v>18</v>
      </c>
      <c r="J1308" s="5" t="s">
        <v>9</v>
      </c>
      <c r="K1308" s="5">
        <v>15.5</v>
      </c>
      <c r="L1308" s="5" t="s">
        <v>1526</v>
      </c>
      <c r="M1308" s="5">
        <v>1100</v>
      </c>
      <c r="N1308" s="5" t="s">
        <v>170</v>
      </c>
      <c r="O1308" s="6" t="s">
        <v>81</v>
      </c>
      <c r="P1308" s="6" t="s">
        <v>1528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+VLOOKUP(G1308,Liste!$A$7:$G$69,3,FALSE)</f>
        <v>Pin d'Alep</v>
      </c>
      <c r="BI1308" s="96" t="str">
        <f>+VLOOKUP(H1308,Liste!$B$7:$G$69,5,FALSE)</f>
        <v>Pin d'Alep</v>
      </c>
      <c r="BJ1308" s="135">
        <f t="shared" si="396"/>
        <v>17</v>
      </c>
      <c r="BK1308" s="135" t="str">
        <f t="shared" si="398"/>
        <v>Pin d'Alep_F1_Classique_Pin d'Alep_17_</v>
      </c>
      <c r="BL1308" s="319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97" t="str">
        <f>+VLOOKUP(G1308,Liste!$A$7:$H$69,8,FALSE)</f>
        <v>Résineux</v>
      </c>
      <c r="BU1308" s="297">
        <f t="shared" si="399"/>
        <v>0</v>
      </c>
      <c r="BV1308" s="299">
        <f t="shared" si="400"/>
        <v>1</v>
      </c>
      <c r="BW1308" s="318">
        <v>0</v>
      </c>
      <c r="BX1308" s="297">
        <f t="shared" si="401"/>
        <v>0.43</v>
      </c>
      <c r="BY1308">
        <f t="shared" si="402"/>
        <v>0</v>
      </c>
      <c r="BZ1308" s="303">
        <f t="shared" si="403"/>
        <v>0</v>
      </c>
      <c r="CB1308" s="298">
        <v>0.6</v>
      </c>
      <c r="CC1308" s="298">
        <v>0.4</v>
      </c>
      <c r="CD1308">
        <f t="shared" si="404"/>
        <v>0</v>
      </c>
      <c r="CE1308">
        <f t="shared" si="405"/>
        <v>0</v>
      </c>
      <c r="CF1308">
        <f t="shared" si="406"/>
        <v>0</v>
      </c>
      <c r="CG1308">
        <f t="shared" si="407"/>
        <v>0</v>
      </c>
      <c r="CH1308">
        <f t="shared" si="408"/>
        <v>0</v>
      </c>
      <c r="CI1308">
        <f t="shared" si="409"/>
        <v>0</v>
      </c>
      <c r="CJ1308">
        <f t="shared" si="410"/>
        <v>0</v>
      </c>
      <c r="CK1308">
        <f t="shared" si="411"/>
        <v>0</v>
      </c>
      <c r="CL1308">
        <f t="shared" si="412"/>
        <v>0</v>
      </c>
      <c r="CM1308">
        <f t="shared" si="414"/>
        <v>0</v>
      </c>
      <c r="CN1308">
        <f t="shared" si="413"/>
        <v>0</v>
      </c>
      <c r="CO1308">
        <f t="shared" si="397"/>
        <v>0</v>
      </c>
    </row>
    <row r="1309" spans="1:93" hidden="1" x14ac:dyDescent="0.25">
      <c r="A1309" s="4">
        <v>2021</v>
      </c>
      <c r="B1309" s="315">
        <v>44320</v>
      </c>
      <c r="C1309" s="4" t="s">
        <v>1522</v>
      </c>
      <c r="D1309" s="4" t="s">
        <v>1523</v>
      </c>
      <c r="F1309" s="4" t="s">
        <v>1524</v>
      </c>
      <c r="G1309" s="5" t="s">
        <v>1512</v>
      </c>
      <c r="H1309" s="5" t="s">
        <v>1525</v>
      </c>
      <c r="I1309" s="5" t="s">
        <v>18</v>
      </c>
      <c r="J1309" s="5" t="s">
        <v>9</v>
      </c>
      <c r="K1309" s="5">
        <v>15.5</v>
      </c>
      <c r="L1309" s="5" t="s">
        <v>1526</v>
      </c>
      <c r="M1309" s="5">
        <v>1100</v>
      </c>
      <c r="N1309" s="5" t="s">
        <v>170</v>
      </c>
      <c r="O1309" s="6" t="s">
        <v>81</v>
      </c>
      <c r="P1309" s="6" t="s">
        <v>1528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+VLOOKUP(G1309,Liste!$A$7:$G$69,3,FALSE)</f>
        <v>Pin d'Alep</v>
      </c>
      <c r="BI1309" s="96" t="str">
        <f>+VLOOKUP(H1309,Liste!$B$7:$G$69,5,FALSE)</f>
        <v>Pin d'Alep</v>
      </c>
      <c r="BJ1309" s="135">
        <f t="shared" si="396"/>
        <v>18</v>
      </c>
      <c r="BK1309" s="135" t="str">
        <f t="shared" si="398"/>
        <v>Pin d'Alep_F1_Classique_Pin d'Alep_18_</v>
      </c>
      <c r="BL1309" s="319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97" t="str">
        <f>+VLOOKUP(G1309,Liste!$A$7:$H$69,8,FALSE)</f>
        <v>Résineux</v>
      </c>
      <c r="BU1309" s="297">
        <f t="shared" si="399"/>
        <v>0</v>
      </c>
      <c r="BV1309" s="299">
        <f t="shared" si="400"/>
        <v>1</v>
      </c>
      <c r="BW1309" s="318">
        <v>0</v>
      </c>
      <c r="BX1309" s="297">
        <f t="shared" si="401"/>
        <v>0.43</v>
      </c>
      <c r="BY1309">
        <f t="shared" si="402"/>
        <v>0</v>
      </c>
      <c r="BZ1309" s="303">
        <f t="shared" si="403"/>
        <v>0</v>
      </c>
      <c r="CB1309" s="298">
        <v>0.6</v>
      </c>
      <c r="CC1309" s="298">
        <v>0.4</v>
      </c>
      <c r="CD1309">
        <f t="shared" si="404"/>
        <v>0</v>
      </c>
      <c r="CE1309">
        <f t="shared" si="405"/>
        <v>0</v>
      </c>
      <c r="CF1309">
        <f t="shared" si="406"/>
        <v>0</v>
      </c>
      <c r="CG1309">
        <f t="shared" si="407"/>
        <v>0</v>
      </c>
      <c r="CH1309">
        <f t="shared" si="408"/>
        <v>0</v>
      </c>
      <c r="CI1309">
        <f t="shared" si="409"/>
        <v>0</v>
      </c>
      <c r="CJ1309">
        <f t="shared" si="410"/>
        <v>0</v>
      </c>
      <c r="CK1309">
        <f t="shared" si="411"/>
        <v>0</v>
      </c>
      <c r="CL1309">
        <f t="shared" si="412"/>
        <v>0</v>
      </c>
      <c r="CM1309">
        <f t="shared" si="414"/>
        <v>0</v>
      </c>
      <c r="CN1309">
        <f t="shared" si="413"/>
        <v>0</v>
      </c>
      <c r="CO1309">
        <f t="shared" si="397"/>
        <v>0</v>
      </c>
    </row>
    <row r="1310" spans="1:93" hidden="1" x14ac:dyDescent="0.25">
      <c r="A1310" s="4">
        <v>2021</v>
      </c>
      <c r="B1310" s="315">
        <v>44320</v>
      </c>
      <c r="C1310" s="4" t="s">
        <v>1522</v>
      </c>
      <c r="D1310" s="4" t="s">
        <v>1523</v>
      </c>
      <c r="F1310" s="4" t="s">
        <v>1524</v>
      </c>
      <c r="G1310" s="5" t="s">
        <v>1512</v>
      </c>
      <c r="H1310" s="5" t="s">
        <v>1525</v>
      </c>
      <c r="I1310" s="5" t="s">
        <v>18</v>
      </c>
      <c r="J1310" s="5" t="s">
        <v>9</v>
      </c>
      <c r="K1310" s="5">
        <v>15.5</v>
      </c>
      <c r="L1310" s="5" t="s">
        <v>1526</v>
      </c>
      <c r="M1310" s="5">
        <v>1100</v>
      </c>
      <c r="N1310" s="5" t="s">
        <v>170</v>
      </c>
      <c r="O1310" s="6" t="s">
        <v>81</v>
      </c>
      <c r="P1310" s="6" t="s">
        <v>1528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+VLOOKUP(G1310,Liste!$A$7:$G$69,3,FALSE)</f>
        <v>Pin d'Alep</v>
      </c>
      <c r="BI1310" s="96" t="str">
        <f>+VLOOKUP(H1310,Liste!$B$7:$G$69,5,FALSE)</f>
        <v>Pin d'Alep</v>
      </c>
      <c r="BJ1310" s="135">
        <f t="shared" si="396"/>
        <v>19</v>
      </c>
      <c r="BK1310" s="135" t="str">
        <f t="shared" si="398"/>
        <v>Pin d'Alep_F1_Classique_Pin d'Alep_19_</v>
      </c>
      <c r="BL1310" s="319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97" t="str">
        <f>+VLOOKUP(G1310,Liste!$A$7:$H$69,8,FALSE)</f>
        <v>Résineux</v>
      </c>
      <c r="BU1310" s="297">
        <f t="shared" si="399"/>
        <v>0</v>
      </c>
      <c r="BV1310" s="299">
        <f t="shared" si="400"/>
        <v>1</v>
      </c>
      <c r="BW1310" s="318">
        <v>0</v>
      </c>
      <c r="BX1310" s="297">
        <f t="shared" si="401"/>
        <v>0.43</v>
      </c>
      <c r="BY1310">
        <f t="shared" si="402"/>
        <v>0</v>
      </c>
      <c r="BZ1310" s="303">
        <f t="shared" si="403"/>
        <v>0</v>
      </c>
      <c r="CB1310" s="298">
        <v>0.6</v>
      </c>
      <c r="CC1310" s="298">
        <v>0.4</v>
      </c>
      <c r="CD1310">
        <f t="shared" si="404"/>
        <v>0</v>
      </c>
      <c r="CE1310">
        <f t="shared" si="405"/>
        <v>0</v>
      </c>
      <c r="CF1310">
        <f t="shared" si="406"/>
        <v>0</v>
      </c>
      <c r="CG1310">
        <f t="shared" si="407"/>
        <v>0</v>
      </c>
      <c r="CH1310">
        <f t="shared" si="408"/>
        <v>0</v>
      </c>
      <c r="CI1310">
        <f t="shared" si="409"/>
        <v>0</v>
      </c>
      <c r="CJ1310">
        <f t="shared" si="410"/>
        <v>0</v>
      </c>
      <c r="CK1310">
        <f t="shared" si="411"/>
        <v>0</v>
      </c>
      <c r="CL1310">
        <f t="shared" si="412"/>
        <v>0</v>
      </c>
      <c r="CM1310">
        <f t="shared" si="414"/>
        <v>0</v>
      </c>
      <c r="CN1310">
        <f t="shared" si="413"/>
        <v>0</v>
      </c>
      <c r="CO1310">
        <f t="shared" si="397"/>
        <v>0</v>
      </c>
    </row>
    <row r="1311" spans="1:93" hidden="1" x14ac:dyDescent="0.25">
      <c r="A1311" s="4">
        <v>2021</v>
      </c>
      <c r="B1311" s="315">
        <v>44320</v>
      </c>
      <c r="C1311" s="4" t="s">
        <v>1522</v>
      </c>
      <c r="D1311" s="4" t="s">
        <v>1523</v>
      </c>
      <c r="F1311" s="4" t="s">
        <v>1524</v>
      </c>
      <c r="G1311" s="5" t="s">
        <v>1512</v>
      </c>
      <c r="H1311" s="5" t="s">
        <v>1525</v>
      </c>
      <c r="I1311" s="5" t="s">
        <v>18</v>
      </c>
      <c r="J1311" s="5" t="s">
        <v>9</v>
      </c>
      <c r="K1311" s="5">
        <v>15.5</v>
      </c>
      <c r="L1311" s="5" t="s">
        <v>1526</v>
      </c>
      <c r="M1311" s="5">
        <v>1100</v>
      </c>
      <c r="N1311" s="5" t="s">
        <v>170</v>
      </c>
      <c r="O1311" s="6" t="s">
        <v>81</v>
      </c>
      <c r="P1311" s="6" t="s">
        <v>1528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+VLOOKUP(G1311,Liste!$A$7:$G$69,3,FALSE)</f>
        <v>Pin d'Alep</v>
      </c>
      <c r="BI1311" s="96" t="str">
        <f>+VLOOKUP(H1311,Liste!$B$7:$G$69,5,FALSE)</f>
        <v>Pin d'Alep</v>
      </c>
      <c r="BJ1311" s="135">
        <f t="shared" si="396"/>
        <v>20</v>
      </c>
      <c r="BK1311" s="135" t="str">
        <f t="shared" si="398"/>
        <v>Pin d'Alep_F1_Classique_Pin d'Alep_20_</v>
      </c>
      <c r="BL1311" s="319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97" t="str">
        <f>+VLOOKUP(G1311,Liste!$A$7:$H$69,8,FALSE)</f>
        <v>Résineux</v>
      </c>
      <c r="BU1311" s="297">
        <f t="shared" si="399"/>
        <v>0</v>
      </c>
      <c r="BV1311" s="299">
        <f t="shared" si="400"/>
        <v>1</v>
      </c>
      <c r="BW1311" s="318">
        <v>0</v>
      </c>
      <c r="BX1311" s="297">
        <f t="shared" si="401"/>
        <v>0.43</v>
      </c>
      <c r="BY1311">
        <f t="shared" si="402"/>
        <v>0</v>
      </c>
      <c r="BZ1311" s="303">
        <f t="shared" si="403"/>
        <v>0</v>
      </c>
      <c r="CB1311" s="298">
        <v>0.6</v>
      </c>
      <c r="CC1311" s="298">
        <v>0.4</v>
      </c>
      <c r="CD1311">
        <f t="shared" si="404"/>
        <v>0</v>
      </c>
      <c r="CE1311">
        <f t="shared" si="405"/>
        <v>0</v>
      </c>
      <c r="CF1311">
        <f t="shared" si="406"/>
        <v>0</v>
      </c>
      <c r="CG1311">
        <f t="shared" si="407"/>
        <v>0</v>
      </c>
      <c r="CH1311">
        <f t="shared" si="408"/>
        <v>0</v>
      </c>
      <c r="CI1311">
        <f t="shared" si="409"/>
        <v>0</v>
      </c>
      <c r="CJ1311">
        <f t="shared" si="410"/>
        <v>0</v>
      </c>
      <c r="CK1311">
        <f t="shared" si="411"/>
        <v>0</v>
      </c>
      <c r="CL1311">
        <f t="shared" si="412"/>
        <v>0</v>
      </c>
      <c r="CM1311">
        <f t="shared" si="414"/>
        <v>0</v>
      </c>
      <c r="CN1311">
        <f t="shared" si="413"/>
        <v>0</v>
      </c>
      <c r="CO1311">
        <f t="shared" si="397"/>
        <v>0</v>
      </c>
    </row>
    <row r="1312" spans="1:93" hidden="1" x14ac:dyDescent="0.25">
      <c r="A1312" s="4">
        <v>2021</v>
      </c>
      <c r="B1312" s="315">
        <v>44320</v>
      </c>
      <c r="C1312" s="4" t="s">
        <v>1522</v>
      </c>
      <c r="D1312" s="4" t="s">
        <v>1523</v>
      </c>
      <c r="F1312" s="4" t="s">
        <v>1524</v>
      </c>
      <c r="G1312" s="5" t="s">
        <v>1512</v>
      </c>
      <c r="H1312" s="5" t="s">
        <v>1525</v>
      </c>
      <c r="I1312" s="5" t="s">
        <v>18</v>
      </c>
      <c r="J1312" s="5" t="s">
        <v>9</v>
      </c>
      <c r="K1312" s="5">
        <v>15.5</v>
      </c>
      <c r="L1312" s="5" t="s">
        <v>1526</v>
      </c>
      <c r="M1312" s="5">
        <v>1100</v>
      </c>
      <c r="N1312" s="5" t="s">
        <v>170</v>
      </c>
      <c r="O1312" s="6" t="s">
        <v>81</v>
      </c>
      <c r="P1312" s="6" t="s">
        <v>1528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+VLOOKUP(G1312,Liste!$A$7:$G$69,3,FALSE)</f>
        <v>Pin d'Alep</v>
      </c>
      <c r="BI1312" s="96" t="str">
        <f>+VLOOKUP(H1312,Liste!$B$7:$G$69,5,FALSE)</f>
        <v>Pin d'Alep</v>
      </c>
      <c r="BJ1312" s="135">
        <f t="shared" si="396"/>
        <v>21</v>
      </c>
      <c r="BK1312" s="135" t="str">
        <f t="shared" si="398"/>
        <v>Pin d'Alep_F1_Classique_Pin d'Alep_21_</v>
      </c>
      <c r="BL1312" s="319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97" t="str">
        <f>+VLOOKUP(G1312,Liste!$A$7:$H$69,8,FALSE)</f>
        <v>Résineux</v>
      </c>
      <c r="BU1312" s="297">
        <f t="shared" si="399"/>
        <v>0</v>
      </c>
      <c r="BV1312" s="299">
        <f t="shared" si="400"/>
        <v>1</v>
      </c>
      <c r="BW1312" s="318">
        <v>0</v>
      </c>
      <c r="BX1312" s="297">
        <f t="shared" si="401"/>
        <v>0.43</v>
      </c>
      <c r="BY1312">
        <f t="shared" si="402"/>
        <v>0</v>
      </c>
      <c r="BZ1312" s="303">
        <f t="shared" si="403"/>
        <v>0</v>
      </c>
      <c r="CB1312" s="298">
        <v>0.6</v>
      </c>
      <c r="CC1312" s="298">
        <v>0.4</v>
      </c>
      <c r="CD1312">
        <f t="shared" si="404"/>
        <v>0</v>
      </c>
      <c r="CE1312">
        <f t="shared" si="405"/>
        <v>0</v>
      </c>
      <c r="CF1312">
        <f t="shared" si="406"/>
        <v>0</v>
      </c>
      <c r="CG1312">
        <f t="shared" si="407"/>
        <v>0</v>
      </c>
      <c r="CH1312">
        <f t="shared" si="408"/>
        <v>0</v>
      </c>
      <c r="CI1312">
        <f t="shared" si="409"/>
        <v>0</v>
      </c>
      <c r="CJ1312">
        <f t="shared" si="410"/>
        <v>0</v>
      </c>
      <c r="CK1312">
        <f t="shared" si="411"/>
        <v>0</v>
      </c>
      <c r="CL1312">
        <f t="shared" si="412"/>
        <v>0</v>
      </c>
      <c r="CM1312">
        <f t="shared" si="414"/>
        <v>0</v>
      </c>
      <c r="CN1312">
        <f t="shared" si="413"/>
        <v>0</v>
      </c>
      <c r="CO1312">
        <f t="shared" si="397"/>
        <v>0</v>
      </c>
    </row>
    <row r="1313" spans="1:93" hidden="1" x14ac:dyDescent="0.25">
      <c r="A1313" s="4">
        <v>2021</v>
      </c>
      <c r="B1313" s="315">
        <v>44320</v>
      </c>
      <c r="C1313" s="4" t="s">
        <v>1522</v>
      </c>
      <c r="D1313" s="4" t="s">
        <v>1523</v>
      </c>
      <c r="F1313" s="4" t="s">
        <v>1524</v>
      </c>
      <c r="G1313" s="5" t="s">
        <v>1512</v>
      </c>
      <c r="H1313" s="5" t="s">
        <v>1525</v>
      </c>
      <c r="I1313" s="5" t="s">
        <v>18</v>
      </c>
      <c r="J1313" s="5" t="s">
        <v>9</v>
      </c>
      <c r="K1313" s="5">
        <v>15.5</v>
      </c>
      <c r="L1313" s="5" t="s">
        <v>1526</v>
      </c>
      <c r="M1313" s="5">
        <v>1100</v>
      </c>
      <c r="N1313" s="5" t="s">
        <v>170</v>
      </c>
      <c r="O1313" s="6" t="s">
        <v>81</v>
      </c>
      <c r="P1313" s="6" t="s">
        <v>1528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+VLOOKUP(G1313,Liste!$A$7:$G$69,3,FALSE)</f>
        <v>Pin d'Alep</v>
      </c>
      <c r="BI1313" s="96" t="str">
        <f>+VLOOKUP(H1313,Liste!$B$7:$G$69,5,FALSE)</f>
        <v>Pin d'Alep</v>
      </c>
      <c r="BJ1313" s="135">
        <f t="shared" si="396"/>
        <v>22</v>
      </c>
      <c r="BK1313" s="135" t="str">
        <f t="shared" si="398"/>
        <v>Pin d'Alep_F1_Classique_Pin d'Alep_22_</v>
      </c>
      <c r="BL1313" s="319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97" t="str">
        <f>+VLOOKUP(G1313,Liste!$A$7:$H$69,8,FALSE)</f>
        <v>Résineux</v>
      </c>
      <c r="BU1313" s="297">
        <f t="shared" si="399"/>
        <v>0</v>
      </c>
      <c r="BV1313" s="299">
        <f t="shared" si="400"/>
        <v>1</v>
      </c>
      <c r="BW1313" s="318">
        <v>0</v>
      </c>
      <c r="BX1313" s="297">
        <f t="shared" si="401"/>
        <v>0.43</v>
      </c>
      <c r="BY1313">
        <f t="shared" si="402"/>
        <v>0</v>
      </c>
      <c r="BZ1313" s="303">
        <f t="shared" si="403"/>
        <v>0</v>
      </c>
      <c r="CB1313" s="298">
        <v>0.6</v>
      </c>
      <c r="CC1313" s="298">
        <v>0.4</v>
      </c>
      <c r="CD1313">
        <f t="shared" si="404"/>
        <v>0</v>
      </c>
      <c r="CE1313">
        <f t="shared" si="405"/>
        <v>0</v>
      </c>
      <c r="CF1313">
        <f t="shared" si="406"/>
        <v>0</v>
      </c>
      <c r="CG1313">
        <f t="shared" si="407"/>
        <v>0</v>
      </c>
      <c r="CH1313">
        <f t="shared" si="408"/>
        <v>0</v>
      </c>
      <c r="CI1313">
        <f t="shared" si="409"/>
        <v>0</v>
      </c>
      <c r="CJ1313">
        <f t="shared" si="410"/>
        <v>0</v>
      </c>
      <c r="CK1313">
        <f t="shared" si="411"/>
        <v>0</v>
      </c>
      <c r="CL1313">
        <f t="shared" si="412"/>
        <v>0</v>
      </c>
      <c r="CM1313">
        <f t="shared" si="414"/>
        <v>0</v>
      </c>
      <c r="CN1313">
        <f t="shared" si="413"/>
        <v>0</v>
      </c>
      <c r="CO1313">
        <f t="shared" si="397"/>
        <v>0</v>
      </c>
    </row>
    <row r="1314" spans="1:93" hidden="1" x14ac:dyDescent="0.25">
      <c r="A1314" s="4">
        <v>2021</v>
      </c>
      <c r="B1314" s="315">
        <v>44320</v>
      </c>
      <c r="C1314" s="4" t="s">
        <v>1522</v>
      </c>
      <c r="D1314" s="4" t="s">
        <v>1523</v>
      </c>
      <c r="F1314" s="4" t="s">
        <v>1524</v>
      </c>
      <c r="G1314" s="5" t="s">
        <v>1512</v>
      </c>
      <c r="H1314" s="5" t="s">
        <v>1525</v>
      </c>
      <c r="I1314" s="5" t="s">
        <v>18</v>
      </c>
      <c r="J1314" s="5" t="s">
        <v>9</v>
      </c>
      <c r="K1314" s="5">
        <v>15.5</v>
      </c>
      <c r="L1314" s="5" t="s">
        <v>1526</v>
      </c>
      <c r="M1314" s="5">
        <v>1100</v>
      </c>
      <c r="N1314" s="5" t="s">
        <v>170</v>
      </c>
      <c r="O1314" s="6" t="s">
        <v>81</v>
      </c>
      <c r="P1314" s="6" t="s">
        <v>1528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+VLOOKUP(G1314,Liste!$A$7:$G$69,3,FALSE)</f>
        <v>Pin d'Alep</v>
      </c>
      <c r="BI1314" s="96" t="str">
        <f>+VLOOKUP(H1314,Liste!$B$7:$G$69,5,FALSE)</f>
        <v>Pin d'Alep</v>
      </c>
      <c r="BJ1314" s="135">
        <f t="shared" si="396"/>
        <v>23</v>
      </c>
      <c r="BK1314" s="135" t="str">
        <f t="shared" si="398"/>
        <v>Pin d'Alep_F1_Classique_Pin d'Alep_23_</v>
      </c>
      <c r="BL1314" s="319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97" t="str">
        <f>+VLOOKUP(G1314,Liste!$A$7:$H$69,8,FALSE)</f>
        <v>Résineux</v>
      </c>
      <c r="BU1314" s="297">
        <f t="shared" si="399"/>
        <v>0</v>
      </c>
      <c r="BV1314" s="299">
        <f t="shared" si="400"/>
        <v>1</v>
      </c>
      <c r="BW1314" s="318">
        <v>0</v>
      </c>
      <c r="BX1314" s="297">
        <f t="shared" si="401"/>
        <v>0.43</v>
      </c>
      <c r="BY1314">
        <f t="shared" si="402"/>
        <v>0</v>
      </c>
      <c r="BZ1314" s="303">
        <f t="shared" si="403"/>
        <v>0</v>
      </c>
      <c r="CB1314" s="298">
        <v>0.6</v>
      </c>
      <c r="CC1314" s="298">
        <v>0.4</v>
      </c>
      <c r="CD1314">
        <f t="shared" si="404"/>
        <v>0</v>
      </c>
      <c r="CE1314">
        <f t="shared" si="405"/>
        <v>0</v>
      </c>
      <c r="CF1314">
        <f t="shared" si="406"/>
        <v>0</v>
      </c>
      <c r="CG1314">
        <f t="shared" si="407"/>
        <v>0</v>
      </c>
      <c r="CH1314">
        <f t="shared" si="408"/>
        <v>0</v>
      </c>
      <c r="CI1314">
        <f t="shared" si="409"/>
        <v>0</v>
      </c>
      <c r="CJ1314">
        <f t="shared" si="410"/>
        <v>0</v>
      </c>
      <c r="CK1314">
        <f t="shared" si="411"/>
        <v>0</v>
      </c>
      <c r="CL1314">
        <f t="shared" si="412"/>
        <v>0</v>
      </c>
      <c r="CM1314">
        <f t="shared" si="414"/>
        <v>0</v>
      </c>
      <c r="CN1314">
        <f t="shared" si="413"/>
        <v>0</v>
      </c>
      <c r="CO1314">
        <f t="shared" si="397"/>
        <v>0</v>
      </c>
    </row>
    <row r="1315" spans="1:93" hidden="1" x14ac:dyDescent="0.25">
      <c r="A1315" s="4">
        <v>2021</v>
      </c>
      <c r="B1315" s="315">
        <v>44320</v>
      </c>
      <c r="C1315" s="4" t="s">
        <v>1522</v>
      </c>
      <c r="D1315" s="4" t="s">
        <v>1523</v>
      </c>
      <c r="F1315" s="4" t="s">
        <v>1524</v>
      </c>
      <c r="G1315" s="5" t="s">
        <v>1512</v>
      </c>
      <c r="H1315" s="5" t="s">
        <v>1525</v>
      </c>
      <c r="I1315" s="5" t="s">
        <v>18</v>
      </c>
      <c r="J1315" s="5" t="s">
        <v>9</v>
      </c>
      <c r="K1315" s="5">
        <v>15.5</v>
      </c>
      <c r="L1315" s="5" t="s">
        <v>1526</v>
      </c>
      <c r="M1315" s="5">
        <v>1100</v>
      </c>
      <c r="N1315" s="5" t="s">
        <v>170</v>
      </c>
      <c r="O1315" s="6" t="s">
        <v>81</v>
      </c>
      <c r="P1315" s="6" t="s">
        <v>1528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+VLOOKUP(G1315,Liste!$A$7:$G$69,3,FALSE)</f>
        <v>Pin d'Alep</v>
      </c>
      <c r="BI1315" s="96" t="str">
        <f>+VLOOKUP(H1315,Liste!$B$7:$G$69,5,FALSE)</f>
        <v>Pin d'Alep</v>
      </c>
      <c r="BJ1315" s="135">
        <f t="shared" si="396"/>
        <v>24</v>
      </c>
      <c r="BK1315" s="135" t="str">
        <f t="shared" si="398"/>
        <v>Pin d'Alep_F1_Classique_Pin d'Alep_24_</v>
      </c>
      <c r="BL1315" s="319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97" t="str">
        <f>+VLOOKUP(G1315,Liste!$A$7:$H$69,8,FALSE)</f>
        <v>Résineux</v>
      </c>
      <c r="BU1315" s="297">
        <f t="shared" si="399"/>
        <v>0</v>
      </c>
      <c r="BV1315" s="299">
        <f t="shared" si="400"/>
        <v>1</v>
      </c>
      <c r="BW1315" s="318">
        <v>0</v>
      </c>
      <c r="BX1315" s="297">
        <f t="shared" si="401"/>
        <v>0.43</v>
      </c>
      <c r="BY1315">
        <f t="shared" si="402"/>
        <v>0</v>
      </c>
      <c r="BZ1315" s="303">
        <f t="shared" si="403"/>
        <v>0</v>
      </c>
      <c r="CB1315" s="298">
        <v>0.6</v>
      </c>
      <c r="CC1315" s="298">
        <v>0.4</v>
      </c>
      <c r="CD1315">
        <f t="shared" si="404"/>
        <v>0</v>
      </c>
      <c r="CE1315">
        <f t="shared" si="405"/>
        <v>0</v>
      </c>
      <c r="CF1315">
        <f t="shared" si="406"/>
        <v>0</v>
      </c>
      <c r="CG1315">
        <f t="shared" si="407"/>
        <v>0</v>
      </c>
      <c r="CH1315">
        <f t="shared" si="408"/>
        <v>0</v>
      </c>
      <c r="CI1315">
        <f t="shared" si="409"/>
        <v>0</v>
      </c>
      <c r="CJ1315">
        <f t="shared" si="410"/>
        <v>0</v>
      </c>
      <c r="CK1315">
        <f t="shared" si="411"/>
        <v>0</v>
      </c>
      <c r="CL1315">
        <f t="shared" si="412"/>
        <v>0</v>
      </c>
      <c r="CM1315">
        <f t="shared" si="414"/>
        <v>0</v>
      </c>
      <c r="CN1315">
        <f t="shared" si="413"/>
        <v>0</v>
      </c>
      <c r="CO1315">
        <f t="shared" si="397"/>
        <v>0</v>
      </c>
    </row>
    <row r="1316" spans="1:93" hidden="1" x14ac:dyDescent="0.25">
      <c r="A1316" s="4">
        <v>2021</v>
      </c>
      <c r="B1316" s="315">
        <v>44320</v>
      </c>
      <c r="C1316" s="4" t="s">
        <v>1522</v>
      </c>
      <c r="D1316" s="4" t="s">
        <v>1523</v>
      </c>
      <c r="F1316" s="4" t="s">
        <v>1524</v>
      </c>
      <c r="G1316" s="5" t="s">
        <v>1512</v>
      </c>
      <c r="H1316" s="5" t="s">
        <v>1525</v>
      </c>
      <c r="I1316" s="5" t="s">
        <v>18</v>
      </c>
      <c r="J1316" s="5" t="s">
        <v>9</v>
      </c>
      <c r="K1316" s="5">
        <v>15.5</v>
      </c>
      <c r="L1316" s="5" t="s">
        <v>1526</v>
      </c>
      <c r="M1316" s="5">
        <v>1100</v>
      </c>
      <c r="N1316" s="5" t="s">
        <v>170</v>
      </c>
      <c r="O1316" s="6" t="s">
        <v>81</v>
      </c>
      <c r="P1316" s="6" t="s">
        <v>1528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+VLOOKUP(G1316,Liste!$A$7:$G$69,3,FALSE)</f>
        <v>Pin d'Alep</v>
      </c>
      <c r="BI1316" s="96" t="str">
        <f>+VLOOKUP(H1316,Liste!$B$7:$G$69,5,FALSE)</f>
        <v>Pin d'Alep</v>
      </c>
      <c r="BJ1316" s="135">
        <f t="shared" si="396"/>
        <v>25</v>
      </c>
      <c r="BK1316" s="135" t="str">
        <f t="shared" si="398"/>
        <v>Pin d'Alep_F1_Classique_Pin d'Alep_25_</v>
      </c>
      <c r="BL1316" s="319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97" t="str">
        <f>+VLOOKUP(G1316,Liste!$A$7:$H$69,8,FALSE)</f>
        <v>Résineux</v>
      </c>
      <c r="BU1316" s="297">
        <f t="shared" si="399"/>
        <v>0</v>
      </c>
      <c r="BV1316" s="299">
        <f t="shared" si="400"/>
        <v>1</v>
      </c>
      <c r="BW1316" s="318">
        <v>0</v>
      </c>
      <c r="BX1316" s="297">
        <f t="shared" si="401"/>
        <v>0.43</v>
      </c>
      <c r="BY1316">
        <f t="shared" si="402"/>
        <v>0</v>
      </c>
      <c r="BZ1316" s="303">
        <f t="shared" si="403"/>
        <v>0</v>
      </c>
      <c r="CB1316" s="298">
        <v>0.6</v>
      </c>
      <c r="CC1316" s="298">
        <v>0.4</v>
      </c>
      <c r="CD1316">
        <f t="shared" si="404"/>
        <v>0</v>
      </c>
      <c r="CE1316">
        <f t="shared" si="405"/>
        <v>0</v>
      </c>
      <c r="CF1316">
        <f t="shared" si="406"/>
        <v>0</v>
      </c>
      <c r="CG1316">
        <f t="shared" si="407"/>
        <v>0</v>
      </c>
      <c r="CH1316">
        <f t="shared" si="408"/>
        <v>0</v>
      </c>
      <c r="CI1316">
        <f t="shared" si="409"/>
        <v>0</v>
      </c>
      <c r="CJ1316">
        <f t="shared" si="410"/>
        <v>0</v>
      </c>
      <c r="CK1316">
        <f t="shared" si="411"/>
        <v>0</v>
      </c>
      <c r="CL1316">
        <f t="shared" si="412"/>
        <v>0</v>
      </c>
      <c r="CM1316">
        <f t="shared" si="414"/>
        <v>0</v>
      </c>
      <c r="CN1316">
        <f t="shared" si="413"/>
        <v>0</v>
      </c>
      <c r="CO1316">
        <f t="shared" si="397"/>
        <v>0</v>
      </c>
    </row>
    <row r="1317" spans="1:93" hidden="1" x14ac:dyDescent="0.25">
      <c r="A1317" s="4">
        <v>2021</v>
      </c>
      <c r="B1317" s="315">
        <v>44320</v>
      </c>
      <c r="C1317" s="4" t="s">
        <v>1522</v>
      </c>
      <c r="D1317" s="4" t="s">
        <v>1523</v>
      </c>
      <c r="F1317" s="4" t="s">
        <v>1524</v>
      </c>
      <c r="G1317" s="5" t="s">
        <v>1512</v>
      </c>
      <c r="H1317" s="5" t="s">
        <v>1525</v>
      </c>
      <c r="I1317" s="5" t="s">
        <v>18</v>
      </c>
      <c r="J1317" s="5" t="s">
        <v>9</v>
      </c>
      <c r="K1317" s="5">
        <v>15.5</v>
      </c>
      <c r="L1317" s="5" t="s">
        <v>1526</v>
      </c>
      <c r="M1317" s="5">
        <v>1100</v>
      </c>
      <c r="N1317" s="5" t="s">
        <v>170</v>
      </c>
      <c r="O1317" s="6" t="s">
        <v>81</v>
      </c>
      <c r="P1317" s="6" t="s">
        <v>1528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+VLOOKUP(G1317,Liste!$A$7:$G$69,3,FALSE)</f>
        <v>Pin d'Alep</v>
      </c>
      <c r="BI1317" s="96" t="str">
        <f>+VLOOKUP(H1317,Liste!$B$7:$G$69,5,FALSE)</f>
        <v>Pin d'Alep</v>
      </c>
      <c r="BJ1317" s="135">
        <f t="shared" si="396"/>
        <v>26</v>
      </c>
      <c r="BK1317" s="135" t="str">
        <f t="shared" si="398"/>
        <v>Pin d'Alep_F1_Classique_Pin d'Alep_26_</v>
      </c>
      <c r="BL1317" s="319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97" t="str">
        <f>+VLOOKUP(G1317,Liste!$A$7:$H$69,8,FALSE)</f>
        <v>Résineux</v>
      </c>
      <c r="BU1317" s="297">
        <f t="shared" si="399"/>
        <v>0</v>
      </c>
      <c r="BV1317" s="299">
        <f t="shared" si="400"/>
        <v>1</v>
      </c>
      <c r="BW1317" s="318">
        <v>0</v>
      </c>
      <c r="BX1317" s="297">
        <f t="shared" si="401"/>
        <v>0.43</v>
      </c>
      <c r="BY1317">
        <f t="shared" si="402"/>
        <v>0</v>
      </c>
      <c r="BZ1317" s="303">
        <f t="shared" si="403"/>
        <v>0</v>
      </c>
      <c r="CB1317" s="298">
        <v>0.6</v>
      </c>
      <c r="CC1317" s="298">
        <v>0.4</v>
      </c>
      <c r="CD1317">
        <f t="shared" si="404"/>
        <v>0</v>
      </c>
      <c r="CE1317">
        <f t="shared" si="405"/>
        <v>0</v>
      </c>
      <c r="CF1317">
        <f t="shared" si="406"/>
        <v>0</v>
      </c>
      <c r="CG1317">
        <f t="shared" si="407"/>
        <v>0</v>
      </c>
      <c r="CH1317">
        <f t="shared" si="408"/>
        <v>0</v>
      </c>
      <c r="CI1317">
        <f t="shared" si="409"/>
        <v>0</v>
      </c>
      <c r="CJ1317">
        <f t="shared" si="410"/>
        <v>0</v>
      </c>
      <c r="CK1317">
        <f t="shared" si="411"/>
        <v>0</v>
      </c>
      <c r="CL1317">
        <f t="shared" si="412"/>
        <v>0</v>
      </c>
      <c r="CM1317">
        <f t="shared" si="414"/>
        <v>0</v>
      </c>
      <c r="CN1317">
        <f t="shared" si="413"/>
        <v>0</v>
      </c>
      <c r="CO1317">
        <f t="shared" si="397"/>
        <v>0</v>
      </c>
    </row>
    <row r="1318" spans="1:93" hidden="1" x14ac:dyDescent="0.25">
      <c r="A1318" s="4">
        <v>2021</v>
      </c>
      <c r="B1318" s="315">
        <v>44320</v>
      </c>
      <c r="C1318" s="4" t="s">
        <v>1522</v>
      </c>
      <c r="D1318" s="4" t="s">
        <v>1523</v>
      </c>
      <c r="F1318" s="4" t="s">
        <v>1524</v>
      </c>
      <c r="G1318" s="5" t="s">
        <v>1512</v>
      </c>
      <c r="H1318" s="5" t="s">
        <v>1525</v>
      </c>
      <c r="I1318" s="5" t="s">
        <v>18</v>
      </c>
      <c r="J1318" s="5" t="s">
        <v>9</v>
      </c>
      <c r="K1318" s="5">
        <v>15.5</v>
      </c>
      <c r="L1318" s="5" t="s">
        <v>1526</v>
      </c>
      <c r="M1318" s="5">
        <v>1100</v>
      </c>
      <c r="N1318" s="5" t="s">
        <v>170</v>
      </c>
      <c r="O1318" s="6" t="s">
        <v>81</v>
      </c>
      <c r="P1318" s="6" t="s">
        <v>1528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+VLOOKUP(G1318,Liste!$A$7:$G$69,3,FALSE)</f>
        <v>Pin d'Alep</v>
      </c>
      <c r="BI1318" s="96" t="str">
        <f>+VLOOKUP(H1318,Liste!$B$7:$G$69,5,FALSE)</f>
        <v>Pin d'Alep</v>
      </c>
      <c r="BJ1318" s="135">
        <f t="shared" si="396"/>
        <v>27</v>
      </c>
      <c r="BK1318" s="135" t="str">
        <f t="shared" si="398"/>
        <v>Pin d'Alep_F1_Classique_Pin d'Alep_27_</v>
      </c>
      <c r="BL1318" s="319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97" t="str">
        <f>+VLOOKUP(G1318,Liste!$A$7:$H$69,8,FALSE)</f>
        <v>Résineux</v>
      </c>
      <c r="BU1318" s="297">
        <f t="shared" si="399"/>
        <v>0</v>
      </c>
      <c r="BV1318" s="299">
        <f t="shared" si="400"/>
        <v>1</v>
      </c>
      <c r="BW1318" s="318">
        <v>0</v>
      </c>
      <c r="BX1318" s="297">
        <f t="shared" si="401"/>
        <v>0.43</v>
      </c>
      <c r="BY1318">
        <f t="shared" si="402"/>
        <v>0</v>
      </c>
      <c r="BZ1318" s="303">
        <f t="shared" si="403"/>
        <v>0</v>
      </c>
      <c r="CB1318" s="298">
        <v>0.6</v>
      </c>
      <c r="CC1318" s="298">
        <v>0.4</v>
      </c>
      <c r="CD1318">
        <f t="shared" si="404"/>
        <v>0</v>
      </c>
      <c r="CE1318">
        <f t="shared" si="405"/>
        <v>0</v>
      </c>
      <c r="CF1318">
        <f t="shared" si="406"/>
        <v>0</v>
      </c>
      <c r="CG1318">
        <f t="shared" si="407"/>
        <v>0</v>
      </c>
      <c r="CH1318">
        <f t="shared" si="408"/>
        <v>0</v>
      </c>
      <c r="CI1318">
        <f t="shared" si="409"/>
        <v>0</v>
      </c>
      <c r="CJ1318">
        <f t="shared" si="410"/>
        <v>0</v>
      </c>
      <c r="CK1318">
        <f t="shared" si="411"/>
        <v>0</v>
      </c>
      <c r="CL1318">
        <f t="shared" si="412"/>
        <v>0</v>
      </c>
      <c r="CM1318">
        <f t="shared" si="414"/>
        <v>0</v>
      </c>
      <c r="CN1318">
        <f t="shared" si="413"/>
        <v>0</v>
      </c>
      <c r="CO1318">
        <f t="shared" si="397"/>
        <v>0</v>
      </c>
    </row>
    <row r="1319" spans="1:93" hidden="1" x14ac:dyDescent="0.25">
      <c r="A1319" s="4">
        <v>2021</v>
      </c>
      <c r="B1319" s="315">
        <v>44320</v>
      </c>
      <c r="C1319" s="4" t="s">
        <v>1522</v>
      </c>
      <c r="D1319" s="4" t="s">
        <v>1523</v>
      </c>
      <c r="F1319" s="4" t="s">
        <v>1524</v>
      </c>
      <c r="G1319" s="5" t="s">
        <v>1512</v>
      </c>
      <c r="H1319" s="5" t="s">
        <v>1525</v>
      </c>
      <c r="I1319" s="5" t="s">
        <v>18</v>
      </c>
      <c r="J1319" s="5" t="s">
        <v>9</v>
      </c>
      <c r="K1319" s="5">
        <v>15.5</v>
      </c>
      <c r="L1319" s="5" t="s">
        <v>1526</v>
      </c>
      <c r="M1319" s="5">
        <v>1100</v>
      </c>
      <c r="N1319" s="5" t="s">
        <v>170</v>
      </c>
      <c r="O1319" s="6" t="s">
        <v>81</v>
      </c>
      <c r="P1319" s="6" t="s">
        <v>1528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+VLOOKUP(G1319,Liste!$A$7:$G$69,3,FALSE)</f>
        <v>Pin d'Alep</v>
      </c>
      <c r="BI1319" s="96" t="str">
        <f>+VLOOKUP(H1319,Liste!$B$7:$G$69,5,FALSE)</f>
        <v>Pin d'Alep</v>
      </c>
      <c r="BJ1319" s="135">
        <f t="shared" si="396"/>
        <v>28</v>
      </c>
      <c r="BK1319" s="135" t="str">
        <f t="shared" si="398"/>
        <v>Pin d'Alep_F1_Classique_Pin d'Alep_28_</v>
      </c>
      <c r="BL1319" s="319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97" t="str">
        <f>+VLOOKUP(G1319,Liste!$A$7:$H$69,8,FALSE)</f>
        <v>Résineux</v>
      </c>
      <c r="BU1319" s="297">
        <f t="shared" si="399"/>
        <v>0</v>
      </c>
      <c r="BV1319" s="299">
        <f t="shared" si="400"/>
        <v>1</v>
      </c>
      <c r="BW1319" s="318">
        <v>0</v>
      </c>
      <c r="BX1319" s="297">
        <f t="shared" si="401"/>
        <v>0.43</v>
      </c>
      <c r="BY1319">
        <f t="shared" si="402"/>
        <v>0</v>
      </c>
      <c r="BZ1319" s="303">
        <f t="shared" si="403"/>
        <v>0</v>
      </c>
      <c r="CB1319" s="298">
        <v>0.6</v>
      </c>
      <c r="CC1319" s="298">
        <v>0.4</v>
      </c>
      <c r="CD1319">
        <f t="shared" si="404"/>
        <v>0</v>
      </c>
      <c r="CE1319">
        <f t="shared" si="405"/>
        <v>0</v>
      </c>
      <c r="CF1319">
        <f t="shared" si="406"/>
        <v>0</v>
      </c>
      <c r="CG1319">
        <f t="shared" si="407"/>
        <v>0</v>
      </c>
      <c r="CH1319">
        <f t="shared" si="408"/>
        <v>0</v>
      </c>
      <c r="CI1319">
        <f t="shared" si="409"/>
        <v>0</v>
      </c>
      <c r="CJ1319">
        <f t="shared" si="410"/>
        <v>0</v>
      </c>
      <c r="CK1319">
        <f t="shared" si="411"/>
        <v>0</v>
      </c>
      <c r="CL1319">
        <f t="shared" si="412"/>
        <v>0</v>
      </c>
      <c r="CM1319">
        <f t="shared" si="414"/>
        <v>0</v>
      </c>
      <c r="CN1319">
        <f t="shared" si="413"/>
        <v>0</v>
      </c>
      <c r="CO1319">
        <f t="shared" si="397"/>
        <v>0</v>
      </c>
    </row>
    <row r="1320" spans="1:93" hidden="1" x14ac:dyDescent="0.25">
      <c r="A1320" s="4">
        <v>2021</v>
      </c>
      <c r="B1320" s="315">
        <v>44320</v>
      </c>
      <c r="C1320" s="4" t="s">
        <v>1522</v>
      </c>
      <c r="D1320" s="4" t="s">
        <v>1523</v>
      </c>
      <c r="F1320" s="4" t="s">
        <v>1524</v>
      </c>
      <c r="G1320" s="5" t="s">
        <v>1512</v>
      </c>
      <c r="H1320" s="5" t="s">
        <v>1525</v>
      </c>
      <c r="I1320" s="5" t="s">
        <v>18</v>
      </c>
      <c r="J1320" s="5" t="s">
        <v>9</v>
      </c>
      <c r="K1320" s="5">
        <v>15.5</v>
      </c>
      <c r="L1320" s="5" t="s">
        <v>1526</v>
      </c>
      <c r="M1320" s="5">
        <v>1100</v>
      </c>
      <c r="N1320" s="5" t="s">
        <v>170</v>
      </c>
      <c r="O1320" s="6" t="s">
        <v>81</v>
      </c>
      <c r="P1320" s="6" t="s">
        <v>1528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+VLOOKUP(G1320,Liste!$A$7:$G$69,3,FALSE)</f>
        <v>Pin d'Alep</v>
      </c>
      <c r="BI1320" s="96" t="str">
        <f>+VLOOKUP(H1320,Liste!$B$7:$G$69,5,FALSE)</f>
        <v>Pin d'Alep</v>
      </c>
      <c r="BJ1320" s="135">
        <f t="shared" si="396"/>
        <v>29</v>
      </c>
      <c r="BK1320" s="135" t="str">
        <f t="shared" si="398"/>
        <v>Pin d'Alep_F1_Classique_Pin d'Alep_29_</v>
      </c>
      <c r="BL1320" s="319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97" t="str">
        <f>+VLOOKUP(G1320,Liste!$A$7:$H$69,8,FALSE)</f>
        <v>Résineux</v>
      </c>
      <c r="BU1320" s="297">
        <f t="shared" si="399"/>
        <v>0</v>
      </c>
      <c r="BV1320" s="299">
        <f t="shared" si="400"/>
        <v>1</v>
      </c>
      <c r="BW1320" s="318">
        <v>0</v>
      </c>
      <c r="BX1320" s="297">
        <f t="shared" si="401"/>
        <v>0.43</v>
      </c>
      <c r="BY1320">
        <f t="shared" si="402"/>
        <v>0</v>
      </c>
      <c r="BZ1320" s="303">
        <f t="shared" si="403"/>
        <v>0</v>
      </c>
      <c r="CB1320" s="298">
        <v>0.6</v>
      </c>
      <c r="CC1320" s="298">
        <v>0.4</v>
      </c>
      <c r="CD1320">
        <f t="shared" si="404"/>
        <v>0</v>
      </c>
      <c r="CE1320">
        <f t="shared" si="405"/>
        <v>0</v>
      </c>
      <c r="CF1320">
        <f t="shared" si="406"/>
        <v>0</v>
      </c>
      <c r="CG1320">
        <f t="shared" si="407"/>
        <v>0</v>
      </c>
      <c r="CH1320">
        <f t="shared" si="408"/>
        <v>0</v>
      </c>
      <c r="CI1320">
        <f t="shared" si="409"/>
        <v>0</v>
      </c>
      <c r="CJ1320">
        <f t="shared" si="410"/>
        <v>0</v>
      </c>
      <c r="CK1320">
        <f t="shared" si="411"/>
        <v>0</v>
      </c>
      <c r="CL1320">
        <f t="shared" si="412"/>
        <v>0</v>
      </c>
      <c r="CM1320">
        <f t="shared" si="414"/>
        <v>0</v>
      </c>
      <c r="CN1320">
        <f t="shared" si="413"/>
        <v>0</v>
      </c>
      <c r="CO1320">
        <f t="shared" si="397"/>
        <v>0</v>
      </c>
    </row>
    <row r="1321" spans="1:93" hidden="1" x14ac:dyDescent="0.25">
      <c r="A1321" s="4">
        <v>2021</v>
      </c>
      <c r="B1321" s="315">
        <v>44320</v>
      </c>
      <c r="C1321" s="4" t="s">
        <v>1522</v>
      </c>
      <c r="D1321" s="4" t="s">
        <v>1523</v>
      </c>
      <c r="F1321" s="4" t="s">
        <v>1524</v>
      </c>
      <c r="G1321" s="5" t="s">
        <v>1512</v>
      </c>
      <c r="H1321" s="5" t="s">
        <v>1525</v>
      </c>
      <c r="I1321" s="5" t="s">
        <v>18</v>
      </c>
      <c r="J1321" s="5" t="s">
        <v>9</v>
      </c>
      <c r="K1321" s="5">
        <v>15.5</v>
      </c>
      <c r="L1321" s="5" t="s">
        <v>1526</v>
      </c>
      <c r="M1321" s="5">
        <v>1100</v>
      </c>
      <c r="N1321" s="5" t="s">
        <v>170</v>
      </c>
      <c r="O1321" s="6" t="s">
        <v>81</v>
      </c>
      <c r="P1321" s="6" t="s">
        <v>1528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+VLOOKUP(G1321,Liste!$A$7:$G$69,3,FALSE)</f>
        <v>Pin d'Alep</v>
      </c>
      <c r="BI1321" s="96" t="str">
        <f>+VLOOKUP(H1321,Liste!$B$7:$G$69,5,FALSE)</f>
        <v>Pin d'Alep</v>
      </c>
      <c r="BJ1321" s="135">
        <f t="shared" si="396"/>
        <v>30</v>
      </c>
      <c r="BK1321" s="135" t="str">
        <f t="shared" si="398"/>
        <v>Pin d'Alep_F1_Classique_Pin d'Alep_30_</v>
      </c>
      <c r="BL1321" s="319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97" t="str">
        <f>+VLOOKUP(G1321,Liste!$A$7:$H$69,8,FALSE)</f>
        <v>Résineux</v>
      </c>
      <c r="BU1321" s="297">
        <f t="shared" si="399"/>
        <v>0</v>
      </c>
      <c r="BV1321" s="299">
        <f t="shared" si="400"/>
        <v>1</v>
      </c>
      <c r="BW1321" s="318">
        <v>0</v>
      </c>
      <c r="BX1321" s="297">
        <f t="shared" si="401"/>
        <v>0.43</v>
      </c>
      <c r="BY1321">
        <f t="shared" si="402"/>
        <v>0</v>
      </c>
      <c r="BZ1321" s="303">
        <f t="shared" si="403"/>
        <v>0</v>
      </c>
      <c r="CB1321" s="298">
        <v>0.6</v>
      </c>
      <c r="CC1321" s="298">
        <v>0.4</v>
      </c>
      <c r="CD1321">
        <f t="shared" si="404"/>
        <v>0</v>
      </c>
      <c r="CE1321">
        <f t="shared" si="405"/>
        <v>0</v>
      </c>
      <c r="CF1321">
        <f t="shared" si="406"/>
        <v>0</v>
      </c>
      <c r="CG1321">
        <f t="shared" si="407"/>
        <v>0</v>
      </c>
      <c r="CH1321">
        <f t="shared" si="408"/>
        <v>0</v>
      </c>
      <c r="CI1321">
        <f t="shared" si="409"/>
        <v>0</v>
      </c>
      <c r="CJ1321">
        <f t="shared" si="410"/>
        <v>0</v>
      </c>
      <c r="CK1321">
        <f t="shared" si="411"/>
        <v>0</v>
      </c>
      <c r="CL1321">
        <f t="shared" si="412"/>
        <v>0</v>
      </c>
      <c r="CM1321">
        <f t="shared" si="414"/>
        <v>0</v>
      </c>
      <c r="CN1321">
        <f t="shared" si="413"/>
        <v>0</v>
      </c>
      <c r="CO1321">
        <f t="shared" si="397"/>
        <v>0</v>
      </c>
    </row>
    <row r="1322" spans="1:93" hidden="1" x14ac:dyDescent="0.25">
      <c r="A1322" s="4">
        <v>2021</v>
      </c>
      <c r="B1322" s="315">
        <v>44320</v>
      </c>
      <c r="C1322" s="4" t="s">
        <v>1522</v>
      </c>
      <c r="D1322" s="4" t="s">
        <v>1523</v>
      </c>
      <c r="F1322" s="4" t="s">
        <v>1524</v>
      </c>
      <c r="G1322" s="5" t="s">
        <v>1512</v>
      </c>
      <c r="H1322" s="5" t="s">
        <v>1525</v>
      </c>
      <c r="I1322" s="5" t="s">
        <v>18</v>
      </c>
      <c r="J1322" s="5" t="s">
        <v>9</v>
      </c>
      <c r="K1322" s="5">
        <v>15.5</v>
      </c>
      <c r="L1322" s="5" t="s">
        <v>1526</v>
      </c>
      <c r="M1322" s="5">
        <v>1100</v>
      </c>
      <c r="N1322" s="5" t="s">
        <v>170</v>
      </c>
      <c r="O1322" s="6" t="s">
        <v>81</v>
      </c>
      <c r="P1322" s="6" t="s">
        <v>1528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+VLOOKUP(G1322,Liste!$A$7:$G$69,3,FALSE)</f>
        <v>Pin d'Alep</v>
      </c>
      <c r="BI1322" s="96" t="str">
        <f>+VLOOKUP(H1322,Liste!$B$7:$G$69,5,FALSE)</f>
        <v>Pin d'Alep</v>
      </c>
      <c r="BJ1322" s="135">
        <f t="shared" si="396"/>
        <v>31</v>
      </c>
      <c r="BK1322" s="135" t="str">
        <f t="shared" si="398"/>
        <v>Pin d'Alep_F1_Classique_Pin d'Alep_31_</v>
      </c>
      <c r="BL1322" s="319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97" t="str">
        <f>+VLOOKUP(G1322,Liste!$A$7:$H$69,8,FALSE)</f>
        <v>Résineux</v>
      </c>
      <c r="BU1322" s="297">
        <f t="shared" si="399"/>
        <v>0</v>
      </c>
      <c r="BV1322" s="299">
        <f t="shared" si="400"/>
        <v>1</v>
      </c>
      <c r="BW1322" s="318">
        <v>0</v>
      </c>
      <c r="BX1322" s="297">
        <f t="shared" si="401"/>
        <v>0.43</v>
      </c>
      <c r="BY1322">
        <f t="shared" si="402"/>
        <v>0</v>
      </c>
      <c r="BZ1322" s="303">
        <f t="shared" si="403"/>
        <v>0</v>
      </c>
      <c r="CB1322" s="298">
        <v>0.6</v>
      </c>
      <c r="CC1322" s="298">
        <v>0.4</v>
      </c>
      <c r="CD1322">
        <f t="shared" si="404"/>
        <v>0</v>
      </c>
      <c r="CE1322">
        <f t="shared" si="405"/>
        <v>0</v>
      </c>
      <c r="CF1322">
        <f t="shared" si="406"/>
        <v>0</v>
      </c>
      <c r="CG1322">
        <f t="shared" si="407"/>
        <v>0</v>
      </c>
      <c r="CH1322">
        <f t="shared" si="408"/>
        <v>0</v>
      </c>
      <c r="CI1322">
        <f t="shared" si="409"/>
        <v>0</v>
      </c>
      <c r="CJ1322">
        <f t="shared" si="410"/>
        <v>0</v>
      </c>
      <c r="CK1322">
        <f t="shared" si="411"/>
        <v>0</v>
      </c>
      <c r="CL1322">
        <f t="shared" si="412"/>
        <v>0</v>
      </c>
      <c r="CM1322">
        <f t="shared" si="414"/>
        <v>0</v>
      </c>
      <c r="CN1322">
        <f t="shared" si="413"/>
        <v>0</v>
      </c>
      <c r="CO1322">
        <f t="shared" si="397"/>
        <v>0</v>
      </c>
    </row>
    <row r="1323" spans="1:93" hidden="1" x14ac:dyDescent="0.25">
      <c r="A1323" s="4">
        <v>2021</v>
      </c>
      <c r="B1323" s="315">
        <v>44320</v>
      </c>
      <c r="C1323" s="4" t="s">
        <v>1522</v>
      </c>
      <c r="D1323" s="4" t="s">
        <v>1523</v>
      </c>
      <c r="F1323" s="4" t="s">
        <v>1524</v>
      </c>
      <c r="G1323" s="5" t="s">
        <v>1512</v>
      </c>
      <c r="H1323" s="5" t="s">
        <v>1525</v>
      </c>
      <c r="I1323" s="5" t="s">
        <v>18</v>
      </c>
      <c r="J1323" s="5" t="s">
        <v>9</v>
      </c>
      <c r="K1323" s="5">
        <v>15.5</v>
      </c>
      <c r="L1323" s="5" t="s">
        <v>1526</v>
      </c>
      <c r="M1323" s="5">
        <v>1100</v>
      </c>
      <c r="N1323" s="5" t="s">
        <v>170</v>
      </c>
      <c r="O1323" s="6" t="s">
        <v>81</v>
      </c>
      <c r="P1323" s="6" t="s">
        <v>1528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+VLOOKUP(G1323,Liste!$A$7:$G$69,3,FALSE)</f>
        <v>Pin d'Alep</v>
      </c>
      <c r="BI1323" s="96" t="str">
        <f>+VLOOKUP(H1323,Liste!$B$7:$G$69,5,FALSE)</f>
        <v>Pin d'Alep</v>
      </c>
      <c r="BJ1323" s="135">
        <f t="shared" si="396"/>
        <v>32</v>
      </c>
      <c r="BK1323" s="135" t="str">
        <f t="shared" si="398"/>
        <v>Pin d'Alep_F1_Classique_Pin d'Alep_32_</v>
      </c>
      <c r="BL1323" s="319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97" t="str">
        <f>+VLOOKUP(G1323,Liste!$A$7:$H$69,8,FALSE)</f>
        <v>Résineux</v>
      </c>
      <c r="BU1323" s="297">
        <f t="shared" si="399"/>
        <v>0</v>
      </c>
      <c r="BV1323" s="299">
        <f t="shared" si="400"/>
        <v>1</v>
      </c>
      <c r="BW1323" s="318">
        <v>0</v>
      </c>
      <c r="BX1323" s="297">
        <f t="shared" si="401"/>
        <v>0.43</v>
      </c>
      <c r="BY1323">
        <f t="shared" si="402"/>
        <v>0</v>
      </c>
      <c r="BZ1323" s="303">
        <f t="shared" si="403"/>
        <v>0</v>
      </c>
      <c r="CB1323" s="298">
        <v>0.6</v>
      </c>
      <c r="CC1323" s="298">
        <v>0.4</v>
      </c>
      <c r="CD1323">
        <f t="shared" si="404"/>
        <v>0</v>
      </c>
      <c r="CE1323">
        <f t="shared" si="405"/>
        <v>0</v>
      </c>
      <c r="CF1323">
        <f t="shared" si="406"/>
        <v>0</v>
      </c>
      <c r="CG1323">
        <f t="shared" si="407"/>
        <v>0</v>
      </c>
      <c r="CH1323">
        <f t="shared" si="408"/>
        <v>0</v>
      </c>
      <c r="CI1323">
        <f t="shared" si="409"/>
        <v>0</v>
      </c>
      <c r="CJ1323">
        <f t="shared" si="410"/>
        <v>0</v>
      </c>
      <c r="CK1323">
        <f t="shared" si="411"/>
        <v>0</v>
      </c>
      <c r="CL1323">
        <f t="shared" si="412"/>
        <v>0</v>
      </c>
      <c r="CM1323">
        <f t="shared" si="414"/>
        <v>0</v>
      </c>
      <c r="CN1323">
        <f t="shared" si="413"/>
        <v>0</v>
      </c>
      <c r="CO1323">
        <f t="shared" si="397"/>
        <v>0</v>
      </c>
    </row>
    <row r="1324" spans="1:93" hidden="1" x14ac:dyDescent="0.25">
      <c r="A1324" s="4">
        <v>2021</v>
      </c>
      <c r="B1324" s="315">
        <v>44320</v>
      </c>
      <c r="C1324" s="4" t="s">
        <v>1522</v>
      </c>
      <c r="D1324" s="4" t="s">
        <v>1523</v>
      </c>
      <c r="F1324" s="4" t="s">
        <v>1524</v>
      </c>
      <c r="G1324" s="5" t="s">
        <v>1512</v>
      </c>
      <c r="H1324" s="5" t="s">
        <v>1525</v>
      </c>
      <c r="I1324" s="5" t="s">
        <v>18</v>
      </c>
      <c r="J1324" s="5" t="s">
        <v>9</v>
      </c>
      <c r="K1324" s="5">
        <v>15.5</v>
      </c>
      <c r="L1324" s="5" t="s">
        <v>1526</v>
      </c>
      <c r="M1324" s="5">
        <v>1100</v>
      </c>
      <c r="N1324" s="5" t="s">
        <v>170</v>
      </c>
      <c r="O1324" s="6" t="s">
        <v>81</v>
      </c>
      <c r="P1324" s="6" t="s">
        <v>1528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+VLOOKUP(G1324,Liste!$A$7:$G$69,3,FALSE)</f>
        <v>Pin d'Alep</v>
      </c>
      <c r="BI1324" s="96" t="str">
        <f>+VLOOKUP(H1324,Liste!$B$7:$G$69,5,FALSE)</f>
        <v>Pin d'Alep</v>
      </c>
      <c r="BJ1324" s="135">
        <f t="shared" si="396"/>
        <v>33</v>
      </c>
      <c r="BK1324" s="135" t="str">
        <f t="shared" si="398"/>
        <v>Pin d'Alep_F1_Classique_Pin d'Alep_33_</v>
      </c>
      <c r="BL1324" s="319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97" t="str">
        <f>+VLOOKUP(G1324,Liste!$A$7:$H$69,8,FALSE)</f>
        <v>Résineux</v>
      </c>
      <c r="BU1324" s="297">
        <f t="shared" si="399"/>
        <v>0</v>
      </c>
      <c r="BV1324" s="299">
        <f t="shared" si="400"/>
        <v>1</v>
      </c>
      <c r="BW1324" s="318">
        <v>0</v>
      </c>
      <c r="BX1324" s="297">
        <f t="shared" si="401"/>
        <v>0.43</v>
      </c>
      <c r="BY1324">
        <f t="shared" si="402"/>
        <v>0</v>
      </c>
      <c r="BZ1324" s="303">
        <f t="shared" si="403"/>
        <v>0</v>
      </c>
      <c r="CB1324" s="298">
        <v>0.6</v>
      </c>
      <c r="CC1324" s="298">
        <v>0.4</v>
      </c>
      <c r="CD1324">
        <f t="shared" si="404"/>
        <v>0</v>
      </c>
      <c r="CE1324">
        <f t="shared" si="405"/>
        <v>0</v>
      </c>
      <c r="CF1324">
        <f t="shared" si="406"/>
        <v>0</v>
      </c>
      <c r="CG1324">
        <f t="shared" si="407"/>
        <v>0</v>
      </c>
      <c r="CH1324">
        <f t="shared" si="408"/>
        <v>0</v>
      </c>
      <c r="CI1324">
        <f t="shared" si="409"/>
        <v>0</v>
      </c>
      <c r="CJ1324">
        <f t="shared" si="410"/>
        <v>0</v>
      </c>
      <c r="CK1324">
        <f t="shared" si="411"/>
        <v>0</v>
      </c>
      <c r="CL1324">
        <f t="shared" si="412"/>
        <v>0</v>
      </c>
      <c r="CM1324">
        <f t="shared" si="414"/>
        <v>0</v>
      </c>
      <c r="CN1324">
        <f t="shared" si="413"/>
        <v>0</v>
      </c>
      <c r="CO1324">
        <f t="shared" si="397"/>
        <v>0</v>
      </c>
    </row>
    <row r="1325" spans="1:93" hidden="1" x14ac:dyDescent="0.25">
      <c r="A1325" s="4">
        <v>2021</v>
      </c>
      <c r="B1325" s="315">
        <v>44320</v>
      </c>
      <c r="C1325" s="4" t="s">
        <v>1522</v>
      </c>
      <c r="D1325" s="4" t="s">
        <v>1523</v>
      </c>
      <c r="F1325" s="4" t="s">
        <v>1524</v>
      </c>
      <c r="G1325" s="5" t="s">
        <v>1512</v>
      </c>
      <c r="H1325" s="5" t="s">
        <v>1525</v>
      </c>
      <c r="I1325" s="5" t="s">
        <v>18</v>
      </c>
      <c r="J1325" s="5" t="s">
        <v>9</v>
      </c>
      <c r="K1325" s="5">
        <v>15.5</v>
      </c>
      <c r="L1325" s="5" t="s">
        <v>1526</v>
      </c>
      <c r="M1325" s="5">
        <v>1100</v>
      </c>
      <c r="N1325" s="5" t="s">
        <v>170</v>
      </c>
      <c r="O1325" s="6" t="s">
        <v>81</v>
      </c>
      <c r="P1325" s="6" t="s">
        <v>1528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+VLOOKUP(G1325,Liste!$A$7:$G$69,3,FALSE)</f>
        <v>Pin d'Alep</v>
      </c>
      <c r="BI1325" s="96" t="str">
        <f>+VLOOKUP(H1325,Liste!$B$7:$G$69,5,FALSE)</f>
        <v>Pin d'Alep</v>
      </c>
      <c r="BJ1325" s="135">
        <f t="shared" si="396"/>
        <v>34</v>
      </c>
      <c r="BK1325" s="135" t="str">
        <f t="shared" si="398"/>
        <v>Pin d'Alep_F1_Classique_Pin d'Alep_34_</v>
      </c>
      <c r="BL1325" s="319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97" t="str">
        <f>+VLOOKUP(G1325,Liste!$A$7:$H$69,8,FALSE)</f>
        <v>Résineux</v>
      </c>
      <c r="BU1325" s="297">
        <f t="shared" si="399"/>
        <v>0</v>
      </c>
      <c r="BV1325" s="299">
        <f t="shared" si="400"/>
        <v>1</v>
      </c>
      <c r="BW1325" s="318">
        <v>0</v>
      </c>
      <c r="BX1325" s="297">
        <f t="shared" si="401"/>
        <v>0.43</v>
      </c>
      <c r="BY1325">
        <f t="shared" si="402"/>
        <v>0</v>
      </c>
      <c r="BZ1325" s="303">
        <f t="shared" si="403"/>
        <v>0</v>
      </c>
      <c r="CB1325" s="298">
        <v>0.6</v>
      </c>
      <c r="CC1325" s="298">
        <v>0.4</v>
      </c>
      <c r="CD1325">
        <f t="shared" si="404"/>
        <v>0</v>
      </c>
      <c r="CE1325">
        <f t="shared" si="405"/>
        <v>0</v>
      </c>
      <c r="CF1325">
        <f t="shared" si="406"/>
        <v>0</v>
      </c>
      <c r="CG1325">
        <f t="shared" si="407"/>
        <v>0</v>
      </c>
      <c r="CH1325">
        <f t="shared" si="408"/>
        <v>0</v>
      </c>
      <c r="CI1325">
        <f t="shared" si="409"/>
        <v>0</v>
      </c>
      <c r="CJ1325">
        <f t="shared" si="410"/>
        <v>0</v>
      </c>
      <c r="CK1325">
        <f t="shared" si="411"/>
        <v>0</v>
      </c>
      <c r="CL1325">
        <f t="shared" si="412"/>
        <v>0</v>
      </c>
      <c r="CM1325">
        <f t="shared" si="414"/>
        <v>0</v>
      </c>
      <c r="CN1325">
        <f t="shared" si="413"/>
        <v>0</v>
      </c>
      <c r="CO1325">
        <f t="shared" si="397"/>
        <v>0</v>
      </c>
    </row>
    <row r="1326" spans="1:93" hidden="1" x14ac:dyDescent="0.25">
      <c r="A1326" s="4">
        <v>2021</v>
      </c>
      <c r="B1326" s="315">
        <v>44320</v>
      </c>
      <c r="C1326" s="4" t="s">
        <v>1522</v>
      </c>
      <c r="D1326" s="4" t="s">
        <v>1523</v>
      </c>
      <c r="F1326" s="4" t="s">
        <v>1524</v>
      </c>
      <c r="G1326" s="5" t="s">
        <v>1512</v>
      </c>
      <c r="H1326" s="5" t="s">
        <v>1525</v>
      </c>
      <c r="I1326" s="5" t="s">
        <v>18</v>
      </c>
      <c r="J1326" s="5" t="s">
        <v>9</v>
      </c>
      <c r="K1326" s="5">
        <v>15.5</v>
      </c>
      <c r="L1326" s="5" t="s">
        <v>1526</v>
      </c>
      <c r="M1326" s="5">
        <v>1100</v>
      </c>
      <c r="N1326" s="5" t="s">
        <v>170</v>
      </c>
      <c r="O1326" s="6" t="s">
        <v>81</v>
      </c>
      <c r="P1326" s="6" t="s">
        <v>1528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+VLOOKUP(G1326,Liste!$A$7:$G$69,3,FALSE)</f>
        <v>Pin d'Alep</v>
      </c>
      <c r="BI1326" s="96" t="str">
        <f>+VLOOKUP(H1326,Liste!$B$7:$G$69,5,FALSE)</f>
        <v>Pin d'Alep</v>
      </c>
      <c r="BJ1326" s="135">
        <f t="shared" si="396"/>
        <v>35</v>
      </c>
      <c r="BK1326" s="135" t="str">
        <f t="shared" si="398"/>
        <v>Pin d'Alep_F1_Classique_Pin d'Alep_35_</v>
      </c>
      <c r="BL1326" s="319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97" t="str">
        <f>+VLOOKUP(G1326,Liste!$A$7:$H$69,8,FALSE)</f>
        <v>Résineux</v>
      </c>
      <c r="BU1326" s="297">
        <f t="shared" si="399"/>
        <v>0</v>
      </c>
      <c r="BV1326" s="299">
        <f t="shared" si="400"/>
        <v>1</v>
      </c>
      <c r="BW1326" s="318">
        <v>0</v>
      </c>
      <c r="BX1326" s="297">
        <f t="shared" si="401"/>
        <v>0.43</v>
      </c>
      <c r="BY1326">
        <f t="shared" si="402"/>
        <v>0</v>
      </c>
      <c r="BZ1326" s="303">
        <f t="shared" si="403"/>
        <v>0</v>
      </c>
      <c r="CB1326" s="298">
        <v>0.6</v>
      </c>
      <c r="CC1326" s="298">
        <v>0.4</v>
      </c>
      <c r="CD1326">
        <f t="shared" si="404"/>
        <v>0</v>
      </c>
      <c r="CE1326">
        <f t="shared" si="405"/>
        <v>0</v>
      </c>
      <c r="CF1326">
        <f t="shared" si="406"/>
        <v>0</v>
      </c>
      <c r="CG1326">
        <f t="shared" si="407"/>
        <v>0</v>
      </c>
      <c r="CH1326">
        <f t="shared" si="408"/>
        <v>0</v>
      </c>
      <c r="CI1326">
        <f t="shared" si="409"/>
        <v>0</v>
      </c>
      <c r="CJ1326">
        <f t="shared" si="410"/>
        <v>0</v>
      </c>
      <c r="CK1326">
        <f t="shared" si="411"/>
        <v>0</v>
      </c>
      <c r="CL1326">
        <f t="shared" si="412"/>
        <v>0</v>
      </c>
      <c r="CM1326">
        <f t="shared" si="414"/>
        <v>0</v>
      </c>
      <c r="CN1326">
        <f t="shared" si="413"/>
        <v>0</v>
      </c>
      <c r="CO1326">
        <f t="shared" si="397"/>
        <v>0</v>
      </c>
    </row>
    <row r="1327" spans="1:93" hidden="1" x14ac:dyDescent="0.25">
      <c r="A1327" s="4">
        <v>2021</v>
      </c>
      <c r="B1327" s="315">
        <v>44320</v>
      </c>
      <c r="C1327" s="4" t="s">
        <v>1522</v>
      </c>
      <c r="D1327" s="4" t="s">
        <v>1523</v>
      </c>
      <c r="F1327" s="4" t="s">
        <v>1524</v>
      </c>
      <c r="G1327" s="5" t="s">
        <v>1512</v>
      </c>
      <c r="H1327" s="5" t="s">
        <v>1525</v>
      </c>
      <c r="I1327" s="5" t="s">
        <v>18</v>
      </c>
      <c r="J1327" s="5" t="s">
        <v>9</v>
      </c>
      <c r="K1327" s="5">
        <v>15.5</v>
      </c>
      <c r="L1327" s="5" t="s">
        <v>1526</v>
      </c>
      <c r="M1327" s="5">
        <v>1100</v>
      </c>
      <c r="N1327" s="5" t="s">
        <v>170</v>
      </c>
      <c r="O1327" s="6" t="s">
        <v>81</v>
      </c>
      <c r="P1327" s="6" t="s">
        <v>1528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+VLOOKUP(G1327,Liste!$A$7:$G$69,3,FALSE)</f>
        <v>Pin d'Alep</v>
      </c>
      <c r="BI1327" s="96" t="str">
        <f>+VLOOKUP(H1327,Liste!$B$7:$G$69,5,FALSE)</f>
        <v>Pin d'Alep</v>
      </c>
      <c r="BJ1327" s="135">
        <f t="shared" si="396"/>
        <v>36</v>
      </c>
      <c r="BK1327" s="135" t="str">
        <f t="shared" si="398"/>
        <v>Pin d'Alep_F1_Classique_Pin d'Alep_36_</v>
      </c>
      <c r="BL1327" s="319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97" t="str">
        <f>+VLOOKUP(G1327,Liste!$A$7:$H$69,8,FALSE)</f>
        <v>Résineux</v>
      </c>
      <c r="BU1327" s="297">
        <f t="shared" si="399"/>
        <v>0</v>
      </c>
      <c r="BV1327" s="299">
        <f t="shared" si="400"/>
        <v>1</v>
      </c>
      <c r="BW1327" s="318">
        <v>0</v>
      </c>
      <c r="BX1327" s="297">
        <f t="shared" si="401"/>
        <v>0.43</v>
      </c>
      <c r="BY1327">
        <f t="shared" si="402"/>
        <v>0</v>
      </c>
      <c r="BZ1327" s="303">
        <f t="shared" si="403"/>
        <v>0</v>
      </c>
      <c r="CB1327" s="298">
        <v>0.6</v>
      </c>
      <c r="CC1327" s="298">
        <v>0.4</v>
      </c>
      <c r="CD1327">
        <f t="shared" si="404"/>
        <v>0</v>
      </c>
      <c r="CE1327">
        <f t="shared" si="405"/>
        <v>0</v>
      </c>
      <c r="CF1327">
        <f t="shared" si="406"/>
        <v>0</v>
      </c>
      <c r="CG1327">
        <f t="shared" si="407"/>
        <v>0</v>
      </c>
      <c r="CH1327">
        <f t="shared" si="408"/>
        <v>0</v>
      </c>
      <c r="CI1327">
        <f t="shared" si="409"/>
        <v>0</v>
      </c>
      <c r="CJ1327">
        <f t="shared" si="410"/>
        <v>0</v>
      </c>
      <c r="CK1327">
        <f t="shared" si="411"/>
        <v>0</v>
      </c>
      <c r="CL1327">
        <f t="shared" si="412"/>
        <v>0</v>
      </c>
      <c r="CM1327">
        <f t="shared" si="414"/>
        <v>0</v>
      </c>
      <c r="CN1327">
        <f t="shared" si="413"/>
        <v>0</v>
      </c>
      <c r="CO1327">
        <f t="shared" si="397"/>
        <v>0</v>
      </c>
    </row>
    <row r="1328" spans="1:93" hidden="1" x14ac:dyDescent="0.25">
      <c r="A1328" s="4">
        <v>2021</v>
      </c>
      <c r="B1328" s="315">
        <v>44320</v>
      </c>
      <c r="C1328" s="4" t="s">
        <v>1522</v>
      </c>
      <c r="D1328" s="4" t="s">
        <v>1523</v>
      </c>
      <c r="F1328" s="4" t="s">
        <v>1524</v>
      </c>
      <c r="G1328" s="5" t="s">
        <v>1512</v>
      </c>
      <c r="H1328" s="5" t="s">
        <v>1525</v>
      </c>
      <c r="I1328" s="5" t="s">
        <v>18</v>
      </c>
      <c r="J1328" s="5" t="s">
        <v>9</v>
      </c>
      <c r="K1328" s="5">
        <v>15.5</v>
      </c>
      <c r="L1328" s="5" t="s">
        <v>1526</v>
      </c>
      <c r="M1328" s="5">
        <v>1100</v>
      </c>
      <c r="N1328" s="5" t="s">
        <v>170</v>
      </c>
      <c r="O1328" s="6" t="s">
        <v>81</v>
      </c>
      <c r="P1328" s="6" t="s">
        <v>1528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+VLOOKUP(G1328,Liste!$A$7:$G$69,3,FALSE)</f>
        <v>Pin d'Alep</v>
      </c>
      <c r="BI1328" s="96" t="str">
        <f>+VLOOKUP(H1328,Liste!$B$7:$G$69,5,FALSE)</f>
        <v>Pin d'Alep</v>
      </c>
      <c r="BJ1328" s="135">
        <f t="shared" si="396"/>
        <v>36</v>
      </c>
      <c r="BK1328" s="135" t="str">
        <f t="shared" si="398"/>
        <v>Pin d'Alep_F1_Classique_Pin d'Alep_36_</v>
      </c>
      <c r="BL1328" s="319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97" t="str">
        <f>+VLOOKUP(G1328,Liste!$A$7:$H$69,8,FALSE)</f>
        <v>Résineux</v>
      </c>
      <c r="BU1328" s="297">
        <f t="shared" si="399"/>
        <v>0</v>
      </c>
      <c r="BV1328" s="299">
        <f t="shared" si="400"/>
        <v>1</v>
      </c>
      <c r="BW1328" s="318">
        <v>0</v>
      </c>
      <c r="BX1328" s="297">
        <f t="shared" si="401"/>
        <v>0.43</v>
      </c>
      <c r="BY1328">
        <f t="shared" si="402"/>
        <v>0</v>
      </c>
      <c r="BZ1328" s="303">
        <f t="shared" si="403"/>
        <v>0</v>
      </c>
      <c r="CB1328" s="298">
        <v>0.6</v>
      </c>
      <c r="CC1328" s="298">
        <v>0.4</v>
      </c>
      <c r="CD1328">
        <f t="shared" si="404"/>
        <v>0</v>
      </c>
      <c r="CE1328">
        <f t="shared" si="405"/>
        <v>0</v>
      </c>
      <c r="CF1328">
        <f t="shared" si="406"/>
        <v>0</v>
      </c>
      <c r="CG1328">
        <f t="shared" si="407"/>
        <v>0</v>
      </c>
      <c r="CH1328">
        <f t="shared" si="408"/>
        <v>0</v>
      </c>
      <c r="CI1328">
        <f t="shared" si="409"/>
        <v>0</v>
      </c>
      <c r="CJ1328">
        <f t="shared" si="410"/>
        <v>0</v>
      </c>
      <c r="CK1328">
        <f t="shared" si="411"/>
        <v>0</v>
      </c>
      <c r="CL1328">
        <f t="shared" si="412"/>
        <v>0</v>
      </c>
      <c r="CM1328">
        <f t="shared" si="414"/>
        <v>0</v>
      </c>
      <c r="CN1328">
        <f t="shared" si="413"/>
        <v>0</v>
      </c>
      <c r="CO1328">
        <f t="shared" si="397"/>
        <v>0</v>
      </c>
    </row>
    <row r="1329" spans="1:93" hidden="1" x14ac:dyDescent="0.25">
      <c r="A1329" s="4">
        <v>2021</v>
      </c>
      <c r="B1329" s="315">
        <v>44320</v>
      </c>
      <c r="C1329" s="4" t="s">
        <v>1522</v>
      </c>
      <c r="D1329" s="4" t="s">
        <v>1523</v>
      </c>
      <c r="F1329" s="4" t="s">
        <v>1524</v>
      </c>
      <c r="G1329" s="5" t="s">
        <v>1512</v>
      </c>
      <c r="H1329" s="5" t="s">
        <v>1525</v>
      </c>
      <c r="I1329" s="5" t="s">
        <v>18</v>
      </c>
      <c r="J1329" s="5" t="s">
        <v>9</v>
      </c>
      <c r="K1329" s="5">
        <v>15.5</v>
      </c>
      <c r="L1329" s="5" t="s">
        <v>1526</v>
      </c>
      <c r="M1329" s="5">
        <v>1100</v>
      </c>
      <c r="N1329" s="5" t="s">
        <v>170</v>
      </c>
      <c r="O1329" s="6" t="s">
        <v>81</v>
      </c>
      <c r="P1329" s="6" t="s">
        <v>1528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+VLOOKUP(G1329,Liste!$A$7:$G$69,3,FALSE)</f>
        <v>Pin d'Alep</v>
      </c>
      <c r="BI1329" s="96" t="str">
        <f>+VLOOKUP(H1329,Liste!$B$7:$G$69,5,FALSE)</f>
        <v>Pin d'Alep</v>
      </c>
      <c r="BJ1329" s="135">
        <f t="shared" si="396"/>
        <v>37</v>
      </c>
      <c r="BK1329" s="135" t="str">
        <f t="shared" si="398"/>
        <v>Pin d'Alep_F1_Classique_Pin d'Alep_37_</v>
      </c>
      <c r="BL1329" s="319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97" t="str">
        <f>+VLOOKUP(G1329,Liste!$A$7:$H$69,8,FALSE)</f>
        <v>Résineux</v>
      </c>
      <c r="BU1329" s="297">
        <f t="shared" si="399"/>
        <v>0</v>
      </c>
      <c r="BV1329" s="299">
        <f t="shared" si="400"/>
        <v>1</v>
      </c>
      <c r="BW1329" s="318">
        <v>0</v>
      </c>
      <c r="BX1329" s="297">
        <f t="shared" si="401"/>
        <v>0.43</v>
      </c>
      <c r="BY1329">
        <f t="shared" si="402"/>
        <v>0</v>
      </c>
      <c r="BZ1329" s="303">
        <f t="shared" si="403"/>
        <v>0</v>
      </c>
      <c r="CB1329" s="298">
        <v>0.6</v>
      </c>
      <c r="CC1329" s="298">
        <v>0.4</v>
      </c>
      <c r="CD1329">
        <f t="shared" si="404"/>
        <v>0</v>
      </c>
      <c r="CE1329">
        <f t="shared" si="405"/>
        <v>0</v>
      </c>
      <c r="CF1329">
        <f t="shared" si="406"/>
        <v>0</v>
      </c>
      <c r="CG1329">
        <f t="shared" si="407"/>
        <v>0</v>
      </c>
      <c r="CH1329">
        <f t="shared" si="408"/>
        <v>0</v>
      </c>
      <c r="CI1329">
        <f t="shared" si="409"/>
        <v>0</v>
      </c>
      <c r="CJ1329">
        <f t="shared" si="410"/>
        <v>0</v>
      </c>
      <c r="CK1329">
        <f t="shared" si="411"/>
        <v>0</v>
      </c>
      <c r="CL1329">
        <f t="shared" si="412"/>
        <v>0</v>
      </c>
      <c r="CM1329">
        <f t="shared" si="414"/>
        <v>0</v>
      </c>
      <c r="CN1329">
        <f t="shared" si="413"/>
        <v>0</v>
      </c>
      <c r="CO1329">
        <f t="shared" si="397"/>
        <v>0</v>
      </c>
    </row>
    <row r="1330" spans="1:93" hidden="1" x14ac:dyDescent="0.25">
      <c r="A1330" s="4">
        <v>2021</v>
      </c>
      <c r="B1330" s="315">
        <v>44320</v>
      </c>
      <c r="C1330" s="4" t="s">
        <v>1522</v>
      </c>
      <c r="D1330" s="4" t="s">
        <v>1523</v>
      </c>
      <c r="F1330" s="4" t="s">
        <v>1524</v>
      </c>
      <c r="G1330" s="5" t="s">
        <v>1512</v>
      </c>
      <c r="H1330" s="5" t="s">
        <v>1525</v>
      </c>
      <c r="I1330" s="5" t="s">
        <v>18</v>
      </c>
      <c r="J1330" s="5" t="s">
        <v>9</v>
      </c>
      <c r="K1330" s="5">
        <v>15.5</v>
      </c>
      <c r="L1330" s="5" t="s">
        <v>1526</v>
      </c>
      <c r="M1330" s="5">
        <v>1100</v>
      </c>
      <c r="N1330" s="5" t="s">
        <v>170</v>
      </c>
      <c r="O1330" s="6" t="s">
        <v>81</v>
      </c>
      <c r="P1330" s="6" t="s">
        <v>1528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+VLOOKUP(G1330,Liste!$A$7:$G$69,3,FALSE)</f>
        <v>Pin d'Alep</v>
      </c>
      <c r="BI1330" s="96" t="str">
        <f>+VLOOKUP(H1330,Liste!$B$7:$G$69,5,FALSE)</f>
        <v>Pin d'Alep</v>
      </c>
      <c r="BJ1330" s="135">
        <f t="shared" si="396"/>
        <v>38</v>
      </c>
      <c r="BK1330" s="135" t="str">
        <f t="shared" si="398"/>
        <v>Pin d'Alep_F1_Classique_Pin d'Alep_38_</v>
      </c>
      <c r="BL1330" s="319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97" t="str">
        <f>+VLOOKUP(G1330,Liste!$A$7:$H$69,8,FALSE)</f>
        <v>Résineux</v>
      </c>
      <c r="BU1330" s="297">
        <f t="shared" si="399"/>
        <v>0</v>
      </c>
      <c r="BV1330" s="299">
        <f t="shared" si="400"/>
        <v>1</v>
      </c>
      <c r="BW1330" s="318">
        <v>0</v>
      </c>
      <c r="BX1330" s="297">
        <f t="shared" si="401"/>
        <v>0.43</v>
      </c>
      <c r="BY1330">
        <f t="shared" si="402"/>
        <v>0</v>
      </c>
      <c r="BZ1330" s="303">
        <f t="shared" si="403"/>
        <v>0</v>
      </c>
      <c r="CB1330" s="298">
        <v>0.6</v>
      </c>
      <c r="CC1330" s="298">
        <v>0.4</v>
      </c>
      <c r="CD1330">
        <f t="shared" si="404"/>
        <v>0</v>
      </c>
      <c r="CE1330">
        <f t="shared" si="405"/>
        <v>0</v>
      </c>
      <c r="CF1330">
        <f t="shared" si="406"/>
        <v>0</v>
      </c>
      <c r="CG1330">
        <f t="shared" si="407"/>
        <v>0</v>
      </c>
      <c r="CH1330">
        <f t="shared" si="408"/>
        <v>0</v>
      </c>
      <c r="CI1330">
        <f t="shared" si="409"/>
        <v>0</v>
      </c>
      <c r="CJ1330">
        <f t="shared" si="410"/>
        <v>0</v>
      </c>
      <c r="CK1330">
        <f t="shared" si="411"/>
        <v>0</v>
      </c>
      <c r="CL1330">
        <f t="shared" si="412"/>
        <v>0</v>
      </c>
      <c r="CM1330">
        <f t="shared" si="414"/>
        <v>0</v>
      </c>
      <c r="CN1330">
        <f t="shared" si="413"/>
        <v>0</v>
      </c>
      <c r="CO1330">
        <f t="shared" si="397"/>
        <v>0</v>
      </c>
    </row>
    <row r="1331" spans="1:93" hidden="1" x14ac:dyDescent="0.25">
      <c r="A1331" s="4">
        <v>2021</v>
      </c>
      <c r="B1331" s="315">
        <v>44320</v>
      </c>
      <c r="C1331" s="4" t="s">
        <v>1522</v>
      </c>
      <c r="D1331" s="4" t="s">
        <v>1523</v>
      </c>
      <c r="F1331" s="4" t="s">
        <v>1524</v>
      </c>
      <c r="G1331" s="5" t="s">
        <v>1512</v>
      </c>
      <c r="H1331" s="5" t="s">
        <v>1525</v>
      </c>
      <c r="I1331" s="5" t="s">
        <v>18</v>
      </c>
      <c r="J1331" s="5" t="s">
        <v>9</v>
      </c>
      <c r="K1331" s="5">
        <v>15.5</v>
      </c>
      <c r="L1331" s="5" t="s">
        <v>1526</v>
      </c>
      <c r="M1331" s="5">
        <v>1100</v>
      </c>
      <c r="N1331" s="5" t="s">
        <v>170</v>
      </c>
      <c r="O1331" s="6" t="s">
        <v>81</v>
      </c>
      <c r="P1331" s="6" t="s">
        <v>1528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+VLOOKUP(G1331,Liste!$A$7:$G$69,3,FALSE)</f>
        <v>Pin d'Alep</v>
      </c>
      <c r="BI1331" s="96" t="str">
        <f>+VLOOKUP(H1331,Liste!$B$7:$G$69,5,FALSE)</f>
        <v>Pin d'Alep</v>
      </c>
      <c r="BJ1331" s="135">
        <f t="shared" si="396"/>
        <v>39</v>
      </c>
      <c r="BK1331" s="135" t="str">
        <f t="shared" si="398"/>
        <v>Pin d'Alep_F1_Classique_Pin d'Alep_39_</v>
      </c>
      <c r="BL1331" s="319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97" t="str">
        <f>+VLOOKUP(G1331,Liste!$A$7:$H$69,8,FALSE)</f>
        <v>Résineux</v>
      </c>
      <c r="BU1331" s="297">
        <f t="shared" si="399"/>
        <v>0</v>
      </c>
      <c r="BV1331" s="299">
        <f t="shared" si="400"/>
        <v>1</v>
      </c>
      <c r="BW1331" s="318">
        <v>0</v>
      </c>
      <c r="BX1331" s="297">
        <f t="shared" si="401"/>
        <v>0.43</v>
      </c>
      <c r="BY1331">
        <f t="shared" si="402"/>
        <v>0</v>
      </c>
      <c r="BZ1331" s="303">
        <f t="shared" si="403"/>
        <v>0</v>
      </c>
      <c r="CB1331" s="298">
        <v>0.6</v>
      </c>
      <c r="CC1331" s="298">
        <v>0.4</v>
      </c>
      <c r="CD1331">
        <f t="shared" si="404"/>
        <v>0</v>
      </c>
      <c r="CE1331">
        <f t="shared" si="405"/>
        <v>0</v>
      </c>
      <c r="CF1331">
        <f t="shared" si="406"/>
        <v>0</v>
      </c>
      <c r="CG1331">
        <f t="shared" si="407"/>
        <v>0</v>
      </c>
      <c r="CH1331">
        <f t="shared" si="408"/>
        <v>0</v>
      </c>
      <c r="CI1331">
        <f t="shared" si="409"/>
        <v>0</v>
      </c>
      <c r="CJ1331">
        <f t="shared" si="410"/>
        <v>0</v>
      </c>
      <c r="CK1331">
        <f t="shared" si="411"/>
        <v>0</v>
      </c>
      <c r="CL1331">
        <f t="shared" si="412"/>
        <v>0</v>
      </c>
      <c r="CM1331">
        <f t="shared" si="414"/>
        <v>0</v>
      </c>
      <c r="CN1331">
        <f t="shared" si="413"/>
        <v>0</v>
      </c>
      <c r="CO1331">
        <f t="shared" si="397"/>
        <v>0</v>
      </c>
    </row>
    <row r="1332" spans="1:93" hidden="1" x14ac:dyDescent="0.25">
      <c r="A1332" s="4">
        <v>2021</v>
      </c>
      <c r="B1332" s="315">
        <v>44320</v>
      </c>
      <c r="C1332" s="4" t="s">
        <v>1522</v>
      </c>
      <c r="D1332" s="4" t="s">
        <v>1523</v>
      </c>
      <c r="F1332" s="4" t="s">
        <v>1524</v>
      </c>
      <c r="G1332" s="5" t="s">
        <v>1512</v>
      </c>
      <c r="H1332" s="5" t="s">
        <v>1525</v>
      </c>
      <c r="I1332" s="5" t="s">
        <v>18</v>
      </c>
      <c r="J1332" s="5" t="s">
        <v>9</v>
      </c>
      <c r="K1332" s="5">
        <v>15.5</v>
      </c>
      <c r="L1332" s="5" t="s">
        <v>1526</v>
      </c>
      <c r="M1332" s="5">
        <v>1100</v>
      </c>
      <c r="N1332" s="5" t="s">
        <v>170</v>
      </c>
      <c r="O1332" s="6" t="s">
        <v>81</v>
      </c>
      <c r="P1332" s="6" t="s">
        <v>1528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+VLOOKUP(G1332,Liste!$A$7:$G$69,3,FALSE)</f>
        <v>Pin d'Alep</v>
      </c>
      <c r="BI1332" s="96" t="str">
        <f>+VLOOKUP(H1332,Liste!$B$7:$G$69,5,FALSE)</f>
        <v>Pin d'Alep</v>
      </c>
      <c r="BJ1332" s="135">
        <f t="shared" si="396"/>
        <v>40</v>
      </c>
      <c r="BK1332" s="135" t="str">
        <f t="shared" si="398"/>
        <v>Pin d'Alep_F1_Classique_Pin d'Alep_40_</v>
      </c>
      <c r="BL1332" s="319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97" t="str">
        <f>+VLOOKUP(G1332,Liste!$A$7:$H$69,8,FALSE)</f>
        <v>Résineux</v>
      </c>
      <c r="BU1332" s="297">
        <f t="shared" si="399"/>
        <v>0</v>
      </c>
      <c r="BV1332" s="299">
        <f t="shared" si="400"/>
        <v>1</v>
      </c>
      <c r="BW1332" s="318">
        <v>0</v>
      </c>
      <c r="BX1332" s="297">
        <f t="shared" si="401"/>
        <v>0.43</v>
      </c>
      <c r="BY1332">
        <f t="shared" si="402"/>
        <v>0</v>
      </c>
      <c r="BZ1332" s="303">
        <f t="shared" si="403"/>
        <v>0</v>
      </c>
      <c r="CB1332" s="298">
        <v>0.6</v>
      </c>
      <c r="CC1332" s="298">
        <v>0.4</v>
      </c>
      <c r="CD1332">
        <f t="shared" si="404"/>
        <v>0</v>
      </c>
      <c r="CE1332">
        <f t="shared" si="405"/>
        <v>0</v>
      </c>
      <c r="CF1332">
        <f t="shared" si="406"/>
        <v>0</v>
      </c>
      <c r="CG1332">
        <f t="shared" si="407"/>
        <v>0</v>
      </c>
      <c r="CH1332">
        <f t="shared" si="408"/>
        <v>0</v>
      </c>
      <c r="CI1332">
        <f t="shared" si="409"/>
        <v>0</v>
      </c>
      <c r="CJ1332">
        <f t="shared" si="410"/>
        <v>0</v>
      </c>
      <c r="CK1332">
        <f t="shared" si="411"/>
        <v>0</v>
      </c>
      <c r="CL1332">
        <f t="shared" si="412"/>
        <v>0</v>
      </c>
      <c r="CM1332">
        <f t="shared" si="414"/>
        <v>0</v>
      </c>
      <c r="CN1332">
        <f t="shared" si="413"/>
        <v>0</v>
      </c>
      <c r="CO1332">
        <f t="shared" si="397"/>
        <v>0</v>
      </c>
    </row>
    <row r="1333" spans="1:93" hidden="1" x14ac:dyDescent="0.25">
      <c r="A1333" s="4">
        <v>2021</v>
      </c>
      <c r="B1333" s="315">
        <v>44320</v>
      </c>
      <c r="C1333" s="4" t="s">
        <v>1522</v>
      </c>
      <c r="D1333" s="4" t="s">
        <v>1523</v>
      </c>
      <c r="F1333" s="4" t="s">
        <v>1524</v>
      </c>
      <c r="G1333" s="5" t="s">
        <v>1512</v>
      </c>
      <c r="H1333" s="5" t="s">
        <v>1525</v>
      </c>
      <c r="I1333" s="5" t="s">
        <v>18</v>
      </c>
      <c r="J1333" s="5" t="s">
        <v>9</v>
      </c>
      <c r="K1333" s="5">
        <v>15.5</v>
      </c>
      <c r="L1333" s="5" t="s">
        <v>1526</v>
      </c>
      <c r="M1333" s="5">
        <v>1100</v>
      </c>
      <c r="N1333" s="5" t="s">
        <v>170</v>
      </c>
      <c r="O1333" s="6" t="s">
        <v>81</v>
      </c>
      <c r="P1333" s="6" t="s">
        <v>1528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+VLOOKUP(G1333,Liste!$A$7:$G$69,3,FALSE)</f>
        <v>Pin d'Alep</v>
      </c>
      <c r="BI1333" s="96" t="str">
        <f>+VLOOKUP(H1333,Liste!$B$7:$G$69,5,FALSE)</f>
        <v>Pin d'Alep</v>
      </c>
      <c r="BJ1333" s="135">
        <f t="shared" si="396"/>
        <v>41</v>
      </c>
      <c r="BK1333" s="135" t="str">
        <f t="shared" si="398"/>
        <v>Pin d'Alep_F1_Classique_Pin d'Alep_41_</v>
      </c>
      <c r="BL1333" s="319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97" t="str">
        <f>+VLOOKUP(G1333,Liste!$A$7:$H$69,8,FALSE)</f>
        <v>Résineux</v>
      </c>
      <c r="BU1333" s="297">
        <f t="shared" si="399"/>
        <v>0</v>
      </c>
      <c r="BV1333" s="299">
        <f t="shared" si="400"/>
        <v>1</v>
      </c>
      <c r="BW1333" s="318">
        <v>0</v>
      </c>
      <c r="BX1333" s="297">
        <f t="shared" si="401"/>
        <v>0.43</v>
      </c>
      <c r="BY1333">
        <f t="shared" si="402"/>
        <v>0</v>
      </c>
      <c r="BZ1333" s="303">
        <f t="shared" si="403"/>
        <v>0</v>
      </c>
      <c r="CB1333" s="298">
        <v>0.6</v>
      </c>
      <c r="CC1333" s="298">
        <v>0.4</v>
      </c>
      <c r="CD1333">
        <f t="shared" si="404"/>
        <v>0</v>
      </c>
      <c r="CE1333">
        <f t="shared" si="405"/>
        <v>0</v>
      </c>
      <c r="CF1333">
        <f t="shared" si="406"/>
        <v>0</v>
      </c>
      <c r="CG1333">
        <f t="shared" si="407"/>
        <v>0</v>
      </c>
      <c r="CH1333">
        <f t="shared" si="408"/>
        <v>0</v>
      </c>
      <c r="CI1333">
        <f t="shared" si="409"/>
        <v>0</v>
      </c>
      <c r="CJ1333">
        <f t="shared" si="410"/>
        <v>0</v>
      </c>
      <c r="CK1333">
        <f t="shared" si="411"/>
        <v>0</v>
      </c>
      <c r="CL1333">
        <f t="shared" si="412"/>
        <v>0</v>
      </c>
      <c r="CM1333">
        <f t="shared" si="414"/>
        <v>0</v>
      </c>
      <c r="CN1333">
        <f t="shared" si="413"/>
        <v>0</v>
      </c>
      <c r="CO1333">
        <f t="shared" si="397"/>
        <v>0</v>
      </c>
    </row>
    <row r="1334" spans="1:93" hidden="1" x14ac:dyDescent="0.25">
      <c r="A1334" s="4">
        <v>2021</v>
      </c>
      <c r="B1334" s="315">
        <v>44320</v>
      </c>
      <c r="C1334" s="4" t="s">
        <v>1522</v>
      </c>
      <c r="D1334" s="4" t="s">
        <v>1523</v>
      </c>
      <c r="F1334" s="4" t="s">
        <v>1524</v>
      </c>
      <c r="G1334" s="5" t="s">
        <v>1512</v>
      </c>
      <c r="H1334" s="5" t="s">
        <v>1525</v>
      </c>
      <c r="I1334" s="5" t="s">
        <v>18</v>
      </c>
      <c r="J1334" s="5" t="s">
        <v>9</v>
      </c>
      <c r="K1334" s="5">
        <v>15.5</v>
      </c>
      <c r="L1334" s="5" t="s">
        <v>1526</v>
      </c>
      <c r="M1334" s="5">
        <v>1100</v>
      </c>
      <c r="N1334" s="5" t="s">
        <v>170</v>
      </c>
      <c r="O1334" s="6" t="s">
        <v>81</v>
      </c>
      <c r="P1334" s="6" t="s">
        <v>1528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+VLOOKUP(G1334,Liste!$A$7:$G$69,3,FALSE)</f>
        <v>Pin d'Alep</v>
      </c>
      <c r="BI1334" s="96" t="str">
        <f>+VLOOKUP(H1334,Liste!$B$7:$G$69,5,FALSE)</f>
        <v>Pin d'Alep</v>
      </c>
      <c r="BJ1334" s="135">
        <f t="shared" si="396"/>
        <v>42</v>
      </c>
      <c r="BK1334" s="135" t="str">
        <f t="shared" si="398"/>
        <v>Pin d'Alep_F1_Classique_Pin d'Alep_42_</v>
      </c>
      <c r="BL1334" s="319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97" t="str">
        <f>+VLOOKUP(G1334,Liste!$A$7:$H$69,8,FALSE)</f>
        <v>Résineux</v>
      </c>
      <c r="BU1334" s="297">
        <f t="shared" si="399"/>
        <v>0</v>
      </c>
      <c r="BV1334" s="299">
        <f t="shared" si="400"/>
        <v>1</v>
      </c>
      <c r="BW1334" s="318">
        <v>0</v>
      </c>
      <c r="BX1334" s="297">
        <f t="shared" si="401"/>
        <v>0.43</v>
      </c>
      <c r="BY1334">
        <f t="shared" si="402"/>
        <v>0</v>
      </c>
      <c r="BZ1334" s="303">
        <f t="shared" si="403"/>
        <v>0</v>
      </c>
      <c r="CB1334" s="298">
        <v>0.6</v>
      </c>
      <c r="CC1334" s="298">
        <v>0.4</v>
      </c>
      <c r="CD1334">
        <f t="shared" si="404"/>
        <v>0</v>
      </c>
      <c r="CE1334">
        <f t="shared" si="405"/>
        <v>0</v>
      </c>
      <c r="CF1334">
        <f t="shared" si="406"/>
        <v>0</v>
      </c>
      <c r="CG1334">
        <f t="shared" si="407"/>
        <v>0</v>
      </c>
      <c r="CH1334">
        <f t="shared" si="408"/>
        <v>0</v>
      </c>
      <c r="CI1334">
        <f t="shared" si="409"/>
        <v>0</v>
      </c>
      <c r="CJ1334">
        <f t="shared" si="410"/>
        <v>0</v>
      </c>
      <c r="CK1334">
        <f t="shared" si="411"/>
        <v>0</v>
      </c>
      <c r="CL1334">
        <f t="shared" si="412"/>
        <v>0</v>
      </c>
      <c r="CM1334">
        <f t="shared" si="414"/>
        <v>0</v>
      </c>
      <c r="CN1334">
        <f t="shared" si="413"/>
        <v>0</v>
      </c>
      <c r="CO1334">
        <f t="shared" si="397"/>
        <v>0</v>
      </c>
    </row>
    <row r="1335" spans="1:93" hidden="1" x14ac:dyDescent="0.25">
      <c r="A1335" s="4">
        <v>2021</v>
      </c>
      <c r="B1335" s="315">
        <v>44320</v>
      </c>
      <c r="C1335" s="4" t="s">
        <v>1522</v>
      </c>
      <c r="D1335" s="4" t="s">
        <v>1523</v>
      </c>
      <c r="F1335" s="4" t="s">
        <v>1524</v>
      </c>
      <c r="G1335" s="5" t="s">
        <v>1512</v>
      </c>
      <c r="H1335" s="5" t="s">
        <v>1525</v>
      </c>
      <c r="I1335" s="5" t="s">
        <v>18</v>
      </c>
      <c r="J1335" s="5" t="s">
        <v>9</v>
      </c>
      <c r="K1335" s="5">
        <v>15.5</v>
      </c>
      <c r="L1335" s="5" t="s">
        <v>1526</v>
      </c>
      <c r="M1335" s="5">
        <v>1100</v>
      </c>
      <c r="N1335" s="5" t="s">
        <v>170</v>
      </c>
      <c r="O1335" s="6" t="s">
        <v>81</v>
      </c>
      <c r="P1335" s="6" t="s">
        <v>1528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+VLOOKUP(G1335,Liste!$A$7:$G$69,3,FALSE)</f>
        <v>Pin d'Alep</v>
      </c>
      <c r="BI1335" s="96" t="str">
        <f>+VLOOKUP(H1335,Liste!$B$7:$G$69,5,FALSE)</f>
        <v>Pin d'Alep</v>
      </c>
      <c r="BJ1335" s="135">
        <f t="shared" si="396"/>
        <v>43</v>
      </c>
      <c r="BK1335" s="135" t="str">
        <f t="shared" si="398"/>
        <v>Pin d'Alep_F1_Classique_Pin d'Alep_43_</v>
      </c>
      <c r="BL1335" s="319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97" t="str">
        <f>+VLOOKUP(G1335,Liste!$A$7:$H$69,8,FALSE)</f>
        <v>Résineux</v>
      </c>
      <c r="BU1335" s="297">
        <f t="shared" si="399"/>
        <v>0</v>
      </c>
      <c r="BV1335" s="299">
        <f t="shared" si="400"/>
        <v>1</v>
      </c>
      <c r="BW1335" s="318">
        <v>0</v>
      </c>
      <c r="BX1335" s="297">
        <f t="shared" si="401"/>
        <v>0.43</v>
      </c>
      <c r="BY1335">
        <f t="shared" si="402"/>
        <v>0</v>
      </c>
      <c r="BZ1335" s="303">
        <f t="shared" si="403"/>
        <v>0</v>
      </c>
      <c r="CB1335" s="298">
        <v>0.6</v>
      </c>
      <c r="CC1335" s="298">
        <v>0.4</v>
      </c>
      <c r="CD1335">
        <f t="shared" si="404"/>
        <v>0</v>
      </c>
      <c r="CE1335">
        <f t="shared" si="405"/>
        <v>0</v>
      </c>
      <c r="CF1335">
        <f t="shared" si="406"/>
        <v>0</v>
      </c>
      <c r="CG1335">
        <f t="shared" si="407"/>
        <v>0</v>
      </c>
      <c r="CH1335">
        <f t="shared" si="408"/>
        <v>0</v>
      </c>
      <c r="CI1335">
        <f t="shared" si="409"/>
        <v>0</v>
      </c>
      <c r="CJ1335">
        <f t="shared" si="410"/>
        <v>0</v>
      </c>
      <c r="CK1335">
        <f t="shared" si="411"/>
        <v>0</v>
      </c>
      <c r="CL1335">
        <f t="shared" si="412"/>
        <v>0</v>
      </c>
      <c r="CM1335">
        <f t="shared" si="414"/>
        <v>0</v>
      </c>
      <c r="CN1335">
        <f t="shared" si="413"/>
        <v>0</v>
      </c>
      <c r="CO1335">
        <f t="shared" si="397"/>
        <v>0</v>
      </c>
    </row>
    <row r="1336" spans="1:93" hidden="1" x14ac:dyDescent="0.25">
      <c r="A1336" s="4">
        <v>2021</v>
      </c>
      <c r="B1336" s="315">
        <v>44320</v>
      </c>
      <c r="C1336" s="4" t="s">
        <v>1522</v>
      </c>
      <c r="D1336" s="4" t="s">
        <v>1523</v>
      </c>
      <c r="F1336" s="4" t="s">
        <v>1524</v>
      </c>
      <c r="G1336" s="5" t="s">
        <v>1512</v>
      </c>
      <c r="H1336" s="5" t="s">
        <v>1525</v>
      </c>
      <c r="I1336" s="5" t="s">
        <v>18</v>
      </c>
      <c r="J1336" s="5" t="s">
        <v>9</v>
      </c>
      <c r="K1336" s="5">
        <v>15.5</v>
      </c>
      <c r="L1336" s="5" t="s">
        <v>1526</v>
      </c>
      <c r="M1336" s="5">
        <v>1100</v>
      </c>
      <c r="N1336" s="5" t="s">
        <v>170</v>
      </c>
      <c r="O1336" s="6" t="s">
        <v>81</v>
      </c>
      <c r="P1336" s="6" t="s">
        <v>1528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+VLOOKUP(G1336,Liste!$A$7:$G$69,3,FALSE)</f>
        <v>Pin d'Alep</v>
      </c>
      <c r="BI1336" s="96" t="str">
        <f>+VLOOKUP(H1336,Liste!$B$7:$G$69,5,FALSE)</f>
        <v>Pin d'Alep</v>
      </c>
      <c r="BJ1336" s="135">
        <f t="shared" si="396"/>
        <v>44</v>
      </c>
      <c r="BK1336" s="135" t="str">
        <f t="shared" si="398"/>
        <v>Pin d'Alep_F1_Classique_Pin d'Alep_44_</v>
      </c>
      <c r="BL1336" s="319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97" t="str">
        <f>+VLOOKUP(G1336,Liste!$A$7:$H$69,8,FALSE)</f>
        <v>Résineux</v>
      </c>
      <c r="BU1336" s="297">
        <f t="shared" si="399"/>
        <v>0</v>
      </c>
      <c r="BV1336" s="299">
        <f t="shared" si="400"/>
        <v>1</v>
      </c>
      <c r="BW1336" s="318">
        <v>0</v>
      </c>
      <c r="BX1336" s="297">
        <f t="shared" si="401"/>
        <v>0.43</v>
      </c>
      <c r="BY1336">
        <f t="shared" si="402"/>
        <v>0</v>
      </c>
      <c r="BZ1336" s="303">
        <f t="shared" si="403"/>
        <v>0</v>
      </c>
      <c r="CB1336" s="298">
        <v>0.6</v>
      </c>
      <c r="CC1336" s="298">
        <v>0.4</v>
      </c>
      <c r="CD1336">
        <f t="shared" si="404"/>
        <v>0</v>
      </c>
      <c r="CE1336">
        <f t="shared" si="405"/>
        <v>0</v>
      </c>
      <c r="CF1336">
        <f t="shared" si="406"/>
        <v>0</v>
      </c>
      <c r="CG1336">
        <f t="shared" si="407"/>
        <v>0</v>
      </c>
      <c r="CH1336">
        <f t="shared" si="408"/>
        <v>0</v>
      </c>
      <c r="CI1336">
        <f t="shared" si="409"/>
        <v>0</v>
      </c>
      <c r="CJ1336">
        <f t="shared" si="410"/>
        <v>0</v>
      </c>
      <c r="CK1336">
        <f t="shared" si="411"/>
        <v>0</v>
      </c>
      <c r="CL1336">
        <f t="shared" si="412"/>
        <v>0</v>
      </c>
      <c r="CM1336">
        <f t="shared" si="414"/>
        <v>0</v>
      </c>
      <c r="CN1336">
        <f t="shared" si="413"/>
        <v>0</v>
      </c>
      <c r="CO1336">
        <f t="shared" si="397"/>
        <v>0</v>
      </c>
    </row>
    <row r="1337" spans="1:93" hidden="1" x14ac:dyDescent="0.25">
      <c r="A1337" s="4">
        <v>2021</v>
      </c>
      <c r="B1337" s="315">
        <v>44320</v>
      </c>
      <c r="C1337" s="4" t="s">
        <v>1522</v>
      </c>
      <c r="D1337" s="4" t="s">
        <v>1523</v>
      </c>
      <c r="F1337" s="4" t="s">
        <v>1524</v>
      </c>
      <c r="G1337" s="5" t="s">
        <v>1512</v>
      </c>
      <c r="H1337" s="5" t="s">
        <v>1525</v>
      </c>
      <c r="I1337" s="5" t="s">
        <v>18</v>
      </c>
      <c r="J1337" s="5" t="s">
        <v>9</v>
      </c>
      <c r="K1337" s="5">
        <v>15.5</v>
      </c>
      <c r="L1337" s="5" t="s">
        <v>1526</v>
      </c>
      <c r="M1337" s="5">
        <v>1100</v>
      </c>
      <c r="N1337" s="5" t="s">
        <v>170</v>
      </c>
      <c r="O1337" s="6" t="s">
        <v>81</v>
      </c>
      <c r="P1337" s="6" t="s">
        <v>1528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+VLOOKUP(G1337,Liste!$A$7:$G$69,3,FALSE)</f>
        <v>Pin d'Alep</v>
      </c>
      <c r="BI1337" s="96" t="str">
        <f>+VLOOKUP(H1337,Liste!$B$7:$G$69,5,FALSE)</f>
        <v>Pin d'Alep</v>
      </c>
      <c r="BJ1337" s="135">
        <f t="shared" si="396"/>
        <v>45</v>
      </c>
      <c r="BK1337" s="135" t="str">
        <f t="shared" si="398"/>
        <v>Pin d'Alep_F1_Classique_Pin d'Alep_45_</v>
      </c>
      <c r="BL1337" s="319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97" t="str">
        <f>+VLOOKUP(G1337,Liste!$A$7:$H$69,8,FALSE)</f>
        <v>Résineux</v>
      </c>
      <c r="BU1337" s="297">
        <f t="shared" si="399"/>
        <v>0</v>
      </c>
      <c r="BV1337" s="299">
        <f t="shared" si="400"/>
        <v>1</v>
      </c>
      <c r="BW1337" s="318">
        <v>0</v>
      </c>
      <c r="BX1337" s="297">
        <f t="shared" si="401"/>
        <v>0.43</v>
      </c>
      <c r="BY1337">
        <f t="shared" si="402"/>
        <v>0</v>
      </c>
      <c r="BZ1337" s="303">
        <f t="shared" si="403"/>
        <v>0</v>
      </c>
      <c r="CB1337" s="298">
        <v>0.6</v>
      </c>
      <c r="CC1337" s="298">
        <v>0.4</v>
      </c>
      <c r="CD1337">
        <f t="shared" si="404"/>
        <v>0</v>
      </c>
      <c r="CE1337">
        <f t="shared" si="405"/>
        <v>0</v>
      </c>
      <c r="CF1337">
        <f t="shared" si="406"/>
        <v>0</v>
      </c>
      <c r="CG1337">
        <f t="shared" si="407"/>
        <v>0</v>
      </c>
      <c r="CH1337">
        <f t="shared" si="408"/>
        <v>0</v>
      </c>
      <c r="CI1337">
        <f t="shared" si="409"/>
        <v>0</v>
      </c>
      <c r="CJ1337">
        <f t="shared" si="410"/>
        <v>0</v>
      </c>
      <c r="CK1337">
        <f t="shared" si="411"/>
        <v>0</v>
      </c>
      <c r="CL1337">
        <f t="shared" si="412"/>
        <v>0</v>
      </c>
      <c r="CM1337">
        <f t="shared" si="414"/>
        <v>0</v>
      </c>
      <c r="CN1337">
        <f t="shared" si="413"/>
        <v>0</v>
      </c>
      <c r="CO1337">
        <f t="shared" si="397"/>
        <v>0</v>
      </c>
    </row>
    <row r="1338" spans="1:93" hidden="1" x14ac:dyDescent="0.25">
      <c r="A1338" s="4">
        <v>2021</v>
      </c>
      <c r="B1338" s="315">
        <v>44320</v>
      </c>
      <c r="C1338" s="4" t="s">
        <v>1522</v>
      </c>
      <c r="D1338" s="4" t="s">
        <v>1523</v>
      </c>
      <c r="F1338" s="4" t="s">
        <v>1524</v>
      </c>
      <c r="G1338" s="5" t="s">
        <v>1512</v>
      </c>
      <c r="H1338" s="5" t="s">
        <v>1525</v>
      </c>
      <c r="I1338" s="5" t="s">
        <v>18</v>
      </c>
      <c r="J1338" s="5" t="s">
        <v>9</v>
      </c>
      <c r="K1338" s="5">
        <v>15.5</v>
      </c>
      <c r="L1338" s="5" t="s">
        <v>1526</v>
      </c>
      <c r="M1338" s="5">
        <v>1100</v>
      </c>
      <c r="N1338" s="5" t="s">
        <v>170</v>
      </c>
      <c r="O1338" s="6" t="s">
        <v>81</v>
      </c>
      <c r="P1338" s="6" t="s">
        <v>1528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+VLOOKUP(G1338,Liste!$A$7:$G$69,3,FALSE)</f>
        <v>Pin d'Alep</v>
      </c>
      <c r="BI1338" s="96" t="str">
        <f>+VLOOKUP(H1338,Liste!$B$7:$G$69,5,FALSE)</f>
        <v>Pin d'Alep</v>
      </c>
      <c r="BJ1338" s="135">
        <f t="shared" si="396"/>
        <v>46</v>
      </c>
      <c r="BK1338" s="135" t="str">
        <f t="shared" si="398"/>
        <v>Pin d'Alep_F1_Classique_Pin d'Alep_46_</v>
      </c>
      <c r="BL1338" s="319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97" t="str">
        <f>+VLOOKUP(G1338,Liste!$A$7:$H$69,8,FALSE)</f>
        <v>Résineux</v>
      </c>
      <c r="BU1338" s="297">
        <f t="shared" si="399"/>
        <v>0</v>
      </c>
      <c r="BV1338" s="299">
        <f t="shared" si="400"/>
        <v>1</v>
      </c>
      <c r="BW1338" s="318">
        <v>0</v>
      </c>
      <c r="BX1338" s="297">
        <f t="shared" si="401"/>
        <v>0.43</v>
      </c>
      <c r="BY1338">
        <f t="shared" si="402"/>
        <v>0</v>
      </c>
      <c r="BZ1338" s="303">
        <f t="shared" si="403"/>
        <v>0</v>
      </c>
      <c r="CB1338" s="298">
        <v>0.6</v>
      </c>
      <c r="CC1338" s="298">
        <v>0.4</v>
      </c>
      <c r="CD1338">
        <f t="shared" si="404"/>
        <v>0</v>
      </c>
      <c r="CE1338">
        <f t="shared" si="405"/>
        <v>0</v>
      </c>
      <c r="CF1338">
        <f t="shared" si="406"/>
        <v>0</v>
      </c>
      <c r="CG1338">
        <f t="shared" si="407"/>
        <v>0</v>
      </c>
      <c r="CH1338">
        <f t="shared" si="408"/>
        <v>0</v>
      </c>
      <c r="CI1338">
        <f t="shared" si="409"/>
        <v>0</v>
      </c>
      <c r="CJ1338">
        <f t="shared" si="410"/>
        <v>0</v>
      </c>
      <c r="CK1338">
        <f t="shared" si="411"/>
        <v>0</v>
      </c>
      <c r="CL1338">
        <f t="shared" si="412"/>
        <v>0</v>
      </c>
      <c r="CM1338">
        <f t="shared" si="414"/>
        <v>0</v>
      </c>
      <c r="CN1338">
        <f t="shared" si="413"/>
        <v>0</v>
      </c>
      <c r="CO1338">
        <f t="shared" si="397"/>
        <v>0</v>
      </c>
    </row>
    <row r="1339" spans="1:93" hidden="1" x14ac:dyDescent="0.25">
      <c r="A1339" s="4">
        <v>2021</v>
      </c>
      <c r="B1339" s="315">
        <v>44320</v>
      </c>
      <c r="C1339" s="4" t="s">
        <v>1522</v>
      </c>
      <c r="D1339" s="4" t="s">
        <v>1523</v>
      </c>
      <c r="F1339" s="4" t="s">
        <v>1524</v>
      </c>
      <c r="G1339" s="5" t="s">
        <v>1512</v>
      </c>
      <c r="H1339" s="5" t="s">
        <v>1525</v>
      </c>
      <c r="I1339" s="5" t="s">
        <v>18</v>
      </c>
      <c r="J1339" s="5" t="s">
        <v>9</v>
      </c>
      <c r="K1339" s="5">
        <v>15.5</v>
      </c>
      <c r="L1339" s="5" t="s">
        <v>1526</v>
      </c>
      <c r="M1339" s="5">
        <v>1100</v>
      </c>
      <c r="N1339" s="5" t="s">
        <v>170</v>
      </c>
      <c r="O1339" s="6" t="s">
        <v>81</v>
      </c>
      <c r="P1339" s="6" t="s">
        <v>1528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+VLOOKUP(G1339,Liste!$A$7:$G$69,3,FALSE)</f>
        <v>Pin d'Alep</v>
      </c>
      <c r="BI1339" s="96" t="str">
        <f>+VLOOKUP(H1339,Liste!$B$7:$G$69,5,FALSE)</f>
        <v>Pin d'Alep</v>
      </c>
      <c r="BJ1339" s="135">
        <f t="shared" si="396"/>
        <v>47</v>
      </c>
      <c r="BK1339" s="135" t="str">
        <f t="shared" si="398"/>
        <v>Pin d'Alep_F1_Classique_Pin d'Alep_47_</v>
      </c>
      <c r="BL1339" s="319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97" t="str">
        <f>+VLOOKUP(G1339,Liste!$A$7:$H$69,8,FALSE)</f>
        <v>Résineux</v>
      </c>
      <c r="BU1339" s="297">
        <f t="shared" si="399"/>
        <v>0</v>
      </c>
      <c r="BV1339" s="299">
        <f t="shared" si="400"/>
        <v>1</v>
      </c>
      <c r="BW1339" s="318">
        <v>0</v>
      </c>
      <c r="BX1339" s="297">
        <f t="shared" si="401"/>
        <v>0.43</v>
      </c>
      <c r="BY1339">
        <f t="shared" si="402"/>
        <v>0</v>
      </c>
      <c r="BZ1339" s="303">
        <f t="shared" si="403"/>
        <v>0</v>
      </c>
      <c r="CB1339" s="298">
        <v>0.6</v>
      </c>
      <c r="CC1339" s="298">
        <v>0.4</v>
      </c>
      <c r="CD1339">
        <f t="shared" si="404"/>
        <v>0</v>
      </c>
      <c r="CE1339">
        <f t="shared" si="405"/>
        <v>0</v>
      </c>
      <c r="CF1339">
        <f t="shared" si="406"/>
        <v>0</v>
      </c>
      <c r="CG1339">
        <f t="shared" si="407"/>
        <v>0</v>
      </c>
      <c r="CH1339">
        <f t="shared" si="408"/>
        <v>0</v>
      </c>
      <c r="CI1339">
        <f t="shared" si="409"/>
        <v>0</v>
      </c>
      <c r="CJ1339">
        <f t="shared" si="410"/>
        <v>0</v>
      </c>
      <c r="CK1339">
        <f t="shared" si="411"/>
        <v>0</v>
      </c>
      <c r="CL1339">
        <f t="shared" si="412"/>
        <v>0</v>
      </c>
      <c r="CM1339">
        <f t="shared" si="414"/>
        <v>0</v>
      </c>
      <c r="CN1339">
        <f t="shared" si="413"/>
        <v>0</v>
      </c>
      <c r="CO1339">
        <f t="shared" si="397"/>
        <v>0</v>
      </c>
    </row>
    <row r="1340" spans="1:93" hidden="1" x14ac:dyDescent="0.25">
      <c r="A1340" s="4">
        <v>2021</v>
      </c>
      <c r="B1340" s="315">
        <v>44320</v>
      </c>
      <c r="C1340" s="4" t="s">
        <v>1522</v>
      </c>
      <c r="D1340" s="4" t="s">
        <v>1523</v>
      </c>
      <c r="F1340" s="4" t="s">
        <v>1524</v>
      </c>
      <c r="G1340" s="5" t="s">
        <v>1512</v>
      </c>
      <c r="H1340" s="5" t="s">
        <v>1525</v>
      </c>
      <c r="I1340" s="5" t="s">
        <v>18</v>
      </c>
      <c r="J1340" s="5" t="s">
        <v>9</v>
      </c>
      <c r="K1340" s="5">
        <v>15.5</v>
      </c>
      <c r="L1340" s="5" t="s">
        <v>1526</v>
      </c>
      <c r="M1340" s="5">
        <v>1100</v>
      </c>
      <c r="N1340" s="5" t="s">
        <v>170</v>
      </c>
      <c r="O1340" s="6" t="s">
        <v>81</v>
      </c>
      <c r="P1340" s="6" t="s">
        <v>1528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+VLOOKUP(G1340,Liste!$A$7:$G$69,3,FALSE)</f>
        <v>Pin d'Alep</v>
      </c>
      <c r="BI1340" s="96" t="str">
        <f>+VLOOKUP(H1340,Liste!$B$7:$G$69,5,FALSE)</f>
        <v>Pin d'Alep</v>
      </c>
      <c r="BJ1340" s="135">
        <f t="shared" si="396"/>
        <v>48</v>
      </c>
      <c r="BK1340" s="135" t="str">
        <f t="shared" si="398"/>
        <v>Pin d'Alep_F1_Classique_Pin d'Alep_48_</v>
      </c>
      <c r="BL1340" s="319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97" t="str">
        <f>+VLOOKUP(G1340,Liste!$A$7:$H$69,8,FALSE)</f>
        <v>Résineux</v>
      </c>
      <c r="BU1340" s="297">
        <f t="shared" si="399"/>
        <v>0</v>
      </c>
      <c r="BV1340" s="299">
        <f t="shared" si="400"/>
        <v>1</v>
      </c>
      <c r="BW1340" s="318">
        <v>0</v>
      </c>
      <c r="BX1340" s="297">
        <f t="shared" si="401"/>
        <v>0.43</v>
      </c>
      <c r="BY1340">
        <f t="shared" si="402"/>
        <v>0</v>
      </c>
      <c r="BZ1340" s="303">
        <f t="shared" si="403"/>
        <v>0</v>
      </c>
      <c r="CB1340" s="298">
        <v>0.6</v>
      </c>
      <c r="CC1340" s="298">
        <v>0.4</v>
      </c>
      <c r="CD1340">
        <f t="shared" si="404"/>
        <v>0</v>
      </c>
      <c r="CE1340">
        <f t="shared" si="405"/>
        <v>0</v>
      </c>
      <c r="CF1340">
        <f t="shared" si="406"/>
        <v>0</v>
      </c>
      <c r="CG1340">
        <f t="shared" si="407"/>
        <v>0</v>
      </c>
      <c r="CH1340">
        <f t="shared" si="408"/>
        <v>0</v>
      </c>
      <c r="CI1340">
        <f t="shared" si="409"/>
        <v>0</v>
      </c>
      <c r="CJ1340">
        <f t="shared" si="410"/>
        <v>0</v>
      </c>
      <c r="CK1340">
        <f t="shared" si="411"/>
        <v>0</v>
      </c>
      <c r="CL1340">
        <f t="shared" si="412"/>
        <v>0</v>
      </c>
      <c r="CM1340">
        <f t="shared" si="414"/>
        <v>0</v>
      </c>
      <c r="CN1340">
        <f t="shared" si="413"/>
        <v>0</v>
      </c>
      <c r="CO1340">
        <f t="shared" si="397"/>
        <v>0</v>
      </c>
    </row>
    <row r="1341" spans="1:93" hidden="1" x14ac:dyDescent="0.25">
      <c r="A1341" s="4">
        <v>2021</v>
      </c>
      <c r="B1341" s="315">
        <v>44320</v>
      </c>
      <c r="C1341" s="4" t="s">
        <v>1522</v>
      </c>
      <c r="D1341" s="4" t="s">
        <v>1523</v>
      </c>
      <c r="F1341" s="4" t="s">
        <v>1524</v>
      </c>
      <c r="G1341" s="5" t="s">
        <v>1512</v>
      </c>
      <c r="H1341" s="5" t="s">
        <v>1525</v>
      </c>
      <c r="I1341" s="5" t="s">
        <v>18</v>
      </c>
      <c r="J1341" s="5" t="s">
        <v>9</v>
      </c>
      <c r="K1341" s="5">
        <v>15.5</v>
      </c>
      <c r="L1341" s="5" t="s">
        <v>1526</v>
      </c>
      <c r="M1341" s="5">
        <v>1100</v>
      </c>
      <c r="N1341" s="5" t="s">
        <v>170</v>
      </c>
      <c r="O1341" s="6" t="s">
        <v>81</v>
      </c>
      <c r="P1341" s="6" t="s">
        <v>1528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+VLOOKUP(G1341,Liste!$A$7:$G$69,3,FALSE)</f>
        <v>Pin d'Alep</v>
      </c>
      <c r="BI1341" s="96" t="str">
        <f>+VLOOKUP(H1341,Liste!$B$7:$G$69,5,FALSE)</f>
        <v>Pin d'Alep</v>
      </c>
      <c r="BJ1341" s="135">
        <f t="shared" si="396"/>
        <v>49</v>
      </c>
      <c r="BK1341" s="135" t="str">
        <f t="shared" si="398"/>
        <v>Pin d'Alep_F1_Classique_Pin d'Alep_49_</v>
      </c>
      <c r="BL1341" s="319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97" t="str">
        <f>+VLOOKUP(G1341,Liste!$A$7:$H$69,8,FALSE)</f>
        <v>Résineux</v>
      </c>
      <c r="BU1341" s="297">
        <f t="shared" si="399"/>
        <v>0</v>
      </c>
      <c r="BV1341" s="299">
        <f t="shared" si="400"/>
        <v>1</v>
      </c>
      <c r="BW1341" s="318">
        <v>0</v>
      </c>
      <c r="BX1341" s="297">
        <f t="shared" si="401"/>
        <v>0.43</v>
      </c>
      <c r="BY1341">
        <f t="shared" si="402"/>
        <v>0</v>
      </c>
      <c r="BZ1341" s="303">
        <f t="shared" si="403"/>
        <v>0</v>
      </c>
      <c r="CB1341" s="298">
        <v>0.6</v>
      </c>
      <c r="CC1341" s="298">
        <v>0.4</v>
      </c>
      <c r="CD1341">
        <f t="shared" si="404"/>
        <v>0</v>
      </c>
      <c r="CE1341">
        <f t="shared" si="405"/>
        <v>0</v>
      </c>
      <c r="CF1341">
        <f t="shared" si="406"/>
        <v>0</v>
      </c>
      <c r="CG1341">
        <f t="shared" si="407"/>
        <v>0</v>
      </c>
      <c r="CH1341">
        <f t="shared" si="408"/>
        <v>0</v>
      </c>
      <c r="CI1341">
        <f t="shared" si="409"/>
        <v>0</v>
      </c>
      <c r="CJ1341">
        <f t="shared" si="410"/>
        <v>0</v>
      </c>
      <c r="CK1341">
        <f t="shared" si="411"/>
        <v>0</v>
      </c>
      <c r="CL1341">
        <f t="shared" si="412"/>
        <v>0</v>
      </c>
      <c r="CM1341">
        <f t="shared" si="414"/>
        <v>0</v>
      </c>
      <c r="CN1341">
        <f t="shared" si="413"/>
        <v>0</v>
      </c>
      <c r="CO1341">
        <f t="shared" si="397"/>
        <v>0</v>
      </c>
    </row>
    <row r="1342" spans="1:93" hidden="1" x14ac:dyDescent="0.25">
      <c r="A1342" s="4">
        <v>2021</v>
      </c>
      <c r="B1342" s="315">
        <v>44320</v>
      </c>
      <c r="C1342" s="4" t="s">
        <v>1522</v>
      </c>
      <c r="D1342" s="4" t="s">
        <v>1523</v>
      </c>
      <c r="F1342" s="4" t="s">
        <v>1524</v>
      </c>
      <c r="G1342" s="5" t="s">
        <v>1512</v>
      </c>
      <c r="H1342" s="5" t="s">
        <v>1525</v>
      </c>
      <c r="I1342" s="5" t="s">
        <v>18</v>
      </c>
      <c r="J1342" s="5" t="s">
        <v>9</v>
      </c>
      <c r="K1342" s="5">
        <v>15.5</v>
      </c>
      <c r="L1342" s="5" t="s">
        <v>1526</v>
      </c>
      <c r="M1342" s="5">
        <v>1100</v>
      </c>
      <c r="N1342" s="5" t="s">
        <v>170</v>
      </c>
      <c r="O1342" s="6" t="s">
        <v>81</v>
      </c>
      <c r="P1342" s="6" t="s">
        <v>1528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+VLOOKUP(G1342,Liste!$A$7:$G$69,3,FALSE)</f>
        <v>Pin d'Alep</v>
      </c>
      <c r="BI1342" s="96" t="str">
        <f>+VLOOKUP(H1342,Liste!$B$7:$G$69,5,FALSE)</f>
        <v>Pin d'Alep</v>
      </c>
      <c r="BJ1342" s="135">
        <f t="shared" si="396"/>
        <v>50</v>
      </c>
      <c r="BK1342" s="135" t="str">
        <f t="shared" si="398"/>
        <v>Pin d'Alep_F1_Classique_Pin d'Alep_50_</v>
      </c>
      <c r="BL1342" s="319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97" t="str">
        <f>+VLOOKUP(G1342,Liste!$A$7:$H$69,8,FALSE)</f>
        <v>Résineux</v>
      </c>
      <c r="BU1342" s="297">
        <f t="shared" si="399"/>
        <v>0</v>
      </c>
      <c r="BV1342" s="299">
        <f t="shared" si="400"/>
        <v>1</v>
      </c>
      <c r="BW1342" s="318">
        <v>0</v>
      </c>
      <c r="BX1342" s="297">
        <f t="shared" si="401"/>
        <v>0.43</v>
      </c>
      <c r="BY1342">
        <f t="shared" si="402"/>
        <v>0</v>
      </c>
      <c r="BZ1342" s="303">
        <f t="shared" si="403"/>
        <v>0</v>
      </c>
      <c r="CB1342" s="298">
        <v>0.6</v>
      </c>
      <c r="CC1342" s="298">
        <v>0.4</v>
      </c>
      <c r="CD1342">
        <f t="shared" si="404"/>
        <v>0</v>
      </c>
      <c r="CE1342">
        <f t="shared" si="405"/>
        <v>0</v>
      </c>
      <c r="CF1342">
        <f t="shared" si="406"/>
        <v>0</v>
      </c>
      <c r="CG1342">
        <f t="shared" si="407"/>
        <v>0</v>
      </c>
      <c r="CH1342">
        <f t="shared" si="408"/>
        <v>0</v>
      </c>
      <c r="CI1342">
        <f t="shared" si="409"/>
        <v>0</v>
      </c>
      <c r="CJ1342">
        <f t="shared" si="410"/>
        <v>0</v>
      </c>
      <c r="CK1342">
        <f t="shared" si="411"/>
        <v>0</v>
      </c>
      <c r="CL1342">
        <f t="shared" si="412"/>
        <v>0</v>
      </c>
      <c r="CM1342">
        <f t="shared" si="414"/>
        <v>0</v>
      </c>
      <c r="CN1342">
        <f t="shared" si="413"/>
        <v>0</v>
      </c>
      <c r="CO1342">
        <f t="shared" si="397"/>
        <v>0</v>
      </c>
    </row>
    <row r="1343" spans="1:93" hidden="1" x14ac:dyDescent="0.25">
      <c r="A1343" s="4">
        <v>2021</v>
      </c>
      <c r="B1343" s="315">
        <v>44320</v>
      </c>
      <c r="C1343" s="4" t="s">
        <v>1522</v>
      </c>
      <c r="D1343" s="4" t="s">
        <v>1523</v>
      </c>
      <c r="F1343" s="4" t="s">
        <v>1524</v>
      </c>
      <c r="G1343" s="5" t="s">
        <v>1512</v>
      </c>
      <c r="H1343" s="5" t="s">
        <v>1525</v>
      </c>
      <c r="I1343" s="5" t="s">
        <v>18</v>
      </c>
      <c r="J1343" s="5" t="s">
        <v>9</v>
      </c>
      <c r="K1343" s="5">
        <v>15.5</v>
      </c>
      <c r="L1343" s="5" t="s">
        <v>1526</v>
      </c>
      <c r="M1343" s="5">
        <v>1100</v>
      </c>
      <c r="N1343" s="5" t="s">
        <v>170</v>
      </c>
      <c r="O1343" s="6" t="s">
        <v>81</v>
      </c>
      <c r="P1343" s="6" t="s">
        <v>1528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+VLOOKUP(G1343,Liste!$A$7:$G$69,3,FALSE)</f>
        <v>Pin d'Alep</v>
      </c>
      <c r="BI1343" s="96" t="str">
        <f>+VLOOKUP(H1343,Liste!$B$7:$G$69,5,FALSE)</f>
        <v>Pin d'Alep</v>
      </c>
      <c r="BJ1343" s="135">
        <f t="shared" si="396"/>
        <v>51</v>
      </c>
      <c r="BK1343" s="135" t="str">
        <f t="shared" si="398"/>
        <v>Pin d'Alep_F1_Classique_Pin d'Alep_51_</v>
      </c>
      <c r="BL1343" s="319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97" t="str">
        <f>+VLOOKUP(G1343,Liste!$A$7:$H$69,8,FALSE)</f>
        <v>Résineux</v>
      </c>
      <c r="BU1343" s="297">
        <f t="shared" si="399"/>
        <v>0</v>
      </c>
      <c r="BV1343" s="299">
        <f t="shared" si="400"/>
        <v>1</v>
      </c>
      <c r="BW1343" s="318">
        <v>0</v>
      </c>
      <c r="BX1343" s="297">
        <f t="shared" si="401"/>
        <v>0.43</v>
      </c>
      <c r="BY1343">
        <f t="shared" si="402"/>
        <v>0</v>
      </c>
      <c r="BZ1343" s="303">
        <f t="shared" si="403"/>
        <v>0</v>
      </c>
      <c r="CB1343" s="298">
        <v>0.6</v>
      </c>
      <c r="CC1343" s="298">
        <v>0.4</v>
      </c>
      <c r="CD1343">
        <f t="shared" si="404"/>
        <v>0</v>
      </c>
      <c r="CE1343">
        <f t="shared" si="405"/>
        <v>0</v>
      </c>
      <c r="CF1343">
        <f t="shared" si="406"/>
        <v>0</v>
      </c>
      <c r="CG1343">
        <f t="shared" si="407"/>
        <v>0</v>
      </c>
      <c r="CH1343">
        <f t="shared" si="408"/>
        <v>0</v>
      </c>
      <c r="CI1343">
        <f t="shared" si="409"/>
        <v>0</v>
      </c>
      <c r="CJ1343">
        <f t="shared" si="410"/>
        <v>0</v>
      </c>
      <c r="CK1343">
        <f t="shared" si="411"/>
        <v>0</v>
      </c>
      <c r="CL1343">
        <f t="shared" si="412"/>
        <v>0</v>
      </c>
      <c r="CM1343">
        <f t="shared" si="414"/>
        <v>0</v>
      </c>
      <c r="CN1343">
        <f t="shared" si="413"/>
        <v>0</v>
      </c>
      <c r="CO1343">
        <f t="shared" si="397"/>
        <v>0</v>
      </c>
    </row>
    <row r="1344" spans="1:93" hidden="1" x14ac:dyDescent="0.25">
      <c r="A1344" s="4">
        <v>2021</v>
      </c>
      <c r="B1344" s="315">
        <v>44320</v>
      </c>
      <c r="C1344" s="4" t="s">
        <v>1522</v>
      </c>
      <c r="D1344" s="4" t="s">
        <v>1523</v>
      </c>
      <c r="F1344" s="4" t="s">
        <v>1524</v>
      </c>
      <c r="G1344" s="5" t="s">
        <v>1512</v>
      </c>
      <c r="H1344" s="5" t="s">
        <v>1525</v>
      </c>
      <c r="I1344" s="5" t="s">
        <v>18</v>
      </c>
      <c r="J1344" s="5" t="s">
        <v>9</v>
      </c>
      <c r="K1344" s="5">
        <v>15.5</v>
      </c>
      <c r="L1344" s="5" t="s">
        <v>1526</v>
      </c>
      <c r="M1344" s="5">
        <v>1100</v>
      </c>
      <c r="N1344" s="5" t="s">
        <v>170</v>
      </c>
      <c r="O1344" s="6" t="s">
        <v>81</v>
      </c>
      <c r="P1344" s="6" t="s">
        <v>1528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+VLOOKUP(G1344,Liste!$A$7:$G$69,3,FALSE)</f>
        <v>Pin d'Alep</v>
      </c>
      <c r="BI1344" s="96" t="str">
        <f>+VLOOKUP(H1344,Liste!$B$7:$G$69,5,FALSE)</f>
        <v>Pin d'Alep</v>
      </c>
      <c r="BJ1344" s="135">
        <f t="shared" si="396"/>
        <v>52</v>
      </c>
      <c r="BK1344" s="135" t="str">
        <f t="shared" si="398"/>
        <v>Pin d'Alep_F1_Classique_Pin d'Alep_52_</v>
      </c>
      <c r="BL1344" s="319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97" t="str">
        <f>+VLOOKUP(G1344,Liste!$A$7:$H$69,8,FALSE)</f>
        <v>Résineux</v>
      </c>
      <c r="BU1344" s="297">
        <f t="shared" si="399"/>
        <v>0</v>
      </c>
      <c r="BV1344" s="299">
        <f t="shared" si="400"/>
        <v>1</v>
      </c>
      <c r="BW1344" s="318">
        <v>0</v>
      </c>
      <c r="BX1344" s="297">
        <f t="shared" si="401"/>
        <v>0.43</v>
      </c>
      <c r="BY1344">
        <f t="shared" si="402"/>
        <v>0</v>
      </c>
      <c r="BZ1344" s="303">
        <f t="shared" si="403"/>
        <v>0</v>
      </c>
      <c r="CB1344" s="298">
        <v>0.6</v>
      </c>
      <c r="CC1344" s="298">
        <v>0.4</v>
      </c>
      <c r="CD1344">
        <f t="shared" si="404"/>
        <v>0</v>
      </c>
      <c r="CE1344">
        <f t="shared" si="405"/>
        <v>0</v>
      </c>
      <c r="CF1344">
        <f t="shared" si="406"/>
        <v>0</v>
      </c>
      <c r="CG1344">
        <f t="shared" si="407"/>
        <v>0</v>
      </c>
      <c r="CH1344">
        <f t="shared" si="408"/>
        <v>0</v>
      </c>
      <c r="CI1344">
        <f t="shared" si="409"/>
        <v>0</v>
      </c>
      <c r="CJ1344">
        <f t="shared" si="410"/>
        <v>0</v>
      </c>
      <c r="CK1344">
        <f t="shared" si="411"/>
        <v>0</v>
      </c>
      <c r="CL1344">
        <f t="shared" si="412"/>
        <v>0</v>
      </c>
      <c r="CM1344">
        <f t="shared" si="414"/>
        <v>0</v>
      </c>
      <c r="CN1344">
        <f t="shared" si="413"/>
        <v>0</v>
      </c>
      <c r="CO1344">
        <f t="shared" si="397"/>
        <v>0</v>
      </c>
    </row>
    <row r="1345" spans="1:93" hidden="1" x14ac:dyDescent="0.25">
      <c r="A1345" s="4">
        <v>2021</v>
      </c>
      <c r="B1345" s="315">
        <v>44320</v>
      </c>
      <c r="C1345" s="4" t="s">
        <v>1522</v>
      </c>
      <c r="D1345" s="4" t="s">
        <v>1523</v>
      </c>
      <c r="F1345" s="4" t="s">
        <v>1524</v>
      </c>
      <c r="G1345" s="5" t="s">
        <v>1512</v>
      </c>
      <c r="H1345" s="5" t="s">
        <v>1525</v>
      </c>
      <c r="I1345" s="5" t="s">
        <v>18</v>
      </c>
      <c r="J1345" s="5" t="s">
        <v>9</v>
      </c>
      <c r="K1345" s="5">
        <v>15.5</v>
      </c>
      <c r="L1345" s="5" t="s">
        <v>1526</v>
      </c>
      <c r="M1345" s="5">
        <v>1100</v>
      </c>
      <c r="N1345" s="5" t="s">
        <v>170</v>
      </c>
      <c r="O1345" s="6" t="s">
        <v>81</v>
      </c>
      <c r="P1345" s="6" t="s">
        <v>1528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+VLOOKUP(G1345,Liste!$A$7:$G$69,3,FALSE)</f>
        <v>Pin d'Alep</v>
      </c>
      <c r="BI1345" s="96" t="str">
        <f>+VLOOKUP(H1345,Liste!$B$7:$G$69,5,FALSE)</f>
        <v>Pin d'Alep</v>
      </c>
      <c r="BJ1345" s="135">
        <f t="shared" si="396"/>
        <v>52</v>
      </c>
      <c r="BK1345" s="135" t="str">
        <f t="shared" si="398"/>
        <v>Pin d'Alep_F1_Classique_Pin d'Alep_52_</v>
      </c>
      <c r="BL1345" s="319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97" t="str">
        <f>+VLOOKUP(G1345,Liste!$A$7:$H$69,8,FALSE)</f>
        <v>Résineux</v>
      </c>
      <c r="BU1345" s="297">
        <f t="shared" si="399"/>
        <v>0</v>
      </c>
      <c r="BV1345" s="299">
        <f t="shared" si="400"/>
        <v>1</v>
      </c>
      <c r="BW1345" s="318">
        <v>0</v>
      </c>
      <c r="BX1345" s="297">
        <f t="shared" si="401"/>
        <v>0.43</v>
      </c>
      <c r="BY1345">
        <f t="shared" si="402"/>
        <v>0</v>
      </c>
      <c r="BZ1345" s="303">
        <f t="shared" si="403"/>
        <v>0</v>
      </c>
      <c r="CB1345" s="298">
        <v>0.6</v>
      </c>
      <c r="CC1345" s="298">
        <v>0.4</v>
      </c>
      <c r="CD1345">
        <f t="shared" si="404"/>
        <v>0</v>
      </c>
      <c r="CE1345">
        <f t="shared" si="405"/>
        <v>0</v>
      </c>
      <c r="CF1345">
        <f t="shared" si="406"/>
        <v>0</v>
      </c>
      <c r="CG1345">
        <f t="shared" si="407"/>
        <v>0</v>
      </c>
      <c r="CH1345">
        <f t="shared" si="408"/>
        <v>0</v>
      </c>
      <c r="CI1345">
        <f t="shared" si="409"/>
        <v>0</v>
      </c>
      <c r="CJ1345">
        <f t="shared" si="410"/>
        <v>0</v>
      </c>
      <c r="CK1345">
        <f t="shared" si="411"/>
        <v>0</v>
      </c>
      <c r="CL1345">
        <f t="shared" si="412"/>
        <v>0</v>
      </c>
      <c r="CM1345">
        <f t="shared" si="414"/>
        <v>0</v>
      </c>
      <c r="CN1345">
        <f t="shared" si="413"/>
        <v>0</v>
      </c>
      <c r="CO1345">
        <f t="shared" si="397"/>
        <v>0</v>
      </c>
    </row>
    <row r="1346" spans="1:93" hidden="1" x14ac:dyDescent="0.25">
      <c r="A1346" s="4">
        <v>2021</v>
      </c>
      <c r="B1346" s="315">
        <v>44320</v>
      </c>
      <c r="C1346" s="4" t="s">
        <v>1522</v>
      </c>
      <c r="D1346" s="4" t="s">
        <v>1523</v>
      </c>
      <c r="F1346" s="4" t="s">
        <v>1524</v>
      </c>
      <c r="G1346" s="5" t="s">
        <v>1512</v>
      </c>
      <c r="H1346" s="5" t="s">
        <v>1525</v>
      </c>
      <c r="I1346" s="5" t="s">
        <v>18</v>
      </c>
      <c r="J1346" s="5" t="s">
        <v>9</v>
      </c>
      <c r="K1346" s="5">
        <v>15.5</v>
      </c>
      <c r="L1346" s="5" t="s">
        <v>1526</v>
      </c>
      <c r="M1346" s="5">
        <v>1100</v>
      </c>
      <c r="N1346" s="5" t="s">
        <v>170</v>
      </c>
      <c r="O1346" s="6" t="s">
        <v>81</v>
      </c>
      <c r="P1346" s="6" t="s">
        <v>1528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+VLOOKUP(G1346,Liste!$A$7:$G$69,3,FALSE)</f>
        <v>Pin d'Alep</v>
      </c>
      <c r="BI1346" s="96" t="str">
        <f>+VLOOKUP(H1346,Liste!$B$7:$G$69,5,FALSE)</f>
        <v>Pin d'Alep</v>
      </c>
      <c r="BJ1346" s="135">
        <f t="shared" si="396"/>
        <v>53</v>
      </c>
      <c r="BK1346" s="135" t="str">
        <f t="shared" si="398"/>
        <v>Pin d'Alep_F1_Classique_Pin d'Alep_53_</v>
      </c>
      <c r="BL1346" s="319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97" t="str">
        <f>+VLOOKUP(G1346,Liste!$A$7:$H$69,8,FALSE)</f>
        <v>Résineux</v>
      </c>
      <c r="BU1346" s="297">
        <f t="shared" si="399"/>
        <v>0</v>
      </c>
      <c r="BV1346" s="299">
        <f t="shared" si="400"/>
        <v>1</v>
      </c>
      <c r="BW1346" s="318">
        <v>0</v>
      </c>
      <c r="BX1346" s="297">
        <f t="shared" si="401"/>
        <v>0.43</v>
      </c>
      <c r="BY1346">
        <f t="shared" si="402"/>
        <v>0</v>
      </c>
      <c r="BZ1346" s="303">
        <f t="shared" si="403"/>
        <v>0</v>
      </c>
      <c r="CB1346" s="298">
        <v>0.6</v>
      </c>
      <c r="CC1346" s="298">
        <v>0.4</v>
      </c>
      <c r="CD1346">
        <f t="shared" si="404"/>
        <v>0</v>
      </c>
      <c r="CE1346">
        <f t="shared" si="405"/>
        <v>0</v>
      </c>
      <c r="CF1346">
        <f t="shared" si="406"/>
        <v>0</v>
      </c>
      <c r="CG1346">
        <f t="shared" si="407"/>
        <v>0</v>
      </c>
      <c r="CH1346">
        <f t="shared" si="408"/>
        <v>0</v>
      </c>
      <c r="CI1346">
        <f t="shared" si="409"/>
        <v>0</v>
      </c>
      <c r="CJ1346">
        <f t="shared" si="410"/>
        <v>0</v>
      </c>
      <c r="CK1346">
        <f t="shared" si="411"/>
        <v>0</v>
      </c>
      <c r="CL1346">
        <f t="shared" si="412"/>
        <v>0</v>
      </c>
      <c r="CM1346">
        <f t="shared" si="414"/>
        <v>0</v>
      </c>
      <c r="CN1346">
        <f t="shared" si="413"/>
        <v>0</v>
      </c>
      <c r="CO1346">
        <f t="shared" si="397"/>
        <v>0</v>
      </c>
    </row>
    <row r="1347" spans="1:93" hidden="1" x14ac:dyDescent="0.25">
      <c r="A1347" s="4">
        <v>2021</v>
      </c>
      <c r="B1347" s="315">
        <v>44320</v>
      </c>
      <c r="C1347" s="4" t="s">
        <v>1522</v>
      </c>
      <c r="D1347" s="4" t="s">
        <v>1523</v>
      </c>
      <c r="F1347" s="4" t="s">
        <v>1524</v>
      </c>
      <c r="G1347" s="5" t="s">
        <v>1512</v>
      </c>
      <c r="H1347" s="5" t="s">
        <v>1525</v>
      </c>
      <c r="I1347" s="5" t="s">
        <v>18</v>
      </c>
      <c r="J1347" s="5" t="s">
        <v>9</v>
      </c>
      <c r="K1347" s="5">
        <v>15.5</v>
      </c>
      <c r="L1347" s="5" t="s">
        <v>1526</v>
      </c>
      <c r="M1347" s="5">
        <v>1100</v>
      </c>
      <c r="N1347" s="5" t="s">
        <v>170</v>
      </c>
      <c r="O1347" s="6" t="s">
        <v>81</v>
      </c>
      <c r="P1347" s="6" t="s">
        <v>1528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+VLOOKUP(G1347,Liste!$A$7:$G$69,3,FALSE)</f>
        <v>Pin d'Alep</v>
      </c>
      <c r="BI1347" s="96" t="str">
        <f>+VLOOKUP(H1347,Liste!$B$7:$G$69,5,FALSE)</f>
        <v>Pin d'Alep</v>
      </c>
      <c r="BJ1347" s="135">
        <f t="shared" ref="BJ1347:BJ1410" si="415">+AC1347</f>
        <v>54</v>
      </c>
      <c r="BK1347" s="135" t="str">
        <f t="shared" si="398"/>
        <v>Pin d'Alep_F1_Classique_Pin d'Alep_54_</v>
      </c>
      <c r="BL1347" s="319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97" t="str">
        <f>+VLOOKUP(G1347,Liste!$A$7:$H$69,8,FALSE)</f>
        <v>Résineux</v>
      </c>
      <c r="BU1347" s="297">
        <f t="shared" si="399"/>
        <v>0</v>
      </c>
      <c r="BV1347" s="299">
        <f t="shared" si="400"/>
        <v>1</v>
      </c>
      <c r="BW1347" s="318">
        <v>0</v>
      </c>
      <c r="BX1347" s="297">
        <f t="shared" si="401"/>
        <v>0.43</v>
      </c>
      <c r="BY1347">
        <f t="shared" si="402"/>
        <v>0</v>
      </c>
      <c r="BZ1347" s="303">
        <f t="shared" si="403"/>
        <v>0</v>
      </c>
      <c r="CB1347" s="298">
        <v>0.6</v>
      </c>
      <c r="CC1347" s="298">
        <v>0.4</v>
      </c>
      <c r="CD1347">
        <f t="shared" si="404"/>
        <v>0</v>
      </c>
      <c r="CE1347">
        <f t="shared" si="405"/>
        <v>0</v>
      </c>
      <c r="CF1347">
        <f t="shared" si="406"/>
        <v>0</v>
      </c>
      <c r="CG1347">
        <f t="shared" si="407"/>
        <v>0</v>
      </c>
      <c r="CH1347">
        <f t="shared" si="408"/>
        <v>0</v>
      </c>
      <c r="CI1347">
        <f t="shared" si="409"/>
        <v>0</v>
      </c>
      <c r="CJ1347">
        <f t="shared" si="410"/>
        <v>0</v>
      </c>
      <c r="CK1347">
        <f t="shared" si="411"/>
        <v>0</v>
      </c>
      <c r="CL1347">
        <f t="shared" si="412"/>
        <v>0</v>
      </c>
      <c r="CM1347">
        <f t="shared" si="414"/>
        <v>0</v>
      </c>
      <c r="CN1347">
        <f t="shared" si="413"/>
        <v>0</v>
      </c>
      <c r="CO1347">
        <f t="shared" ref="CO1347:CO1410" si="416">+IF(BJ1347=30,CN1347/30,0)</f>
        <v>0</v>
      </c>
    </row>
    <row r="1348" spans="1:93" hidden="1" x14ac:dyDescent="0.25">
      <c r="A1348" s="4">
        <v>2021</v>
      </c>
      <c r="B1348" s="315">
        <v>44320</v>
      </c>
      <c r="C1348" s="4" t="s">
        <v>1522</v>
      </c>
      <c r="D1348" s="4" t="s">
        <v>1523</v>
      </c>
      <c r="F1348" s="4" t="s">
        <v>1524</v>
      </c>
      <c r="G1348" s="5" t="s">
        <v>1512</v>
      </c>
      <c r="H1348" s="5" t="s">
        <v>1525</v>
      </c>
      <c r="I1348" s="5" t="s">
        <v>18</v>
      </c>
      <c r="J1348" s="5" t="s">
        <v>9</v>
      </c>
      <c r="K1348" s="5">
        <v>15.5</v>
      </c>
      <c r="L1348" s="5" t="s">
        <v>1526</v>
      </c>
      <c r="M1348" s="5">
        <v>1100</v>
      </c>
      <c r="N1348" s="5" t="s">
        <v>170</v>
      </c>
      <c r="O1348" s="6" t="s">
        <v>81</v>
      </c>
      <c r="P1348" s="6" t="s">
        <v>1528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+VLOOKUP(G1348,Liste!$A$7:$G$69,3,FALSE)</f>
        <v>Pin d'Alep</v>
      </c>
      <c r="BI1348" s="96" t="str">
        <f>+VLOOKUP(H1348,Liste!$B$7:$G$69,5,FALSE)</f>
        <v>Pin d'Alep</v>
      </c>
      <c r="BJ1348" s="135">
        <f t="shared" si="415"/>
        <v>55</v>
      </c>
      <c r="BK1348" s="135" t="str">
        <f t="shared" ref="BK1348:BK1411" si="417">+_xlfn.CONCAT(BH1348,"_",J1348,"_",I1348,"_",BI1348,"_",BJ1348,"_")</f>
        <v>Pin d'Alep_F1_Classique_Pin d'Alep_55_</v>
      </c>
      <c r="BL1348" s="319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97" t="str">
        <f>+VLOOKUP(G1348,Liste!$A$7:$H$69,8,FALSE)</f>
        <v>Résineux</v>
      </c>
      <c r="BU1348" s="297">
        <f t="shared" ref="BU1348:BU1411" si="418">IF(BT1348="Résineux",0%,100%)</f>
        <v>0</v>
      </c>
      <c r="BV1348" s="299">
        <f t="shared" ref="BV1348:BV1411" si="419">+IF(BT1348="Résineux",100%,0%)</f>
        <v>1</v>
      </c>
      <c r="BW1348" s="318">
        <v>0</v>
      </c>
      <c r="BX1348" s="297">
        <f t="shared" ref="BX1348:BX1411" si="420">+IF(BV1348&lt;&gt;0,0.43,0.25)</f>
        <v>0.43</v>
      </c>
      <c r="BY1348">
        <f t="shared" ref="BY1348:BY1411" si="421">+IF(BJ1348&lt;=30,AV1348*BX1348,0)</f>
        <v>0</v>
      </c>
      <c r="BZ1348" s="303">
        <f t="shared" ref="BZ1348:BZ1411" si="422">+IF(BJ1348&gt;=31,0,BY1348+BZ1347)</f>
        <v>0</v>
      </c>
      <c r="CB1348" s="298">
        <v>0.6</v>
      </c>
      <c r="CC1348" s="298">
        <v>0.4</v>
      </c>
      <c r="CD1348">
        <f t="shared" ref="CD1348:CD1411" si="423">+IF(BJ1348&lt;=31,AV1348*CA1348*0.5,0)</f>
        <v>0</v>
      </c>
      <c r="CE1348">
        <f t="shared" ref="CE1348:CE1411" si="424">IF(BJ1348&lt;=31,AV1348*CB1348,0)</f>
        <v>0</v>
      </c>
      <c r="CF1348">
        <f t="shared" ref="CF1348:CF1411" si="425">IF(BJ1348&lt;=31,AV1348*CC1348,0)</f>
        <v>0</v>
      </c>
      <c r="CG1348">
        <f t="shared" ref="CG1348:CG1411" si="426">CD1348*44/12*0.475*BF1348</f>
        <v>0</v>
      </c>
      <c r="CH1348">
        <f t="shared" ref="CH1348:CH1411" si="427">CE1348*44/12*0.475*BF1348</f>
        <v>0</v>
      </c>
      <c r="CI1348">
        <f t="shared" ref="CI1348:CI1411" si="428">CF1348*44/12*0.475*BF1348</f>
        <v>0</v>
      </c>
      <c r="CJ1348">
        <f t="shared" ref="CJ1348:CJ1411" si="429">+IF(BJ1348&lt;=31,CJ1347*EXP(-$CJ$1)+CG1347*(1-EXP(-$CJ$1))/$CJ$1,0)</f>
        <v>0</v>
      </c>
      <c r="CK1348">
        <f t="shared" ref="CK1348:CK1411" si="430">+IF(BJ1348&lt;=31,CK1347*EXP(-$CK$1)+CH1347*(1-EXP(-$CK$1))/$CK$1,0)</f>
        <v>0</v>
      </c>
      <c r="CL1348">
        <f t="shared" ref="CL1348:CL1411" si="431">+IF(BJ1348&lt;=31,CL1347*EXP(-$CL$1)+CI1347*(1-EXP(-$CL$1))/$CL$1,0)</f>
        <v>0</v>
      </c>
      <c r="CM1348">
        <f t="shared" si="414"/>
        <v>0</v>
      </c>
      <c r="CN1348">
        <f t="shared" ref="CN1348:CN1411" si="432">+IF(BJ1348&lt;=31,CM1348+CN1347,0)</f>
        <v>0</v>
      </c>
      <c r="CO1348">
        <f t="shared" si="416"/>
        <v>0</v>
      </c>
    </row>
    <row r="1349" spans="1:93" hidden="1" x14ac:dyDescent="0.25">
      <c r="A1349" s="4">
        <v>2021</v>
      </c>
      <c r="B1349" s="315">
        <v>44320</v>
      </c>
      <c r="C1349" s="4" t="s">
        <v>1522</v>
      </c>
      <c r="D1349" s="4" t="s">
        <v>1523</v>
      </c>
      <c r="F1349" s="4" t="s">
        <v>1524</v>
      </c>
      <c r="G1349" s="5" t="s">
        <v>1512</v>
      </c>
      <c r="H1349" s="5" t="s">
        <v>1525</v>
      </c>
      <c r="I1349" s="5" t="s">
        <v>18</v>
      </c>
      <c r="J1349" s="5" t="s">
        <v>9</v>
      </c>
      <c r="K1349" s="5">
        <v>15.5</v>
      </c>
      <c r="L1349" s="5" t="s">
        <v>1526</v>
      </c>
      <c r="M1349" s="5">
        <v>1100</v>
      </c>
      <c r="N1349" s="5" t="s">
        <v>170</v>
      </c>
      <c r="O1349" s="6" t="s">
        <v>81</v>
      </c>
      <c r="P1349" s="6" t="s">
        <v>1528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+VLOOKUP(G1349,Liste!$A$7:$G$69,3,FALSE)</f>
        <v>Pin d'Alep</v>
      </c>
      <c r="BI1349" s="96" t="str">
        <f>+VLOOKUP(H1349,Liste!$B$7:$G$69,5,FALSE)</f>
        <v>Pin d'Alep</v>
      </c>
      <c r="BJ1349" s="135">
        <f t="shared" si="415"/>
        <v>56</v>
      </c>
      <c r="BK1349" s="135" t="str">
        <f t="shared" si="417"/>
        <v>Pin d'Alep_F1_Classique_Pin d'Alep_56_</v>
      </c>
      <c r="BL1349" s="319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97" t="str">
        <f>+VLOOKUP(G1349,Liste!$A$7:$H$69,8,FALSE)</f>
        <v>Résineux</v>
      </c>
      <c r="BU1349" s="297">
        <f t="shared" si="418"/>
        <v>0</v>
      </c>
      <c r="BV1349" s="299">
        <f t="shared" si="419"/>
        <v>1</v>
      </c>
      <c r="BW1349" s="318">
        <v>0</v>
      </c>
      <c r="BX1349" s="297">
        <f t="shared" si="420"/>
        <v>0.43</v>
      </c>
      <c r="BY1349">
        <f t="shared" si="421"/>
        <v>0</v>
      </c>
      <c r="BZ1349" s="303">
        <f t="shared" si="422"/>
        <v>0</v>
      </c>
      <c r="CB1349" s="298">
        <v>0.6</v>
      </c>
      <c r="CC1349" s="298">
        <v>0.4</v>
      </c>
      <c r="CD1349">
        <f t="shared" si="423"/>
        <v>0</v>
      </c>
      <c r="CE1349">
        <f t="shared" si="424"/>
        <v>0</v>
      </c>
      <c r="CF1349">
        <f t="shared" si="425"/>
        <v>0</v>
      </c>
      <c r="CG1349">
        <f t="shared" si="426"/>
        <v>0</v>
      </c>
      <c r="CH1349">
        <f t="shared" si="427"/>
        <v>0</v>
      </c>
      <c r="CI1349">
        <f t="shared" si="428"/>
        <v>0</v>
      </c>
      <c r="CJ1349">
        <f t="shared" si="429"/>
        <v>0</v>
      </c>
      <c r="CK1349">
        <f t="shared" si="430"/>
        <v>0</v>
      </c>
      <c r="CL1349">
        <f t="shared" si="431"/>
        <v>0</v>
      </c>
      <c r="CM1349">
        <f t="shared" ref="CM1349:CM1412" si="433">+CJ1349+CK1349+CL1349</f>
        <v>0</v>
      </c>
      <c r="CN1349">
        <f t="shared" si="432"/>
        <v>0</v>
      </c>
      <c r="CO1349">
        <f t="shared" si="416"/>
        <v>0</v>
      </c>
    </row>
    <row r="1350" spans="1:93" hidden="1" x14ac:dyDescent="0.25">
      <c r="A1350" s="4">
        <v>2021</v>
      </c>
      <c r="B1350" s="315">
        <v>44320</v>
      </c>
      <c r="C1350" s="4" t="s">
        <v>1522</v>
      </c>
      <c r="D1350" s="4" t="s">
        <v>1523</v>
      </c>
      <c r="F1350" s="4" t="s">
        <v>1524</v>
      </c>
      <c r="G1350" s="5" t="s">
        <v>1512</v>
      </c>
      <c r="H1350" s="5" t="s">
        <v>1525</v>
      </c>
      <c r="I1350" s="5" t="s">
        <v>18</v>
      </c>
      <c r="J1350" s="5" t="s">
        <v>9</v>
      </c>
      <c r="K1350" s="5">
        <v>15.5</v>
      </c>
      <c r="L1350" s="5" t="s">
        <v>1526</v>
      </c>
      <c r="M1350" s="5">
        <v>1100</v>
      </c>
      <c r="N1350" s="5" t="s">
        <v>170</v>
      </c>
      <c r="O1350" s="6" t="s">
        <v>81</v>
      </c>
      <c r="P1350" s="6" t="s">
        <v>1528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+VLOOKUP(G1350,Liste!$A$7:$G$69,3,FALSE)</f>
        <v>Pin d'Alep</v>
      </c>
      <c r="BI1350" s="96" t="str">
        <f>+VLOOKUP(H1350,Liste!$B$7:$G$69,5,FALSE)</f>
        <v>Pin d'Alep</v>
      </c>
      <c r="BJ1350" s="135">
        <f t="shared" si="415"/>
        <v>57</v>
      </c>
      <c r="BK1350" s="135" t="str">
        <f t="shared" si="417"/>
        <v>Pin d'Alep_F1_Classique_Pin d'Alep_57_</v>
      </c>
      <c r="BL1350" s="319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97" t="str">
        <f>+VLOOKUP(G1350,Liste!$A$7:$H$69,8,FALSE)</f>
        <v>Résineux</v>
      </c>
      <c r="BU1350" s="297">
        <f t="shared" si="418"/>
        <v>0</v>
      </c>
      <c r="BV1350" s="299">
        <f t="shared" si="419"/>
        <v>1</v>
      </c>
      <c r="BW1350" s="318">
        <v>0</v>
      </c>
      <c r="BX1350" s="297">
        <f t="shared" si="420"/>
        <v>0.43</v>
      </c>
      <c r="BY1350">
        <f t="shared" si="421"/>
        <v>0</v>
      </c>
      <c r="BZ1350" s="303">
        <f t="shared" si="422"/>
        <v>0</v>
      </c>
      <c r="CB1350" s="298">
        <v>0.6</v>
      </c>
      <c r="CC1350" s="298">
        <v>0.4</v>
      </c>
      <c r="CD1350">
        <f t="shared" si="423"/>
        <v>0</v>
      </c>
      <c r="CE1350">
        <f t="shared" si="424"/>
        <v>0</v>
      </c>
      <c r="CF1350">
        <f t="shared" si="425"/>
        <v>0</v>
      </c>
      <c r="CG1350">
        <f t="shared" si="426"/>
        <v>0</v>
      </c>
      <c r="CH1350">
        <f t="shared" si="427"/>
        <v>0</v>
      </c>
      <c r="CI1350">
        <f t="shared" si="428"/>
        <v>0</v>
      </c>
      <c r="CJ1350">
        <f t="shared" si="429"/>
        <v>0</v>
      </c>
      <c r="CK1350">
        <f t="shared" si="430"/>
        <v>0</v>
      </c>
      <c r="CL1350">
        <f t="shared" si="431"/>
        <v>0</v>
      </c>
      <c r="CM1350">
        <f t="shared" si="433"/>
        <v>0</v>
      </c>
      <c r="CN1350">
        <f t="shared" si="432"/>
        <v>0</v>
      </c>
      <c r="CO1350">
        <f t="shared" si="416"/>
        <v>0</v>
      </c>
    </row>
    <row r="1351" spans="1:93" hidden="1" x14ac:dyDescent="0.25">
      <c r="A1351" s="4">
        <v>2021</v>
      </c>
      <c r="B1351" s="315">
        <v>44320</v>
      </c>
      <c r="C1351" s="4" t="s">
        <v>1522</v>
      </c>
      <c r="D1351" s="4" t="s">
        <v>1523</v>
      </c>
      <c r="F1351" s="4" t="s">
        <v>1524</v>
      </c>
      <c r="G1351" s="5" t="s">
        <v>1512</v>
      </c>
      <c r="H1351" s="5" t="s">
        <v>1525</v>
      </c>
      <c r="I1351" s="5" t="s">
        <v>18</v>
      </c>
      <c r="J1351" s="5" t="s">
        <v>9</v>
      </c>
      <c r="K1351" s="5">
        <v>15.5</v>
      </c>
      <c r="L1351" s="5" t="s">
        <v>1526</v>
      </c>
      <c r="M1351" s="5">
        <v>1100</v>
      </c>
      <c r="N1351" s="5" t="s">
        <v>170</v>
      </c>
      <c r="O1351" s="6" t="s">
        <v>81</v>
      </c>
      <c r="P1351" s="6" t="s">
        <v>1528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+VLOOKUP(G1351,Liste!$A$7:$G$69,3,FALSE)</f>
        <v>Pin d'Alep</v>
      </c>
      <c r="BI1351" s="96" t="str">
        <f>+VLOOKUP(H1351,Liste!$B$7:$G$69,5,FALSE)</f>
        <v>Pin d'Alep</v>
      </c>
      <c r="BJ1351" s="135">
        <f t="shared" si="415"/>
        <v>58</v>
      </c>
      <c r="BK1351" s="135" t="str">
        <f t="shared" si="417"/>
        <v>Pin d'Alep_F1_Classique_Pin d'Alep_58_</v>
      </c>
      <c r="BL1351" s="319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97" t="str">
        <f>+VLOOKUP(G1351,Liste!$A$7:$H$69,8,FALSE)</f>
        <v>Résineux</v>
      </c>
      <c r="BU1351" s="297">
        <f t="shared" si="418"/>
        <v>0</v>
      </c>
      <c r="BV1351" s="299">
        <f t="shared" si="419"/>
        <v>1</v>
      </c>
      <c r="BW1351" s="318">
        <v>0</v>
      </c>
      <c r="BX1351" s="297">
        <f t="shared" si="420"/>
        <v>0.43</v>
      </c>
      <c r="BY1351">
        <f t="shared" si="421"/>
        <v>0</v>
      </c>
      <c r="BZ1351" s="303">
        <f t="shared" si="422"/>
        <v>0</v>
      </c>
      <c r="CB1351" s="298">
        <v>0.6</v>
      </c>
      <c r="CC1351" s="298">
        <v>0.4</v>
      </c>
      <c r="CD1351">
        <f t="shared" si="423"/>
        <v>0</v>
      </c>
      <c r="CE1351">
        <f t="shared" si="424"/>
        <v>0</v>
      </c>
      <c r="CF1351">
        <f t="shared" si="425"/>
        <v>0</v>
      </c>
      <c r="CG1351">
        <f t="shared" si="426"/>
        <v>0</v>
      </c>
      <c r="CH1351">
        <f t="shared" si="427"/>
        <v>0</v>
      </c>
      <c r="CI1351">
        <f t="shared" si="428"/>
        <v>0</v>
      </c>
      <c r="CJ1351">
        <f t="shared" si="429"/>
        <v>0</v>
      </c>
      <c r="CK1351">
        <f t="shared" si="430"/>
        <v>0</v>
      </c>
      <c r="CL1351">
        <f t="shared" si="431"/>
        <v>0</v>
      </c>
      <c r="CM1351">
        <f t="shared" si="433"/>
        <v>0</v>
      </c>
      <c r="CN1351">
        <f t="shared" si="432"/>
        <v>0</v>
      </c>
      <c r="CO1351">
        <f t="shared" si="416"/>
        <v>0</v>
      </c>
    </row>
    <row r="1352" spans="1:93" hidden="1" x14ac:dyDescent="0.25">
      <c r="A1352" s="4">
        <v>2021</v>
      </c>
      <c r="B1352" s="315">
        <v>44320</v>
      </c>
      <c r="C1352" s="4" t="s">
        <v>1522</v>
      </c>
      <c r="D1352" s="4" t="s">
        <v>1523</v>
      </c>
      <c r="F1352" s="4" t="s">
        <v>1524</v>
      </c>
      <c r="G1352" s="5" t="s">
        <v>1512</v>
      </c>
      <c r="H1352" s="5" t="s">
        <v>1525</v>
      </c>
      <c r="I1352" s="5" t="s">
        <v>18</v>
      </c>
      <c r="J1352" s="5" t="s">
        <v>9</v>
      </c>
      <c r="K1352" s="5">
        <v>15.5</v>
      </c>
      <c r="L1352" s="5" t="s">
        <v>1526</v>
      </c>
      <c r="M1352" s="5">
        <v>1100</v>
      </c>
      <c r="N1352" s="5" t="s">
        <v>170</v>
      </c>
      <c r="O1352" s="6" t="s">
        <v>81</v>
      </c>
      <c r="P1352" s="6" t="s">
        <v>1528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+VLOOKUP(G1352,Liste!$A$7:$G$69,3,FALSE)</f>
        <v>Pin d'Alep</v>
      </c>
      <c r="BI1352" s="96" t="str">
        <f>+VLOOKUP(H1352,Liste!$B$7:$G$69,5,FALSE)</f>
        <v>Pin d'Alep</v>
      </c>
      <c r="BJ1352" s="135">
        <f t="shared" si="415"/>
        <v>59</v>
      </c>
      <c r="BK1352" s="135" t="str">
        <f t="shared" si="417"/>
        <v>Pin d'Alep_F1_Classique_Pin d'Alep_59_</v>
      </c>
      <c r="BL1352" s="319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97" t="str">
        <f>+VLOOKUP(G1352,Liste!$A$7:$H$69,8,FALSE)</f>
        <v>Résineux</v>
      </c>
      <c r="BU1352" s="297">
        <f t="shared" si="418"/>
        <v>0</v>
      </c>
      <c r="BV1352" s="299">
        <f t="shared" si="419"/>
        <v>1</v>
      </c>
      <c r="BW1352" s="318">
        <v>0</v>
      </c>
      <c r="BX1352" s="297">
        <f t="shared" si="420"/>
        <v>0.43</v>
      </c>
      <c r="BY1352">
        <f t="shared" si="421"/>
        <v>0</v>
      </c>
      <c r="BZ1352" s="303">
        <f t="shared" si="422"/>
        <v>0</v>
      </c>
      <c r="CB1352" s="298">
        <v>0.6</v>
      </c>
      <c r="CC1352" s="298">
        <v>0.4</v>
      </c>
      <c r="CD1352">
        <f t="shared" si="423"/>
        <v>0</v>
      </c>
      <c r="CE1352">
        <f t="shared" si="424"/>
        <v>0</v>
      </c>
      <c r="CF1352">
        <f t="shared" si="425"/>
        <v>0</v>
      </c>
      <c r="CG1352">
        <f t="shared" si="426"/>
        <v>0</v>
      </c>
      <c r="CH1352">
        <f t="shared" si="427"/>
        <v>0</v>
      </c>
      <c r="CI1352">
        <f t="shared" si="428"/>
        <v>0</v>
      </c>
      <c r="CJ1352">
        <f t="shared" si="429"/>
        <v>0</v>
      </c>
      <c r="CK1352">
        <f t="shared" si="430"/>
        <v>0</v>
      </c>
      <c r="CL1352">
        <f t="shared" si="431"/>
        <v>0</v>
      </c>
      <c r="CM1352">
        <f t="shared" si="433"/>
        <v>0</v>
      </c>
      <c r="CN1352">
        <f t="shared" si="432"/>
        <v>0</v>
      </c>
      <c r="CO1352">
        <f t="shared" si="416"/>
        <v>0</v>
      </c>
    </row>
    <row r="1353" spans="1:93" hidden="1" x14ac:dyDescent="0.25">
      <c r="A1353" s="4">
        <v>2021</v>
      </c>
      <c r="B1353" s="315">
        <v>44320</v>
      </c>
      <c r="C1353" s="4" t="s">
        <v>1522</v>
      </c>
      <c r="D1353" s="4" t="s">
        <v>1523</v>
      </c>
      <c r="F1353" s="4" t="s">
        <v>1524</v>
      </c>
      <c r="G1353" s="5" t="s">
        <v>1512</v>
      </c>
      <c r="H1353" s="5" t="s">
        <v>1525</v>
      </c>
      <c r="I1353" s="5" t="s">
        <v>18</v>
      </c>
      <c r="J1353" s="5" t="s">
        <v>9</v>
      </c>
      <c r="K1353" s="5">
        <v>15.5</v>
      </c>
      <c r="L1353" s="5" t="s">
        <v>1526</v>
      </c>
      <c r="M1353" s="5">
        <v>1100</v>
      </c>
      <c r="N1353" s="5" t="s">
        <v>170</v>
      </c>
      <c r="O1353" s="6" t="s">
        <v>81</v>
      </c>
      <c r="P1353" s="6" t="s">
        <v>1528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+VLOOKUP(G1353,Liste!$A$7:$G$69,3,FALSE)</f>
        <v>Pin d'Alep</v>
      </c>
      <c r="BI1353" s="96" t="str">
        <f>+VLOOKUP(H1353,Liste!$B$7:$G$69,5,FALSE)</f>
        <v>Pin d'Alep</v>
      </c>
      <c r="BJ1353" s="135">
        <f t="shared" si="415"/>
        <v>60</v>
      </c>
      <c r="BK1353" s="135" t="str">
        <f t="shared" si="417"/>
        <v>Pin d'Alep_F1_Classique_Pin d'Alep_60_</v>
      </c>
      <c r="BL1353" s="319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97" t="str">
        <f>+VLOOKUP(G1353,Liste!$A$7:$H$69,8,FALSE)</f>
        <v>Résineux</v>
      </c>
      <c r="BU1353" s="297">
        <f t="shared" si="418"/>
        <v>0</v>
      </c>
      <c r="BV1353" s="299">
        <f t="shared" si="419"/>
        <v>1</v>
      </c>
      <c r="BW1353" s="318">
        <v>0</v>
      </c>
      <c r="BX1353" s="297">
        <f t="shared" si="420"/>
        <v>0.43</v>
      </c>
      <c r="BY1353">
        <f t="shared" si="421"/>
        <v>0</v>
      </c>
      <c r="BZ1353" s="303">
        <f t="shared" si="422"/>
        <v>0</v>
      </c>
      <c r="CB1353" s="298">
        <v>0.6</v>
      </c>
      <c r="CC1353" s="298">
        <v>0.4</v>
      </c>
      <c r="CD1353">
        <f t="shared" si="423"/>
        <v>0</v>
      </c>
      <c r="CE1353">
        <f t="shared" si="424"/>
        <v>0</v>
      </c>
      <c r="CF1353">
        <f t="shared" si="425"/>
        <v>0</v>
      </c>
      <c r="CG1353">
        <f t="shared" si="426"/>
        <v>0</v>
      </c>
      <c r="CH1353">
        <f t="shared" si="427"/>
        <v>0</v>
      </c>
      <c r="CI1353">
        <f t="shared" si="428"/>
        <v>0</v>
      </c>
      <c r="CJ1353">
        <f t="shared" si="429"/>
        <v>0</v>
      </c>
      <c r="CK1353">
        <f t="shared" si="430"/>
        <v>0</v>
      </c>
      <c r="CL1353">
        <f t="shared" si="431"/>
        <v>0</v>
      </c>
      <c r="CM1353">
        <f t="shared" si="433"/>
        <v>0</v>
      </c>
      <c r="CN1353">
        <f t="shared" si="432"/>
        <v>0</v>
      </c>
      <c r="CO1353">
        <f t="shared" si="416"/>
        <v>0</v>
      </c>
    </row>
    <row r="1354" spans="1:93" hidden="1" x14ac:dyDescent="0.25">
      <c r="A1354" s="4">
        <v>2021</v>
      </c>
      <c r="B1354" s="315">
        <v>44320</v>
      </c>
      <c r="C1354" s="4" t="s">
        <v>1522</v>
      </c>
      <c r="D1354" s="4" t="s">
        <v>1523</v>
      </c>
      <c r="F1354" s="4" t="s">
        <v>1524</v>
      </c>
      <c r="G1354" s="5" t="s">
        <v>1512</v>
      </c>
      <c r="H1354" s="5" t="s">
        <v>1525</v>
      </c>
      <c r="I1354" s="5" t="s">
        <v>18</v>
      </c>
      <c r="J1354" s="5" t="s">
        <v>9</v>
      </c>
      <c r="K1354" s="5">
        <v>15.5</v>
      </c>
      <c r="L1354" s="5" t="s">
        <v>1526</v>
      </c>
      <c r="M1354" s="5">
        <v>1100</v>
      </c>
      <c r="N1354" s="5" t="s">
        <v>170</v>
      </c>
      <c r="O1354" s="6" t="s">
        <v>81</v>
      </c>
      <c r="P1354" s="6" t="s">
        <v>1528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+VLOOKUP(G1354,Liste!$A$7:$G$69,3,FALSE)</f>
        <v>Pin d'Alep</v>
      </c>
      <c r="BI1354" s="96" t="str">
        <f>+VLOOKUP(H1354,Liste!$B$7:$G$69,5,FALSE)</f>
        <v>Pin d'Alep</v>
      </c>
      <c r="BJ1354" s="135">
        <f t="shared" si="415"/>
        <v>61</v>
      </c>
      <c r="BK1354" s="135" t="str">
        <f t="shared" si="417"/>
        <v>Pin d'Alep_F1_Classique_Pin d'Alep_61_</v>
      </c>
      <c r="BL1354" s="319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97" t="str">
        <f>+VLOOKUP(G1354,Liste!$A$7:$H$69,8,FALSE)</f>
        <v>Résineux</v>
      </c>
      <c r="BU1354" s="297">
        <f t="shared" si="418"/>
        <v>0</v>
      </c>
      <c r="BV1354" s="299">
        <f t="shared" si="419"/>
        <v>1</v>
      </c>
      <c r="BW1354" s="318">
        <v>0</v>
      </c>
      <c r="BX1354" s="297">
        <f t="shared" si="420"/>
        <v>0.43</v>
      </c>
      <c r="BY1354">
        <f t="shared" si="421"/>
        <v>0</v>
      </c>
      <c r="BZ1354" s="303">
        <f t="shared" si="422"/>
        <v>0</v>
      </c>
      <c r="CB1354" s="298">
        <v>0.6</v>
      </c>
      <c r="CC1354" s="298">
        <v>0.4</v>
      </c>
      <c r="CD1354">
        <f t="shared" si="423"/>
        <v>0</v>
      </c>
      <c r="CE1354">
        <f t="shared" si="424"/>
        <v>0</v>
      </c>
      <c r="CF1354">
        <f t="shared" si="425"/>
        <v>0</v>
      </c>
      <c r="CG1354">
        <f t="shared" si="426"/>
        <v>0</v>
      </c>
      <c r="CH1354">
        <f t="shared" si="427"/>
        <v>0</v>
      </c>
      <c r="CI1354">
        <f t="shared" si="428"/>
        <v>0</v>
      </c>
      <c r="CJ1354">
        <f t="shared" si="429"/>
        <v>0</v>
      </c>
      <c r="CK1354">
        <f t="shared" si="430"/>
        <v>0</v>
      </c>
      <c r="CL1354">
        <f t="shared" si="431"/>
        <v>0</v>
      </c>
      <c r="CM1354">
        <f t="shared" si="433"/>
        <v>0</v>
      </c>
      <c r="CN1354">
        <f t="shared" si="432"/>
        <v>0</v>
      </c>
      <c r="CO1354">
        <f t="shared" si="416"/>
        <v>0</v>
      </c>
    </row>
    <row r="1355" spans="1:93" hidden="1" x14ac:dyDescent="0.25">
      <c r="A1355" s="4">
        <v>2021</v>
      </c>
      <c r="B1355" s="315">
        <v>44320</v>
      </c>
      <c r="C1355" s="4" t="s">
        <v>1522</v>
      </c>
      <c r="D1355" s="4" t="s">
        <v>1523</v>
      </c>
      <c r="F1355" s="4" t="s">
        <v>1524</v>
      </c>
      <c r="G1355" s="5" t="s">
        <v>1512</v>
      </c>
      <c r="H1355" s="5" t="s">
        <v>1525</v>
      </c>
      <c r="I1355" s="5" t="s">
        <v>18</v>
      </c>
      <c r="J1355" s="5" t="s">
        <v>9</v>
      </c>
      <c r="K1355" s="5">
        <v>15.5</v>
      </c>
      <c r="L1355" s="5" t="s">
        <v>1526</v>
      </c>
      <c r="M1355" s="5">
        <v>1100</v>
      </c>
      <c r="N1355" s="5" t="s">
        <v>170</v>
      </c>
      <c r="O1355" s="6" t="s">
        <v>81</v>
      </c>
      <c r="P1355" s="6" t="s">
        <v>1528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+VLOOKUP(G1355,Liste!$A$7:$G$69,3,FALSE)</f>
        <v>Pin d'Alep</v>
      </c>
      <c r="BI1355" s="96" t="str">
        <f>+VLOOKUP(H1355,Liste!$B$7:$G$69,5,FALSE)</f>
        <v>Pin d'Alep</v>
      </c>
      <c r="BJ1355" s="135">
        <f t="shared" si="415"/>
        <v>62</v>
      </c>
      <c r="BK1355" s="135" t="str">
        <f t="shared" si="417"/>
        <v>Pin d'Alep_F1_Classique_Pin d'Alep_62_</v>
      </c>
      <c r="BL1355" s="319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97" t="str">
        <f>+VLOOKUP(G1355,Liste!$A$7:$H$69,8,FALSE)</f>
        <v>Résineux</v>
      </c>
      <c r="BU1355" s="297">
        <f t="shared" si="418"/>
        <v>0</v>
      </c>
      <c r="BV1355" s="299">
        <f t="shared" si="419"/>
        <v>1</v>
      </c>
      <c r="BW1355" s="318">
        <v>0</v>
      </c>
      <c r="BX1355" s="297">
        <f t="shared" si="420"/>
        <v>0.43</v>
      </c>
      <c r="BY1355">
        <f t="shared" si="421"/>
        <v>0</v>
      </c>
      <c r="BZ1355" s="303">
        <f t="shared" si="422"/>
        <v>0</v>
      </c>
      <c r="CB1355" s="298">
        <v>0.6</v>
      </c>
      <c r="CC1355" s="298">
        <v>0.4</v>
      </c>
      <c r="CD1355">
        <f t="shared" si="423"/>
        <v>0</v>
      </c>
      <c r="CE1355">
        <f t="shared" si="424"/>
        <v>0</v>
      </c>
      <c r="CF1355">
        <f t="shared" si="425"/>
        <v>0</v>
      </c>
      <c r="CG1355">
        <f t="shared" si="426"/>
        <v>0</v>
      </c>
      <c r="CH1355">
        <f t="shared" si="427"/>
        <v>0</v>
      </c>
      <c r="CI1355">
        <f t="shared" si="428"/>
        <v>0</v>
      </c>
      <c r="CJ1355">
        <f t="shared" si="429"/>
        <v>0</v>
      </c>
      <c r="CK1355">
        <f t="shared" si="430"/>
        <v>0</v>
      </c>
      <c r="CL1355">
        <f t="shared" si="431"/>
        <v>0</v>
      </c>
      <c r="CM1355">
        <f t="shared" si="433"/>
        <v>0</v>
      </c>
      <c r="CN1355">
        <f t="shared" si="432"/>
        <v>0</v>
      </c>
      <c r="CO1355">
        <f t="shared" si="416"/>
        <v>0</v>
      </c>
    </row>
    <row r="1356" spans="1:93" hidden="1" x14ac:dyDescent="0.25">
      <c r="A1356" s="4">
        <v>2021</v>
      </c>
      <c r="B1356" s="315">
        <v>44320</v>
      </c>
      <c r="C1356" s="4" t="s">
        <v>1522</v>
      </c>
      <c r="D1356" s="4" t="s">
        <v>1523</v>
      </c>
      <c r="F1356" s="4" t="s">
        <v>1524</v>
      </c>
      <c r="G1356" s="5" t="s">
        <v>1512</v>
      </c>
      <c r="H1356" s="5" t="s">
        <v>1525</v>
      </c>
      <c r="I1356" s="5" t="s">
        <v>18</v>
      </c>
      <c r="J1356" s="5" t="s">
        <v>9</v>
      </c>
      <c r="K1356" s="5">
        <v>15.5</v>
      </c>
      <c r="L1356" s="5" t="s">
        <v>1526</v>
      </c>
      <c r="M1356" s="5">
        <v>1100</v>
      </c>
      <c r="N1356" s="5" t="s">
        <v>170</v>
      </c>
      <c r="O1356" s="6" t="s">
        <v>81</v>
      </c>
      <c r="P1356" s="6" t="s">
        <v>1528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+VLOOKUP(G1356,Liste!$A$7:$G$69,3,FALSE)</f>
        <v>Pin d'Alep</v>
      </c>
      <c r="BI1356" s="96" t="str">
        <f>+VLOOKUP(H1356,Liste!$B$7:$G$69,5,FALSE)</f>
        <v>Pin d'Alep</v>
      </c>
      <c r="BJ1356" s="135">
        <f t="shared" si="415"/>
        <v>63</v>
      </c>
      <c r="BK1356" s="135" t="str">
        <f t="shared" si="417"/>
        <v>Pin d'Alep_F1_Classique_Pin d'Alep_63_</v>
      </c>
      <c r="BL1356" s="319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97" t="str">
        <f>+VLOOKUP(G1356,Liste!$A$7:$H$69,8,FALSE)</f>
        <v>Résineux</v>
      </c>
      <c r="BU1356" s="297">
        <f t="shared" si="418"/>
        <v>0</v>
      </c>
      <c r="BV1356" s="299">
        <f t="shared" si="419"/>
        <v>1</v>
      </c>
      <c r="BW1356" s="318">
        <v>0</v>
      </c>
      <c r="BX1356" s="297">
        <f t="shared" si="420"/>
        <v>0.43</v>
      </c>
      <c r="BY1356">
        <f t="shared" si="421"/>
        <v>0</v>
      </c>
      <c r="BZ1356" s="303">
        <f t="shared" si="422"/>
        <v>0</v>
      </c>
      <c r="CB1356" s="298">
        <v>0.6</v>
      </c>
      <c r="CC1356" s="298">
        <v>0.4</v>
      </c>
      <c r="CD1356">
        <f t="shared" si="423"/>
        <v>0</v>
      </c>
      <c r="CE1356">
        <f t="shared" si="424"/>
        <v>0</v>
      </c>
      <c r="CF1356">
        <f t="shared" si="425"/>
        <v>0</v>
      </c>
      <c r="CG1356">
        <f t="shared" si="426"/>
        <v>0</v>
      </c>
      <c r="CH1356">
        <f t="shared" si="427"/>
        <v>0</v>
      </c>
      <c r="CI1356">
        <f t="shared" si="428"/>
        <v>0</v>
      </c>
      <c r="CJ1356">
        <f t="shared" si="429"/>
        <v>0</v>
      </c>
      <c r="CK1356">
        <f t="shared" si="430"/>
        <v>0</v>
      </c>
      <c r="CL1356">
        <f t="shared" si="431"/>
        <v>0</v>
      </c>
      <c r="CM1356">
        <f t="shared" si="433"/>
        <v>0</v>
      </c>
      <c r="CN1356">
        <f t="shared" si="432"/>
        <v>0</v>
      </c>
      <c r="CO1356">
        <f t="shared" si="416"/>
        <v>0</v>
      </c>
    </row>
    <row r="1357" spans="1:93" hidden="1" x14ac:dyDescent="0.25">
      <c r="A1357" s="4">
        <v>2021</v>
      </c>
      <c r="B1357" s="315">
        <v>44320</v>
      </c>
      <c r="C1357" s="4" t="s">
        <v>1522</v>
      </c>
      <c r="D1357" s="4" t="s">
        <v>1523</v>
      </c>
      <c r="F1357" s="4" t="s">
        <v>1524</v>
      </c>
      <c r="G1357" s="5" t="s">
        <v>1512</v>
      </c>
      <c r="H1357" s="5" t="s">
        <v>1525</v>
      </c>
      <c r="I1357" s="5" t="s">
        <v>18</v>
      </c>
      <c r="J1357" s="5" t="s">
        <v>9</v>
      </c>
      <c r="K1357" s="5">
        <v>15.5</v>
      </c>
      <c r="L1357" s="5" t="s">
        <v>1526</v>
      </c>
      <c r="M1357" s="5">
        <v>1100</v>
      </c>
      <c r="N1357" s="5" t="s">
        <v>170</v>
      </c>
      <c r="O1357" s="6" t="s">
        <v>81</v>
      </c>
      <c r="P1357" s="6" t="s">
        <v>1528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+VLOOKUP(G1357,Liste!$A$7:$G$69,3,FALSE)</f>
        <v>Pin d'Alep</v>
      </c>
      <c r="BI1357" s="96" t="str">
        <f>+VLOOKUP(H1357,Liste!$B$7:$G$69,5,FALSE)</f>
        <v>Pin d'Alep</v>
      </c>
      <c r="BJ1357" s="135">
        <f t="shared" si="415"/>
        <v>64</v>
      </c>
      <c r="BK1357" s="135" t="str">
        <f t="shared" si="417"/>
        <v>Pin d'Alep_F1_Classique_Pin d'Alep_64_</v>
      </c>
      <c r="BL1357" s="319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97" t="str">
        <f>+VLOOKUP(G1357,Liste!$A$7:$H$69,8,FALSE)</f>
        <v>Résineux</v>
      </c>
      <c r="BU1357" s="297">
        <f t="shared" si="418"/>
        <v>0</v>
      </c>
      <c r="BV1357" s="299">
        <f t="shared" si="419"/>
        <v>1</v>
      </c>
      <c r="BW1357" s="318">
        <v>0</v>
      </c>
      <c r="BX1357" s="297">
        <f t="shared" si="420"/>
        <v>0.43</v>
      </c>
      <c r="BY1357">
        <f t="shared" si="421"/>
        <v>0</v>
      </c>
      <c r="BZ1357" s="303">
        <f t="shared" si="422"/>
        <v>0</v>
      </c>
      <c r="CB1357" s="298">
        <v>0.6</v>
      </c>
      <c r="CC1357" s="298">
        <v>0.4</v>
      </c>
      <c r="CD1357">
        <f t="shared" si="423"/>
        <v>0</v>
      </c>
      <c r="CE1357">
        <f t="shared" si="424"/>
        <v>0</v>
      </c>
      <c r="CF1357">
        <f t="shared" si="425"/>
        <v>0</v>
      </c>
      <c r="CG1357">
        <f t="shared" si="426"/>
        <v>0</v>
      </c>
      <c r="CH1357">
        <f t="shared" si="427"/>
        <v>0</v>
      </c>
      <c r="CI1357">
        <f t="shared" si="428"/>
        <v>0</v>
      </c>
      <c r="CJ1357">
        <f t="shared" si="429"/>
        <v>0</v>
      </c>
      <c r="CK1357">
        <f t="shared" si="430"/>
        <v>0</v>
      </c>
      <c r="CL1357">
        <f t="shared" si="431"/>
        <v>0</v>
      </c>
      <c r="CM1357">
        <f t="shared" si="433"/>
        <v>0</v>
      </c>
      <c r="CN1357">
        <f t="shared" si="432"/>
        <v>0</v>
      </c>
      <c r="CO1357">
        <f t="shared" si="416"/>
        <v>0</v>
      </c>
    </row>
    <row r="1358" spans="1:93" hidden="1" x14ac:dyDescent="0.25">
      <c r="A1358" s="4">
        <v>2021</v>
      </c>
      <c r="B1358" s="315">
        <v>44320</v>
      </c>
      <c r="C1358" s="4" t="s">
        <v>1522</v>
      </c>
      <c r="D1358" s="4" t="s">
        <v>1523</v>
      </c>
      <c r="F1358" s="4" t="s">
        <v>1524</v>
      </c>
      <c r="G1358" s="5" t="s">
        <v>1512</v>
      </c>
      <c r="H1358" s="5" t="s">
        <v>1525</v>
      </c>
      <c r="I1358" s="5" t="s">
        <v>18</v>
      </c>
      <c r="J1358" s="5" t="s">
        <v>9</v>
      </c>
      <c r="K1358" s="5">
        <v>15.5</v>
      </c>
      <c r="L1358" s="5" t="s">
        <v>1526</v>
      </c>
      <c r="M1358" s="5">
        <v>1100</v>
      </c>
      <c r="N1358" s="5" t="s">
        <v>170</v>
      </c>
      <c r="O1358" s="6" t="s">
        <v>81</v>
      </c>
      <c r="P1358" s="6" t="s">
        <v>1528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+VLOOKUP(G1358,Liste!$A$7:$G$69,3,FALSE)</f>
        <v>Pin d'Alep</v>
      </c>
      <c r="BI1358" s="96" t="str">
        <f>+VLOOKUP(H1358,Liste!$B$7:$G$69,5,FALSE)</f>
        <v>Pin d'Alep</v>
      </c>
      <c r="BJ1358" s="135">
        <f t="shared" si="415"/>
        <v>65</v>
      </c>
      <c r="BK1358" s="135" t="str">
        <f t="shared" si="417"/>
        <v>Pin d'Alep_F1_Classique_Pin d'Alep_65_</v>
      </c>
      <c r="BL1358" s="319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97" t="str">
        <f>+VLOOKUP(G1358,Liste!$A$7:$H$69,8,FALSE)</f>
        <v>Résineux</v>
      </c>
      <c r="BU1358" s="297">
        <f t="shared" si="418"/>
        <v>0</v>
      </c>
      <c r="BV1358" s="299">
        <f t="shared" si="419"/>
        <v>1</v>
      </c>
      <c r="BW1358" s="318">
        <v>0</v>
      </c>
      <c r="BX1358" s="297">
        <f t="shared" si="420"/>
        <v>0.43</v>
      </c>
      <c r="BY1358">
        <f t="shared" si="421"/>
        <v>0</v>
      </c>
      <c r="BZ1358" s="303">
        <f t="shared" si="422"/>
        <v>0</v>
      </c>
      <c r="CB1358" s="298">
        <v>0.6</v>
      </c>
      <c r="CC1358" s="298">
        <v>0.4</v>
      </c>
      <c r="CD1358">
        <f t="shared" si="423"/>
        <v>0</v>
      </c>
      <c r="CE1358">
        <f t="shared" si="424"/>
        <v>0</v>
      </c>
      <c r="CF1358">
        <f t="shared" si="425"/>
        <v>0</v>
      </c>
      <c r="CG1358">
        <f t="shared" si="426"/>
        <v>0</v>
      </c>
      <c r="CH1358">
        <f t="shared" si="427"/>
        <v>0</v>
      </c>
      <c r="CI1358">
        <f t="shared" si="428"/>
        <v>0</v>
      </c>
      <c r="CJ1358">
        <f t="shared" si="429"/>
        <v>0</v>
      </c>
      <c r="CK1358">
        <f t="shared" si="430"/>
        <v>0</v>
      </c>
      <c r="CL1358">
        <f t="shared" si="431"/>
        <v>0</v>
      </c>
      <c r="CM1358">
        <f t="shared" si="433"/>
        <v>0</v>
      </c>
      <c r="CN1358">
        <f t="shared" si="432"/>
        <v>0</v>
      </c>
      <c r="CO1358">
        <f t="shared" si="416"/>
        <v>0</v>
      </c>
    </row>
    <row r="1359" spans="1:93" hidden="1" x14ac:dyDescent="0.25">
      <c r="A1359" s="4">
        <v>2021</v>
      </c>
      <c r="B1359" s="315">
        <v>44320</v>
      </c>
      <c r="C1359" s="4" t="s">
        <v>1522</v>
      </c>
      <c r="D1359" s="4" t="s">
        <v>1523</v>
      </c>
      <c r="F1359" s="4" t="s">
        <v>1524</v>
      </c>
      <c r="G1359" s="5" t="s">
        <v>1512</v>
      </c>
      <c r="H1359" s="5" t="s">
        <v>1525</v>
      </c>
      <c r="I1359" s="5" t="s">
        <v>18</v>
      </c>
      <c r="J1359" s="5" t="s">
        <v>9</v>
      </c>
      <c r="K1359" s="5">
        <v>15.5</v>
      </c>
      <c r="L1359" s="5" t="s">
        <v>1526</v>
      </c>
      <c r="M1359" s="5">
        <v>1100</v>
      </c>
      <c r="N1359" s="5" t="s">
        <v>170</v>
      </c>
      <c r="O1359" s="6" t="s">
        <v>81</v>
      </c>
      <c r="P1359" s="6" t="s">
        <v>1528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+VLOOKUP(G1359,Liste!$A$7:$G$69,3,FALSE)</f>
        <v>Pin d'Alep</v>
      </c>
      <c r="BI1359" s="96" t="str">
        <f>+VLOOKUP(H1359,Liste!$B$7:$G$69,5,FALSE)</f>
        <v>Pin d'Alep</v>
      </c>
      <c r="BJ1359" s="135">
        <f t="shared" si="415"/>
        <v>66</v>
      </c>
      <c r="BK1359" s="135" t="str">
        <f t="shared" si="417"/>
        <v>Pin d'Alep_F1_Classique_Pin d'Alep_66_</v>
      </c>
      <c r="BL1359" s="319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97" t="str">
        <f>+VLOOKUP(G1359,Liste!$A$7:$H$69,8,FALSE)</f>
        <v>Résineux</v>
      </c>
      <c r="BU1359" s="297">
        <f t="shared" si="418"/>
        <v>0</v>
      </c>
      <c r="BV1359" s="299">
        <f t="shared" si="419"/>
        <v>1</v>
      </c>
      <c r="BW1359" s="318">
        <v>0</v>
      </c>
      <c r="BX1359" s="297">
        <f t="shared" si="420"/>
        <v>0.43</v>
      </c>
      <c r="BY1359">
        <f t="shared" si="421"/>
        <v>0</v>
      </c>
      <c r="BZ1359" s="303">
        <f t="shared" si="422"/>
        <v>0</v>
      </c>
      <c r="CB1359" s="298">
        <v>0.6</v>
      </c>
      <c r="CC1359" s="298">
        <v>0.4</v>
      </c>
      <c r="CD1359">
        <f t="shared" si="423"/>
        <v>0</v>
      </c>
      <c r="CE1359">
        <f t="shared" si="424"/>
        <v>0</v>
      </c>
      <c r="CF1359">
        <f t="shared" si="425"/>
        <v>0</v>
      </c>
      <c r="CG1359">
        <f t="shared" si="426"/>
        <v>0</v>
      </c>
      <c r="CH1359">
        <f t="shared" si="427"/>
        <v>0</v>
      </c>
      <c r="CI1359">
        <f t="shared" si="428"/>
        <v>0</v>
      </c>
      <c r="CJ1359">
        <f t="shared" si="429"/>
        <v>0</v>
      </c>
      <c r="CK1359">
        <f t="shared" si="430"/>
        <v>0</v>
      </c>
      <c r="CL1359">
        <f t="shared" si="431"/>
        <v>0</v>
      </c>
      <c r="CM1359">
        <f t="shared" si="433"/>
        <v>0</v>
      </c>
      <c r="CN1359">
        <f t="shared" si="432"/>
        <v>0</v>
      </c>
      <c r="CO1359">
        <f t="shared" si="416"/>
        <v>0</v>
      </c>
    </row>
    <row r="1360" spans="1:93" hidden="1" x14ac:dyDescent="0.25">
      <c r="A1360" s="4">
        <v>2021</v>
      </c>
      <c r="B1360" s="315">
        <v>44320</v>
      </c>
      <c r="C1360" s="4" t="s">
        <v>1522</v>
      </c>
      <c r="D1360" s="4" t="s">
        <v>1523</v>
      </c>
      <c r="F1360" s="4" t="s">
        <v>1524</v>
      </c>
      <c r="G1360" s="5" t="s">
        <v>1512</v>
      </c>
      <c r="H1360" s="5" t="s">
        <v>1525</v>
      </c>
      <c r="I1360" s="5" t="s">
        <v>18</v>
      </c>
      <c r="J1360" s="5" t="s">
        <v>9</v>
      </c>
      <c r="K1360" s="5">
        <v>15.5</v>
      </c>
      <c r="L1360" s="5" t="s">
        <v>1526</v>
      </c>
      <c r="M1360" s="5">
        <v>1100</v>
      </c>
      <c r="N1360" s="5" t="s">
        <v>170</v>
      </c>
      <c r="O1360" s="6" t="s">
        <v>81</v>
      </c>
      <c r="P1360" s="6" t="s">
        <v>1528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+VLOOKUP(G1360,Liste!$A$7:$G$69,3,FALSE)</f>
        <v>Pin d'Alep</v>
      </c>
      <c r="BI1360" s="96" t="str">
        <f>+VLOOKUP(H1360,Liste!$B$7:$G$69,5,FALSE)</f>
        <v>Pin d'Alep</v>
      </c>
      <c r="BJ1360" s="135">
        <f t="shared" si="415"/>
        <v>67</v>
      </c>
      <c r="BK1360" s="135" t="str">
        <f t="shared" si="417"/>
        <v>Pin d'Alep_F1_Classique_Pin d'Alep_67_</v>
      </c>
      <c r="BL1360" s="319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97" t="str">
        <f>+VLOOKUP(G1360,Liste!$A$7:$H$69,8,FALSE)</f>
        <v>Résineux</v>
      </c>
      <c r="BU1360" s="297">
        <f t="shared" si="418"/>
        <v>0</v>
      </c>
      <c r="BV1360" s="299">
        <f t="shared" si="419"/>
        <v>1</v>
      </c>
      <c r="BW1360" s="318">
        <v>0</v>
      </c>
      <c r="BX1360" s="297">
        <f t="shared" si="420"/>
        <v>0.43</v>
      </c>
      <c r="BY1360">
        <f t="shared" si="421"/>
        <v>0</v>
      </c>
      <c r="BZ1360" s="303">
        <f t="shared" si="422"/>
        <v>0</v>
      </c>
      <c r="CB1360" s="298">
        <v>0.6</v>
      </c>
      <c r="CC1360" s="298">
        <v>0.4</v>
      </c>
      <c r="CD1360">
        <f t="shared" si="423"/>
        <v>0</v>
      </c>
      <c r="CE1360">
        <f t="shared" si="424"/>
        <v>0</v>
      </c>
      <c r="CF1360">
        <f t="shared" si="425"/>
        <v>0</v>
      </c>
      <c r="CG1360">
        <f t="shared" si="426"/>
        <v>0</v>
      </c>
      <c r="CH1360">
        <f t="shared" si="427"/>
        <v>0</v>
      </c>
      <c r="CI1360">
        <f t="shared" si="428"/>
        <v>0</v>
      </c>
      <c r="CJ1360">
        <f t="shared" si="429"/>
        <v>0</v>
      </c>
      <c r="CK1360">
        <f t="shared" si="430"/>
        <v>0</v>
      </c>
      <c r="CL1360">
        <f t="shared" si="431"/>
        <v>0</v>
      </c>
      <c r="CM1360">
        <f t="shared" si="433"/>
        <v>0</v>
      </c>
      <c r="CN1360">
        <f t="shared" si="432"/>
        <v>0</v>
      </c>
      <c r="CO1360">
        <f t="shared" si="416"/>
        <v>0</v>
      </c>
    </row>
    <row r="1361" spans="1:93" hidden="1" x14ac:dyDescent="0.25">
      <c r="A1361" s="4">
        <v>2021</v>
      </c>
      <c r="B1361" s="315">
        <v>44320</v>
      </c>
      <c r="C1361" s="4" t="s">
        <v>1522</v>
      </c>
      <c r="D1361" s="4" t="s">
        <v>1523</v>
      </c>
      <c r="F1361" s="4" t="s">
        <v>1524</v>
      </c>
      <c r="G1361" s="5" t="s">
        <v>1512</v>
      </c>
      <c r="H1361" s="5" t="s">
        <v>1525</v>
      </c>
      <c r="I1361" s="5" t="s">
        <v>18</v>
      </c>
      <c r="J1361" s="5" t="s">
        <v>9</v>
      </c>
      <c r="K1361" s="5">
        <v>15.5</v>
      </c>
      <c r="L1361" s="5" t="s">
        <v>1526</v>
      </c>
      <c r="M1361" s="5">
        <v>1100</v>
      </c>
      <c r="N1361" s="5" t="s">
        <v>170</v>
      </c>
      <c r="O1361" s="6" t="s">
        <v>81</v>
      </c>
      <c r="P1361" s="6" t="s">
        <v>1528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+VLOOKUP(G1361,Liste!$A$7:$G$69,3,FALSE)</f>
        <v>Pin d'Alep</v>
      </c>
      <c r="BI1361" s="96" t="str">
        <f>+VLOOKUP(H1361,Liste!$B$7:$G$69,5,FALSE)</f>
        <v>Pin d'Alep</v>
      </c>
      <c r="BJ1361" s="135">
        <f t="shared" si="415"/>
        <v>68</v>
      </c>
      <c r="BK1361" s="135" t="str">
        <f t="shared" si="417"/>
        <v>Pin d'Alep_F1_Classique_Pin d'Alep_68_</v>
      </c>
      <c r="BL1361" s="319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97" t="str">
        <f>+VLOOKUP(G1361,Liste!$A$7:$H$69,8,FALSE)</f>
        <v>Résineux</v>
      </c>
      <c r="BU1361" s="297">
        <f t="shared" si="418"/>
        <v>0</v>
      </c>
      <c r="BV1361" s="299">
        <f t="shared" si="419"/>
        <v>1</v>
      </c>
      <c r="BW1361" s="318">
        <v>0</v>
      </c>
      <c r="BX1361" s="297">
        <f t="shared" si="420"/>
        <v>0.43</v>
      </c>
      <c r="BY1361">
        <f t="shared" si="421"/>
        <v>0</v>
      </c>
      <c r="BZ1361" s="303">
        <f t="shared" si="422"/>
        <v>0</v>
      </c>
      <c r="CB1361" s="298">
        <v>0.6</v>
      </c>
      <c r="CC1361" s="298">
        <v>0.4</v>
      </c>
      <c r="CD1361">
        <f t="shared" si="423"/>
        <v>0</v>
      </c>
      <c r="CE1361">
        <f t="shared" si="424"/>
        <v>0</v>
      </c>
      <c r="CF1361">
        <f t="shared" si="425"/>
        <v>0</v>
      </c>
      <c r="CG1361">
        <f t="shared" si="426"/>
        <v>0</v>
      </c>
      <c r="CH1361">
        <f t="shared" si="427"/>
        <v>0</v>
      </c>
      <c r="CI1361">
        <f t="shared" si="428"/>
        <v>0</v>
      </c>
      <c r="CJ1361">
        <f t="shared" si="429"/>
        <v>0</v>
      </c>
      <c r="CK1361">
        <f t="shared" si="430"/>
        <v>0</v>
      </c>
      <c r="CL1361">
        <f t="shared" si="431"/>
        <v>0</v>
      </c>
      <c r="CM1361">
        <f t="shared" si="433"/>
        <v>0</v>
      </c>
      <c r="CN1361">
        <f t="shared" si="432"/>
        <v>0</v>
      </c>
      <c r="CO1361">
        <f t="shared" si="416"/>
        <v>0</v>
      </c>
    </row>
    <row r="1362" spans="1:93" hidden="1" x14ac:dyDescent="0.25">
      <c r="A1362" s="4">
        <v>2021</v>
      </c>
      <c r="B1362" s="315">
        <v>44320</v>
      </c>
      <c r="C1362" s="4" t="s">
        <v>1522</v>
      </c>
      <c r="D1362" s="4" t="s">
        <v>1523</v>
      </c>
      <c r="F1362" s="4" t="s">
        <v>1524</v>
      </c>
      <c r="G1362" s="5" t="s">
        <v>1512</v>
      </c>
      <c r="H1362" s="5" t="s">
        <v>1525</v>
      </c>
      <c r="I1362" s="5" t="s">
        <v>18</v>
      </c>
      <c r="J1362" s="5" t="s">
        <v>9</v>
      </c>
      <c r="K1362" s="5">
        <v>15.5</v>
      </c>
      <c r="L1362" s="5" t="s">
        <v>1526</v>
      </c>
      <c r="M1362" s="5">
        <v>1100</v>
      </c>
      <c r="N1362" s="5" t="s">
        <v>170</v>
      </c>
      <c r="O1362" s="6" t="s">
        <v>81</v>
      </c>
      <c r="P1362" s="6" t="s">
        <v>1528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+VLOOKUP(G1362,Liste!$A$7:$G$69,3,FALSE)</f>
        <v>Pin d'Alep</v>
      </c>
      <c r="BI1362" s="96" t="str">
        <f>+VLOOKUP(H1362,Liste!$B$7:$G$69,5,FALSE)</f>
        <v>Pin d'Alep</v>
      </c>
      <c r="BJ1362" s="135">
        <f t="shared" si="415"/>
        <v>69</v>
      </c>
      <c r="BK1362" s="135" t="str">
        <f t="shared" si="417"/>
        <v>Pin d'Alep_F1_Classique_Pin d'Alep_69_</v>
      </c>
      <c r="BL1362" s="319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97" t="str">
        <f>+VLOOKUP(G1362,Liste!$A$7:$H$69,8,FALSE)</f>
        <v>Résineux</v>
      </c>
      <c r="BU1362" s="297">
        <f t="shared" si="418"/>
        <v>0</v>
      </c>
      <c r="BV1362" s="299">
        <f t="shared" si="419"/>
        <v>1</v>
      </c>
      <c r="BW1362" s="318">
        <v>0</v>
      </c>
      <c r="BX1362" s="297">
        <f t="shared" si="420"/>
        <v>0.43</v>
      </c>
      <c r="BY1362">
        <f t="shared" si="421"/>
        <v>0</v>
      </c>
      <c r="BZ1362" s="303">
        <f t="shared" si="422"/>
        <v>0</v>
      </c>
      <c r="CB1362" s="298">
        <v>0.6</v>
      </c>
      <c r="CC1362" s="298">
        <v>0.4</v>
      </c>
      <c r="CD1362">
        <f t="shared" si="423"/>
        <v>0</v>
      </c>
      <c r="CE1362">
        <f t="shared" si="424"/>
        <v>0</v>
      </c>
      <c r="CF1362">
        <f t="shared" si="425"/>
        <v>0</v>
      </c>
      <c r="CG1362">
        <f t="shared" si="426"/>
        <v>0</v>
      </c>
      <c r="CH1362">
        <f t="shared" si="427"/>
        <v>0</v>
      </c>
      <c r="CI1362">
        <f t="shared" si="428"/>
        <v>0</v>
      </c>
      <c r="CJ1362">
        <f t="shared" si="429"/>
        <v>0</v>
      </c>
      <c r="CK1362">
        <f t="shared" si="430"/>
        <v>0</v>
      </c>
      <c r="CL1362">
        <f t="shared" si="431"/>
        <v>0</v>
      </c>
      <c r="CM1362">
        <f t="shared" si="433"/>
        <v>0</v>
      </c>
      <c r="CN1362">
        <f t="shared" si="432"/>
        <v>0</v>
      </c>
      <c r="CO1362">
        <f t="shared" si="416"/>
        <v>0</v>
      </c>
    </row>
    <row r="1363" spans="1:93" hidden="1" x14ac:dyDescent="0.25">
      <c r="A1363" s="4">
        <v>2021</v>
      </c>
      <c r="B1363" s="315">
        <v>44320</v>
      </c>
      <c r="C1363" s="4" t="s">
        <v>1522</v>
      </c>
      <c r="D1363" s="4" t="s">
        <v>1523</v>
      </c>
      <c r="F1363" s="4" t="s">
        <v>1524</v>
      </c>
      <c r="G1363" s="5" t="s">
        <v>1512</v>
      </c>
      <c r="H1363" s="5" t="s">
        <v>1525</v>
      </c>
      <c r="I1363" s="5" t="s">
        <v>18</v>
      </c>
      <c r="J1363" s="5" t="s">
        <v>9</v>
      </c>
      <c r="K1363" s="5">
        <v>15.5</v>
      </c>
      <c r="L1363" s="5" t="s">
        <v>1526</v>
      </c>
      <c r="M1363" s="5">
        <v>1100</v>
      </c>
      <c r="N1363" s="5" t="s">
        <v>170</v>
      </c>
      <c r="O1363" s="6" t="s">
        <v>81</v>
      </c>
      <c r="P1363" s="6" t="s">
        <v>1528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+VLOOKUP(G1363,Liste!$A$7:$G$69,3,FALSE)</f>
        <v>Pin d'Alep</v>
      </c>
      <c r="BI1363" s="96" t="str">
        <f>+VLOOKUP(H1363,Liste!$B$7:$G$69,5,FALSE)</f>
        <v>Pin d'Alep</v>
      </c>
      <c r="BJ1363" s="135">
        <f t="shared" si="415"/>
        <v>70</v>
      </c>
      <c r="BK1363" s="135" t="str">
        <f t="shared" si="417"/>
        <v>Pin d'Alep_F1_Classique_Pin d'Alep_70_</v>
      </c>
      <c r="BL1363" s="319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97" t="str">
        <f>+VLOOKUP(G1363,Liste!$A$7:$H$69,8,FALSE)</f>
        <v>Résineux</v>
      </c>
      <c r="BU1363" s="297">
        <f t="shared" si="418"/>
        <v>0</v>
      </c>
      <c r="BV1363" s="299">
        <f t="shared" si="419"/>
        <v>1</v>
      </c>
      <c r="BW1363" s="318">
        <v>0</v>
      </c>
      <c r="BX1363" s="297">
        <f t="shared" si="420"/>
        <v>0.43</v>
      </c>
      <c r="BY1363">
        <f t="shared" si="421"/>
        <v>0</v>
      </c>
      <c r="BZ1363" s="303">
        <f t="shared" si="422"/>
        <v>0</v>
      </c>
      <c r="CB1363" s="298">
        <v>0.6</v>
      </c>
      <c r="CC1363" s="298">
        <v>0.4</v>
      </c>
      <c r="CD1363">
        <f t="shared" si="423"/>
        <v>0</v>
      </c>
      <c r="CE1363">
        <f t="shared" si="424"/>
        <v>0</v>
      </c>
      <c r="CF1363">
        <f t="shared" si="425"/>
        <v>0</v>
      </c>
      <c r="CG1363">
        <f t="shared" si="426"/>
        <v>0</v>
      </c>
      <c r="CH1363">
        <f t="shared" si="427"/>
        <v>0</v>
      </c>
      <c r="CI1363">
        <f t="shared" si="428"/>
        <v>0</v>
      </c>
      <c r="CJ1363">
        <f t="shared" si="429"/>
        <v>0</v>
      </c>
      <c r="CK1363">
        <f t="shared" si="430"/>
        <v>0</v>
      </c>
      <c r="CL1363">
        <f t="shared" si="431"/>
        <v>0</v>
      </c>
      <c r="CM1363">
        <f t="shared" si="433"/>
        <v>0</v>
      </c>
      <c r="CN1363">
        <f t="shared" si="432"/>
        <v>0</v>
      </c>
      <c r="CO1363">
        <f t="shared" si="416"/>
        <v>0</v>
      </c>
    </row>
    <row r="1364" spans="1:93" hidden="1" x14ac:dyDescent="0.25">
      <c r="A1364" s="4">
        <v>2021</v>
      </c>
      <c r="B1364" s="315">
        <v>44320</v>
      </c>
      <c r="C1364" s="4" t="s">
        <v>1522</v>
      </c>
      <c r="D1364" s="4" t="s">
        <v>1523</v>
      </c>
      <c r="F1364" s="4" t="s">
        <v>1524</v>
      </c>
      <c r="G1364" s="5" t="s">
        <v>1512</v>
      </c>
      <c r="H1364" s="5" t="s">
        <v>1525</v>
      </c>
      <c r="I1364" s="5" t="s">
        <v>18</v>
      </c>
      <c r="J1364" s="5" t="s">
        <v>9</v>
      </c>
      <c r="K1364" s="5">
        <v>15.5</v>
      </c>
      <c r="L1364" s="5" t="s">
        <v>1526</v>
      </c>
      <c r="M1364" s="5">
        <v>1100</v>
      </c>
      <c r="N1364" s="5" t="s">
        <v>170</v>
      </c>
      <c r="O1364" s="6" t="s">
        <v>81</v>
      </c>
      <c r="P1364" s="6" t="s">
        <v>1528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+VLOOKUP(G1364,Liste!$A$7:$G$69,3,FALSE)</f>
        <v>Pin d'Alep</v>
      </c>
      <c r="BI1364" s="96" t="str">
        <f>+VLOOKUP(H1364,Liste!$B$7:$G$69,5,FALSE)</f>
        <v>Pin d'Alep</v>
      </c>
      <c r="BJ1364" s="135">
        <f t="shared" si="415"/>
        <v>71</v>
      </c>
      <c r="BK1364" s="135" t="str">
        <f t="shared" si="417"/>
        <v>Pin d'Alep_F1_Classique_Pin d'Alep_71_</v>
      </c>
      <c r="BL1364" s="319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97" t="str">
        <f>+VLOOKUP(G1364,Liste!$A$7:$H$69,8,FALSE)</f>
        <v>Résineux</v>
      </c>
      <c r="BU1364" s="297">
        <f t="shared" si="418"/>
        <v>0</v>
      </c>
      <c r="BV1364" s="299">
        <f t="shared" si="419"/>
        <v>1</v>
      </c>
      <c r="BW1364" s="318">
        <v>0</v>
      </c>
      <c r="BX1364" s="297">
        <f t="shared" si="420"/>
        <v>0.43</v>
      </c>
      <c r="BY1364">
        <f t="shared" si="421"/>
        <v>0</v>
      </c>
      <c r="BZ1364" s="303">
        <f t="shared" si="422"/>
        <v>0</v>
      </c>
      <c r="CB1364" s="298">
        <v>0.6</v>
      </c>
      <c r="CC1364" s="298">
        <v>0.4</v>
      </c>
      <c r="CD1364">
        <f t="shared" si="423"/>
        <v>0</v>
      </c>
      <c r="CE1364">
        <f t="shared" si="424"/>
        <v>0</v>
      </c>
      <c r="CF1364">
        <f t="shared" si="425"/>
        <v>0</v>
      </c>
      <c r="CG1364">
        <f t="shared" si="426"/>
        <v>0</v>
      </c>
      <c r="CH1364">
        <f t="shared" si="427"/>
        <v>0</v>
      </c>
      <c r="CI1364">
        <f t="shared" si="428"/>
        <v>0</v>
      </c>
      <c r="CJ1364">
        <f t="shared" si="429"/>
        <v>0</v>
      </c>
      <c r="CK1364">
        <f t="shared" si="430"/>
        <v>0</v>
      </c>
      <c r="CL1364">
        <f t="shared" si="431"/>
        <v>0</v>
      </c>
      <c r="CM1364">
        <f t="shared" si="433"/>
        <v>0</v>
      </c>
      <c r="CN1364">
        <f t="shared" si="432"/>
        <v>0</v>
      </c>
      <c r="CO1364">
        <f t="shared" si="416"/>
        <v>0</v>
      </c>
    </row>
    <row r="1365" spans="1:93" hidden="1" x14ac:dyDescent="0.25">
      <c r="A1365" s="4">
        <v>2021</v>
      </c>
      <c r="B1365" s="315">
        <v>44320</v>
      </c>
      <c r="C1365" s="4" t="s">
        <v>1522</v>
      </c>
      <c r="D1365" s="4" t="s">
        <v>1523</v>
      </c>
      <c r="F1365" s="4" t="s">
        <v>1524</v>
      </c>
      <c r="G1365" s="5" t="s">
        <v>1512</v>
      </c>
      <c r="H1365" s="5" t="s">
        <v>1525</v>
      </c>
      <c r="I1365" s="5" t="s">
        <v>18</v>
      </c>
      <c r="J1365" s="5" t="s">
        <v>9</v>
      </c>
      <c r="K1365" s="5">
        <v>15.5</v>
      </c>
      <c r="L1365" s="5" t="s">
        <v>1526</v>
      </c>
      <c r="M1365" s="5">
        <v>1100</v>
      </c>
      <c r="N1365" s="5" t="s">
        <v>170</v>
      </c>
      <c r="O1365" s="6" t="s">
        <v>81</v>
      </c>
      <c r="P1365" s="6" t="s">
        <v>1528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+VLOOKUP(G1365,Liste!$A$7:$G$69,3,FALSE)</f>
        <v>Pin d'Alep</v>
      </c>
      <c r="BI1365" s="96" t="str">
        <f>+VLOOKUP(H1365,Liste!$B$7:$G$69,5,FALSE)</f>
        <v>Pin d'Alep</v>
      </c>
      <c r="BJ1365" s="135">
        <f t="shared" si="415"/>
        <v>72</v>
      </c>
      <c r="BK1365" s="135" t="str">
        <f t="shared" si="417"/>
        <v>Pin d'Alep_F1_Classique_Pin d'Alep_72_</v>
      </c>
      <c r="BL1365" s="319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97" t="str">
        <f>+VLOOKUP(G1365,Liste!$A$7:$H$69,8,FALSE)</f>
        <v>Résineux</v>
      </c>
      <c r="BU1365" s="297">
        <f t="shared" si="418"/>
        <v>0</v>
      </c>
      <c r="BV1365" s="299">
        <f t="shared" si="419"/>
        <v>1</v>
      </c>
      <c r="BW1365" s="318">
        <v>0</v>
      </c>
      <c r="BX1365" s="297">
        <f t="shared" si="420"/>
        <v>0.43</v>
      </c>
      <c r="BY1365">
        <f t="shared" si="421"/>
        <v>0</v>
      </c>
      <c r="BZ1365" s="303">
        <f t="shared" si="422"/>
        <v>0</v>
      </c>
      <c r="CB1365" s="298">
        <v>0.6</v>
      </c>
      <c r="CC1365" s="298">
        <v>0.4</v>
      </c>
      <c r="CD1365">
        <f t="shared" si="423"/>
        <v>0</v>
      </c>
      <c r="CE1365">
        <f t="shared" si="424"/>
        <v>0</v>
      </c>
      <c r="CF1365">
        <f t="shared" si="425"/>
        <v>0</v>
      </c>
      <c r="CG1365">
        <f t="shared" si="426"/>
        <v>0</v>
      </c>
      <c r="CH1365">
        <f t="shared" si="427"/>
        <v>0</v>
      </c>
      <c r="CI1365">
        <f t="shared" si="428"/>
        <v>0</v>
      </c>
      <c r="CJ1365">
        <f t="shared" si="429"/>
        <v>0</v>
      </c>
      <c r="CK1365">
        <f t="shared" si="430"/>
        <v>0</v>
      </c>
      <c r="CL1365">
        <f t="shared" si="431"/>
        <v>0</v>
      </c>
      <c r="CM1365">
        <f t="shared" si="433"/>
        <v>0</v>
      </c>
      <c r="CN1365">
        <f t="shared" si="432"/>
        <v>0</v>
      </c>
      <c r="CO1365">
        <f t="shared" si="416"/>
        <v>0</v>
      </c>
    </row>
    <row r="1366" spans="1:93" hidden="1" x14ac:dyDescent="0.25">
      <c r="A1366" s="4">
        <v>2021</v>
      </c>
      <c r="B1366" s="315">
        <v>44320</v>
      </c>
      <c r="C1366" s="4" t="s">
        <v>1522</v>
      </c>
      <c r="D1366" s="4" t="s">
        <v>1523</v>
      </c>
      <c r="F1366" s="4" t="s">
        <v>1524</v>
      </c>
      <c r="G1366" s="5" t="s">
        <v>1512</v>
      </c>
      <c r="H1366" s="5" t="s">
        <v>1525</v>
      </c>
      <c r="I1366" s="5" t="s">
        <v>18</v>
      </c>
      <c r="J1366" s="5" t="s">
        <v>9</v>
      </c>
      <c r="K1366" s="5">
        <v>15.5</v>
      </c>
      <c r="L1366" s="5" t="s">
        <v>1526</v>
      </c>
      <c r="M1366" s="5">
        <v>1100</v>
      </c>
      <c r="N1366" s="5" t="s">
        <v>170</v>
      </c>
      <c r="O1366" s="6" t="s">
        <v>81</v>
      </c>
      <c r="P1366" s="6" t="s">
        <v>1528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+VLOOKUP(G1366,Liste!$A$7:$G$69,3,FALSE)</f>
        <v>Pin d'Alep</v>
      </c>
      <c r="BI1366" s="96" t="str">
        <f>+VLOOKUP(H1366,Liste!$B$7:$G$69,5,FALSE)</f>
        <v>Pin d'Alep</v>
      </c>
      <c r="BJ1366" s="135">
        <f t="shared" si="415"/>
        <v>73</v>
      </c>
      <c r="BK1366" s="135" t="str">
        <f t="shared" si="417"/>
        <v>Pin d'Alep_F1_Classique_Pin d'Alep_73_</v>
      </c>
      <c r="BL1366" s="319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97" t="str">
        <f>+VLOOKUP(G1366,Liste!$A$7:$H$69,8,FALSE)</f>
        <v>Résineux</v>
      </c>
      <c r="BU1366" s="297">
        <f t="shared" si="418"/>
        <v>0</v>
      </c>
      <c r="BV1366" s="299">
        <f t="shared" si="419"/>
        <v>1</v>
      </c>
      <c r="BW1366" s="318">
        <v>0</v>
      </c>
      <c r="BX1366" s="297">
        <f t="shared" si="420"/>
        <v>0.43</v>
      </c>
      <c r="BY1366">
        <f t="shared" si="421"/>
        <v>0</v>
      </c>
      <c r="BZ1366" s="303">
        <f t="shared" si="422"/>
        <v>0</v>
      </c>
      <c r="CB1366" s="298">
        <v>0.6</v>
      </c>
      <c r="CC1366" s="298">
        <v>0.4</v>
      </c>
      <c r="CD1366">
        <f t="shared" si="423"/>
        <v>0</v>
      </c>
      <c r="CE1366">
        <f t="shared" si="424"/>
        <v>0</v>
      </c>
      <c r="CF1366">
        <f t="shared" si="425"/>
        <v>0</v>
      </c>
      <c r="CG1366">
        <f t="shared" si="426"/>
        <v>0</v>
      </c>
      <c r="CH1366">
        <f t="shared" si="427"/>
        <v>0</v>
      </c>
      <c r="CI1366">
        <f t="shared" si="428"/>
        <v>0</v>
      </c>
      <c r="CJ1366">
        <f t="shared" si="429"/>
        <v>0</v>
      </c>
      <c r="CK1366">
        <f t="shared" si="430"/>
        <v>0</v>
      </c>
      <c r="CL1366">
        <f t="shared" si="431"/>
        <v>0</v>
      </c>
      <c r="CM1366">
        <f t="shared" si="433"/>
        <v>0</v>
      </c>
      <c r="CN1366">
        <f t="shared" si="432"/>
        <v>0</v>
      </c>
      <c r="CO1366">
        <f t="shared" si="416"/>
        <v>0</v>
      </c>
    </row>
    <row r="1367" spans="1:93" hidden="1" x14ac:dyDescent="0.25">
      <c r="A1367" s="4">
        <v>2021</v>
      </c>
      <c r="B1367" s="315">
        <v>44320</v>
      </c>
      <c r="C1367" s="4" t="s">
        <v>1522</v>
      </c>
      <c r="D1367" s="4" t="s">
        <v>1523</v>
      </c>
      <c r="F1367" s="4" t="s">
        <v>1524</v>
      </c>
      <c r="G1367" s="5" t="s">
        <v>1512</v>
      </c>
      <c r="H1367" s="5" t="s">
        <v>1525</v>
      </c>
      <c r="I1367" s="5" t="s">
        <v>18</v>
      </c>
      <c r="J1367" s="5" t="s">
        <v>9</v>
      </c>
      <c r="K1367" s="5">
        <v>15.5</v>
      </c>
      <c r="L1367" s="5" t="s">
        <v>1526</v>
      </c>
      <c r="M1367" s="5">
        <v>1100</v>
      </c>
      <c r="N1367" s="5" t="s">
        <v>170</v>
      </c>
      <c r="O1367" s="6" t="s">
        <v>81</v>
      </c>
      <c r="P1367" s="6" t="s">
        <v>1528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+VLOOKUP(G1367,Liste!$A$7:$G$69,3,FALSE)</f>
        <v>Pin d'Alep</v>
      </c>
      <c r="BI1367" s="96" t="str">
        <f>+VLOOKUP(H1367,Liste!$B$7:$G$69,5,FALSE)</f>
        <v>Pin d'Alep</v>
      </c>
      <c r="BJ1367" s="135">
        <f t="shared" si="415"/>
        <v>74</v>
      </c>
      <c r="BK1367" s="135" t="str">
        <f t="shared" si="417"/>
        <v>Pin d'Alep_F1_Classique_Pin d'Alep_74_</v>
      </c>
      <c r="BL1367" s="319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97" t="str">
        <f>+VLOOKUP(G1367,Liste!$A$7:$H$69,8,FALSE)</f>
        <v>Résineux</v>
      </c>
      <c r="BU1367" s="297">
        <f t="shared" si="418"/>
        <v>0</v>
      </c>
      <c r="BV1367" s="299">
        <f t="shared" si="419"/>
        <v>1</v>
      </c>
      <c r="BW1367" s="318">
        <v>0</v>
      </c>
      <c r="BX1367" s="297">
        <f t="shared" si="420"/>
        <v>0.43</v>
      </c>
      <c r="BY1367">
        <f t="shared" si="421"/>
        <v>0</v>
      </c>
      <c r="BZ1367" s="303">
        <f t="shared" si="422"/>
        <v>0</v>
      </c>
      <c r="CB1367" s="298">
        <v>0.6</v>
      </c>
      <c r="CC1367" s="298">
        <v>0.4</v>
      </c>
      <c r="CD1367">
        <f t="shared" si="423"/>
        <v>0</v>
      </c>
      <c r="CE1367">
        <f t="shared" si="424"/>
        <v>0</v>
      </c>
      <c r="CF1367">
        <f t="shared" si="425"/>
        <v>0</v>
      </c>
      <c r="CG1367">
        <f t="shared" si="426"/>
        <v>0</v>
      </c>
      <c r="CH1367">
        <f t="shared" si="427"/>
        <v>0</v>
      </c>
      <c r="CI1367">
        <f t="shared" si="428"/>
        <v>0</v>
      </c>
      <c r="CJ1367">
        <f t="shared" si="429"/>
        <v>0</v>
      </c>
      <c r="CK1367">
        <f t="shared" si="430"/>
        <v>0</v>
      </c>
      <c r="CL1367">
        <f t="shared" si="431"/>
        <v>0</v>
      </c>
      <c r="CM1367">
        <f t="shared" si="433"/>
        <v>0</v>
      </c>
      <c r="CN1367">
        <f t="shared" si="432"/>
        <v>0</v>
      </c>
      <c r="CO1367">
        <f t="shared" si="416"/>
        <v>0</v>
      </c>
    </row>
    <row r="1368" spans="1:93" hidden="1" x14ac:dyDescent="0.25">
      <c r="A1368" s="4">
        <v>2021</v>
      </c>
      <c r="B1368" s="315">
        <v>44320</v>
      </c>
      <c r="C1368" s="4" t="s">
        <v>1522</v>
      </c>
      <c r="D1368" s="4" t="s">
        <v>1523</v>
      </c>
      <c r="F1368" s="4" t="s">
        <v>1524</v>
      </c>
      <c r="G1368" s="5" t="s">
        <v>1512</v>
      </c>
      <c r="H1368" s="5" t="s">
        <v>1525</v>
      </c>
      <c r="I1368" s="5" t="s">
        <v>18</v>
      </c>
      <c r="J1368" s="5" t="s">
        <v>9</v>
      </c>
      <c r="K1368" s="5">
        <v>15.5</v>
      </c>
      <c r="L1368" s="5" t="s">
        <v>1526</v>
      </c>
      <c r="M1368" s="5">
        <v>1100</v>
      </c>
      <c r="N1368" s="5" t="s">
        <v>170</v>
      </c>
      <c r="O1368" s="6" t="s">
        <v>81</v>
      </c>
      <c r="P1368" s="6" t="s">
        <v>1528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+VLOOKUP(G1368,Liste!$A$7:$G$69,3,FALSE)</f>
        <v>Pin d'Alep</v>
      </c>
      <c r="BI1368" s="96" t="str">
        <f>+VLOOKUP(H1368,Liste!$B$7:$G$69,5,FALSE)</f>
        <v>Pin d'Alep</v>
      </c>
      <c r="BJ1368" s="135">
        <f t="shared" si="415"/>
        <v>74</v>
      </c>
      <c r="BK1368" s="135" t="str">
        <f t="shared" si="417"/>
        <v>Pin d'Alep_F1_Classique_Pin d'Alep_74_</v>
      </c>
      <c r="BL1368" s="319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97" t="str">
        <f>+VLOOKUP(G1368,Liste!$A$7:$H$69,8,FALSE)</f>
        <v>Résineux</v>
      </c>
      <c r="BU1368" s="297">
        <f t="shared" si="418"/>
        <v>0</v>
      </c>
      <c r="BV1368" s="299">
        <f t="shared" si="419"/>
        <v>1</v>
      </c>
      <c r="BW1368" s="318">
        <v>0</v>
      </c>
      <c r="BX1368" s="297">
        <f t="shared" si="420"/>
        <v>0.43</v>
      </c>
      <c r="BY1368">
        <f t="shared" si="421"/>
        <v>0</v>
      </c>
      <c r="BZ1368" s="303">
        <f t="shared" si="422"/>
        <v>0</v>
      </c>
      <c r="CB1368" s="298">
        <v>0.6</v>
      </c>
      <c r="CC1368" s="298">
        <v>0.4</v>
      </c>
      <c r="CD1368">
        <f t="shared" si="423"/>
        <v>0</v>
      </c>
      <c r="CE1368">
        <f t="shared" si="424"/>
        <v>0</v>
      </c>
      <c r="CF1368">
        <f t="shared" si="425"/>
        <v>0</v>
      </c>
      <c r="CG1368">
        <f t="shared" si="426"/>
        <v>0</v>
      </c>
      <c r="CH1368">
        <f t="shared" si="427"/>
        <v>0</v>
      </c>
      <c r="CI1368">
        <f t="shared" si="428"/>
        <v>0</v>
      </c>
      <c r="CJ1368">
        <f t="shared" si="429"/>
        <v>0</v>
      </c>
      <c r="CK1368">
        <f t="shared" si="430"/>
        <v>0</v>
      </c>
      <c r="CL1368">
        <f t="shared" si="431"/>
        <v>0</v>
      </c>
      <c r="CM1368">
        <f t="shared" si="433"/>
        <v>0</v>
      </c>
      <c r="CN1368">
        <f t="shared" si="432"/>
        <v>0</v>
      </c>
      <c r="CO1368">
        <f t="shared" si="416"/>
        <v>0</v>
      </c>
    </row>
    <row r="1369" spans="1:93" hidden="1" x14ac:dyDescent="0.25">
      <c r="A1369" s="4">
        <v>2021</v>
      </c>
      <c r="B1369" s="315">
        <v>44320</v>
      </c>
      <c r="C1369" s="4" t="s">
        <v>1522</v>
      </c>
      <c r="D1369" s="4" t="s">
        <v>1523</v>
      </c>
      <c r="F1369" s="4" t="s">
        <v>1524</v>
      </c>
      <c r="G1369" s="5" t="s">
        <v>1512</v>
      </c>
      <c r="H1369" s="5" t="s">
        <v>1525</v>
      </c>
      <c r="I1369" s="5" t="s">
        <v>18</v>
      </c>
      <c r="J1369" s="5" t="s">
        <v>9</v>
      </c>
      <c r="K1369" s="5">
        <v>15.5</v>
      </c>
      <c r="L1369" s="5" t="s">
        <v>1526</v>
      </c>
      <c r="M1369" s="5">
        <v>1100</v>
      </c>
      <c r="N1369" s="5" t="s">
        <v>170</v>
      </c>
      <c r="O1369" s="6" t="s">
        <v>81</v>
      </c>
      <c r="P1369" s="6" t="s">
        <v>1528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+VLOOKUP(G1369,Liste!$A$7:$G$69,3,FALSE)</f>
        <v>Pin d'Alep</v>
      </c>
      <c r="BI1369" s="96" t="str">
        <f>+VLOOKUP(H1369,Liste!$B$7:$G$69,5,FALSE)</f>
        <v>Pin d'Alep</v>
      </c>
      <c r="BJ1369" s="135">
        <f t="shared" si="415"/>
        <v>75</v>
      </c>
      <c r="BK1369" s="135" t="str">
        <f t="shared" si="417"/>
        <v>Pin d'Alep_F1_Classique_Pin d'Alep_75_</v>
      </c>
      <c r="BL1369" s="319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97" t="str">
        <f>+VLOOKUP(G1369,Liste!$A$7:$H$69,8,FALSE)</f>
        <v>Résineux</v>
      </c>
      <c r="BU1369" s="297">
        <f t="shared" si="418"/>
        <v>0</v>
      </c>
      <c r="BV1369" s="299">
        <f t="shared" si="419"/>
        <v>1</v>
      </c>
      <c r="BW1369" s="318">
        <v>0</v>
      </c>
      <c r="BX1369" s="297">
        <f t="shared" si="420"/>
        <v>0.43</v>
      </c>
      <c r="BY1369">
        <f t="shared" si="421"/>
        <v>0</v>
      </c>
      <c r="BZ1369" s="303">
        <f t="shared" si="422"/>
        <v>0</v>
      </c>
      <c r="CB1369" s="298">
        <v>0.6</v>
      </c>
      <c r="CC1369" s="298">
        <v>0.4</v>
      </c>
      <c r="CD1369">
        <f t="shared" si="423"/>
        <v>0</v>
      </c>
      <c r="CE1369">
        <f t="shared" si="424"/>
        <v>0</v>
      </c>
      <c r="CF1369">
        <f t="shared" si="425"/>
        <v>0</v>
      </c>
      <c r="CG1369">
        <f t="shared" si="426"/>
        <v>0</v>
      </c>
      <c r="CH1369">
        <f t="shared" si="427"/>
        <v>0</v>
      </c>
      <c r="CI1369">
        <f t="shared" si="428"/>
        <v>0</v>
      </c>
      <c r="CJ1369">
        <f t="shared" si="429"/>
        <v>0</v>
      </c>
      <c r="CK1369">
        <f t="shared" si="430"/>
        <v>0</v>
      </c>
      <c r="CL1369">
        <f t="shared" si="431"/>
        <v>0</v>
      </c>
      <c r="CM1369">
        <f t="shared" si="433"/>
        <v>0</v>
      </c>
      <c r="CN1369">
        <f t="shared" si="432"/>
        <v>0</v>
      </c>
      <c r="CO1369">
        <f t="shared" si="416"/>
        <v>0</v>
      </c>
    </row>
    <row r="1370" spans="1:93" hidden="1" x14ac:dyDescent="0.25">
      <c r="A1370" s="4">
        <v>2021</v>
      </c>
      <c r="B1370" s="315">
        <v>44320</v>
      </c>
      <c r="C1370" s="4" t="s">
        <v>1522</v>
      </c>
      <c r="D1370" s="4" t="s">
        <v>1523</v>
      </c>
      <c r="F1370" s="4" t="s">
        <v>1524</v>
      </c>
      <c r="G1370" s="5" t="s">
        <v>1512</v>
      </c>
      <c r="H1370" s="5" t="s">
        <v>1525</v>
      </c>
      <c r="I1370" s="5" t="s">
        <v>18</v>
      </c>
      <c r="J1370" s="5" t="s">
        <v>9</v>
      </c>
      <c r="K1370" s="5">
        <v>15.5</v>
      </c>
      <c r="L1370" s="5" t="s">
        <v>1526</v>
      </c>
      <c r="M1370" s="5">
        <v>1100</v>
      </c>
      <c r="N1370" s="5" t="s">
        <v>170</v>
      </c>
      <c r="O1370" s="6" t="s">
        <v>81</v>
      </c>
      <c r="P1370" s="6" t="s">
        <v>1528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+VLOOKUP(G1370,Liste!$A$7:$G$69,3,FALSE)</f>
        <v>Pin d'Alep</v>
      </c>
      <c r="BI1370" s="96" t="str">
        <f>+VLOOKUP(H1370,Liste!$B$7:$G$69,5,FALSE)</f>
        <v>Pin d'Alep</v>
      </c>
      <c r="BJ1370" s="135">
        <f t="shared" si="415"/>
        <v>76</v>
      </c>
      <c r="BK1370" s="135" t="str">
        <f t="shared" si="417"/>
        <v>Pin d'Alep_F1_Classique_Pin d'Alep_76_</v>
      </c>
      <c r="BL1370" s="319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97" t="str">
        <f>+VLOOKUP(G1370,Liste!$A$7:$H$69,8,FALSE)</f>
        <v>Résineux</v>
      </c>
      <c r="BU1370" s="297">
        <f t="shared" si="418"/>
        <v>0</v>
      </c>
      <c r="BV1370" s="299">
        <f t="shared" si="419"/>
        <v>1</v>
      </c>
      <c r="BW1370" s="318">
        <v>0</v>
      </c>
      <c r="BX1370" s="297">
        <f t="shared" si="420"/>
        <v>0.43</v>
      </c>
      <c r="BY1370">
        <f t="shared" si="421"/>
        <v>0</v>
      </c>
      <c r="BZ1370" s="303">
        <f t="shared" si="422"/>
        <v>0</v>
      </c>
      <c r="CB1370" s="298">
        <v>0.6</v>
      </c>
      <c r="CC1370" s="298">
        <v>0.4</v>
      </c>
      <c r="CD1370">
        <f t="shared" si="423"/>
        <v>0</v>
      </c>
      <c r="CE1370">
        <f t="shared" si="424"/>
        <v>0</v>
      </c>
      <c r="CF1370">
        <f t="shared" si="425"/>
        <v>0</v>
      </c>
      <c r="CG1370">
        <f t="shared" si="426"/>
        <v>0</v>
      </c>
      <c r="CH1370">
        <f t="shared" si="427"/>
        <v>0</v>
      </c>
      <c r="CI1370">
        <f t="shared" si="428"/>
        <v>0</v>
      </c>
      <c r="CJ1370">
        <f t="shared" si="429"/>
        <v>0</v>
      </c>
      <c r="CK1370">
        <f t="shared" si="430"/>
        <v>0</v>
      </c>
      <c r="CL1370">
        <f t="shared" si="431"/>
        <v>0</v>
      </c>
      <c r="CM1370">
        <f t="shared" si="433"/>
        <v>0</v>
      </c>
      <c r="CN1370">
        <f t="shared" si="432"/>
        <v>0</v>
      </c>
      <c r="CO1370">
        <f t="shared" si="416"/>
        <v>0</v>
      </c>
    </row>
    <row r="1371" spans="1:93" hidden="1" x14ac:dyDescent="0.25">
      <c r="A1371" s="4">
        <v>2021</v>
      </c>
      <c r="B1371" s="315">
        <v>44320</v>
      </c>
      <c r="C1371" s="4" t="s">
        <v>1522</v>
      </c>
      <c r="D1371" s="4" t="s">
        <v>1523</v>
      </c>
      <c r="F1371" s="4" t="s">
        <v>1524</v>
      </c>
      <c r="G1371" s="5" t="s">
        <v>1512</v>
      </c>
      <c r="H1371" s="5" t="s">
        <v>1525</v>
      </c>
      <c r="I1371" s="5" t="s">
        <v>18</v>
      </c>
      <c r="J1371" s="5" t="s">
        <v>9</v>
      </c>
      <c r="K1371" s="5">
        <v>15.5</v>
      </c>
      <c r="L1371" s="5" t="s">
        <v>1526</v>
      </c>
      <c r="M1371" s="5">
        <v>1100</v>
      </c>
      <c r="N1371" s="5" t="s">
        <v>170</v>
      </c>
      <c r="O1371" s="6" t="s">
        <v>81</v>
      </c>
      <c r="P1371" s="6" t="s">
        <v>1528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+VLOOKUP(G1371,Liste!$A$7:$G$69,3,FALSE)</f>
        <v>Pin d'Alep</v>
      </c>
      <c r="BI1371" s="96" t="str">
        <f>+VLOOKUP(H1371,Liste!$B$7:$G$69,5,FALSE)</f>
        <v>Pin d'Alep</v>
      </c>
      <c r="BJ1371" s="135">
        <f t="shared" si="415"/>
        <v>77</v>
      </c>
      <c r="BK1371" s="135" t="str">
        <f t="shared" si="417"/>
        <v>Pin d'Alep_F1_Classique_Pin d'Alep_77_</v>
      </c>
      <c r="BL1371" s="319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97" t="str">
        <f>+VLOOKUP(G1371,Liste!$A$7:$H$69,8,FALSE)</f>
        <v>Résineux</v>
      </c>
      <c r="BU1371" s="297">
        <f t="shared" si="418"/>
        <v>0</v>
      </c>
      <c r="BV1371" s="299">
        <f t="shared" si="419"/>
        <v>1</v>
      </c>
      <c r="BW1371" s="318">
        <v>0</v>
      </c>
      <c r="BX1371" s="297">
        <f t="shared" si="420"/>
        <v>0.43</v>
      </c>
      <c r="BY1371">
        <f t="shared" si="421"/>
        <v>0</v>
      </c>
      <c r="BZ1371" s="303">
        <f t="shared" si="422"/>
        <v>0</v>
      </c>
      <c r="CB1371" s="298">
        <v>0.6</v>
      </c>
      <c r="CC1371" s="298">
        <v>0.4</v>
      </c>
      <c r="CD1371">
        <f t="shared" si="423"/>
        <v>0</v>
      </c>
      <c r="CE1371">
        <f t="shared" si="424"/>
        <v>0</v>
      </c>
      <c r="CF1371">
        <f t="shared" si="425"/>
        <v>0</v>
      </c>
      <c r="CG1371">
        <f t="shared" si="426"/>
        <v>0</v>
      </c>
      <c r="CH1371">
        <f t="shared" si="427"/>
        <v>0</v>
      </c>
      <c r="CI1371">
        <f t="shared" si="428"/>
        <v>0</v>
      </c>
      <c r="CJ1371">
        <f t="shared" si="429"/>
        <v>0</v>
      </c>
      <c r="CK1371">
        <f t="shared" si="430"/>
        <v>0</v>
      </c>
      <c r="CL1371">
        <f t="shared" si="431"/>
        <v>0</v>
      </c>
      <c r="CM1371">
        <f t="shared" si="433"/>
        <v>0</v>
      </c>
      <c r="CN1371">
        <f t="shared" si="432"/>
        <v>0</v>
      </c>
      <c r="CO1371">
        <f t="shared" si="416"/>
        <v>0</v>
      </c>
    </row>
    <row r="1372" spans="1:93" hidden="1" x14ac:dyDescent="0.25">
      <c r="A1372" s="4">
        <v>2021</v>
      </c>
      <c r="B1372" s="315">
        <v>44320</v>
      </c>
      <c r="C1372" s="4" t="s">
        <v>1522</v>
      </c>
      <c r="D1372" s="4" t="s">
        <v>1523</v>
      </c>
      <c r="F1372" s="4" t="s">
        <v>1524</v>
      </c>
      <c r="G1372" s="5" t="s">
        <v>1512</v>
      </c>
      <c r="H1372" s="5" t="s">
        <v>1525</v>
      </c>
      <c r="I1372" s="5" t="s">
        <v>18</v>
      </c>
      <c r="J1372" s="5" t="s">
        <v>9</v>
      </c>
      <c r="K1372" s="5">
        <v>15.5</v>
      </c>
      <c r="L1372" s="5" t="s">
        <v>1526</v>
      </c>
      <c r="M1372" s="5">
        <v>1100</v>
      </c>
      <c r="N1372" s="5" t="s">
        <v>170</v>
      </c>
      <c r="O1372" s="6" t="s">
        <v>81</v>
      </c>
      <c r="P1372" s="6" t="s">
        <v>1528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+VLOOKUP(G1372,Liste!$A$7:$G$69,3,FALSE)</f>
        <v>Pin d'Alep</v>
      </c>
      <c r="BI1372" s="96" t="str">
        <f>+VLOOKUP(H1372,Liste!$B$7:$G$69,5,FALSE)</f>
        <v>Pin d'Alep</v>
      </c>
      <c r="BJ1372" s="135">
        <f t="shared" si="415"/>
        <v>78</v>
      </c>
      <c r="BK1372" s="135" t="str">
        <f t="shared" si="417"/>
        <v>Pin d'Alep_F1_Classique_Pin d'Alep_78_</v>
      </c>
      <c r="BL1372" s="319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97" t="str">
        <f>+VLOOKUP(G1372,Liste!$A$7:$H$69,8,FALSE)</f>
        <v>Résineux</v>
      </c>
      <c r="BU1372" s="297">
        <f t="shared" si="418"/>
        <v>0</v>
      </c>
      <c r="BV1372" s="299">
        <f t="shared" si="419"/>
        <v>1</v>
      </c>
      <c r="BW1372" s="318">
        <v>0</v>
      </c>
      <c r="BX1372" s="297">
        <f t="shared" si="420"/>
        <v>0.43</v>
      </c>
      <c r="BY1372">
        <f t="shared" si="421"/>
        <v>0</v>
      </c>
      <c r="BZ1372" s="303">
        <f t="shared" si="422"/>
        <v>0</v>
      </c>
      <c r="CB1372" s="298">
        <v>0.6</v>
      </c>
      <c r="CC1372" s="298">
        <v>0.4</v>
      </c>
      <c r="CD1372">
        <f t="shared" si="423"/>
        <v>0</v>
      </c>
      <c r="CE1372">
        <f t="shared" si="424"/>
        <v>0</v>
      </c>
      <c r="CF1372">
        <f t="shared" si="425"/>
        <v>0</v>
      </c>
      <c r="CG1372">
        <f t="shared" si="426"/>
        <v>0</v>
      </c>
      <c r="CH1372">
        <f t="shared" si="427"/>
        <v>0</v>
      </c>
      <c r="CI1372">
        <f t="shared" si="428"/>
        <v>0</v>
      </c>
      <c r="CJ1372">
        <f t="shared" si="429"/>
        <v>0</v>
      </c>
      <c r="CK1372">
        <f t="shared" si="430"/>
        <v>0</v>
      </c>
      <c r="CL1372">
        <f t="shared" si="431"/>
        <v>0</v>
      </c>
      <c r="CM1372">
        <f t="shared" si="433"/>
        <v>0</v>
      </c>
      <c r="CN1372">
        <f t="shared" si="432"/>
        <v>0</v>
      </c>
      <c r="CO1372">
        <f t="shared" si="416"/>
        <v>0</v>
      </c>
    </row>
    <row r="1373" spans="1:93" hidden="1" x14ac:dyDescent="0.25">
      <c r="A1373" s="4">
        <v>2021</v>
      </c>
      <c r="B1373" s="315">
        <v>44320</v>
      </c>
      <c r="C1373" s="4" t="s">
        <v>1522</v>
      </c>
      <c r="D1373" s="4" t="s">
        <v>1523</v>
      </c>
      <c r="F1373" s="4" t="s">
        <v>1524</v>
      </c>
      <c r="G1373" s="5" t="s">
        <v>1512</v>
      </c>
      <c r="H1373" s="5" t="s">
        <v>1525</v>
      </c>
      <c r="I1373" s="5" t="s">
        <v>18</v>
      </c>
      <c r="J1373" s="5" t="s">
        <v>9</v>
      </c>
      <c r="K1373" s="5">
        <v>15.5</v>
      </c>
      <c r="L1373" s="5" t="s">
        <v>1526</v>
      </c>
      <c r="M1373" s="5">
        <v>1100</v>
      </c>
      <c r="N1373" s="5" t="s">
        <v>170</v>
      </c>
      <c r="O1373" s="6" t="s">
        <v>81</v>
      </c>
      <c r="P1373" s="6" t="s">
        <v>1528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+VLOOKUP(G1373,Liste!$A$7:$G$69,3,FALSE)</f>
        <v>Pin d'Alep</v>
      </c>
      <c r="BI1373" s="96" t="str">
        <f>+VLOOKUP(H1373,Liste!$B$7:$G$69,5,FALSE)</f>
        <v>Pin d'Alep</v>
      </c>
      <c r="BJ1373" s="135">
        <f t="shared" si="415"/>
        <v>79</v>
      </c>
      <c r="BK1373" s="135" t="str">
        <f t="shared" si="417"/>
        <v>Pin d'Alep_F1_Classique_Pin d'Alep_79_</v>
      </c>
      <c r="BL1373" s="319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97" t="str">
        <f>+VLOOKUP(G1373,Liste!$A$7:$H$69,8,FALSE)</f>
        <v>Résineux</v>
      </c>
      <c r="BU1373" s="297">
        <f t="shared" si="418"/>
        <v>0</v>
      </c>
      <c r="BV1373" s="299">
        <f t="shared" si="419"/>
        <v>1</v>
      </c>
      <c r="BW1373" s="318">
        <v>0</v>
      </c>
      <c r="BX1373" s="297">
        <f t="shared" si="420"/>
        <v>0.43</v>
      </c>
      <c r="BY1373">
        <f t="shared" si="421"/>
        <v>0</v>
      </c>
      <c r="BZ1373" s="303">
        <f t="shared" si="422"/>
        <v>0</v>
      </c>
      <c r="CB1373" s="298">
        <v>0.6</v>
      </c>
      <c r="CC1373" s="298">
        <v>0.4</v>
      </c>
      <c r="CD1373">
        <f t="shared" si="423"/>
        <v>0</v>
      </c>
      <c r="CE1373">
        <f t="shared" si="424"/>
        <v>0</v>
      </c>
      <c r="CF1373">
        <f t="shared" si="425"/>
        <v>0</v>
      </c>
      <c r="CG1373">
        <f t="shared" si="426"/>
        <v>0</v>
      </c>
      <c r="CH1373">
        <f t="shared" si="427"/>
        <v>0</v>
      </c>
      <c r="CI1373">
        <f t="shared" si="428"/>
        <v>0</v>
      </c>
      <c r="CJ1373">
        <f t="shared" si="429"/>
        <v>0</v>
      </c>
      <c r="CK1373">
        <f t="shared" si="430"/>
        <v>0</v>
      </c>
      <c r="CL1373">
        <f t="shared" si="431"/>
        <v>0</v>
      </c>
      <c r="CM1373">
        <f t="shared" si="433"/>
        <v>0</v>
      </c>
      <c r="CN1373">
        <f t="shared" si="432"/>
        <v>0</v>
      </c>
      <c r="CO1373">
        <f t="shared" si="416"/>
        <v>0</v>
      </c>
    </row>
    <row r="1374" spans="1:93" hidden="1" x14ac:dyDescent="0.25">
      <c r="A1374" s="4">
        <v>2021</v>
      </c>
      <c r="B1374" s="315">
        <v>44320</v>
      </c>
      <c r="C1374" s="4" t="s">
        <v>1522</v>
      </c>
      <c r="D1374" s="4" t="s">
        <v>1523</v>
      </c>
      <c r="F1374" s="4" t="s">
        <v>1524</v>
      </c>
      <c r="G1374" s="5" t="s">
        <v>1512</v>
      </c>
      <c r="H1374" s="5" t="s">
        <v>1525</v>
      </c>
      <c r="I1374" s="5" t="s">
        <v>18</v>
      </c>
      <c r="J1374" s="5" t="s">
        <v>9</v>
      </c>
      <c r="K1374" s="5">
        <v>15.5</v>
      </c>
      <c r="L1374" s="5" t="s">
        <v>1526</v>
      </c>
      <c r="M1374" s="5">
        <v>1100</v>
      </c>
      <c r="N1374" s="5" t="s">
        <v>170</v>
      </c>
      <c r="O1374" s="6" t="s">
        <v>81</v>
      </c>
      <c r="P1374" s="6" t="s">
        <v>1528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+VLOOKUP(G1374,Liste!$A$7:$G$69,3,FALSE)</f>
        <v>Pin d'Alep</v>
      </c>
      <c r="BI1374" s="96" t="str">
        <f>+VLOOKUP(H1374,Liste!$B$7:$G$69,5,FALSE)</f>
        <v>Pin d'Alep</v>
      </c>
      <c r="BJ1374" s="135">
        <f t="shared" si="415"/>
        <v>80</v>
      </c>
      <c r="BK1374" s="135" t="str">
        <f t="shared" si="417"/>
        <v>Pin d'Alep_F1_Classique_Pin d'Alep_80_</v>
      </c>
      <c r="BL1374" s="319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97" t="str">
        <f>+VLOOKUP(G1374,Liste!$A$7:$H$69,8,FALSE)</f>
        <v>Résineux</v>
      </c>
      <c r="BU1374" s="297">
        <f t="shared" si="418"/>
        <v>0</v>
      </c>
      <c r="BV1374" s="299">
        <f t="shared" si="419"/>
        <v>1</v>
      </c>
      <c r="BW1374" s="318">
        <v>0</v>
      </c>
      <c r="BX1374" s="297">
        <f t="shared" si="420"/>
        <v>0.43</v>
      </c>
      <c r="BY1374">
        <f t="shared" si="421"/>
        <v>0</v>
      </c>
      <c r="BZ1374" s="303">
        <f t="shared" si="422"/>
        <v>0</v>
      </c>
      <c r="CB1374" s="298">
        <v>0.6</v>
      </c>
      <c r="CC1374" s="298">
        <v>0.4</v>
      </c>
      <c r="CD1374">
        <f t="shared" si="423"/>
        <v>0</v>
      </c>
      <c r="CE1374">
        <f t="shared" si="424"/>
        <v>0</v>
      </c>
      <c r="CF1374">
        <f t="shared" si="425"/>
        <v>0</v>
      </c>
      <c r="CG1374">
        <f t="shared" si="426"/>
        <v>0</v>
      </c>
      <c r="CH1374">
        <f t="shared" si="427"/>
        <v>0</v>
      </c>
      <c r="CI1374">
        <f t="shared" si="428"/>
        <v>0</v>
      </c>
      <c r="CJ1374">
        <f t="shared" si="429"/>
        <v>0</v>
      </c>
      <c r="CK1374">
        <f t="shared" si="430"/>
        <v>0</v>
      </c>
      <c r="CL1374">
        <f t="shared" si="431"/>
        <v>0</v>
      </c>
      <c r="CM1374">
        <f t="shared" si="433"/>
        <v>0</v>
      </c>
      <c r="CN1374">
        <f t="shared" si="432"/>
        <v>0</v>
      </c>
      <c r="CO1374">
        <f t="shared" si="416"/>
        <v>0</v>
      </c>
    </row>
    <row r="1375" spans="1:93" hidden="1" x14ac:dyDescent="0.25">
      <c r="A1375" s="4">
        <v>2021</v>
      </c>
      <c r="B1375" s="315">
        <v>44320</v>
      </c>
      <c r="C1375" s="4" t="s">
        <v>1522</v>
      </c>
      <c r="D1375" s="4" t="s">
        <v>1523</v>
      </c>
      <c r="F1375" s="4" t="s">
        <v>1524</v>
      </c>
      <c r="G1375" s="5" t="s">
        <v>1512</v>
      </c>
      <c r="H1375" s="5" t="s">
        <v>1525</v>
      </c>
      <c r="I1375" s="5" t="s">
        <v>18</v>
      </c>
      <c r="J1375" s="5" t="s">
        <v>9</v>
      </c>
      <c r="K1375" s="5">
        <v>15.5</v>
      </c>
      <c r="L1375" s="5" t="s">
        <v>1526</v>
      </c>
      <c r="M1375" s="5">
        <v>1100</v>
      </c>
      <c r="N1375" s="5" t="s">
        <v>170</v>
      </c>
      <c r="O1375" s="6" t="s">
        <v>81</v>
      </c>
      <c r="P1375" s="6" t="s">
        <v>1528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+VLOOKUP(G1375,Liste!$A$7:$G$69,3,FALSE)</f>
        <v>Pin d'Alep</v>
      </c>
      <c r="BI1375" s="96" t="str">
        <f>+VLOOKUP(H1375,Liste!$B$7:$G$69,5,FALSE)</f>
        <v>Pin d'Alep</v>
      </c>
      <c r="BJ1375" s="135">
        <f t="shared" si="415"/>
        <v>81</v>
      </c>
      <c r="BK1375" s="135" t="str">
        <f t="shared" si="417"/>
        <v>Pin d'Alep_F1_Classique_Pin d'Alep_81_</v>
      </c>
      <c r="BL1375" s="319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97" t="str">
        <f>+VLOOKUP(G1375,Liste!$A$7:$H$69,8,FALSE)</f>
        <v>Résineux</v>
      </c>
      <c r="BU1375" s="297">
        <f t="shared" si="418"/>
        <v>0</v>
      </c>
      <c r="BV1375" s="299">
        <f t="shared" si="419"/>
        <v>1</v>
      </c>
      <c r="BW1375" s="318">
        <v>0</v>
      </c>
      <c r="BX1375" s="297">
        <f t="shared" si="420"/>
        <v>0.43</v>
      </c>
      <c r="BY1375">
        <f t="shared" si="421"/>
        <v>0</v>
      </c>
      <c r="BZ1375" s="303">
        <f t="shared" si="422"/>
        <v>0</v>
      </c>
      <c r="CB1375" s="298">
        <v>0.6</v>
      </c>
      <c r="CC1375" s="298">
        <v>0.4</v>
      </c>
      <c r="CD1375">
        <f t="shared" si="423"/>
        <v>0</v>
      </c>
      <c r="CE1375">
        <f t="shared" si="424"/>
        <v>0</v>
      </c>
      <c r="CF1375">
        <f t="shared" si="425"/>
        <v>0</v>
      </c>
      <c r="CG1375">
        <f t="shared" si="426"/>
        <v>0</v>
      </c>
      <c r="CH1375">
        <f t="shared" si="427"/>
        <v>0</v>
      </c>
      <c r="CI1375">
        <f t="shared" si="428"/>
        <v>0</v>
      </c>
      <c r="CJ1375">
        <f t="shared" si="429"/>
        <v>0</v>
      </c>
      <c r="CK1375">
        <f t="shared" si="430"/>
        <v>0</v>
      </c>
      <c r="CL1375">
        <f t="shared" si="431"/>
        <v>0</v>
      </c>
      <c r="CM1375">
        <f t="shared" si="433"/>
        <v>0</v>
      </c>
      <c r="CN1375">
        <f t="shared" si="432"/>
        <v>0</v>
      </c>
      <c r="CO1375">
        <f t="shared" si="416"/>
        <v>0</v>
      </c>
    </row>
    <row r="1376" spans="1:93" hidden="1" x14ac:dyDescent="0.25">
      <c r="A1376" s="4">
        <v>2021</v>
      </c>
      <c r="B1376" s="315">
        <v>44320</v>
      </c>
      <c r="C1376" s="4" t="s">
        <v>1522</v>
      </c>
      <c r="D1376" s="4" t="s">
        <v>1523</v>
      </c>
      <c r="F1376" s="4" t="s">
        <v>1524</v>
      </c>
      <c r="G1376" s="5" t="s">
        <v>1512</v>
      </c>
      <c r="H1376" s="5" t="s">
        <v>1525</v>
      </c>
      <c r="I1376" s="5" t="s">
        <v>18</v>
      </c>
      <c r="J1376" s="5" t="s">
        <v>9</v>
      </c>
      <c r="K1376" s="5">
        <v>15.5</v>
      </c>
      <c r="L1376" s="5" t="s">
        <v>1526</v>
      </c>
      <c r="M1376" s="5">
        <v>1100</v>
      </c>
      <c r="N1376" s="5" t="s">
        <v>170</v>
      </c>
      <c r="O1376" s="6" t="s">
        <v>81</v>
      </c>
      <c r="P1376" s="6" t="s">
        <v>1528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+VLOOKUP(G1376,Liste!$A$7:$G$69,3,FALSE)</f>
        <v>Pin d'Alep</v>
      </c>
      <c r="BI1376" s="96" t="str">
        <f>+VLOOKUP(H1376,Liste!$B$7:$G$69,5,FALSE)</f>
        <v>Pin d'Alep</v>
      </c>
      <c r="BJ1376" s="135">
        <f t="shared" si="415"/>
        <v>82</v>
      </c>
      <c r="BK1376" s="135" t="str">
        <f t="shared" si="417"/>
        <v>Pin d'Alep_F1_Classique_Pin d'Alep_82_</v>
      </c>
      <c r="BL1376" s="319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97" t="str">
        <f>+VLOOKUP(G1376,Liste!$A$7:$H$69,8,FALSE)</f>
        <v>Résineux</v>
      </c>
      <c r="BU1376" s="297">
        <f t="shared" si="418"/>
        <v>0</v>
      </c>
      <c r="BV1376" s="299">
        <f t="shared" si="419"/>
        <v>1</v>
      </c>
      <c r="BW1376" s="318">
        <v>0</v>
      </c>
      <c r="BX1376" s="297">
        <f t="shared" si="420"/>
        <v>0.43</v>
      </c>
      <c r="BY1376">
        <f t="shared" si="421"/>
        <v>0</v>
      </c>
      <c r="BZ1376" s="303">
        <f t="shared" si="422"/>
        <v>0</v>
      </c>
      <c r="CB1376" s="298">
        <v>0.6</v>
      </c>
      <c r="CC1376" s="298">
        <v>0.4</v>
      </c>
      <c r="CD1376">
        <f t="shared" si="423"/>
        <v>0</v>
      </c>
      <c r="CE1376">
        <f t="shared" si="424"/>
        <v>0</v>
      </c>
      <c r="CF1376">
        <f t="shared" si="425"/>
        <v>0</v>
      </c>
      <c r="CG1376">
        <f t="shared" si="426"/>
        <v>0</v>
      </c>
      <c r="CH1376">
        <f t="shared" si="427"/>
        <v>0</v>
      </c>
      <c r="CI1376">
        <f t="shared" si="428"/>
        <v>0</v>
      </c>
      <c r="CJ1376">
        <f t="shared" si="429"/>
        <v>0</v>
      </c>
      <c r="CK1376">
        <f t="shared" si="430"/>
        <v>0</v>
      </c>
      <c r="CL1376">
        <f t="shared" si="431"/>
        <v>0</v>
      </c>
      <c r="CM1376">
        <f t="shared" si="433"/>
        <v>0</v>
      </c>
      <c r="CN1376">
        <f t="shared" si="432"/>
        <v>0</v>
      </c>
      <c r="CO1376">
        <f t="shared" si="416"/>
        <v>0</v>
      </c>
    </row>
    <row r="1377" spans="1:93" hidden="1" x14ac:dyDescent="0.25">
      <c r="A1377" s="4">
        <v>2021</v>
      </c>
      <c r="B1377" s="315">
        <v>44320</v>
      </c>
      <c r="C1377" s="4" t="s">
        <v>1522</v>
      </c>
      <c r="D1377" s="4" t="s">
        <v>1523</v>
      </c>
      <c r="F1377" s="4" t="s">
        <v>1524</v>
      </c>
      <c r="G1377" s="5" t="s">
        <v>1512</v>
      </c>
      <c r="H1377" s="5" t="s">
        <v>1525</v>
      </c>
      <c r="I1377" s="5" t="s">
        <v>18</v>
      </c>
      <c r="J1377" s="5" t="s">
        <v>9</v>
      </c>
      <c r="K1377" s="5">
        <v>15.5</v>
      </c>
      <c r="L1377" s="5" t="s">
        <v>1526</v>
      </c>
      <c r="M1377" s="5">
        <v>1100</v>
      </c>
      <c r="N1377" s="5" t="s">
        <v>170</v>
      </c>
      <c r="O1377" s="6" t="s">
        <v>81</v>
      </c>
      <c r="P1377" s="6" t="s">
        <v>1528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+VLOOKUP(G1377,Liste!$A$7:$G$69,3,FALSE)</f>
        <v>Pin d'Alep</v>
      </c>
      <c r="BI1377" s="96" t="str">
        <f>+VLOOKUP(H1377,Liste!$B$7:$G$69,5,FALSE)</f>
        <v>Pin d'Alep</v>
      </c>
      <c r="BJ1377" s="135">
        <f t="shared" si="415"/>
        <v>83</v>
      </c>
      <c r="BK1377" s="135" t="str">
        <f t="shared" si="417"/>
        <v>Pin d'Alep_F1_Classique_Pin d'Alep_83_</v>
      </c>
      <c r="BL1377" s="319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97" t="str">
        <f>+VLOOKUP(G1377,Liste!$A$7:$H$69,8,FALSE)</f>
        <v>Résineux</v>
      </c>
      <c r="BU1377" s="297">
        <f t="shared" si="418"/>
        <v>0</v>
      </c>
      <c r="BV1377" s="299">
        <f t="shared" si="419"/>
        <v>1</v>
      </c>
      <c r="BW1377" s="318">
        <v>0</v>
      </c>
      <c r="BX1377" s="297">
        <f t="shared" si="420"/>
        <v>0.43</v>
      </c>
      <c r="BY1377">
        <f t="shared" si="421"/>
        <v>0</v>
      </c>
      <c r="BZ1377" s="303">
        <f t="shared" si="422"/>
        <v>0</v>
      </c>
      <c r="CB1377" s="298">
        <v>0.6</v>
      </c>
      <c r="CC1377" s="298">
        <v>0.4</v>
      </c>
      <c r="CD1377">
        <f t="shared" si="423"/>
        <v>0</v>
      </c>
      <c r="CE1377">
        <f t="shared" si="424"/>
        <v>0</v>
      </c>
      <c r="CF1377">
        <f t="shared" si="425"/>
        <v>0</v>
      </c>
      <c r="CG1377">
        <f t="shared" si="426"/>
        <v>0</v>
      </c>
      <c r="CH1377">
        <f t="shared" si="427"/>
        <v>0</v>
      </c>
      <c r="CI1377">
        <f t="shared" si="428"/>
        <v>0</v>
      </c>
      <c r="CJ1377">
        <f t="shared" si="429"/>
        <v>0</v>
      </c>
      <c r="CK1377">
        <f t="shared" si="430"/>
        <v>0</v>
      </c>
      <c r="CL1377">
        <f t="shared" si="431"/>
        <v>0</v>
      </c>
      <c r="CM1377">
        <f t="shared" si="433"/>
        <v>0</v>
      </c>
      <c r="CN1377">
        <f t="shared" si="432"/>
        <v>0</v>
      </c>
      <c r="CO1377">
        <f t="shared" si="416"/>
        <v>0</v>
      </c>
    </row>
    <row r="1378" spans="1:93" hidden="1" x14ac:dyDescent="0.25">
      <c r="A1378" s="4">
        <v>2021</v>
      </c>
      <c r="B1378" s="315">
        <v>44320</v>
      </c>
      <c r="C1378" s="4" t="s">
        <v>1522</v>
      </c>
      <c r="D1378" s="4" t="s">
        <v>1523</v>
      </c>
      <c r="F1378" s="4" t="s">
        <v>1524</v>
      </c>
      <c r="G1378" s="5" t="s">
        <v>1512</v>
      </c>
      <c r="H1378" s="5" t="s">
        <v>1525</v>
      </c>
      <c r="I1378" s="5" t="s">
        <v>18</v>
      </c>
      <c r="J1378" s="5" t="s">
        <v>9</v>
      </c>
      <c r="K1378" s="5">
        <v>15.5</v>
      </c>
      <c r="L1378" s="5" t="s">
        <v>1526</v>
      </c>
      <c r="M1378" s="5">
        <v>1100</v>
      </c>
      <c r="N1378" s="5" t="s">
        <v>170</v>
      </c>
      <c r="O1378" s="6" t="s">
        <v>81</v>
      </c>
      <c r="P1378" s="6" t="s">
        <v>1528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+VLOOKUP(G1378,Liste!$A$7:$G$69,3,FALSE)</f>
        <v>Pin d'Alep</v>
      </c>
      <c r="BI1378" s="96" t="str">
        <f>+VLOOKUP(H1378,Liste!$B$7:$G$69,5,FALSE)</f>
        <v>Pin d'Alep</v>
      </c>
      <c r="BJ1378" s="135">
        <f t="shared" si="415"/>
        <v>84</v>
      </c>
      <c r="BK1378" s="135" t="str">
        <f t="shared" si="417"/>
        <v>Pin d'Alep_F1_Classique_Pin d'Alep_84_</v>
      </c>
      <c r="BL1378" s="319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97" t="str">
        <f>+VLOOKUP(G1378,Liste!$A$7:$H$69,8,FALSE)</f>
        <v>Résineux</v>
      </c>
      <c r="BU1378" s="297">
        <f t="shared" si="418"/>
        <v>0</v>
      </c>
      <c r="BV1378" s="299">
        <f t="shared" si="419"/>
        <v>1</v>
      </c>
      <c r="BW1378" s="318">
        <v>0</v>
      </c>
      <c r="BX1378" s="297">
        <f t="shared" si="420"/>
        <v>0.43</v>
      </c>
      <c r="BY1378">
        <f t="shared" si="421"/>
        <v>0</v>
      </c>
      <c r="BZ1378" s="303">
        <f t="shared" si="422"/>
        <v>0</v>
      </c>
      <c r="CB1378" s="298">
        <v>0.6</v>
      </c>
      <c r="CC1378" s="298">
        <v>0.4</v>
      </c>
      <c r="CD1378">
        <f t="shared" si="423"/>
        <v>0</v>
      </c>
      <c r="CE1378">
        <f t="shared" si="424"/>
        <v>0</v>
      </c>
      <c r="CF1378">
        <f t="shared" si="425"/>
        <v>0</v>
      </c>
      <c r="CG1378">
        <f t="shared" si="426"/>
        <v>0</v>
      </c>
      <c r="CH1378">
        <f t="shared" si="427"/>
        <v>0</v>
      </c>
      <c r="CI1378">
        <f t="shared" si="428"/>
        <v>0</v>
      </c>
      <c r="CJ1378">
        <f t="shared" si="429"/>
        <v>0</v>
      </c>
      <c r="CK1378">
        <f t="shared" si="430"/>
        <v>0</v>
      </c>
      <c r="CL1378">
        <f t="shared" si="431"/>
        <v>0</v>
      </c>
      <c r="CM1378">
        <f t="shared" si="433"/>
        <v>0</v>
      </c>
      <c r="CN1378">
        <f t="shared" si="432"/>
        <v>0</v>
      </c>
      <c r="CO1378">
        <f t="shared" si="416"/>
        <v>0</v>
      </c>
    </row>
    <row r="1379" spans="1:93" hidden="1" x14ac:dyDescent="0.25">
      <c r="A1379" s="4">
        <v>2021</v>
      </c>
      <c r="B1379" s="315">
        <v>44320</v>
      </c>
      <c r="C1379" s="4" t="s">
        <v>1522</v>
      </c>
      <c r="D1379" s="4" t="s">
        <v>1523</v>
      </c>
      <c r="F1379" s="4" t="s">
        <v>1524</v>
      </c>
      <c r="G1379" s="5" t="s">
        <v>1512</v>
      </c>
      <c r="H1379" s="5" t="s">
        <v>1525</v>
      </c>
      <c r="I1379" s="5" t="s">
        <v>18</v>
      </c>
      <c r="J1379" s="5" t="s">
        <v>9</v>
      </c>
      <c r="K1379" s="5">
        <v>15.5</v>
      </c>
      <c r="L1379" s="5" t="s">
        <v>1526</v>
      </c>
      <c r="M1379" s="5">
        <v>1100</v>
      </c>
      <c r="N1379" s="5" t="s">
        <v>170</v>
      </c>
      <c r="O1379" s="6" t="s">
        <v>81</v>
      </c>
      <c r="P1379" s="6" t="s">
        <v>1528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+VLOOKUP(G1379,Liste!$A$7:$G$69,3,FALSE)</f>
        <v>Pin d'Alep</v>
      </c>
      <c r="BI1379" s="96" t="str">
        <f>+VLOOKUP(H1379,Liste!$B$7:$G$69,5,FALSE)</f>
        <v>Pin d'Alep</v>
      </c>
      <c r="BJ1379" s="135">
        <f t="shared" si="415"/>
        <v>85</v>
      </c>
      <c r="BK1379" s="135" t="str">
        <f t="shared" si="417"/>
        <v>Pin d'Alep_F1_Classique_Pin d'Alep_85_</v>
      </c>
      <c r="BL1379" s="319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97" t="str">
        <f>+VLOOKUP(G1379,Liste!$A$7:$H$69,8,FALSE)</f>
        <v>Résineux</v>
      </c>
      <c r="BU1379" s="297">
        <f t="shared" si="418"/>
        <v>0</v>
      </c>
      <c r="BV1379" s="299">
        <f t="shared" si="419"/>
        <v>1</v>
      </c>
      <c r="BW1379" s="318">
        <v>0</v>
      </c>
      <c r="BX1379" s="297">
        <f t="shared" si="420"/>
        <v>0.43</v>
      </c>
      <c r="BY1379">
        <f t="shared" si="421"/>
        <v>0</v>
      </c>
      <c r="BZ1379" s="303">
        <f t="shared" si="422"/>
        <v>0</v>
      </c>
      <c r="CB1379" s="298">
        <v>0.6</v>
      </c>
      <c r="CC1379" s="298">
        <v>0.4</v>
      </c>
      <c r="CD1379">
        <f t="shared" si="423"/>
        <v>0</v>
      </c>
      <c r="CE1379">
        <f t="shared" si="424"/>
        <v>0</v>
      </c>
      <c r="CF1379">
        <f t="shared" si="425"/>
        <v>0</v>
      </c>
      <c r="CG1379">
        <f t="shared" si="426"/>
        <v>0</v>
      </c>
      <c r="CH1379">
        <f t="shared" si="427"/>
        <v>0</v>
      </c>
      <c r="CI1379">
        <f t="shared" si="428"/>
        <v>0</v>
      </c>
      <c r="CJ1379">
        <f t="shared" si="429"/>
        <v>0</v>
      </c>
      <c r="CK1379">
        <f t="shared" si="430"/>
        <v>0</v>
      </c>
      <c r="CL1379">
        <f t="shared" si="431"/>
        <v>0</v>
      </c>
      <c r="CM1379">
        <f t="shared" si="433"/>
        <v>0</v>
      </c>
      <c r="CN1379">
        <f t="shared" si="432"/>
        <v>0</v>
      </c>
      <c r="CO1379">
        <f t="shared" si="416"/>
        <v>0</v>
      </c>
    </row>
    <row r="1380" spans="1:93" hidden="1" x14ac:dyDescent="0.25">
      <c r="A1380" s="4">
        <v>2021</v>
      </c>
      <c r="B1380" s="315">
        <v>44320</v>
      </c>
      <c r="C1380" s="4" t="s">
        <v>1522</v>
      </c>
      <c r="D1380" s="4" t="s">
        <v>1523</v>
      </c>
      <c r="F1380" s="4" t="s">
        <v>1524</v>
      </c>
      <c r="G1380" s="5" t="s">
        <v>1512</v>
      </c>
      <c r="H1380" s="5" t="s">
        <v>1525</v>
      </c>
      <c r="I1380" s="5" t="s">
        <v>18</v>
      </c>
      <c r="J1380" s="5" t="s">
        <v>9</v>
      </c>
      <c r="K1380" s="5">
        <v>15.5</v>
      </c>
      <c r="L1380" s="5" t="s">
        <v>1526</v>
      </c>
      <c r="M1380" s="5">
        <v>1100</v>
      </c>
      <c r="N1380" s="5" t="s">
        <v>170</v>
      </c>
      <c r="O1380" s="6" t="s">
        <v>81</v>
      </c>
      <c r="P1380" s="6" t="s">
        <v>1528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+VLOOKUP(G1380,Liste!$A$7:$G$69,3,FALSE)</f>
        <v>Pin d'Alep</v>
      </c>
      <c r="BI1380" s="96" t="str">
        <f>+VLOOKUP(H1380,Liste!$B$7:$G$69,5,FALSE)</f>
        <v>Pin d'Alep</v>
      </c>
      <c r="BJ1380" s="135">
        <f t="shared" si="415"/>
        <v>86</v>
      </c>
      <c r="BK1380" s="135" t="str">
        <f t="shared" si="417"/>
        <v>Pin d'Alep_F1_Classique_Pin d'Alep_86_</v>
      </c>
      <c r="BL1380" s="319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97" t="str">
        <f>+VLOOKUP(G1380,Liste!$A$7:$H$69,8,FALSE)</f>
        <v>Résineux</v>
      </c>
      <c r="BU1380" s="297">
        <f t="shared" si="418"/>
        <v>0</v>
      </c>
      <c r="BV1380" s="299">
        <f t="shared" si="419"/>
        <v>1</v>
      </c>
      <c r="BW1380" s="318">
        <v>0</v>
      </c>
      <c r="BX1380" s="297">
        <f t="shared" si="420"/>
        <v>0.43</v>
      </c>
      <c r="BY1380">
        <f t="shared" si="421"/>
        <v>0</v>
      </c>
      <c r="BZ1380" s="303">
        <f t="shared" si="422"/>
        <v>0</v>
      </c>
      <c r="CB1380" s="298">
        <v>0.6</v>
      </c>
      <c r="CC1380" s="298">
        <v>0.4</v>
      </c>
      <c r="CD1380">
        <f t="shared" si="423"/>
        <v>0</v>
      </c>
      <c r="CE1380">
        <f t="shared" si="424"/>
        <v>0</v>
      </c>
      <c r="CF1380">
        <f t="shared" si="425"/>
        <v>0</v>
      </c>
      <c r="CG1380">
        <f t="shared" si="426"/>
        <v>0</v>
      </c>
      <c r="CH1380">
        <f t="shared" si="427"/>
        <v>0</v>
      </c>
      <c r="CI1380">
        <f t="shared" si="428"/>
        <v>0</v>
      </c>
      <c r="CJ1380">
        <f t="shared" si="429"/>
        <v>0</v>
      </c>
      <c r="CK1380">
        <f t="shared" si="430"/>
        <v>0</v>
      </c>
      <c r="CL1380">
        <f t="shared" si="431"/>
        <v>0</v>
      </c>
      <c r="CM1380">
        <f t="shared" si="433"/>
        <v>0</v>
      </c>
      <c r="CN1380">
        <f t="shared" si="432"/>
        <v>0</v>
      </c>
      <c r="CO1380">
        <f t="shared" si="416"/>
        <v>0</v>
      </c>
    </row>
    <row r="1381" spans="1:93" hidden="1" x14ac:dyDescent="0.25">
      <c r="A1381" s="4">
        <v>2021</v>
      </c>
      <c r="B1381" s="315">
        <v>44320</v>
      </c>
      <c r="C1381" s="4" t="s">
        <v>1522</v>
      </c>
      <c r="D1381" s="4" t="s">
        <v>1523</v>
      </c>
      <c r="F1381" s="4" t="s">
        <v>1524</v>
      </c>
      <c r="G1381" s="5" t="s">
        <v>1512</v>
      </c>
      <c r="H1381" s="5" t="s">
        <v>1525</v>
      </c>
      <c r="I1381" s="5" t="s">
        <v>18</v>
      </c>
      <c r="J1381" s="5" t="s">
        <v>9</v>
      </c>
      <c r="K1381" s="5">
        <v>15.5</v>
      </c>
      <c r="L1381" s="5" t="s">
        <v>1526</v>
      </c>
      <c r="M1381" s="5">
        <v>1100</v>
      </c>
      <c r="N1381" s="5" t="s">
        <v>170</v>
      </c>
      <c r="O1381" s="6" t="s">
        <v>81</v>
      </c>
      <c r="P1381" s="6" t="s">
        <v>1528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+VLOOKUP(G1381,Liste!$A$7:$G$69,3,FALSE)</f>
        <v>Pin d'Alep</v>
      </c>
      <c r="BI1381" s="96" t="str">
        <f>+VLOOKUP(H1381,Liste!$B$7:$G$69,5,FALSE)</f>
        <v>Pin d'Alep</v>
      </c>
      <c r="BJ1381" s="135">
        <f t="shared" si="415"/>
        <v>87</v>
      </c>
      <c r="BK1381" s="135" t="str">
        <f t="shared" si="417"/>
        <v>Pin d'Alep_F1_Classique_Pin d'Alep_87_</v>
      </c>
      <c r="BL1381" s="319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97" t="str">
        <f>+VLOOKUP(G1381,Liste!$A$7:$H$69,8,FALSE)</f>
        <v>Résineux</v>
      </c>
      <c r="BU1381" s="297">
        <f t="shared" si="418"/>
        <v>0</v>
      </c>
      <c r="BV1381" s="299">
        <f t="shared" si="419"/>
        <v>1</v>
      </c>
      <c r="BW1381" s="318">
        <v>0</v>
      </c>
      <c r="BX1381" s="297">
        <f t="shared" si="420"/>
        <v>0.43</v>
      </c>
      <c r="BY1381">
        <f t="shared" si="421"/>
        <v>0</v>
      </c>
      <c r="BZ1381" s="303">
        <f t="shared" si="422"/>
        <v>0</v>
      </c>
      <c r="CB1381" s="298">
        <v>0.6</v>
      </c>
      <c r="CC1381" s="298">
        <v>0.4</v>
      </c>
      <c r="CD1381">
        <f t="shared" si="423"/>
        <v>0</v>
      </c>
      <c r="CE1381">
        <f t="shared" si="424"/>
        <v>0</v>
      </c>
      <c r="CF1381">
        <f t="shared" si="425"/>
        <v>0</v>
      </c>
      <c r="CG1381">
        <f t="shared" si="426"/>
        <v>0</v>
      </c>
      <c r="CH1381">
        <f t="shared" si="427"/>
        <v>0</v>
      </c>
      <c r="CI1381">
        <f t="shared" si="428"/>
        <v>0</v>
      </c>
      <c r="CJ1381">
        <f t="shared" si="429"/>
        <v>0</v>
      </c>
      <c r="CK1381">
        <f t="shared" si="430"/>
        <v>0</v>
      </c>
      <c r="CL1381">
        <f t="shared" si="431"/>
        <v>0</v>
      </c>
      <c r="CM1381">
        <f t="shared" si="433"/>
        <v>0</v>
      </c>
      <c r="CN1381">
        <f t="shared" si="432"/>
        <v>0</v>
      </c>
      <c r="CO1381">
        <f t="shared" si="416"/>
        <v>0</v>
      </c>
    </row>
    <row r="1382" spans="1:93" hidden="1" x14ac:dyDescent="0.25">
      <c r="A1382" s="4">
        <v>2021</v>
      </c>
      <c r="B1382" s="315">
        <v>44320</v>
      </c>
      <c r="C1382" s="4" t="s">
        <v>1522</v>
      </c>
      <c r="D1382" s="4" t="s">
        <v>1523</v>
      </c>
      <c r="F1382" s="4" t="s">
        <v>1524</v>
      </c>
      <c r="G1382" s="5" t="s">
        <v>1512</v>
      </c>
      <c r="H1382" s="5" t="s">
        <v>1525</v>
      </c>
      <c r="I1382" s="5" t="s">
        <v>18</v>
      </c>
      <c r="J1382" s="5" t="s">
        <v>9</v>
      </c>
      <c r="K1382" s="5">
        <v>15.5</v>
      </c>
      <c r="L1382" s="5" t="s">
        <v>1526</v>
      </c>
      <c r="M1382" s="5">
        <v>1100</v>
      </c>
      <c r="N1382" s="5" t="s">
        <v>170</v>
      </c>
      <c r="O1382" s="6" t="s">
        <v>81</v>
      </c>
      <c r="P1382" s="6" t="s">
        <v>1528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+VLOOKUP(G1382,Liste!$A$7:$G$69,3,FALSE)</f>
        <v>Pin d'Alep</v>
      </c>
      <c r="BI1382" s="96" t="str">
        <f>+VLOOKUP(H1382,Liste!$B$7:$G$69,5,FALSE)</f>
        <v>Pin d'Alep</v>
      </c>
      <c r="BJ1382" s="135">
        <f t="shared" si="415"/>
        <v>88</v>
      </c>
      <c r="BK1382" s="135" t="str">
        <f t="shared" si="417"/>
        <v>Pin d'Alep_F1_Classique_Pin d'Alep_88_</v>
      </c>
      <c r="BL1382" s="319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97" t="str">
        <f>+VLOOKUP(G1382,Liste!$A$7:$H$69,8,FALSE)</f>
        <v>Résineux</v>
      </c>
      <c r="BU1382" s="297">
        <f t="shared" si="418"/>
        <v>0</v>
      </c>
      <c r="BV1382" s="299">
        <f t="shared" si="419"/>
        <v>1</v>
      </c>
      <c r="BW1382" s="318">
        <v>0</v>
      </c>
      <c r="BX1382" s="297">
        <f t="shared" si="420"/>
        <v>0.43</v>
      </c>
      <c r="BY1382">
        <f t="shared" si="421"/>
        <v>0</v>
      </c>
      <c r="BZ1382" s="303">
        <f t="shared" si="422"/>
        <v>0</v>
      </c>
      <c r="CB1382" s="298">
        <v>0.6</v>
      </c>
      <c r="CC1382" s="298">
        <v>0.4</v>
      </c>
      <c r="CD1382">
        <f t="shared" si="423"/>
        <v>0</v>
      </c>
      <c r="CE1382">
        <f t="shared" si="424"/>
        <v>0</v>
      </c>
      <c r="CF1382">
        <f t="shared" si="425"/>
        <v>0</v>
      </c>
      <c r="CG1382">
        <f t="shared" si="426"/>
        <v>0</v>
      </c>
      <c r="CH1382">
        <f t="shared" si="427"/>
        <v>0</v>
      </c>
      <c r="CI1382">
        <f t="shared" si="428"/>
        <v>0</v>
      </c>
      <c r="CJ1382">
        <f t="shared" si="429"/>
        <v>0</v>
      </c>
      <c r="CK1382">
        <f t="shared" si="430"/>
        <v>0</v>
      </c>
      <c r="CL1382">
        <f t="shared" si="431"/>
        <v>0</v>
      </c>
      <c r="CM1382">
        <f t="shared" si="433"/>
        <v>0</v>
      </c>
      <c r="CN1382">
        <f t="shared" si="432"/>
        <v>0</v>
      </c>
      <c r="CO1382">
        <f t="shared" si="416"/>
        <v>0</v>
      </c>
    </row>
    <row r="1383" spans="1:93" hidden="1" x14ac:dyDescent="0.25">
      <c r="A1383" s="4">
        <v>2021</v>
      </c>
      <c r="B1383" s="315">
        <v>44320</v>
      </c>
      <c r="C1383" s="4" t="s">
        <v>1522</v>
      </c>
      <c r="D1383" s="4" t="s">
        <v>1523</v>
      </c>
      <c r="F1383" s="4" t="s">
        <v>1524</v>
      </c>
      <c r="G1383" s="5" t="s">
        <v>1512</v>
      </c>
      <c r="H1383" s="5" t="s">
        <v>1525</v>
      </c>
      <c r="I1383" s="5" t="s">
        <v>18</v>
      </c>
      <c r="J1383" s="5" t="s">
        <v>9</v>
      </c>
      <c r="K1383" s="5">
        <v>15.5</v>
      </c>
      <c r="L1383" s="5" t="s">
        <v>1526</v>
      </c>
      <c r="M1383" s="5">
        <v>1100</v>
      </c>
      <c r="N1383" s="5" t="s">
        <v>170</v>
      </c>
      <c r="O1383" s="6" t="s">
        <v>81</v>
      </c>
      <c r="P1383" s="6" t="s">
        <v>1528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+VLOOKUP(G1383,Liste!$A$7:$G$69,3,FALSE)</f>
        <v>Pin d'Alep</v>
      </c>
      <c r="BI1383" s="96" t="str">
        <f>+VLOOKUP(H1383,Liste!$B$7:$G$69,5,FALSE)</f>
        <v>Pin d'Alep</v>
      </c>
      <c r="BJ1383" s="135">
        <f t="shared" si="415"/>
        <v>89</v>
      </c>
      <c r="BK1383" s="135" t="str">
        <f t="shared" si="417"/>
        <v>Pin d'Alep_F1_Classique_Pin d'Alep_89_</v>
      </c>
      <c r="BL1383" s="319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97" t="str">
        <f>+VLOOKUP(G1383,Liste!$A$7:$H$69,8,FALSE)</f>
        <v>Résineux</v>
      </c>
      <c r="BU1383" s="297">
        <f t="shared" si="418"/>
        <v>0</v>
      </c>
      <c r="BV1383" s="299">
        <f t="shared" si="419"/>
        <v>1</v>
      </c>
      <c r="BW1383" s="318">
        <v>0</v>
      </c>
      <c r="BX1383" s="297">
        <f t="shared" si="420"/>
        <v>0.43</v>
      </c>
      <c r="BY1383">
        <f t="shared" si="421"/>
        <v>0</v>
      </c>
      <c r="BZ1383" s="303">
        <f t="shared" si="422"/>
        <v>0</v>
      </c>
      <c r="CB1383" s="298">
        <v>0.6</v>
      </c>
      <c r="CC1383" s="298">
        <v>0.4</v>
      </c>
      <c r="CD1383">
        <f t="shared" si="423"/>
        <v>0</v>
      </c>
      <c r="CE1383">
        <f t="shared" si="424"/>
        <v>0</v>
      </c>
      <c r="CF1383">
        <f t="shared" si="425"/>
        <v>0</v>
      </c>
      <c r="CG1383">
        <f t="shared" si="426"/>
        <v>0</v>
      </c>
      <c r="CH1383">
        <f t="shared" si="427"/>
        <v>0</v>
      </c>
      <c r="CI1383">
        <f t="shared" si="428"/>
        <v>0</v>
      </c>
      <c r="CJ1383">
        <f t="shared" si="429"/>
        <v>0</v>
      </c>
      <c r="CK1383">
        <f t="shared" si="430"/>
        <v>0</v>
      </c>
      <c r="CL1383">
        <f t="shared" si="431"/>
        <v>0</v>
      </c>
      <c r="CM1383">
        <f t="shared" si="433"/>
        <v>0</v>
      </c>
      <c r="CN1383">
        <f t="shared" si="432"/>
        <v>0</v>
      </c>
      <c r="CO1383">
        <f t="shared" si="416"/>
        <v>0</v>
      </c>
    </row>
    <row r="1384" spans="1:93" hidden="1" x14ac:dyDescent="0.25">
      <c r="A1384" s="4">
        <v>2021</v>
      </c>
      <c r="B1384" s="315">
        <v>44320</v>
      </c>
      <c r="C1384" s="4" t="s">
        <v>1522</v>
      </c>
      <c r="D1384" s="4" t="s">
        <v>1523</v>
      </c>
      <c r="F1384" s="4" t="s">
        <v>1524</v>
      </c>
      <c r="G1384" s="5" t="s">
        <v>1512</v>
      </c>
      <c r="H1384" s="5" t="s">
        <v>1525</v>
      </c>
      <c r="I1384" s="5" t="s">
        <v>18</v>
      </c>
      <c r="J1384" s="5" t="s">
        <v>9</v>
      </c>
      <c r="K1384" s="5">
        <v>15.5</v>
      </c>
      <c r="L1384" s="5" t="s">
        <v>1526</v>
      </c>
      <c r="M1384" s="5">
        <v>1100</v>
      </c>
      <c r="N1384" s="5" t="s">
        <v>170</v>
      </c>
      <c r="O1384" s="6" t="s">
        <v>81</v>
      </c>
      <c r="P1384" s="6" t="s">
        <v>1528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+VLOOKUP(G1384,Liste!$A$7:$G$69,3,FALSE)</f>
        <v>Pin d'Alep</v>
      </c>
      <c r="BI1384" s="96" t="str">
        <f>+VLOOKUP(H1384,Liste!$B$7:$G$69,5,FALSE)</f>
        <v>Pin d'Alep</v>
      </c>
      <c r="BJ1384" s="135">
        <f t="shared" si="415"/>
        <v>89</v>
      </c>
      <c r="BK1384" s="135" t="str">
        <f t="shared" si="417"/>
        <v>Pin d'Alep_F1_Classique_Pin d'Alep_89_</v>
      </c>
      <c r="BL1384" s="319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97" t="str">
        <f>+VLOOKUP(G1384,Liste!$A$7:$H$69,8,FALSE)</f>
        <v>Résineux</v>
      </c>
      <c r="BU1384" s="297">
        <f t="shared" si="418"/>
        <v>0</v>
      </c>
      <c r="BV1384" s="299">
        <f t="shared" si="419"/>
        <v>1</v>
      </c>
      <c r="BW1384" s="318">
        <v>0</v>
      </c>
      <c r="BX1384" s="297">
        <f t="shared" si="420"/>
        <v>0.43</v>
      </c>
      <c r="BY1384">
        <f t="shared" si="421"/>
        <v>0</v>
      </c>
      <c r="BZ1384" s="303">
        <f t="shared" si="422"/>
        <v>0</v>
      </c>
      <c r="CB1384" s="298">
        <v>0.6</v>
      </c>
      <c r="CC1384" s="298">
        <v>0.4</v>
      </c>
      <c r="CD1384">
        <f t="shared" si="423"/>
        <v>0</v>
      </c>
      <c r="CE1384">
        <f t="shared" si="424"/>
        <v>0</v>
      </c>
      <c r="CF1384">
        <f t="shared" si="425"/>
        <v>0</v>
      </c>
      <c r="CG1384">
        <f t="shared" si="426"/>
        <v>0</v>
      </c>
      <c r="CH1384">
        <f t="shared" si="427"/>
        <v>0</v>
      </c>
      <c r="CI1384">
        <f t="shared" si="428"/>
        <v>0</v>
      </c>
      <c r="CJ1384">
        <f t="shared" si="429"/>
        <v>0</v>
      </c>
      <c r="CK1384">
        <f t="shared" si="430"/>
        <v>0</v>
      </c>
      <c r="CL1384">
        <f t="shared" si="431"/>
        <v>0</v>
      </c>
      <c r="CM1384">
        <f t="shared" si="433"/>
        <v>0</v>
      </c>
      <c r="CN1384">
        <f t="shared" si="432"/>
        <v>0</v>
      </c>
      <c r="CO1384">
        <f t="shared" si="416"/>
        <v>0</v>
      </c>
    </row>
    <row r="1385" spans="1:93" hidden="1" x14ac:dyDescent="0.25">
      <c r="A1385" s="4">
        <v>2021</v>
      </c>
      <c r="B1385" s="315">
        <v>44320</v>
      </c>
      <c r="C1385" s="4" t="s">
        <v>1522</v>
      </c>
      <c r="D1385" s="4" t="s">
        <v>1523</v>
      </c>
      <c r="F1385" s="4" t="s">
        <v>1524</v>
      </c>
      <c r="G1385" s="5" t="s">
        <v>1512</v>
      </c>
      <c r="H1385" s="5" t="s">
        <v>1525</v>
      </c>
      <c r="I1385" s="5" t="s">
        <v>146</v>
      </c>
      <c r="J1385" s="5" t="s">
        <v>9</v>
      </c>
      <c r="K1385" s="5">
        <v>15.5</v>
      </c>
      <c r="L1385" s="5" t="s">
        <v>1526</v>
      </c>
      <c r="M1385" s="5">
        <v>1100</v>
      </c>
      <c r="N1385" s="5" t="s">
        <v>170</v>
      </c>
      <c r="O1385" s="6" t="s">
        <v>81</v>
      </c>
      <c r="P1385" s="6" t="s">
        <v>1528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6" t="str">
        <f>+VLOOKUP(G1385,Liste!$A$7:$G$69,3,FALSE)</f>
        <v>Pin d'Alep</v>
      </c>
      <c r="BI1385" s="96" t="str">
        <f>+VLOOKUP(H1385,Liste!$B$7:$G$69,5,FALSE)</f>
        <v>Pin d'Alep</v>
      </c>
      <c r="BJ1385" s="135">
        <f t="shared" si="415"/>
        <v>15</v>
      </c>
      <c r="BK1385" s="135" t="str">
        <f t="shared" si="417"/>
        <v>Pin d'Alep_F1_Dynamique_Pin d'Alep_15_</v>
      </c>
      <c r="BL1385" s="319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97" t="str">
        <f>+VLOOKUP(G1385,Liste!$A$7:$H$69,8,FALSE)</f>
        <v>Résineux</v>
      </c>
      <c r="BU1385" s="297">
        <f t="shared" si="418"/>
        <v>0</v>
      </c>
      <c r="BV1385" s="299">
        <f t="shared" si="419"/>
        <v>1</v>
      </c>
      <c r="BW1385" s="318">
        <v>0</v>
      </c>
      <c r="BX1385" s="297">
        <f t="shared" si="420"/>
        <v>0.43</v>
      </c>
      <c r="BY1385">
        <f t="shared" si="421"/>
        <v>0</v>
      </c>
      <c r="BZ1385" s="303">
        <f t="shared" si="422"/>
        <v>0</v>
      </c>
      <c r="CB1385" s="298">
        <v>0.6</v>
      </c>
      <c r="CC1385" s="298">
        <v>0.4</v>
      </c>
      <c r="CD1385">
        <f t="shared" si="423"/>
        <v>0</v>
      </c>
      <c r="CE1385">
        <f t="shared" si="424"/>
        <v>0</v>
      </c>
      <c r="CF1385">
        <f t="shared" si="425"/>
        <v>0</v>
      </c>
      <c r="CG1385">
        <f t="shared" si="426"/>
        <v>0</v>
      </c>
      <c r="CH1385">
        <f t="shared" si="427"/>
        <v>0</v>
      </c>
      <c r="CI1385">
        <f t="shared" si="428"/>
        <v>0</v>
      </c>
      <c r="CJ1385">
        <f t="shared" si="429"/>
        <v>0</v>
      </c>
      <c r="CK1385">
        <f t="shared" si="430"/>
        <v>0</v>
      </c>
      <c r="CL1385">
        <f t="shared" si="431"/>
        <v>0</v>
      </c>
      <c r="CM1385">
        <f t="shared" si="433"/>
        <v>0</v>
      </c>
      <c r="CN1385">
        <f t="shared" si="432"/>
        <v>0</v>
      </c>
      <c r="CO1385">
        <f t="shared" si="416"/>
        <v>0</v>
      </c>
    </row>
    <row r="1386" spans="1:93" hidden="1" x14ac:dyDescent="0.25">
      <c r="A1386" s="4">
        <v>2021</v>
      </c>
      <c r="B1386" s="315">
        <v>44320</v>
      </c>
      <c r="C1386" s="4" t="s">
        <v>1522</v>
      </c>
      <c r="D1386" s="4" t="s">
        <v>1523</v>
      </c>
      <c r="F1386" s="4" t="s">
        <v>1524</v>
      </c>
      <c r="G1386" s="5" t="s">
        <v>1512</v>
      </c>
      <c r="H1386" s="5" t="s">
        <v>1525</v>
      </c>
      <c r="I1386" s="5" t="s">
        <v>146</v>
      </c>
      <c r="J1386" s="5" t="s">
        <v>9</v>
      </c>
      <c r="K1386" s="5">
        <v>15.5</v>
      </c>
      <c r="L1386" s="5" t="s">
        <v>1526</v>
      </c>
      <c r="M1386" s="5">
        <v>1100</v>
      </c>
      <c r="N1386" s="5" t="s">
        <v>170</v>
      </c>
      <c r="O1386" s="6" t="s">
        <v>81</v>
      </c>
      <c r="P1386" s="6" t="s">
        <v>1528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>IF($AD1386="ap",AL1385-AL1386,"")</f>
        <v/>
      </c>
      <c r="AZ1386" s="8" t="str">
        <f>IF($AD1386="ap",AM1385-AM1386,"")</f>
        <v/>
      </c>
      <c r="BA1386" s="8" t="str">
        <f>IF($AD1386="ap",AN1385-AN1386,"")</f>
        <v/>
      </c>
      <c r="BF1386" s="12">
        <v>0.45</v>
      </c>
      <c r="BG1386" s="13">
        <v>23.786241083820901</v>
      </c>
      <c r="BH1386" s="96" t="str">
        <f>+VLOOKUP(G1386,Liste!$A$7:$G$69,3,FALSE)</f>
        <v>Pin d'Alep</v>
      </c>
      <c r="BI1386" s="96" t="str">
        <f>+VLOOKUP(H1386,Liste!$B$7:$G$69,5,FALSE)</f>
        <v>Pin d'Alep</v>
      </c>
      <c r="BJ1386" s="135">
        <f t="shared" si="415"/>
        <v>16</v>
      </c>
      <c r="BK1386" s="135" t="str">
        <f t="shared" si="417"/>
        <v>Pin d'Alep_F1_Dynamique_Pin d'Alep_16_</v>
      </c>
      <c r="BL1386" s="319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97" t="str">
        <f>+VLOOKUP(G1386,Liste!$A$7:$H$69,8,FALSE)</f>
        <v>Résineux</v>
      </c>
      <c r="BU1386" s="297">
        <f t="shared" si="418"/>
        <v>0</v>
      </c>
      <c r="BV1386" s="299">
        <f t="shared" si="419"/>
        <v>1</v>
      </c>
      <c r="BW1386" s="318">
        <v>0</v>
      </c>
      <c r="BX1386" s="297">
        <f t="shared" si="420"/>
        <v>0.43</v>
      </c>
      <c r="BY1386">
        <f t="shared" si="421"/>
        <v>0</v>
      </c>
      <c r="BZ1386" s="303">
        <f t="shared" si="422"/>
        <v>0</v>
      </c>
      <c r="CB1386" s="298">
        <v>0.6</v>
      </c>
      <c r="CC1386" s="298">
        <v>0.4</v>
      </c>
      <c r="CD1386">
        <f t="shared" si="423"/>
        <v>0</v>
      </c>
      <c r="CE1386">
        <f t="shared" si="424"/>
        <v>0</v>
      </c>
      <c r="CF1386">
        <f t="shared" si="425"/>
        <v>0</v>
      </c>
      <c r="CG1386">
        <f t="shared" si="426"/>
        <v>0</v>
      </c>
      <c r="CH1386">
        <f t="shared" si="427"/>
        <v>0</v>
      </c>
      <c r="CI1386">
        <f t="shared" si="428"/>
        <v>0</v>
      </c>
      <c r="CJ1386">
        <f t="shared" si="429"/>
        <v>0</v>
      </c>
      <c r="CK1386">
        <f t="shared" si="430"/>
        <v>0</v>
      </c>
      <c r="CL1386">
        <f t="shared" si="431"/>
        <v>0</v>
      </c>
      <c r="CM1386">
        <f t="shared" si="433"/>
        <v>0</v>
      </c>
      <c r="CN1386">
        <f t="shared" si="432"/>
        <v>0</v>
      </c>
      <c r="CO1386">
        <f t="shared" si="416"/>
        <v>0</v>
      </c>
    </row>
    <row r="1387" spans="1:93" hidden="1" x14ac:dyDescent="0.25">
      <c r="A1387" s="4">
        <v>2021</v>
      </c>
      <c r="B1387" s="315">
        <v>44320</v>
      </c>
      <c r="C1387" s="4" t="s">
        <v>1522</v>
      </c>
      <c r="D1387" s="4" t="s">
        <v>1523</v>
      </c>
      <c r="F1387" s="4" t="s">
        <v>1524</v>
      </c>
      <c r="G1387" s="5" t="s">
        <v>1512</v>
      </c>
      <c r="H1387" s="5" t="s">
        <v>1525</v>
      </c>
      <c r="I1387" s="5" t="s">
        <v>146</v>
      </c>
      <c r="J1387" s="5" t="s">
        <v>9</v>
      </c>
      <c r="K1387" s="5">
        <v>15.5</v>
      </c>
      <c r="L1387" s="5" t="s">
        <v>1526</v>
      </c>
      <c r="M1387" s="5">
        <v>1100</v>
      </c>
      <c r="N1387" s="5" t="s">
        <v>170</v>
      </c>
      <c r="O1387" s="6" t="s">
        <v>81</v>
      </c>
      <c r="P1387" s="6" t="s">
        <v>1528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+VLOOKUP(G1387,Liste!$A$7:$G$69,3,FALSE)</f>
        <v>Pin d'Alep</v>
      </c>
      <c r="BI1387" s="96" t="str">
        <f>+VLOOKUP(H1387,Liste!$B$7:$G$69,5,FALSE)</f>
        <v>Pin d'Alep</v>
      </c>
      <c r="BJ1387" s="135">
        <f t="shared" si="415"/>
        <v>17</v>
      </c>
      <c r="BK1387" s="135" t="str">
        <f t="shared" si="417"/>
        <v>Pin d'Alep_F1_Dynamique_Pin d'Alep_17_</v>
      </c>
      <c r="BL1387" s="319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97" t="str">
        <f>+VLOOKUP(G1387,Liste!$A$7:$H$69,8,FALSE)</f>
        <v>Résineux</v>
      </c>
      <c r="BU1387" s="297">
        <f t="shared" si="418"/>
        <v>0</v>
      </c>
      <c r="BV1387" s="299">
        <f t="shared" si="419"/>
        <v>1</v>
      </c>
      <c r="BW1387" s="318">
        <v>0</v>
      </c>
      <c r="BX1387" s="297">
        <f t="shared" si="420"/>
        <v>0.43</v>
      </c>
      <c r="BY1387">
        <f t="shared" si="421"/>
        <v>0</v>
      </c>
      <c r="BZ1387" s="303">
        <f t="shared" si="422"/>
        <v>0</v>
      </c>
      <c r="CB1387" s="298">
        <v>0.6</v>
      </c>
      <c r="CC1387" s="298">
        <v>0.4</v>
      </c>
      <c r="CD1387">
        <f t="shared" si="423"/>
        <v>0</v>
      </c>
      <c r="CE1387">
        <f t="shared" si="424"/>
        <v>0</v>
      </c>
      <c r="CF1387">
        <f t="shared" si="425"/>
        <v>0</v>
      </c>
      <c r="CG1387">
        <f t="shared" si="426"/>
        <v>0</v>
      </c>
      <c r="CH1387">
        <f t="shared" si="427"/>
        <v>0</v>
      </c>
      <c r="CI1387">
        <f t="shared" si="428"/>
        <v>0</v>
      </c>
      <c r="CJ1387">
        <f t="shared" si="429"/>
        <v>0</v>
      </c>
      <c r="CK1387">
        <f t="shared" si="430"/>
        <v>0</v>
      </c>
      <c r="CL1387">
        <f t="shared" si="431"/>
        <v>0</v>
      </c>
      <c r="CM1387">
        <f t="shared" si="433"/>
        <v>0</v>
      </c>
      <c r="CN1387">
        <f t="shared" si="432"/>
        <v>0</v>
      </c>
      <c r="CO1387">
        <f t="shared" si="416"/>
        <v>0</v>
      </c>
    </row>
    <row r="1388" spans="1:93" hidden="1" x14ac:dyDescent="0.25">
      <c r="A1388" s="4">
        <v>2021</v>
      </c>
      <c r="B1388" s="315">
        <v>44320</v>
      </c>
      <c r="C1388" s="4" t="s">
        <v>1522</v>
      </c>
      <c r="D1388" s="4" t="s">
        <v>1523</v>
      </c>
      <c r="F1388" s="4" t="s">
        <v>1524</v>
      </c>
      <c r="G1388" s="5" t="s">
        <v>1512</v>
      </c>
      <c r="H1388" s="5" t="s">
        <v>1525</v>
      </c>
      <c r="I1388" s="5" t="s">
        <v>146</v>
      </c>
      <c r="J1388" s="5" t="s">
        <v>9</v>
      </c>
      <c r="K1388" s="5">
        <v>15.5</v>
      </c>
      <c r="L1388" s="5" t="s">
        <v>1526</v>
      </c>
      <c r="M1388" s="5">
        <v>1100</v>
      </c>
      <c r="N1388" s="5" t="s">
        <v>170</v>
      </c>
      <c r="O1388" s="6" t="s">
        <v>81</v>
      </c>
      <c r="P1388" s="6" t="s">
        <v>1528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+VLOOKUP(G1388,Liste!$A$7:$G$69,3,FALSE)</f>
        <v>Pin d'Alep</v>
      </c>
      <c r="BI1388" s="96" t="str">
        <f>+VLOOKUP(H1388,Liste!$B$7:$G$69,5,FALSE)</f>
        <v>Pin d'Alep</v>
      </c>
      <c r="BJ1388" s="135">
        <f t="shared" si="415"/>
        <v>18</v>
      </c>
      <c r="BK1388" s="135" t="str">
        <f t="shared" si="417"/>
        <v>Pin d'Alep_F1_Dynamique_Pin d'Alep_18_</v>
      </c>
      <c r="BL1388" s="319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97" t="str">
        <f>+VLOOKUP(G1388,Liste!$A$7:$H$69,8,FALSE)</f>
        <v>Résineux</v>
      </c>
      <c r="BU1388" s="297">
        <f t="shared" si="418"/>
        <v>0</v>
      </c>
      <c r="BV1388" s="299">
        <f t="shared" si="419"/>
        <v>1</v>
      </c>
      <c r="BW1388" s="318">
        <v>0</v>
      </c>
      <c r="BX1388" s="297">
        <f t="shared" si="420"/>
        <v>0.43</v>
      </c>
      <c r="BY1388">
        <f t="shared" si="421"/>
        <v>0</v>
      </c>
      <c r="BZ1388" s="303">
        <f t="shared" si="422"/>
        <v>0</v>
      </c>
      <c r="CB1388" s="298">
        <v>0.6</v>
      </c>
      <c r="CC1388" s="298">
        <v>0.4</v>
      </c>
      <c r="CD1388">
        <f t="shared" si="423"/>
        <v>0</v>
      </c>
      <c r="CE1388">
        <f t="shared" si="424"/>
        <v>0</v>
      </c>
      <c r="CF1388">
        <f t="shared" si="425"/>
        <v>0</v>
      </c>
      <c r="CG1388">
        <f t="shared" si="426"/>
        <v>0</v>
      </c>
      <c r="CH1388">
        <f t="shared" si="427"/>
        <v>0</v>
      </c>
      <c r="CI1388">
        <f t="shared" si="428"/>
        <v>0</v>
      </c>
      <c r="CJ1388">
        <f t="shared" si="429"/>
        <v>0</v>
      </c>
      <c r="CK1388">
        <f t="shared" si="430"/>
        <v>0</v>
      </c>
      <c r="CL1388">
        <f t="shared" si="431"/>
        <v>0</v>
      </c>
      <c r="CM1388">
        <f t="shared" si="433"/>
        <v>0</v>
      </c>
      <c r="CN1388">
        <f t="shared" si="432"/>
        <v>0</v>
      </c>
      <c r="CO1388">
        <f t="shared" si="416"/>
        <v>0</v>
      </c>
    </row>
    <row r="1389" spans="1:93" hidden="1" x14ac:dyDescent="0.25">
      <c r="A1389" s="4">
        <v>2021</v>
      </c>
      <c r="B1389" s="315">
        <v>44320</v>
      </c>
      <c r="C1389" s="4" t="s">
        <v>1522</v>
      </c>
      <c r="D1389" s="4" t="s">
        <v>1523</v>
      </c>
      <c r="F1389" s="4" t="s">
        <v>1524</v>
      </c>
      <c r="G1389" s="5" t="s">
        <v>1512</v>
      </c>
      <c r="H1389" s="5" t="s">
        <v>1525</v>
      </c>
      <c r="I1389" s="5" t="s">
        <v>146</v>
      </c>
      <c r="J1389" s="5" t="s">
        <v>9</v>
      </c>
      <c r="K1389" s="5">
        <v>15.5</v>
      </c>
      <c r="L1389" s="5" t="s">
        <v>1526</v>
      </c>
      <c r="M1389" s="5">
        <v>1100</v>
      </c>
      <c r="N1389" s="5" t="s">
        <v>170</v>
      </c>
      <c r="O1389" s="6" t="s">
        <v>81</v>
      </c>
      <c r="P1389" s="6" t="s">
        <v>1528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+VLOOKUP(G1389,Liste!$A$7:$G$69,3,FALSE)</f>
        <v>Pin d'Alep</v>
      </c>
      <c r="BI1389" s="96" t="str">
        <f>+VLOOKUP(H1389,Liste!$B$7:$G$69,5,FALSE)</f>
        <v>Pin d'Alep</v>
      </c>
      <c r="BJ1389" s="135">
        <f t="shared" si="415"/>
        <v>19</v>
      </c>
      <c r="BK1389" s="135" t="str">
        <f t="shared" si="417"/>
        <v>Pin d'Alep_F1_Dynamique_Pin d'Alep_19_</v>
      </c>
      <c r="BL1389" s="319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97" t="str">
        <f>+VLOOKUP(G1389,Liste!$A$7:$H$69,8,FALSE)</f>
        <v>Résineux</v>
      </c>
      <c r="BU1389" s="297">
        <f t="shared" si="418"/>
        <v>0</v>
      </c>
      <c r="BV1389" s="299">
        <f t="shared" si="419"/>
        <v>1</v>
      </c>
      <c r="BW1389" s="318">
        <v>0</v>
      </c>
      <c r="BX1389" s="297">
        <f t="shared" si="420"/>
        <v>0.43</v>
      </c>
      <c r="BY1389">
        <f t="shared" si="421"/>
        <v>0</v>
      </c>
      <c r="BZ1389" s="303">
        <f t="shared" si="422"/>
        <v>0</v>
      </c>
      <c r="CB1389" s="298">
        <v>0.6</v>
      </c>
      <c r="CC1389" s="298">
        <v>0.4</v>
      </c>
      <c r="CD1389">
        <f t="shared" si="423"/>
        <v>0</v>
      </c>
      <c r="CE1389">
        <f t="shared" si="424"/>
        <v>0</v>
      </c>
      <c r="CF1389">
        <f t="shared" si="425"/>
        <v>0</v>
      </c>
      <c r="CG1389">
        <f t="shared" si="426"/>
        <v>0</v>
      </c>
      <c r="CH1389">
        <f t="shared" si="427"/>
        <v>0</v>
      </c>
      <c r="CI1389">
        <f t="shared" si="428"/>
        <v>0</v>
      </c>
      <c r="CJ1389">
        <f t="shared" si="429"/>
        <v>0</v>
      </c>
      <c r="CK1389">
        <f t="shared" si="430"/>
        <v>0</v>
      </c>
      <c r="CL1389">
        <f t="shared" si="431"/>
        <v>0</v>
      </c>
      <c r="CM1389">
        <f t="shared" si="433"/>
        <v>0</v>
      </c>
      <c r="CN1389">
        <f t="shared" si="432"/>
        <v>0</v>
      </c>
      <c r="CO1389">
        <f t="shared" si="416"/>
        <v>0</v>
      </c>
    </row>
    <row r="1390" spans="1:93" hidden="1" x14ac:dyDescent="0.25">
      <c r="A1390" s="4">
        <v>2021</v>
      </c>
      <c r="B1390" s="315">
        <v>44320</v>
      </c>
      <c r="C1390" s="4" t="s">
        <v>1522</v>
      </c>
      <c r="D1390" s="4" t="s">
        <v>1523</v>
      </c>
      <c r="F1390" s="4" t="s">
        <v>1524</v>
      </c>
      <c r="G1390" s="5" t="s">
        <v>1512</v>
      </c>
      <c r="H1390" s="5" t="s">
        <v>1525</v>
      </c>
      <c r="I1390" s="5" t="s">
        <v>146</v>
      </c>
      <c r="J1390" s="5" t="s">
        <v>9</v>
      </c>
      <c r="K1390" s="5">
        <v>15.5</v>
      </c>
      <c r="L1390" s="5" t="s">
        <v>1526</v>
      </c>
      <c r="M1390" s="5">
        <v>1100</v>
      </c>
      <c r="N1390" s="5" t="s">
        <v>170</v>
      </c>
      <c r="O1390" s="6" t="s">
        <v>81</v>
      </c>
      <c r="P1390" s="6" t="s">
        <v>1528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+VLOOKUP(G1390,Liste!$A$7:$G$69,3,FALSE)</f>
        <v>Pin d'Alep</v>
      </c>
      <c r="BI1390" s="96" t="str">
        <f>+VLOOKUP(H1390,Liste!$B$7:$G$69,5,FALSE)</f>
        <v>Pin d'Alep</v>
      </c>
      <c r="BJ1390" s="135">
        <f t="shared" si="415"/>
        <v>20</v>
      </c>
      <c r="BK1390" s="135" t="str">
        <f t="shared" si="417"/>
        <v>Pin d'Alep_F1_Dynamique_Pin d'Alep_20_</v>
      </c>
      <c r="BL1390" s="319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97" t="str">
        <f>+VLOOKUP(G1390,Liste!$A$7:$H$69,8,FALSE)</f>
        <v>Résineux</v>
      </c>
      <c r="BU1390" s="297">
        <f t="shared" si="418"/>
        <v>0</v>
      </c>
      <c r="BV1390" s="299">
        <f t="shared" si="419"/>
        <v>1</v>
      </c>
      <c r="BW1390" s="318">
        <v>0</v>
      </c>
      <c r="BX1390" s="297">
        <f t="shared" si="420"/>
        <v>0.43</v>
      </c>
      <c r="BY1390">
        <f t="shared" si="421"/>
        <v>0</v>
      </c>
      <c r="BZ1390" s="303">
        <f t="shared" si="422"/>
        <v>0</v>
      </c>
      <c r="CB1390" s="298">
        <v>0.6</v>
      </c>
      <c r="CC1390" s="298">
        <v>0.4</v>
      </c>
      <c r="CD1390">
        <f t="shared" si="423"/>
        <v>0</v>
      </c>
      <c r="CE1390">
        <f t="shared" si="424"/>
        <v>0</v>
      </c>
      <c r="CF1390">
        <f t="shared" si="425"/>
        <v>0</v>
      </c>
      <c r="CG1390">
        <f t="shared" si="426"/>
        <v>0</v>
      </c>
      <c r="CH1390">
        <f t="shared" si="427"/>
        <v>0</v>
      </c>
      <c r="CI1390">
        <f t="shared" si="428"/>
        <v>0</v>
      </c>
      <c r="CJ1390">
        <f t="shared" si="429"/>
        <v>0</v>
      </c>
      <c r="CK1390">
        <f t="shared" si="430"/>
        <v>0</v>
      </c>
      <c r="CL1390">
        <f t="shared" si="431"/>
        <v>0</v>
      </c>
      <c r="CM1390">
        <f t="shared" si="433"/>
        <v>0</v>
      </c>
      <c r="CN1390">
        <f t="shared" si="432"/>
        <v>0</v>
      </c>
      <c r="CO1390">
        <f t="shared" si="416"/>
        <v>0</v>
      </c>
    </row>
    <row r="1391" spans="1:93" hidden="1" x14ac:dyDescent="0.25">
      <c r="A1391" s="4">
        <v>2021</v>
      </c>
      <c r="B1391" s="315">
        <v>44320</v>
      </c>
      <c r="C1391" s="4" t="s">
        <v>1522</v>
      </c>
      <c r="D1391" s="4" t="s">
        <v>1523</v>
      </c>
      <c r="F1391" s="4" t="s">
        <v>1524</v>
      </c>
      <c r="G1391" s="5" t="s">
        <v>1512</v>
      </c>
      <c r="H1391" s="5" t="s">
        <v>1525</v>
      </c>
      <c r="I1391" s="5" t="s">
        <v>146</v>
      </c>
      <c r="J1391" s="5" t="s">
        <v>9</v>
      </c>
      <c r="K1391" s="5">
        <v>15.5</v>
      </c>
      <c r="L1391" s="5" t="s">
        <v>1526</v>
      </c>
      <c r="M1391" s="5">
        <v>1100</v>
      </c>
      <c r="N1391" s="5" t="s">
        <v>170</v>
      </c>
      <c r="O1391" s="6" t="s">
        <v>81</v>
      </c>
      <c r="P1391" s="6" t="s">
        <v>1528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+VLOOKUP(G1391,Liste!$A$7:$G$69,3,FALSE)</f>
        <v>Pin d'Alep</v>
      </c>
      <c r="BI1391" s="96" t="str">
        <f>+VLOOKUP(H1391,Liste!$B$7:$G$69,5,FALSE)</f>
        <v>Pin d'Alep</v>
      </c>
      <c r="BJ1391" s="135">
        <f t="shared" si="415"/>
        <v>21</v>
      </c>
      <c r="BK1391" s="135" t="str">
        <f t="shared" si="417"/>
        <v>Pin d'Alep_F1_Dynamique_Pin d'Alep_21_</v>
      </c>
      <c r="BL1391" s="319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97" t="str">
        <f>+VLOOKUP(G1391,Liste!$A$7:$H$69,8,FALSE)</f>
        <v>Résineux</v>
      </c>
      <c r="BU1391" s="297">
        <f t="shared" si="418"/>
        <v>0</v>
      </c>
      <c r="BV1391" s="299">
        <f t="shared" si="419"/>
        <v>1</v>
      </c>
      <c r="BW1391" s="318">
        <v>0</v>
      </c>
      <c r="BX1391" s="297">
        <f t="shared" si="420"/>
        <v>0.43</v>
      </c>
      <c r="BY1391">
        <f t="shared" si="421"/>
        <v>0</v>
      </c>
      <c r="BZ1391" s="303">
        <f t="shared" si="422"/>
        <v>0</v>
      </c>
      <c r="CB1391" s="298">
        <v>0.6</v>
      </c>
      <c r="CC1391" s="298">
        <v>0.4</v>
      </c>
      <c r="CD1391">
        <f t="shared" si="423"/>
        <v>0</v>
      </c>
      <c r="CE1391">
        <f t="shared" si="424"/>
        <v>0</v>
      </c>
      <c r="CF1391">
        <f t="shared" si="425"/>
        <v>0</v>
      </c>
      <c r="CG1391">
        <f t="shared" si="426"/>
        <v>0</v>
      </c>
      <c r="CH1391">
        <f t="shared" si="427"/>
        <v>0</v>
      </c>
      <c r="CI1391">
        <f t="shared" si="428"/>
        <v>0</v>
      </c>
      <c r="CJ1391">
        <f t="shared" si="429"/>
        <v>0</v>
      </c>
      <c r="CK1391">
        <f t="shared" si="430"/>
        <v>0</v>
      </c>
      <c r="CL1391">
        <f t="shared" si="431"/>
        <v>0</v>
      </c>
      <c r="CM1391">
        <f t="shared" si="433"/>
        <v>0</v>
      </c>
      <c r="CN1391">
        <f t="shared" si="432"/>
        <v>0</v>
      </c>
      <c r="CO1391">
        <f t="shared" si="416"/>
        <v>0</v>
      </c>
    </row>
    <row r="1392" spans="1:93" hidden="1" x14ac:dyDescent="0.25">
      <c r="A1392" s="4">
        <v>2021</v>
      </c>
      <c r="B1392" s="315">
        <v>44320</v>
      </c>
      <c r="C1392" s="4" t="s">
        <v>1522</v>
      </c>
      <c r="D1392" s="4" t="s">
        <v>1523</v>
      </c>
      <c r="F1392" s="4" t="s">
        <v>1524</v>
      </c>
      <c r="G1392" s="5" t="s">
        <v>1512</v>
      </c>
      <c r="H1392" s="5" t="s">
        <v>1525</v>
      </c>
      <c r="I1392" s="5" t="s">
        <v>146</v>
      </c>
      <c r="J1392" s="5" t="s">
        <v>9</v>
      </c>
      <c r="K1392" s="5">
        <v>15.5</v>
      </c>
      <c r="L1392" s="5" t="s">
        <v>1526</v>
      </c>
      <c r="M1392" s="5">
        <v>1100</v>
      </c>
      <c r="N1392" s="5" t="s">
        <v>170</v>
      </c>
      <c r="O1392" s="6" t="s">
        <v>81</v>
      </c>
      <c r="P1392" s="6" t="s">
        <v>1528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+VLOOKUP(G1392,Liste!$A$7:$G$69,3,FALSE)</f>
        <v>Pin d'Alep</v>
      </c>
      <c r="BI1392" s="96" t="str">
        <f>+VLOOKUP(H1392,Liste!$B$7:$G$69,5,FALSE)</f>
        <v>Pin d'Alep</v>
      </c>
      <c r="BJ1392" s="135">
        <f t="shared" si="415"/>
        <v>22</v>
      </c>
      <c r="BK1392" s="135" t="str">
        <f t="shared" si="417"/>
        <v>Pin d'Alep_F1_Dynamique_Pin d'Alep_22_</v>
      </c>
      <c r="BL1392" s="319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97" t="str">
        <f>+VLOOKUP(G1392,Liste!$A$7:$H$69,8,FALSE)</f>
        <v>Résineux</v>
      </c>
      <c r="BU1392" s="297">
        <f t="shared" si="418"/>
        <v>0</v>
      </c>
      <c r="BV1392" s="299">
        <f t="shared" si="419"/>
        <v>1</v>
      </c>
      <c r="BW1392" s="318">
        <v>0</v>
      </c>
      <c r="BX1392" s="297">
        <f t="shared" si="420"/>
        <v>0.43</v>
      </c>
      <c r="BY1392">
        <f t="shared" si="421"/>
        <v>0</v>
      </c>
      <c r="BZ1392" s="303">
        <f t="shared" si="422"/>
        <v>0</v>
      </c>
      <c r="CB1392" s="298">
        <v>0.6</v>
      </c>
      <c r="CC1392" s="298">
        <v>0.4</v>
      </c>
      <c r="CD1392">
        <f t="shared" si="423"/>
        <v>0</v>
      </c>
      <c r="CE1392">
        <f t="shared" si="424"/>
        <v>0</v>
      </c>
      <c r="CF1392">
        <f t="shared" si="425"/>
        <v>0</v>
      </c>
      <c r="CG1392">
        <f t="shared" si="426"/>
        <v>0</v>
      </c>
      <c r="CH1392">
        <f t="shared" si="427"/>
        <v>0</v>
      </c>
      <c r="CI1392">
        <f t="shared" si="428"/>
        <v>0</v>
      </c>
      <c r="CJ1392">
        <f t="shared" si="429"/>
        <v>0</v>
      </c>
      <c r="CK1392">
        <f t="shared" si="430"/>
        <v>0</v>
      </c>
      <c r="CL1392">
        <f t="shared" si="431"/>
        <v>0</v>
      </c>
      <c r="CM1392">
        <f t="shared" si="433"/>
        <v>0</v>
      </c>
      <c r="CN1392">
        <f t="shared" si="432"/>
        <v>0</v>
      </c>
      <c r="CO1392">
        <f t="shared" si="416"/>
        <v>0</v>
      </c>
    </row>
    <row r="1393" spans="1:93" hidden="1" x14ac:dyDescent="0.25">
      <c r="A1393" s="4">
        <v>2021</v>
      </c>
      <c r="B1393" s="315">
        <v>44320</v>
      </c>
      <c r="C1393" s="4" t="s">
        <v>1522</v>
      </c>
      <c r="D1393" s="4" t="s">
        <v>1523</v>
      </c>
      <c r="F1393" s="4" t="s">
        <v>1524</v>
      </c>
      <c r="G1393" s="5" t="s">
        <v>1512</v>
      </c>
      <c r="H1393" s="5" t="s">
        <v>1525</v>
      </c>
      <c r="I1393" s="5" t="s">
        <v>146</v>
      </c>
      <c r="J1393" s="5" t="s">
        <v>9</v>
      </c>
      <c r="K1393" s="5">
        <v>15.5</v>
      </c>
      <c r="L1393" s="5" t="s">
        <v>1526</v>
      </c>
      <c r="M1393" s="5">
        <v>1100</v>
      </c>
      <c r="N1393" s="5" t="s">
        <v>170</v>
      </c>
      <c r="O1393" s="6" t="s">
        <v>81</v>
      </c>
      <c r="P1393" s="6" t="s">
        <v>1528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+VLOOKUP(G1393,Liste!$A$7:$G$69,3,FALSE)</f>
        <v>Pin d'Alep</v>
      </c>
      <c r="BI1393" s="96" t="str">
        <f>+VLOOKUP(H1393,Liste!$B$7:$G$69,5,FALSE)</f>
        <v>Pin d'Alep</v>
      </c>
      <c r="BJ1393" s="135">
        <f t="shared" si="415"/>
        <v>23</v>
      </c>
      <c r="BK1393" s="135" t="str">
        <f t="shared" si="417"/>
        <v>Pin d'Alep_F1_Dynamique_Pin d'Alep_23_</v>
      </c>
      <c r="BL1393" s="319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97" t="str">
        <f>+VLOOKUP(G1393,Liste!$A$7:$H$69,8,FALSE)</f>
        <v>Résineux</v>
      </c>
      <c r="BU1393" s="297">
        <f t="shared" si="418"/>
        <v>0</v>
      </c>
      <c r="BV1393" s="299">
        <f t="shared" si="419"/>
        <v>1</v>
      </c>
      <c r="BW1393" s="318">
        <v>0</v>
      </c>
      <c r="BX1393" s="297">
        <f t="shared" si="420"/>
        <v>0.43</v>
      </c>
      <c r="BY1393">
        <f t="shared" si="421"/>
        <v>0</v>
      </c>
      <c r="BZ1393" s="303">
        <f t="shared" si="422"/>
        <v>0</v>
      </c>
      <c r="CB1393" s="298">
        <v>0.6</v>
      </c>
      <c r="CC1393" s="298">
        <v>0.4</v>
      </c>
      <c r="CD1393">
        <f t="shared" si="423"/>
        <v>0</v>
      </c>
      <c r="CE1393">
        <f t="shared" si="424"/>
        <v>0</v>
      </c>
      <c r="CF1393">
        <f t="shared" si="425"/>
        <v>0</v>
      </c>
      <c r="CG1393">
        <f t="shared" si="426"/>
        <v>0</v>
      </c>
      <c r="CH1393">
        <f t="shared" si="427"/>
        <v>0</v>
      </c>
      <c r="CI1393">
        <f t="shared" si="428"/>
        <v>0</v>
      </c>
      <c r="CJ1393">
        <f t="shared" si="429"/>
        <v>0</v>
      </c>
      <c r="CK1393">
        <f t="shared" si="430"/>
        <v>0</v>
      </c>
      <c r="CL1393">
        <f t="shared" si="431"/>
        <v>0</v>
      </c>
      <c r="CM1393">
        <f t="shared" si="433"/>
        <v>0</v>
      </c>
      <c r="CN1393">
        <f t="shared" si="432"/>
        <v>0</v>
      </c>
      <c r="CO1393">
        <f t="shared" si="416"/>
        <v>0</v>
      </c>
    </row>
    <row r="1394" spans="1:93" hidden="1" x14ac:dyDescent="0.25">
      <c r="A1394" s="4">
        <v>2021</v>
      </c>
      <c r="B1394" s="315">
        <v>44320</v>
      </c>
      <c r="C1394" s="4" t="s">
        <v>1522</v>
      </c>
      <c r="D1394" s="4" t="s">
        <v>1523</v>
      </c>
      <c r="F1394" s="4" t="s">
        <v>1524</v>
      </c>
      <c r="G1394" s="5" t="s">
        <v>1512</v>
      </c>
      <c r="H1394" s="5" t="s">
        <v>1525</v>
      </c>
      <c r="I1394" s="5" t="s">
        <v>146</v>
      </c>
      <c r="J1394" s="5" t="s">
        <v>9</v>
      </c>
      <c r="K1394" s="5">
        <v>15.5</v>
      </c>
      <c r="L1394" s="5" t="s">
        <v>1526</v>
      </c>
      <c r="M1394" s="5">
        <v>1100</v>
      </c>
      <c r="N1394" s="5" t="s">
        <v>170</v>
      </c>
      <c r="O1394" s="6" t="s">
        <v>81</v>
      </c>
      <c r="P1394" s="6" t="s">
        <v>1528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+VLOOKUP(G1394,Liste!$A$7:$G$69,3,FALSE)</f>
        <v>Pin d'Alep</v>
      </c>
      <c r="BI1394" s="96" t="str">
        <f>+VLOOKUP(H1394,Liste!$B$7:$G$69,5,FALSE)</f>
        <v>Pin d'Alep</v>
      </c>
      <c r="BJ1394" s="135">
        <f t="shared" si="415"/>
        <v>24</v>
      </c>
      <c r="BK1394" s="135" t="str">
        <f t="shared" si="417"/>
        <v>Pin d'Alep_F1_Dynamique_Pin d'Alep_24_</v>
      </c>
      <c r="BL1394" s="319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97" t="str">
        <f>+VLOOKUP(G1394,Liste!$A$7:$H$69,8,FALSE)</f>
        <v>Résineux</v>
      </c>
      <c r="BU1394" s="297">
        <f t="shared" si="418"/>
        <v>0</v>
      </c>
      <c r="BV1394" s="299">
        <f t="shared" si="419"/>
        <v>1</v>
      </c>
      <c r="BW1394" s="318">
        <v>0</v>
      </c>
      <c r="BX1394" s="297">
        <f t="shared" si="420"/>
        <v>0.43</v>
      </c>
      <c r="BY1394">
        <f t="shared" si="421"/>
        <v>0</v>
      </c>
      <c r="BZ1394" s="303">
        <f t="shared" si="422"/>
        <v>0</v>
      </c>
      <c r="CB1394" s="298">
        <v>0.6</v>
      </c>
      <c r="CC1394" s="298">
        <v>0.4</v>
      </c>
      <c r="CD1394">
        <f t="shared" si="423"/>
        <v>0</v>
      </c>
      <c r="CE1394">
        <f t="shared" si="424"/>
        <v>0</v>
      </c>
      <c r="CF1394">
        <f t="shared" si="425"/>
        <v>0</v>
      </c>
      <c r="CG1394">
        <f t="shared" si="426"/>
        <v>0</v>
      </c>
      <c r="CH1394">
        <f t="shared" si="427"/>
        <v>0</v>
      </c>
      <c r="CI1394">
        <f t="shared" si="428"/>
        <v>0</v>
      </c>
      <c r="CJ1394">
        <f t="shared" si="429"/>
        <v>0</v>
      </c>
      <c r="CK1394">
        <f t="shared" si="430"/>
        <v>0</v>
      </c>
      <c r="CL1394">
        <f t="shared" si="431"/>
        <v>0</v>
      </c>
      <c r="CM1394">
        <f t="shared" si="433"/>
        <v>0</v>
      </c>
      <c r="CN1394">
        <f t="shared" si="432"/>
        <v>0</v>
      </c>
      <c r="CO1394">
        <f t="shared" si="416"/>
        <v>0</v>
      </c>
    </row>
    <row r="1395" spans="1:93" hidden="1" x14ac:dyDescent="0.25">
      <c r="A1395" s="4">
        <v>2021</v>
      </c>
      <c r="B1395" s="315">
        <v>44320</v>
      </c>
      <c r="C1395" s="4" t="s">
        <v>1522</v>
      </c>
      <c r="D1395" s="4" t="s">
        <v>1523</v>
      </c>
      <c r="F1395" s="4" t="s">
        <v>1524</v>
      </c>
      <c r="G1395" s="5" t="s">
        <v>1512</v>
      </c>
      <c r="H1395" s="5" t="s">
        <v>1525</v>
      </c>
      <c r="I1395" s="5" t="s">
        <v>146</v>
      </c>
      <c r="J1395" s="5" t="s">
        <v>9</v>
      </c>
      <c r="K1395" s="5">
        <v>15.5</v>
      </c>
      <c r="L1395" s="5" t="s">
        <v>1526</v>
      </c>
      <c r="M1395" s="5">
        <v>1100</v>
      </c>
      <c r="N1395" s="5" t="s">
        <v>170</v>
      </c>
      <c r="O1395" s="6" t="s">
        <v>81</v>
      </c>
      <c r="P1395" s="6" t="s">
        <v>1528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+VLOOKUP(G1395,Liste!$A$7:$G$69,3,FALSE)</f>
        <v>Pin d'Alep</v>
      </c>
      <c r="BI1395" s="96" t="str">
        <f>+VLOOKUP(H1395,Liste!$B$7:$G$69,5,FALSE)</f>
        <v>Pin d'Alep</v>
      </c>
      <c r="BJ1395" s="135">
        <f t="shared" si="415"/>
        <v>25</v>
      </c>
      <c r="BK1395" s="135" t="str">
        <f t="shared" si="417"/>
        <v>Pin d'Alep_F1_Dynamique_Pin d'Alep_25_</v>
      </c>
      <c r="BL1395" s="319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97" t="str">
        <f>+VLOOKUP(G1395,Liste!$A$7:$H$69,8,FALSE)</f>
        <v>Résineux</v>
      </c>
      <c r="BU1395" s="297">
        <f t="shared" si="418"/>
        <v>0</v>
      </c>
      <c r="BV1395" s="299">
        <f t="shared" si="419"/>
        <v>1</v>
      </c>
      <c r="BW1395" s="318">
        <v>0</v>
      </c>
      <c r="BX1395" s="297">
        <f t="shared" si="420"/>
        <v>0.43</v>
      </c>
      <c r="BY1395">
        <f t="shared" si="421"/>
        <v>0</v>
      </c>
      <c r="BZ1395" s="303">
        <f t="shared" si="422"/>
        <v>0</v>
      </c>
      <c r="CB1395" s="298">
        <v>0.6</v>
      </c>
      <c r="CC1395" s="298">
        <v>0.4</v>
      </c>
      <c r="CD1395">
        <f t="shared" si="423"/>
        <v>0</v>
      </c>
      <c r="CE1395">
        <f t="shared" si="424"/>
        <v>0</v>
      </c>
      <c r="CF1395">
        <f t="shared" si="425"/>
        <v>0</v>
      </c>
      <c r="CG1395">
        <f t="shared" si="426"/>
        <v>0</v>
      </c>
      <c r="CH1395">
        <f t="shared" si="427"/>
        <v>0</v>
      </c>
      <c r="CI1395">
        <f t="shared" si="428"/>
        <v>0</v>
      </c>
      <c r="CJ1395">
        <f t="shared" si="429"/>
        <v>0</v>
      </c>
      <c r="CK1395">
        <f t="shared" si="430"/>
        <v>0</v>
      </c>
      <c r="CL1395">
        <f t="shared" si="431"/>
        <v>0</v>
      </c>
      <c r="CM1395">
        <f t="shared" si="433"/>
        <v>0</v>
      </c>
      <c r="CN1395">
        <f t="shared" si="432"/>
        <v>0</v>
      </c>
      <c r="CO1395">
        <f t="shared" si="416"/>
        <v>0</v>
      </c>
    </row>
    <row r="1396" spans="1:93" hidden="1" x14ac:dyDescent="0.25">
      <c r="A1396" s="4">
        <v>2021</v>
      </c>
      <c r="B1396" s="315">
        <v>44320</v>
      </c>
      <c r="C1396" s="4" t="s">
        <v>1522</v>
      </c>
      <c r="D1396" s="4" t="s">
        <v>1523</v>
      </c>
      <c r="F1396" s="4" t="s">
        <v>1524</v>
      </c>
      <c r="G1396" s="5" t="s">
        <v>1512</v>
      </c>
      <c r="H1396" s="5" t="s">
        <v>1525</v>
      </c>
      <c r="I1396" s="5" t="s">
        <v>146</v>
      </c>
      <c r="J1396" s="5" t="s">
        <v>9</v>
      </c>
      <c r="K1396" s="5">
        <v>15.5</v>
      </c>
      <c r="L1396" s="5" t="s">
        <v>1526</v>
      </c>
      <c r="M1396" s="5">
        <v>1100</v>
      </c>
      <c r="N1396" s="5" t="s">
        <v>170</v>
      </c>
      <c r="O1396" s="6" t="s">
        <v>81</v>
      </c>
      <c r="P1396" s="6" t="s">
        <v>1528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+VLOOKUP(G1396,Liste!$A$7:$G$69,3,FALSE)</f>
        <v>Pin d'Alep</v>
      </c>
      <c r="BI1396" s="96" t="str">
        <f>+VLOOKUP(H1396,Liste!$B$7:$G$69,5,FALSE)</f>
        <v>Pin d'Alep</v>
      </c>
      <c r="BJ1396" s="135">
        <f t="shared" si="415"/>
        <v>26</v>
      </c>
      <c r="BK1396" s="135" t="str">
        <f t="shared" si="417"/>
        <v>Pin d'Alep_F1_Dynamique_Pin d'Alep_26_</v>
      </c>
      <c r="BL1396" s="319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97" t="str">
        <f>+VLOOKUP(G1396,Liste!$A$7:$H$69,8,FALSE)</f>
        <v>Résineux</v>
      </c>
      <c r="BU1396" s="297">
        <f t="shared" si="418"/>
        <v>0</v>
      </c>
      <c r="BV1396" s="299">
        <f t="shared" si="419"/>
        <v>1</v>
      </c>
      <c r="BW1396" s="318">
        <v>0</v>
      </c>
      <c r="BX1396" s="297">
        <f t="shared" si="420"/>
        <v>0.43</v>
      </c>
      <c r="BY1396">
        <f t="shared" si="421"/>
        <v>0</v>
      </c>
      <c r="BZ1396" s="303">
        <f t="shared" si="422"/>
        <v>0</v>
      </c>
      <c r="CB1396" s="298">
        <v>0.6</v>
      </c>
      <c r="CC1396" s="298">
        <v>0.4</v>
      </c>
      <c r="CD1396">
        <f t="shared" si="423"/>
        <v>0</v>
      </c>
      <c r="CE1396">
        <f t="shared" si="424"/>
        <v>0</v>
      </c>
      <c r="CF1396">
        <f t="shared" si="425"/>
        <v>0</v>
      </c>
      <c r="CG1396">
        <f t="shared" si="426"/>
        <v>0</v>
      </c>
      <c r="CH1396">
        <f t="shared" si="427"/>
        <v>0</v>
      </c>
      <c r="CI1396">
        <f t="shared" si="428"/>
        <v>0</v>
      </c>
      <c r="CJ1396">
        <f t="shared" si="429"/>
        <v>0</v>
      </c>
      <c r="CK1396">
        <f t="shared" si="430"/>
        <v>0</v>
      </c>
      <c r="CL1396">
        <f t="shared" si="431"/>
        <v>0</v>
      </c>
      <c r="CM1396">
        <f t="shared" si="433"/>
        <v>0</v>
      </c>
      <c r="CN1396">
        <f t="shared" si="432"/>
        <v>0</v>
      </c>
      <c r="CO1396">
        <f t="shared" si="416"/>
        <v>0</v>
      </c>
    </row>
    <row r="1397" spans="1:93" hidden="1" x14ac:dyDescent="0.25">
      <c r="A1397" s="4">
        <v>2021</v>
      </c>
      <c r="B1397" s="315">
        <v>44320</v>
      </c>
      <c r="C1397" s="4" t="s">
        <v>1522</v>
      </c>
      <c r="D1397" s="4" t="s">
        <v>1523</v>
      </c>
      <c r="F1397" s="4" t="s">
        <v>1524</v>
      </c>
      <c r="G1397" s="5" t="s">
        <v>1512</v>
      </c>
      <c r="H1397" s="5" t="s">
        <v>1525</v>
      </c>
      <c r="I1397" s="5" t="s">
        <v>146</v>
      </c>
      <c r="J1397" s="5" t="s">
        <v>9</v>
      </c>
      <c r="K1397" s="5">
        <v>15.5</v>
      </c>
      <c r="L1397" s="5" t="s">
        <v>1526</v>
      </c>
      <c r="M1397" s="5">
        <v>1100</v>
      </c>
      <c r="N1397" s="5" t="s">
        <v>170</v>
      </c>
      <c r="O1397" s="6" t="s">
        <v>81</v>
      </c>
      <c r="P1397" s="6" t="s">
        <v>1528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+VLOOKUP(G1397,Liste!$A$7:$G$69,3,FALSE)</f>
        <v>Pin d'Alep</v>
      </c>
      <c r="BI1397" s="96" t="str">
        <f>+VLOOKUP(H1397,Liste!$B$7:$G$69,5,FALSE)</f>
        <v>Pin d'Alep</v>
      </c>
      <c r="BJ1397" s="135">
        <f t="shared" si="415"/>
        <v>27</v>
      </c>
      <c r="BK1397" s="135" t="str">
        <f t="shared" si="417"/>
        <v>Pin d'Alep_F1_Dynamique_Pin d'Alep_27_</v>
      </c>
      <c r="BL1397" s="319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97" t="str">
        <f>+VLOOKUP(G1397,Liste!$A$7:$H$69,8,FALSE)</f>
        <v>Résineux</v>
      </c>
      <c r="BU1397" s="297">
        <f t="shared" si="418"/>
        <v>0</v>
      </c>
      <c r="BV1397" s="299">
        <f t="shared" si="419"/>
        <v>1</v>
      </c>
      <c r="BW1397" s="318">
        <v>0</v>
      </c>
      <c r="BX1397" s="297">
        <f t="shared" si="420"/>
        <v>0.43</v>
      </c>
      <c r="BY1397">
        <f t="shared" si="421"/>
        <v>0</v>
      </c>
      <c r="BZ1397" s="303">
        <f t="shared" si="422"/>
        <v>0</v>
      </c>
      <c r="CB1397" s="298">
        <v>0.6</v>
      </c>
      <c r="CC1397" s="298">
        <v>0.4</v>
      </c>
      <c r="CD1397">
        <f t="shared" si="423"/>
        <v>0</v>
      </c>
      <c r="CE1397">
        <f t="shared" si="424"/>
        <v>0</v>
      </c>
      <c r="CF1397">
        <f t="shared" si="425"/>
        <v>0</v>
      </c>
      <c r="CG1397">
        <f t="shared" si="426"/>
        <v>0</v>
      </c>
      <c r="CH1397">
        <f t="shared" si="427"/>
        <v>0</v>
      </c>
      <c r="CI1397">
        <f t="shared" si="428"/>
        <v>0</v>
      </c>
      <c r="CJ1397">
        <f t="shared" si="429"/>
        <v>0</v>
      </c>
      <c r="CK1397">
        <f t="shared" si="430"/>
        <v>0</v>
      </c>
      <c r="CL1397">
        <f t="shared" si="431"/>
        <v>0</v>
      </c>
      <c r="CM1397">
        <f t="shared" si="433"/>
        <v>0</v>
      </c>
      <c r="CN1397">
        <f t="shared" si="432"/>
        <v>0</v>
      </c>
      <c r="CO1397">
        <f t="shared" si="416"/>
        <v>0</v>
      </c>
    </row>
    <row r="1398" spans="1:93" hidden="1" x14ac:dyDescent="0.25">
      <c r="A1398" s="4">
        <v>2021</v>
      </c>
      <c r="B1398" s="315">
        <v>44320</v>
      </c>
      <c r="C1398" s="4" t="s">
        <v>1522</v>
      </c>
      <c r="D1398" s="4" t="s">
        <v>1523</v>
      </c>
      <c r="F1398" s="4" t="s">
        <v>1524</v>
      </c>
      <c r="G1398" s="5" t="s">
        <v>1512</v>
      </c>
      <c r="H1398" s="5" t="s">
        <v>1525</v>
      </c>
      <c r="I1398" s="5" t="s">
        <v>146</v>
      </c>
      <c r="J1398" s="5" t="s">
        <v>9</v>
      </c>
      <c r="K1398" s="5">
        <v>15.5</v>
      </c>
      <c r="L1398" s="5" t="s">
        <v>1526</v>
      </c>
      <c r="M1398" s="5">
        <v>1100</v>
      </c>
      <c r="N1398" s="5" t="s">
        <v>170</v>
      </c>
      <c r="O1398" s="6" t="s">
        <v>81</v>
      </c>
      <c r="P1398" s="6" t="s">
        <v>1528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+VLOOKUP(G1398,Liste!$A$7:$G$69,3,FALSE)</f>
        <v>Pin d'Alep</v>
      </c>
      <c r="BI1398" s="96" t="str">
        <f>+VLOOKUP(H1398,Liste!$B$7:$G$69,5,FALSE)</f>
        <v>Pin d'Alep</v>
      </c>
      <c r="BJ1398" s="135">
        <f t="shared" si="415"/>
        <v>27</v>
      </c>
      <c r="BK1398" s="135" t="str">
        <f t="shared" si="417"/>
        <v>Pin d'Alep_F1_Dynamique_Pin d'Alep_27_</v>
      </c>
      <c r="BL1398" s="319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97" t="str">
        <f>+VLOOKUP(G1398,Liste!$A$7:$H$69,8,FALSE)</f>
        <v>Résineux</v>
      </c>
      <c r="BU1398" s="297">
        <f t="shared" si="418"/>
        <v>0</v>
      </c>
      <c r="BV1398" s="299">
        <f t="shared" si="419"/>
        <v>1</v>
      </c>
      <c r="BW1398" s="318">
        <v>0</v>
      </c>
      <c r="BX1398" s="297">
        <f t="shared" si="420"/>
        <v>0.43</v>
      </c>
      <c r="BY1398">
        <f t="shared" si="421"/>
        <v>7.1113826356907985</v>
      </c>
      <c r="BZ1398" s="303">
        <f t="shared" si="422"/>
        <v>7.1113826356907985</v>
      </c>
      <c r="CB1398" s="298">
        <v>0.6</v>
      </c>
      <c r="CC1398" s="298">
        <v>0.4</v>
      </c>
      <c r="CD1398">
        <f t="shared" si="423"/>
        <v>0</v>
      </c>
      <c r="CE1398">
        <f t="shared" si="424"/>
        <v>9.922859491661578</v>
      </c>
      <c r="CF1398">
        <f t="shared" si="425"/>
        <v>6.6152396611077195</v>
      </c>
      <c r="CG1398">
        <f t="shared" si="426"/>
        <v>0</v>
      </c>
      <c r="CH1398">
        <f t="shared" si="427"/>
        <v>7.7770411265897614</v>
      </c>
      <c r="CI1398">
        <f t="shared" si="428"/>
        <v>5.1846940843931746</v>
      </c>
      <c r="CJ1398">
        <f t="shared" si="429"/>
        <v>0</v>
      </c>
      <c r="CK1398">
        <f t="shared" si="430"/>
        <v>0</v>
      </c>
      <c r="CL1398">
        <f t="shared" si="431"/>
        <v>0</v>
      </c>
      <c r="CM1398">
        <f t="shared" si="433"/>
        <v>0</v>
      </c>
      <c r="CN1398">
        <f t="shared" si="432"/>
        <v>0</v>
      </c>
      <c r="CO1398">
        <f t="shared" si="416"/>
        <v>0</v>
      </c>
    </row>
    <row r="1399" spans="1:93" hidden="1" x14ac:dyDescent="0.25">
      <c r="A1399" s="4">
        <v>2021</v>
      </c>
      <c r="B1399" s="315">
        <v>44320</v>
      </c>
      <c r="C1399" s="4" t="s">
        <v>1522</v>
      </c>
      <c r="D1399" s="4" t="s">
        <v>1523</v>
      </c>
      <c r="F1399" s="4" t="s">
        <v>1524</v>
      </c>
      <c r="G1399" s="5" t="s">
        <v>1512</v>
      </c>
      <c r="H1399" s="5" t="s">
        <v>1525</v>
      </c>
      <c r="I1399" s="5" t="s">
        <v>146</v>
      </c>
      <c r="J1399" s="5" t="s">
        <v>9</v>
      </c>
      <c r="K1399" s="5">
        <v>15.5</v>
      </c>
      <c r="L1399" s="5" t="s">
        <v>1526</v>
      </c>
      <c r="M1399" s="5">
        <v>1100</v>
      </c>
      <c r="N1399" s="5" t="s">
        <v>170</v>
      </c>
      <c r="O1399" s="6" t="s">
        <v>81</v>
      </c>
      <c r="P1399" s="6" t="s">
        <v>1528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+VLOOKUP(G1399,Liste!$A$7:$G$69,3,FALSE)</f>
        <v>Pin d'Alep</v>
      </c>
      <c r="BI1399" s="96" t="str">
        <f>+VLOOKUP(H1399,Liste!$B$7:$G$69,5,FALSE)</f>
        <v>Pin d'Alep</v>
      </c>
      <c r="BJ1399" s="135">
        <f t="shared" si="415"/>
        <v>28</v>
      </c>
      <c r="BK1399" s="135" t="str">
        <f t="shared" si="417"/>
        <v>Pin d'Alep_F1_Dynamique_Pin d'Alep_28_</v>
      </c>
      <c r="BL1399" s="319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97" t="str">
        <f>+VLOOKUP(G1399,Liste!$A$7:$H$69,8,FALSE)</f>
        <v>Résineux</v>
      </c>
      <c r="BU1399" s="297">
        <f t="shared" si="418"/>
        <v>0</v>
      </c>
      <c r="BV1399" s="299">
        <f t="shared" si="419"/>
        <v>1</v>
      </c>
      <c r="BW1399" s="318">
        <v>0</v>
      </c>
      <c r="BX1399" s="297">
        <f t="shared" si="420"/>
        <v>0.43</v>
      </c>
      <c r="BY1399">
        <f t="shared" si="421"/>
        <v>0</v>
      </c>
      <c r="BZ1399" s="303">
        <f t="shared" si="422"/>
        <v>7.1113826356907985</v>
      </c>
      <c r="CB1399" s="298">
        <v>0.6</v>
      </c>
      <c r="CC1399" s="298">
        <v>0.4</v>
      </c>
      <c r="CD1399">
        <f t="shared" si="423"/>
        <v>0</v>
      </c>
      <c r="CE1399">
        <f t="shared" si="424"/>
        <v>0</v>
      </c>
      <c r="CF1399">
        <f t="shared" si="425"/>
        <v>0</v>
      </c>
      <c r="CG1399">
        <f t="shared" si="426"/>
        <v>0</v>
      </c>
      <c r="CH1399">
        <f t="shared" si="427"/>
        <v>0</v>
      </c>
      <c r="CI1399">
        <f t="shared" si="428"/>
        <v>0</v>
      </c>
      <c r="CJ1399">
        <f t="shared" si="429"/>
        <v>0</v>
      </c>
      <c r="CK1399">
        <f t="shared" si="430"/>
        <v>7.6702179763473577</v>
      </c>
      <c r="CL1399">
        <f t="shared" si="431"/>
        <v>4.3816429801077525</v>
      </c>
      <c r="CM1399">
        <f t="shared" si="433"/>
        <v>12.05186095645511</v>
      </c>
      <c r="CN1399">
        <f t="shared" si="432"/>
        <v>12.05186095645511</v>
      </c>
      <c r="CO1399">
        <f t="shared" si="416"/>
        <v>0</v>
      </c>
    </row>
    <row r="1400" spans="1:93" hidden="1" x14ac:dyDescent="0.25">
      <c r="A1400" s="4">
        <v>2021</v>
      </c>
      <c r="B1400" s="315">
        <v>44320</v>
      </c>
      <c r="C1400" s="4" t="s">
        <v>1522</v>
      </c>
      <c r="D1400" s="4" t="s">
        <v>1523</v>
      </c>
      <c r="F1400" s="4" t="s">
        <v>1524</v>
      </c>
      <c r="G1400" s="5" t="s">
        <v>1512</v>
      </c>
      <c r="H1400" s="5" t="s">
        <v>1525</v>
      </c>
      <c r="I1400" s="5" t="s">
        <v>146</v>
      </c>
      <c r="J1400" s="5" t="s">
        <v>9</v>
      </c>
      <c r="K1400" s="5">
        <v>15.5</v>
      </c>
      <c r="L1400" s="5" t="s">
        <v>1526</v>
      </c>
      <c r="M1400" s="5">
        <v>1100</v>
      </c>
      <c r="N1400" s="5" t="s">
        <v>170</v>
      </c>
      <c r="O1400" s="6" t="s">
        <v>81</v>
      </c>
      <c r="P1400" s="6" t="s">
        <v>1528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+VLOOKUP(G1400,Liste!$A$7:$G$69,3,FALSE)</f>
        <v>Pin d'Alep</v>
      </c>
      <c r="BI1400" s="96" t="str">
        <f>+VLOOKUP(H1400,Liste!$B$7:$G$69,5,FALSE)</f>
        <v>Pin d'Alep</v>
      </c>
      <c r="BJ1400" s="135">
        <f t="shared" si="415"/>
        <v>29</v>
      </c>
      <c r="BK1400" s="135" t="str">
        <f t="shared" si="417"/>
        <v>Pin d'Alep_F1_Dynamique_Pin d'Alep_29_</v>
      </c>
      <c r="BL1400" s="319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97" t="str">
        <f>+VLOOKUP(G1400,Liste!$A$7:$H$69,8,FALSE)</f>
        <v>Résineux</v>
      </c>
      <c r="BU1400" s="297">
        <f t="shared" si="418"/>
        <v>0</v>
      </c>
      <c r="BV1400" s="299">
        <f t="shared" si="419"/>
        <v>1</v>
      </c>
      <c r="BW1400" s="318">
        <v>0</v>
      </c>
      <c r="BX1400" s="297">
        <f t="shared" si="420"/>
        <v>0.43</v>
      </c>
      <c r="BY1400">
        <f t="shared" si="421"/>
        <v>0</v>
      </c>
      <c r="BZ1400" s="303">
        <f t="shared" si="422"/>
        <v>7.1113826356907985</v>
      </c>
      <c r="CB1400" s="298">
        <v>0.6</v>
      </c>
      <c r="CC1400" s="298">
        <v>0.4</v>
      </c>
      <c r="CD1400">
        <f t="shared" si="423"/>
        <v>0</v>
      </c>
      <c r="CE1400">
        <f t="shared" si="424"/>
        <v>0</v>
      </c>
      <c r="CF1400">
        <f t="shared" si="425"/>
        <v>0</v>
      </c>
      <c r="CG1400">
        <f t="shared" si="426"/>
        <v>0</v>
      </c>
      <c r="CH1400">
        <f t="shared" si="427"/>
        <v>0</v>
      </c>
      <c r="CI1400">
        <f t="shared" si="428"/>
        <v>0</v>
      </c>
      <c r="CJ1400">
        <f t="shared" si="429"/>
        <v>0</v>
      </c>
      <c r="CK1400">
        <f t="shared" si="430"/>
        <v>7.4604754624249061</v>
      </c>
      <c r="CL1400">
        <f t="shared" si="431"/>
        <v>3.0982894639726246</v>
      </c>
      <c r="CM1400">
        <f t="shared" si="433"/>
        <v>10.558764926397531</v>
      </c>
      <c r="CN1400">
        <f t="shared" si="432"/>
        <v>22.610625882852641</v>
      </c>
      <c r="CO1400">
        <f t="shared" si="416"/>
        <v>0</v>
      </c>
    </row>
    <row r="1401" spans="1:93" hidden="1" x14ac:dyDescent="0.25">
      <c r="A1401" s="4">
        <v>2021</v>
      </c>
      <c r="B1401" s="315">
        <v>44320</v>
      </c>
      <c r="C1401" s="4" t="s">
        <v>1522</v>
      </c>
      <c r="D1401" s="4" t="s">
        <v>1523</v>
      </c>
      <c r="F1401" s="4" t="s">
        <v>1524</v>
      </c>
      <c r="G1401" s="5" t="s">
        <v>1512</v>
      </c>
      <c r="H1401" s="5" t="s">
        <v>1525</v>
      </c>
      <c r="I1401" s="5" t="s">
        <v>146</v>
      </c>
      <c r="J1401" s="5" t="s">
        <v>9</v>
      </c>
      <c r="K1401" s="5">
        <v>15.5</v>
      </c>
      <c r="L1401" s="5" t="s">
        <v>1526</v>
      </c>
      <c r="M1401" s="5">
        <v>1100</v>
      </c>
      <c r="N1401" s="5" t="s">
        <v>170</v>
      </c>
      <c r="O1401" s="6" t="s">
        <v>81</v>
      </c>
      <c r="P1401" s="6" t="s">
        <v>1528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+VLOOKUP(G1401,Liste!$A$7:$G$69,3,FALSE)</f>
        <v>Pin d'Alep</v>
      </c>
      <c r="BI1401" s="96" t="str">
        <f>+VLOOKUP(H1401,Liste!$B$7:$G$69,5,FALSE)</f>
        <v>Pin d'Alep</v>
      </c>
      <c r="BJ1401" s="135">
        <f t="shared" si="415"/>
        <v>30</v>
      </c>
      <c r="BK1401" s="135" t="str">
        <f t="shared" si="417"/>
        <v>Pin d'Alep_F1_Dynamique_Pin d'Alep_30_</v>
      </c>
      <c r="BL1401" s="319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97" t="str">
        <f>+VLOOKUP(G1401,Liste!$A$7:$H$69,8,FALSE)</f>
        <v>Résineux</v>
      </c>
      <c r="BU1401" s="297">
        <f t="shared" si="418"/>
        <v>0</v>
      </c>
      <c r="BV1401" s="299">
        <f t="shared" si="419"/>
        <v>1</v>
      </c>
      <c r="BW1401" s="318">
        <v>0</v>
      </c>
      <c r="BX1401" s="297">
        <f t="shared" si="420"/>
        <v>0.43</v>
      </c>
      <c r="BY1401">
        <f t="shared" si="421"/>
        <v>0</v>
      </c>
      <c r="BZ1401" s="303">
        <f t="shared" si="422"/>
        <v>7.1113826356907985</v>
      </c>
      <c r="CB1401" s="298">
        <v>0.6</v>
      </c>
      <c r="CC1401" s="298">
        <v>0.4</v>
      </c>
      <c r="CD1401">
        <f t="shared" si="423"/>
        <v>0</v>
      </c>
      <c r="CE1401">
        <f t="shared" si="424"/>
        <v>0</v>
      </c>
      <c r="CF1401">
        <f t="shared" si="425"/>
        <v>0</v>
      </c>
      <c r="CG1401">
        <f t="shared" si="426"/>
        <v>0</v>
      </c>
      <c r="CH1401">
        <f t="shared" si="427"/>
        <v>0</v>
      </c>
      <c r="CI1401">
        <f t="shared" si="428"/>
        <v>0</v>
      </c>
      <c r="CJ1401">
        <f t="shared" si="429"/>
        <v>0</v>
      </c>
      <c r="CK1401">
        <f t="shared" si="430"/>
        <v>7.2564683685755433</v>
      </c>
      <c r="CL1401">
        <f t="shared" si="431"/>
        <v>2.1908214900538763</v>
      </c>
      <c r="CM1401">
        <f t="shared" si="433"/>
        <v>9.4472898586294196</v>
      </c>
      <c r="CN1401">
        <f t="shared" si="432"/>
        <v>32.057915741482063</v>
      </c>
      <c r="CO1401">
        <f t="shared" si="416"/>
        <v>1.0685971913827355</v>
      </c>
    </row>
    <row r="1402" spans="1:93" hidden="1" x14ac:dyDescent="0.25">
      <c r="A1402" s="4">
        <v>2021</v>
      </c>
      <c r="B1402" s="315">
        <v>44320</v>
      </c>
      <c r="C1402" s="4" t="s">
        <v>1522</v>
      </c>
      <c r="D1402" s="4" t="s">
        <v>1523</v>
      </c>
      <c r="F1402" s="4" t="s">
        <v>1524</v>
      </c>
      <c r="G1402" s="5" t="s">
        <v>1512</v>
      </c>
      <c r="H1402" s="5" t="s">
        <v>1525</v>
      </c>
      <c r="I1402" s="5" t="s">
        <v>146</v>
      </c>
      <c r="J1402" s="5" t="s">
        <v>9</v>
      </c>
      <c r="K1402" s="5">
        <v>15.5</v>
      </c>
      <c r="L1402" s="5" t="s">
        <v>1526</v>
      </c>
      <c r="M1402" s="5">
        <v>1100</v>
      </c>
      <c r="N1402" s="5" t="s">
        <v>170</v>
      </c>
      <c r="O1402" s="6" t="s">
        <v>81</v>
      </c>
      <c r="P1402" s="6" t="s">
        <v>1528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+VLOOKUP(G1402,Liste!$A$7:$G$69,3,FALSE)</f>
        <v>Pin d'Alep</v>
      </c>
      <c r="BI1402" s="96" t="str">
        <f>+VLOOKUP(H1402,Liste!$B$7:$G$69,5,FALSE)</f>
        <v>Pin d'Alep</v>
      </c>
      <c r="BJ1402" s="135">
        <f t="shared" si="415"/>
        <v>31</v>
      </c>
      <c r="BK1402" s="135" t="str">
        <f t="shared" si="417"/>
        <v>Pin d'Alep_F1_Dynamique_Pin d'Alep_31_</v>
      </c>
      <c r="BL1402" s="319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97" t="str">
        <f>+VLOOKUP(G1402,Liste!$A$7:$H$69,8,FALSE)</f>
        <v>Résineux</v>
      </c>
      <c r="BU1402" s="297">
        <f t="shared" si="418"/>
        <v>0</v>
      </c>
      <c r="BV1402" s="299">
        <f t="shared" si="419"/>
        <v>1</v>
      </c>
      <c r="BW1402" s="318">
        <v>0</v>
      </c>
      <c r="BX1402" s="297">
        <f t="shared" si="420"/>
        <v>0.43</v>
      </c>
      <c r="BY1402">
        <f t="shared" si="421"/>
        <v>0</v>
      </c>
      <c r="BZ1402" s="303">
        <f t="shared" si="422"/>
        <v>0</v>
      </c>
      <c r="CB1402" s="298">
        <v>0.6</v>
      </c>
      <c r="CC1402" s="298">
        <v>0.4</v>
      </c>
      <c r="CD1402">
        <f t="shared" si="423"/>
        <v>0</v>
      </c>
      <c r="CE1402">
        <f t="shared" si="424"/>
        <v>0</v>
      </c>
      <c r="CF1402">
        <f t="shared" si="425"/>
        <v>0</v>
      </c>
      <c r="CG1402">
        <f t="shared" si="426"/>
        <v>0</v>
      </c>
      <c r="CH1402">
        <f t="shared" si="427"/>
        <v>0</v>
      </c>
      <c r="CI1402">
        <f t="shared" si="428"/>
        <v>0</v>
      </c>
      <c r="CJ1402">
        <f t="shared" si="429"/>
        <v>0</v>
      </c>
      <c r="CK1402">
        <f t="shared" si="430"/>
        <v>7.0580398594357581</v>
      </c>
      <c r="CL1402">
        <f t="shared" si="431"/>
        <v>1.5491447319863123</v>
      </c>
      <c r="CM1402">
        <f t="shared" si="433"/>
        <v>8.6071845914220706</v>
      </c>
      <c r="CN1402">
        <f t="shared" si="432"/>
        <v>40.665100332904132</v>
      </c>
      <c r="CO1402">
        <f t="shared" si="416"/>
        <v>0</v>
      </c>
    </row>
    <row r="1403" spans="1:93" hidden="1" x14ac:dyDescent="0.25">
      <c r="A1403" s="4">
        <v>2021</v>
      </c>
      <c r="B1403" s="315">
        <v>44320</v>
      </c>
      <c r="C1403" s="4" t="s">
        <v>1522</v>
      </c>
      <c r="D1403" s="4" t="s">
        <v>1523</v>
      </c>
      <c r="F1403" s="4" t="s">
        <v>1524</v>
      </c>
      <c r="G1403" s="5" t="s">
        <v>1512</v>
      </c>
      <c r="H1403" s="5" t="s">
        <v>1525</v>
      </c>
      <c r="I1403" s="5" t="s">
        <v>146</v>
      </c>
      <c r="J1403" s="5" t="s">
        <v>9</v>
      </c>
      <c r="K1403" s="5">
        <v>15.5</v>
      </c>
      <c r="L1403" s="5" t="s">
        <v>1526</v>
      </c>
      <c r="M1403" s="5">
        <v>1100</v>
      </c>
      <c r="N1403" s="5" t="s">
        <v>170</v>
      </c>
      <c r="O1403" s="6" t="s">
        <v>81</v>
      </c>
      <c r="P1403" s="6" t="s">
        <v>1528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+VLOOKUP(G1403,Liste!$A$7:$G$69,3,FALSE)</f>
        <v>Pin d'Alep</v>
      </c>
      <c r="BI1403" s="96" t="str">
        <f>+VLOOKUP(H1403,Liste!$B$7:$G$69,5,FALSE)</f>
        <v>Pin d'Alep</v>
      </c>
      <c r="BJ1403" s="135">
        <f t="shared" si="415"/>
        <v>32</v>
      </c>
      <c r="BK1403" s="135" t="str">
        <f t="shared" si="417"/>
        <v>Pin d'Alep_F1_Dynamique_Pin d'Alep_32_</v>
      </c>
      <c r="BL1403" s="319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97" t="str">
        <f>+VLOOKUP(G1403,Liste!$A$7:$H$69,8,FALSE)</f>
        <v>Résineux</v>
      </c>
      <c r="BU1403" s="297">
        <f t="shared" si="418"/>
        <v>0</v>
      </c>
      <c r="BV1403" s="299">
        <f t="shared" si="419"/>
        <v>1</v>
      </c>
      <c r="BW1403" s="318">
        <v>0</v>
      </c>
      <c r="BX1403" s="297">
        <f t="shared" si="420"/>
        <v>0.43</v>
      </c>
      <c r="BY1403">
        <f t="shared" si="421"/>
        <v>0</v>
      </c>
      <c r="BZ1403" s="303">
        <f t="shared" si="422"/>
        <v>0</v>
      </c>
      <c r="CB1403" s="298">
        <v>0.6</v>
      </c>
      <c r="CC1403" s="298">
        <v>0.4</v>
      </c>
      <c r="CD1403">
        <f t="shared" si="423"/>
        <v>0</v>
      </c>
      <c r="CE1403">
        <f t="shared" si="424"/>
        <v>0</v>
      </c>
      <c r="CF1403">
        <f t="shared" si="425"/>
        <v>0</v>
      </c>
      <c r="CG1403">
        <f t="shared" si="426"/>
        <v>0</v>
      </c>
      <c r="CH1403">
        <f t="shared" si="427"/>
        <v>0</v>
      </c>
      <c r="CI1403">
        <f t="shared" si="428"/>
        <v>0</v>
      </c>
      <c r="CJ1403">
        <f t="shared" si="429"/>
        <v>0</v>
      </c>
      <c r="CK1403">
        <f t="shared" si="430"/>
        <v>0</v>
      </c>
      <c r="CL1403">
        <f t="shared" si="431"/>
        <v>0</v>
      </c>
      <c r="CM1403">
        <f t="shared" si="433"/>
        <v>0</v>
      </c>
      <c r="CN1403">
        <f t="shared" si="432"/>
        <v>0</v>
      </c>
      <c r="CO1403">
        <f t="shared" si="416"/>
        <v>0</v>
      </c>
    </row>
    <row r="1404" spans="1:93" hidden="1" x14ac:dyDescent="0.25">
      <c r="A1404" s="4">
        <v>2021</v>
      </c>
      <c r="B1404" s="315">
        <v>44320</v>
      </c>
      <c r="C1404" s="4" t="s">
        <v>1522</v>
      </c>
      <c r="D1404" s="4" t="s">
        <v>1523</v>
      </c>
      <c r="F1404" s="4" t="s">
        <v>1524</v>
      </c>
      <c r="G1404" s="5" t="s">
        <v>1512</v>
      </c>
      <c r="H1404" s="5" t="s">
        <v>1525</v>
      </c>
      <c r="I1404" s="5" t="s">
        <v>146</v>
      </c>
      <c r="J1404" s="5" t="s">
        <v>9</v>
      </c>
      <c r="K1404" s="5">
        <v>15.5</v>
      </c>
      <c r="L1404" s="5" t="s">
        <v>1526</v>
      </c>
      <c r="M1404" s="5">
        <v>1100</v>
      </c>
      <c r="N1404" s="5" t="s">
        <v>170</v>
      </c>
      <c r="O1404" s="6" t="s">
        <v>81</v>
      </c>
      <c r="P1404" s="6" t="s">
        <v>1528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+VLOOKUP(G1404,Liste!$A$7:$G$69,3,FALSE)</f>
        <v>Pin d'Alep</v>
      </c>
      <c r="BI1404" s="96" t="str">
        <f>+VLOOKUP(H1404,Liste!$B$7:$G$69,5,FALSE)</f>
        <v>Pin d'Alep</v>
      </c>
      <c r="BJ1404" s="135">
        <f t="shared" si="415"/>
        <v>33</v>
      </c>
      <c r="BK1404" s="135" t="str">
        <f t="shared" si="417"/>
        <v>Pin d'Alep_F1_Dynamique_Pin d'Alep_33_</v>
      </c>
      <c r="BL1404" s="319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97" t="str">
        <f>+VLOOKUP(G1404,Liste!$A$7:$H$69,8,FALSE)</f>
        <v>Résineux</v>
      </c>
      <c r="BU1404" s="297">
        <f t="shared" si="418"/>
        <v>0</v>
      </c>
      <c r="BV1404" s="299">
        <f t="shared" si="419"/>
        <v>1</v>
      </c>
      <c r="BW1404" s="318">
        <v>0</v>
      </c>
      <c r="BX1404" s="297">
        <f t="shared" si="420"/>
        <v>0.43</v>
      </c>
      <c r="BY1404">
        <f t="shared" si="421"/>
        <v>0</v>
      </c>
      <c r="BZ1404" s="303">
        <f t="shared" si="422"/>
        <v>0</v>
      </c>
      <c r="CB1404" s="298">
        <v>0.6</v>
      </c>
      <c r="CC1404" s="298">
        <v>0.4</v>
      </c>
      <c r="CD1404">
        <f t="shared" si="423"/>
        <v>0</v>
      </c>
      <c r="CE1404">
        <f t="shared" si="424"/>
        <v>0</v>
      </c>
      <c r="CF1404">
        <f t="shared" si="425"/>
        <v>0</v>
      </c>
      <c r="CG1404">
        <f t="shared" si="426"/>
        <v>0</v>
      </c>
      <c r="CH1404">
        <f t="shared" si="427"/>
        <v>0</v>
      </c>
      <c r="CI1404">
        <f t="shared" si="428"/>
        <v>0</v>
      </c>
      <c r="CJ1404">
        <f t="shared" si="429"/>
        <v>0</v>
      </c>
      <c r="CK1404">
        <f t="shared" si="430"/>
        <v>0</v>
      </c>
      <c r="CL1404">
        <f t="shared" si="431"/>
        <v>0</v>
      </c>
      <c r="CM1404">
        <f t="shared" si="433"/>
        <v>0</v>
      </c>
      <c r="CN1404">
        <f t="shared" si="432"/>
        <v>0</v>
      </c>
      <c r="CO1404">
        <f t="shared" si="416"/>
        <v>0</v>
      </c>
    </row>
    <row r="1405" spans="1:93" hidden="1" x14ac:dyDescent="0.25">
      <c r="A1405" s="4">
        <v>2021</v>
      </c>
      <c r="B1405" s="315">
        <v>44320</v>
      </c>
      <c r="C1405" s="4" t="s">
        <v>1522</v>
      </c>
      <c r="D1405" s="4" t="s">
        <v>1523</v>
      </c>
      <c r="F1405" s="4" t="s">
        <v>1524</v>
      </c>
      <c r="G1405" s="5" t="s">
        <v>1512</v>
      </c>
      <c r="H1405" s="5" t="s">
        <v>1525</v>
      </c>
      <c r="I1405" s="5" t="s">
        <v>146</v>
      </c>
      <c r="J1405" s="5" t="s">
        <v>9</v>
      </c>
      <c r="K1405" s="5">
        <v>15.5</v>
      </c>
      <c r="L1405" s="5" t="s">
        <v>1526</v>
      </c>
      <c r="M1405" s="5">
        <v>1100</v>
      </c>
      <c r="N1405" s="5" t="s">
        <v>170</v>
      </c>
      <c r="O1405" s="6" t="s">
        <v>81</v>
      </c>
      <c r="P1405" s="6" t="s">
        <v>1528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+VLOOKUP(G1405,Liste!$A$7:$G$69,3,FALSE)</f>
        <v>Pin d'Alep</v>
      </c>
      <c r="BI1405" s="96" t="str">
        <f>+VLOOKUP(H1405,Liste!$B$7:$G$69,5,FALSE)</f>
        <v>Pin d'Alep</v>
      </c>
      <c r="BJ1405" s="135">
        <f t="shared" si="415"/>
        <v>34</v>
      </c>
      <c r="BK1405" s="135" t="str">
        <f t="shared" si="417"/>
        <v>Pin d'Alep_F1_Dynamique_Pin d'Alep_34_</v>
      </c>
      <c r="BL1405" s="319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97" t="str">
        <f>+VLOOKUP(G1405,Liste!$A$7:$H$69,8,FALSE)</f>
        <v>Résineux</v>
      </c>
      <c r="BU1405" s="297">
        <f t="shared" si="418"/>
        <v>0</v>
      </c>
      <c r="BV1405" s="299">
        <f t="shared" si="419"/>
        <v>1</v>
      </c>
      <c r="BW1405" s="318">
        <v>0</v>
      </c>
      <c r="BX1405" s="297">
        <f t="shared" si="420"/>
        <v>0.43</v>
      </c>
      <c r="BY1405">
        <f t="shared" si="421"/>
        <v>0</v>
      </c>
      <c r="BZ1405" s="303">
        <f t="shared" si="422"/>
        <v>0</v>
      </c>
      <c r="CB1405" s="298">
        <v>0.6</v>
      </c>
      <c r="CC1405" s="298">
        <v>0.4</v>
      </c>
      <c r="CD1405">
        <f t="shared" si="423"/>
        <v>0</v>
      </c>
      <c r="CE1405">
        <f t="shared" si="424"/>
        <v>0</v>
      </c>
      <c r="CF1405">
        <f t="shared" si="425"/>
        <v>0</v>
      </c>
      <c r="CG1405">
        <f t="shared" si="426"/>
        <v>0</v>
      </c>
      <c r="CH1405">
        <f t="shared" si="427"/>
        <v>0</v>
      </c>
      <c r="CI1405">
        <f t="shared" si="428"/>
        <v>0</v>
      </c>
      <c r="CJ1405">
        <f t="shared" si="429"/>
        <v>0</v>
      </c>
      <c r="CK1405">
        <f t="shared" si="430"/>
        <v>0</v>
      </c>
      <c r="CL1405">
        <f t="shared" si="431"/>
        <v>0</v>
      </c>
      <c r="CM1405">
        <f t="shared" si="433"/>
        <v>0</v>
      </c>
      <c r="CN1405">
        <f t="shared" si="432"/>
        <v>0</v>
      </c>
      <c r="CO1405">
        <f t="shared" si="416"/>
        <v>0</v>
      </c>
    </row>
    <row r="1406" spans="1:93" hidden="1" x14ac:dyDescent="0.25">
      <c r="A1406" s="4">
        <v>2021</v>
      </c>
      <c r="B1406" s="315">
        <v>44320</v>
      </c>
      <c r="C1406" s="4" t="s">
        <v>1522</v>
      </c>
      <c r="D1406" s="4" t="s">
        <v>1523</v>
      </c>
      <c r="F1406" s="4" t="s">
        <v>1524</v>
      </c>
      <c r="G1406" s="5" t="s">
        <v>1512</v>
      </c>
      <c r="H1406" s="5" t="s">
        <v>1525</v>
      </c>
      <c r="I1406" s="5" t="s">
        <v>146</v>
      </c>
      <c r="J1406" s="5" t="s">
        <v>9</v>
      </c>
      <c r="K1406" s="5">
        <v>15.5</v>
      </c>
      <c r="L1406" s="5" t="s">
        <v>1526</v>
      </c>
      <c r="M1406" s="5">
        <v>1100</v>
      </c>
      <c r="N1406" s="5" t="s">
        <v>170</v>
      </c>
      <c r="O1406" s="6" t="s">
        <v>81</v>
      </c>
      <c r="P1406" s="6" t="s">
        <v>1528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+VLOOKUP(G1406,Liste!$A$7:$G$69,3,FALSE)</f>
        <v>Pin d'Alep</v>
      </c>
      <c r="BI1406" s="96" t="str">
        <f>+VLOOKUP(H1406,Liste!$B$7:$G$69,5,FALSE)</f>
        <v>Pin d'Alep</v>
      </c>
      <c r="BJ1406" s="135">
        <f t="shared" si="415"/>
        <v>35</v>
      </c>
      <c r="BK1406" s="135" t="str">
        <f t="shared" si="417"/>
        <v>Pin d'Alep_F1_Dynamique_Pin d'Alep_35_</v>
      </c>
      <c r="BL1406" s="319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97" t="str">
        <f>+VLOOKUP(G1406,Liste!$A$7:$H$69,8,FALSE)</f>
        <v>Résineux</v>
      </c>
      <c r="BU1406" s="297">
        <f t="shared" si="418"/>
        <v>0</v>
      </c>
      <c r="BV1406" s="299">
        <f t="shared" si="419"/>
        <v>1</v>
      </c>
      <c r="BW1406" s="318">
        <v>0</v>
      </c>
      <c r="BX1406" s="297">
        <f t="shared" si="420"/>
        <v>0.43</v>
      </c>
      <c r="BY1406">
        <f t="shared" si="421"/>
        <v>0</v>
      </c>
      <c r="BZ1406" s="303">
        <f t="shared" si="422"/>
        <v>0</v>
      </c>
      <c r="CB1406" s="298">
        <v>0.6</v>
      </c>
      <c r="CC1406" s="298">
        <v>0.4</v>
      </c>
      <c r="CD1406">
        <f t="shared" si="423"/>
        <v>0</v>
      </c>
      <c r="CE1406">
        <f t="shared" si="424"/>
        <v>0</v>
      </c>
      <c r="CF1406">
        <f t="shared" si="425"/>
        <v>0</v>
      </c>
      <c r="CG1406">
        <f t="shared" si="426"/>
        <v>0</v>
      </c>
      <c r="CH1406">
        <f t="shared" si="427"/>
        <v>0</v>
      </c>
      <c r="CI1406">
        <f t="shared" si="428"/>
        <v>0</v>
      </c>
      <c r="CJ1406">
        <f t="shared" si="429"/>
        <v>0</v>
      </c>
      <c r="CK1406">
        <f t="shared" si="430"/>
        <v>0</v>
      </c>
      <c r="CL1406">
        <f t="shared" si="431"/>
        <v>0</v>
      </c>
      <c r="CM1406">
        <f t="shared" si="433"/>
        <v>0</v>
      </c>
      <c r="CN1406">
        <f t="shared" si="432"/>
        <v>0</v>
      </c>
      <c r="CO1406">
        <f t="shared" si="416"/>
        <v>0</v>
      </c>
    </row>
    <row r="1407" spans="1:93" hidden="1" x14ac:dyDescent="0.25">
      <c r="A1407" s="4">
        <v>2021</v>
      </c>
      <c r="B1407" s="315">
        <v>44320</v>
      </c>
      <c r="C1407" s="4" t="s">
        <v>1522</v>
      </c>
      <c r="D1407" s="4" t="s">
        <v>1523</v>
      </c>
      <c r="F1407" s="4" t="s">
        <v>1524</v>
      </c>
      <c r="G1407" s="5" t="s">
        <v>1512</v>
      </c>
      <c r="H1407" s="5" t="s">
        <v>1525</v>
      </c>
      <c r="I1407" s="5" t="s">
        <v>146</v>
      </c>
      <c r="J1407" s="5" t="s">
        <v>9</v>
      </c>
      <c r="K1407" s="5">
        <v>15.5</v>
      </c>
      <c r="L1407" s="5" t="s">
        <v>1526</v>
      </c>
      <c r="M1407" s="5">
        <v>1100</v>
      </c>
      <c r="N1407" s="5" t="s">
        <v>170</v>
      </c>
      <c r="O1407" s="6" t="s">
        <v>81</v>
      </c>
      <c r="P1407" s="6" t="s">
        <v>1528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+VLOOKUP(G1407,Liste!$A$7:$G$69,3,FALSE)</f>
        <v>Pin d'Alep</v>
      </c>
      <c r="BI1407" s="96" t="str">
        <f>+VLOOKUP(H1407,Liste!$B$7:$G$69,5,FALSE)</f>
        <v>Pin d'Alep</v>
      </c>
      <c r="BJ1407" s="135">
        <f t="shared" si="415"/>
        <v>36</v>
      </c>
      <c r="BK1407" s="135" t="str">
        <f t="shared" si="417"/>
        <v>Pin d'Alep_F1_Dynamique_Pin d'Alep_36_</v>
      </c>
      <c r="BL1407" s="319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97" t="str">
        <f>+VLOOKUP(G1407,Liste!$A$7:$H$69,8,FALSE)</f>
        <v>Résineux</v>
      </c>
      <c r="BU1407" s="297">
        <f t="shared" si="418"/>
        <v>0</v>
      </c>
      <c r="BV1407" s="299">
        <f t="shared" si="419"/>
        <v>1</v>
      </c>
      <c r="BW1407" s="318">
        <v>0</v>
      </c>
      <c r="BX1407" s="297">
        <f t="shared" si="420"/>
        <v>0.43</v>
      </c>
      <c r="BY1407">
        <f t="shared" si="421"/>
        <v>0</v>
      </c>
      <c r="BZ1407" s="303">
        <f t="shared" si="422"/>
        <v>0</v>
      </c>
      <c r="CB1407" s="298">
        <v>0.6</v>
      </c>
      <c r="CC1407" s="298">
        <v>0.4</v>
      </c>
      <c r="CD1407">
        <f t="shared" si="423"/>
        <v>0</v>
      </c>
      <c r="CE1407">
        <f t="shared" si="424"/>
        <v>0</v>
      </c>
      <c r="CF1407">
        <f t="shared" si="425"/>
        <v>0</v>
      </c>
      <c r="CG1407">
        <f t="shared" si="426"/>
        <v>0</v>
      </c>
      <c r="CH1407">
        <f t="shared" si="427"/>
        <v>0</v>
      </c>
      <c r="CI1407">
        <f t="shared" si="428"/>
        <v>0</v>
      </c>
      <c r="CJ1407">
        <f t="shared" si="429"/>
        <v>0</v>
      </c>
      <c r="CK1407">
        <f t="shared" si="430"/>
        <v>0</v>
      </c>
      <c r="CL1407">
        <f t="shared" si="431"/>
        <v>0</v>
      </c>
      <c r="CM1407">
        <f t="shared" si="433"/>
        <v>0</v>
      </c>
      <c r="CN1407">
        <f t="shared" si="432"/>
        <v>0</v>
      </c>
      <c r="CO1407">
        <f t="shared" si="416"/>
        <v>0</v>
      </c>
    </row>
    <row r="1408" spans="1:93" hidden="1" x14ac:dyDescent="0.25">
      <c r="A1408" s="4">
        <v>2021</v>
      </c>
      <c r="B1408" s="315">
        <v>44320</v>
      </c>
      <c r="C1408" s="4" t="s">
        <v>1522</v>
      </c>
      <c r="D1408" s="4" t="s">
        <v>1523</v>
      </c>
      <c r="F1408" s="4" t="s">
        <v>1524</v>
      </c>
      <c r="G1408" s="5" t="s">
        <v>1512</v>
      </c>
      <c r="H1408" s="5" t="s">
        <v>1525</v>
      </c>
      <c r="I1408" s="5" t="s">
        <v>146</v>
      </c>
      <c r="J1408" s="5" t="s">
        <v>9</v>
      </c>
      <c r="K1408" s="5">
        <v>15.5</v>
      </c>
      <c r="L1408" s="5" t="s">
        <v>1526</v>
      </c>
      <c r="M1408" s="5">
        <v>1100</v>
      </c>
      <c r="N1408" s="5" t="s">
        <v>170</v>
      </c>
      <c r="O1408" s="6" t="s">
        <v>81</v>
      </c>
      <c r="P1408" s="6" t="s">
        <v>1528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+VLOOKUP(G1408,Liste!$A$7:$G$69,3,FALSE)</f>
        <v>Pin d'Alep</v>
      </c>
      <c r="BI1408" s="96" t="str">
        <f>+VLOOKUP(H1408,Liste!$B$7:$G$69,5,FALSE)</f>
        <v>Pin d'Alep</v>
      </c>
      <c r="BJ1408" s="135">
        <f t="shared" si="415"/>
        <v>37</v>
      </c>
      <c r="BK1408" s="135" t="str">
        <f t="shared" si="417"/>
        <v>Pin d'Alep_F1_Dynamique_Pin d'Alep_37_</v>
      </c>
      <c r="BL1408" s="319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97" t="str">
        <f>+VLOOKUP(G1408,Liste!$A$7:$H$69,8,FALSE)</f>
        <v>Résineux</v>
      </c>
      <c r="BU1408" s="297">
        <f t="shared" si="418"/>
        <v>0</v>
      </c>
      <c r="BV1408" s="299">
        <f t="shared" si="419"/>
        <v>1</v>
      </c>
      <c r="BW1408" s="318">
        <v>0</v>
      </c>
      <c r="BX1408" s="297">
        <f t="shared" si="420"/>
        <v>0.43</v>
      </c>
      <c r="BY1408">
        <f t="shared" si="421"/>
        <v>0</v>
      </c>
      <c r="BZ1408" s="303">
        <f t="shared" si="422"/>
        <v>0</v>
      </c>
      <c r="CB1408" s="298">
        <v>0.6</v>
      </c>
      <c r="CC1408" s="298">
        <v>0.4</v>
      </c>
      <c r="CD1408">
        <f t="shared" si="423"/>
        <v>0</v>
      </c>
      <c r="CE1408">
        <f t="shared" si="424"/>
        <v>0</v>
      </c>
      <c r="CF1408">
        <f t="shared" si="425"/>
        <v>0</v>
      </c>
      <c r="CG1408">
        <f t="shared" si="426"/>
        <v>0</v>
      </c>
      <c r="CH1408">
        <f t="shared" si="427"/>
        <v>0</v>
      </c>
      <c r="CI1408">
        <f t="shared" si="428"/>
        <v>0</v>
      </c>
      <c r="CJ1408">
        <f t="shared" si="429"/>
        <v>0</v>
      </c>
      <c r="CK1408">
        <f t="shared" si="430"/>
        <v>0</v>
      </c>
      <c r="CL1408">
        <f t="shared" si="431"/>
        <v>0</v>
      </c>
      <c r="CM1408">
        <f t="shared" si="433"/>
        <v>0</v>
      </c>
      <c r="CN1408">
        <f t="shared" si="432"/>
        <v>0</v>
      </c>
      <c r="CO1408">
        <f t="shared" si="416"/>
        <v>0</v>
      </c>
    </row>
    <row r="1409" spans="1:93" hidden="1" x14ac:dyDescent="0.25">
      <c r="A1409" s="4">
        <v>2021</v>
      </c>
      <c r="B1409" s="315">
        <v>44320</v>
      </c>
      <c r="C1409" s="4" t="s">
        <v>1522</v>
      </c>
      <c r="D1409" s="4" t="s">
        <v>1523</v>
      </c>
      <c r="F1409" s="4" t="s">
        <v>1524</v>
      </c>
      <c r="G1409" s="5" t="s">
        <v>1512</v>
      </c>
      <c r="H1409" s="5" t="s">
        <v>1525</v>
      </c>
      <c r="I1409" s="5" t="s">
        <v>146</v>
      </c>
      <c r="J1409" s="5" t="s">
        <v>9</v>
      </c>
      <c r="K1409" s="5">
        <v>15.5</v>
      </c>
      <c r="L1409" s="5" t="s">
        <v>1526</v>
      </c>
      <c r="M1409" s="5">
        <v>1100</v>
      </c>
      <c r="N1409" s="5" t="s">
        <v>170</v>
      </c>
      <c r="O1409" s="6" t="s">
        <v>81</v>
      </c>
      <c r="P1409" s="6" t="s">
        <v>1528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+VLOOKUP(G1409,Liste!$A$7:$G$69,3,FALSE)</f>
        <v>Pin d'Alep</v>
      </c>
      <c r="BI1409" s="96" t="str">
        <f>+VLOOKUP(H1409,Liste!$B$7:$G$69,5,FALSE)</f>
        <v>Pin d'Alep</v>
      </c>
      <c r="BJ1409" s="135">
        <f t="shared" si="415"/>
        <v>38</v>
      </c>
      <c r="BK1409" s="135" t="str">
        <f t="shared" si="417"/>
        <v>Pin d'Alep_F1_Dynamique_Pin d'Alep_38_</v>
      </c>
      <c r="BL1409" s="319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97" t="str">
        <f>+VLOOKUP(G1409,Liste!$A$7:$H$69,8,FALSE)</f>
        <v>Résineux</v>
      </c>
      <c r="BU1409" s="297">
        <f t="shared" si="418"/>
        <v>0</v>
      </c>
      <c r="BV1409" s="299">
        <f t="shared" si="419"/>
        <v>1</v>
      </c>
      <c r="BW1409" s="318">
        <v>0</v>
      </c>
      <c r="BX1409" s="297">
        <f t="shared" si="420"/>
        <v>0.43</v>
      </c>
      <c r="BY1409">
        <f t="shared" si="421"/>
        <v>0</v>
      </c>
      <c r="BZ1409" s="303">
        <f t="shared" si="422"/>
        <v>0</v>
      </c>
      <c r="CB1409" s="298">
        <v>0.6</v>
      </c>
      <c r="CC1409" s="298">
        <v>0.4</v>
      </c>
      <c r="CD1409">
        <f t="shared" si="423"/>
        <v>0</v>
      </c>
      <c r="CE1409">
        <f t="shared" si="424"/>
        <v>0</v>
      </c>
      <c r="CF1409">
        <f t="shared" si="425"/>
        <v>0</v>
      </c>
      <c r="CG1409">
        <f t="shared" si="426"/>
        <v>0</v>
      </c>
      <c r="CH1409">
        <f t="shared" si="427"/>
        <v>0</v>
      </c>
      <c r="CI1409">
        <f t="shared" si="428"/>
        <v>0</v>
      </c>
      <c r="CJ1409">
        <f t="shared" si="429"/>
        <v>0</v>
      </c>
      <c r="CK1409">
        <f t="shared" si="430"/>
        <v>0</v>
      </c>
      <c r="CL1409">
        <f t="shared" si="431"/>
        <v>0</v>
      </c>
      <c r="CM1409">
        <f t="shared" si="433"/>
        <v>0</v>
      </c>
      <c r="CN1409">
        <f t="shared" si="432"/>
        <v>0</v>
      </c>
      <c r="CO1409">
        <f t="shared" si="416"/>
        <v>0</v>
      </c>
    </row>
    <row r="1410" spans="1:93" hidden="1" x14ac:dyDescent="0.25">
      <c r="A1410" s="4">
        <v>2021</v>
      </c>
      <c r="B1410" s="315">
        <v>44320</v>
      </c>
      <c r="C1410" s="4" t="s">
        <v>1522</v>
      </c>
      <c r="D1410" s="4" t="s">
        <v>1523</v>
      </c>
      <c r="F1410" s="4" t="s">
        <v>1524</v>
      </c>
      <c r="G1410" s="5" t="s">
        <v>1512</v>
      </c>
      <c r="H1410" s="5" t="s">
        <v>1525</v>
      </c>
      <c r="I1410" s="5" t="s">
        <v>146</v>
      </c>
      <c r="J1410" s="5" t="s">
        <v>9</v>
      </c>
      <c r="K1410" s="5">
        <v>15.5</v>
      </c>
      <c r="L1410" s="5" t="s">
        <v>1526</v>
      </c>
      <c r="M1410" s="5">
        <v>1100</v>
      </c>
      <c r="N1410" s="5" t="s">
        <v>170</v>
      </c>
      <c r="O1410" s="6" t="s">
        <v>81</v>
      </c>
      <c r="P1410" s="6" t="s">
        <v>1528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+VLOOKUP(G1410,Liste!$A$7:$G$69,3,FALSE)</f>
        <v>Pin d'Alep</v>
      </c>
      <c r="BI1410" s="96" t="str">
        <f>+VLOOKUP(H1410,Liste!$B$7:$G$69,5,FALSE)</f>
        <v>Pin d'Alep</v>
      </c>
      <c r="BJ1410" s="135">
        <f t="shared" si="415"/>
        <v>39</v>
      </c>
      <c r="BK1410" s="135" t="str">
        <f t="shared" si="417"/>
        <v>Pin d'Alep_F1_Dynamique_Pin d'Alep_39_</v>
      </c>
      <c r="BL1410" s="319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97" t="str">
        <f>+VLOOKUP(G1410,Liste!$A$7:$H$69,8,FALSE)</f>
        <v>Résineux</v>
      </c>
      <c r="BU1410" s="297">
        <f t="shared" si="418"/>
        <v>0</v>
      </c>
      <c r="BV1410" s="299">
        <f t="shared" si="419"/>
        <v>1</v>
      </c>
      <c r="BW1410" s="318">
        <v>0</v>
      </c>
      <c r="BX1410" s="297">
        <f t="shared" si="420"/>
        <v>0.43</v>
      </c>
      <c r="BY1410">
        <f t="shared" si="421"/>
        <v>0</v>
      </c>
      <c r="BZ1410" s="303">
        <f t="shared" si="422"/>
        <v>0</v>
      </c>
      <c r="CB1410" s="298">
        <v>0.6</v>
      </c>
      <c r="CC1410" s="298">
        <v>0.4</v>
      </c>
      <c r="CD1410">
        <f t="shared" si="423"/>
        <v>0</v>
      </c>
      <c r="CE1410">
        <f t="shared" si="424"/>
        <v>0</v>
      </c>
      <c r="CF1410">
        <f t="shared" si="425"/>
        <v>0</v>
      </c>
      <c r="CG1410">
        <f t="shared" si="426"/>
        <v>0</v>
      </c>
      <c r="CH1410">
        <f t="shared" si="427"/>
        <v>0</v>
      </c>
      <c r="CI1410">
        <f t="shared" si="428"/>
        <v>0</v>
      </c>
      <c r="CJ1410">
        <f t="shared" si="429"/>
        <v>0</v>
      </c>
      <c r="CK1410">
        <f t="shared" si="430"/>
        <v>0</v>
      </c>
      <c r="CL1410">
        <f t="shared" si="431"/>
        <v>0</v>
      </c>
      <c r="CM1410">
        <f t="shared" si="433"/>
        <v>0</v>
      </c>
      <c r="CN1410">
        <f t="shared" si="432"/>
        <v>0</v>
      </c>
      <c r="CO1410">
        <f t="shared" si="416"/>
        <v>0</v>
      </c>
    </row>
    <row r="1411" spans="1:93" hidden="1" x14ac:dyDescent="0.25">
      <c r="A1411" s="4">
        <v>2021</v>
      </c>
      <c r="B1411" s="315">
        <v>44320</v>
      </c>
      <c r="C1411" s="4" t="s">
        <v>1522</v>
      </c>
      <c r="D1411" s="4" t="s">
        <v>1523</v>
      </c>
      <c r="F1411" s="4" t="s">
        <v>1524</v>
      </c>
      <c r="G1411" s="5" t="s">
        <v>1512</v>
      </c>
      <c r="H1411" s="5" t="s">
        <v>1525</v>
      </c>
      <c r="I1411" s="5" t="s">
        <v>146</v>
      </c>
      <c r="J1411" s="5" t="s">
        <v>9</v>
      </c>
      <c r="K1411" s="5">
        <v>15.5</v>
      </c>
      <c r="L1411" s="5" t="s">
        <v>1526</v>
      </c>
      <c r="M1411" s="5">
        <v>1100</v>
      </c>
      <c r="N1411" s="5" t="s">
        <v>170</v>
      </c>
      <c r="O1411" s="6" t="s">
        <v>81</v>
      </c>
      <c r="P1411" s="6" t="s">
        <v>1528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+VLOOKUP(G1411,Liste!$A$7:$G$69,3,FALSE)</f>
        <v>Pin d'Alep</v>
      </c>
      <c r="BI1411" s="96" t="str">
        <f>+VLOOKUP(H1411,Liste!$B$7:$G$69,5,FALSE)</f>
        <v>Pin d'Alep</v>
      </c>
      <c r="BJ1411" s="135">
        <f t="shared" ref="BJ1411:BJ1474" si="434">+AC1411</f>
        <v>40</v>
      </c>
      <c r="BK1411" s="135" t="str">
        <f t="shared" si="417"/>
        <v>Pin d'Alep_F1_Dynamique_Pin d'Alep_40_</v>
      </c>
      <c r="BL1411" s="319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97" t="str">
        <f>+VLOOKUP(G1411,Liste!$A$7:$H$69,8,FALSE)</f>
        <v>Résineux</v>
      </c>
      <c r="BU1411" s="297">
        <f t="shared" si="418"/>
        <v>0</v>
      </c>
      <c r="BV1411" s="299">
        <f t="shared" si="419"/>
        <v>1</v>
      </c>
      <c r="BW1411" s="318">
        <v>0</v>
      </c>
      <c r="BX1411" s="297">
        <f t="shared" si="420"/>
        <v>0.43</v>
      </c>
      <c r="BY1411">
        <f t="shared" si="421"/>
        <v>0</v>
      </c>
      <c r="BZ1411" s="303">
        <f t="shared" si="422"/>
        <v>0</v>
      </c>
      <c r="CB1411" s="298">
        <v>0.6</v>
      </c>
      <c r="CC1411" s="298">
        <v>0.4</v>
      </c>
      <c r="CD1411">
        <f t="shared" si="423"/>
        <v>0</v>
      </c>
      <c r="CE1411">
        <f t="shared" si="424"/>
        <v>0</v>
      </c>
      <c r="CF1411">
        <f t="shared" si="425"/>
        <v>0</v>
      </c>
      <c r="CG1411">
        <f t="shared" si="426"/>
        <v>0</v>
      </c>
      <c r="CH1411">
        <f t="shared" si="427"/>
        <v>0</v>
      </c>
      <c r="CI1411">
        <f t="shared" si="428"/>
        <v>0</v>
      </c>
      <c r="CJ1411">
        <f t="shared" si="429"/>
        <v>0</v>
      </c>
      <c r="CK1411">
        <f t="shared" si="430"/>
        <v>0</v>
      </c>
      <c r="CL1411">
        <f t="shared" si="431"/>
        <v>0</v>
      </c>
      <c r="CM1411">
        <f t="shared" si="433"/>
        <v>0</v>
      </c>
      <c r="CN1411">
        <f t="shared" si="432"/>
        <v>0</v>
      </c>
      <c r="CO1411">
        <f t="shared" ref="CO1411:CO1474" si="435">+IF(BJ1411=30,CN1411/30,0)</f>
        <v>0</v>
      </c>
    </row>
    <row r="1412" spans="1:93" hidden="1" x14ac:dyDescent="0.25">
      <c r="A1412" s="4">
        <v>2021</v>
      </c>
      <c r="B1412" s="315">
        <v>44320</v>
      </c>
      <c r="C1412" s="4" t="s">
        <v>1522</v>
      </c>
      <c r="D1412" s="4" t="s">
        <v>1523</v>
      </c>
      <c r="F1412" s="4" t="s">
        <v>1524</v>
      </c>
      <c r="G1412" s="5" t="s">
        <v>1512</v>
      </c>
      <c r="H1412" s="5" t="s">
        <v>1525</v>
      </c>
      <c r="I1412" s="5" t="s">
        <v>146</v>
      </c>
      <c r="J1412" s="5" t="s">
        <v>9</v>
      </c>
      <c r="K1412" s="5">
        <v>15.5</v>
      </c>
      <c r="L1412" s="5" t="s">
        <v>1526</v>
      </c>
      <c r="M1412" s="5">
        <v>1100</v>
      </c>
      <c r="N1412" s="5" t="s">
        <v>170</v>
      </c>
      <c r="O1412" s="6" t="s">
        <v>81</v>
      </c>
      <c r="P1412" s="6" t="s">
        <v>1528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+VLOOKUP(G1412,Liste!$A$7:$G$69,3,FALSE)</f>
        <v>Pin d'Alep</v>
      </c>
      <c r="BI1412" s="96" t="str">
        <f>+VLOOKUP(H1412,Liste!$B$7:$G$69,5,FALSE)</f>
        <v>Pin d'Alep</v>
      </c>
      <c r="BJ1412" s="135">
        <f t="shared" si="434"/>
        <v>41</v>
      </c>
      <c r="BK1412" s="135" t="str">
        <f t="shared" ref="BK1412:BK1475" si="436">+_xlfn.CONCAT(BH1412,"_",J1412,"_",I1412,"_",BI1412,"_",BJ1412,"_")</f>
        <v>Pin d'Alep_F1_Dynamique_Pin d'Alep_41_</v>
      </c>
      <c r="BL1412" s="319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97" t="str">
        <f>+VLOOKUP(G1412,Liste!$A$7:$H$69,8,FALSE)</f>
        <v>Résineux</v>
      </c>
      <c r="BU1412" s="297">
        <f t="shared" ref="BU1412:BU1475" si="437">IF(BT1412="Résineux",0%,100%)</f>
        <v>0</v>
      </c>
      <c r="BV1412" s="299">
        <f t="shared" ref="BV1412:BV1475" si="438">+IF(BT1412="Résineux",100%,0%)</f>
        <v>1</v>
      </c>
      <c r="BW1412" s="318">
        <v>0</v>
      </c>
      <c r="BX1412" s="297">
        <f t="shared" ref="BX1412:BX1475" si="439">+IF(BV1412&lt;&gt;0,0.43,0.25)</f>
        <v>0.43</v>
      </c>
      <c r="BY1412">
        <f t="shared" ref="BY1412:BY1475" si="440">+IF(BJ1412&lt;=30,AV1412*BX1412,0)</f>
        <v>0</v>
      </c>
      <c r="BZ1412" s="303">
        <f t="shared" ref="BZ1412:BZ1475" si="441">+IF(BJ1412&gt;=31,0,BY1412+BZ1411)</f>
        <v>0</v>
      </c>
      <c r="CB1412" s="298">
        <v>0.6</v>
      </c>
      <c r="CC1412" s="298">
        <v>0.4</v>
      </c>
      <c r="CD1412">
        <f t="shared" ref="CD1412:CD1475" si="442">+IF(BJ1412&lt;=31,AV1412*CA1412*0.5,0)</f>
        <v>0</v>
      </c>
      <c r="CE1412">
        <f t="shared" ref="CE1412:CE1475" si="443">IF(BJ1412&lt;=31,AV1412*CB1412,0)</f>
        <v>0</v>
      </c>
      <c r="CF1412">
        <f t="shared" ref="CF1412:CF1475" si="444">IF(BJ1412&lt;=31,AV1412*CC1412,0)</f>
        <v>0</v>
      </c>
      <c r="CG1412">
        <f t="shared" ref="CG1412:CG1475" si="445">CD1412*44/12*0.475*BF1412</f>
        <v>0</v>
      </c>
      <c r="CH1412">
        <f t="shared" ref="CH1412:CH1475" si="446">CE1412*44/12*0.475*BF1412</f>
        <v>0</v>
      </c>
      <c r="CI1412">
        <f t="shared" ref="CI1412:CI1475" si="447">CF1412*44/12*0.475*BF1412</f>
        <v>0</v>
      </c>
      <c r="CJ1412">
        <f t="shared" ref="CJ1412:CJ1475" si="448">+IF(BJ1412&lt;=31,CJ1411*EXP(-$CJ$1)+CG1411*(1-EXP(-$CJ$1))/$CJ$1,0)</f>
        <v>0</v>
      </c>
      <c r="CK1412">
        <f t="shared" ref="CK1412:CK1475" si="449">+IF(BJ1412&lt;=31,CK1411*EXP(-$CK$1)+CH1411*(1-EXP(-$CK$1))/$CK$1,0)</f>
        <v>0</v>
      </c>
      <c r="CL1412">
        <f t="shared" ref="CL1412:CL1475" si="450">+IF(BJ1412&lt;=31,CL1411*EXP(-$CL$1)+CI1411*(1-EXP(-$CL$1))/$CL$1,0)</f>
        <v>0</v>
      </c>
      <c r="CM1412">
        <f t="shared" si="433"/>
        <v>0</v>
      </c>
      <c r="CN1412">
        <f t="shared" ref="CN1412:CN1475" si="451">+IF(BJ1412&lt;=31,CM1412+CN1411,0)</f>
        <v>0</v>
      </c>
      <c r="CO1412">
        <f t="shared" si="435"/>
        <v>0</v>
      </c>
    </row>
    <row r="1413" spans="1:93" hidden="1" x14ac:dyDescent="0.25">
      <c r="A1413" s="4">
        <v>2021</v>
      </c>
      <c r="B1413" s="315">
        <v>44320</v>
      </c>
      <c r="C1413" s="4" t="s">
        <v>1522</v>
      </c>
      <c r="D1413" s="4" t="s">
        <v>1523</v>
      </c>
      <c r="F1413" s="4" t="s">
        <v>1524</v>
      </c>
      <c r="G1413" s="5" t="s">
        <v>1512</v>
      </c>
      <c r="H1413" s="5" t="s">
        <v>1525</v>
      </c>
      <c r="I1413" s="5" t="s">
        <v>146</v>
      </c>
      <c r="J1413" s="5" t="s">
        <v>9</v>
      </c>
      <c r="K1413" s="5">
        <v>15.5</v>
      </c>
      <c r="L1413" s="5" t="s">
        <v>1526</v>
      </c>
      <c r="M1413" s="5">
        <v>1100</v>
      </c>
      <c r="N1413" s="5" t="s">
        <v>170</v>
      </c>
      <c r="O1413" s="6" t="s">
        <v>81</v>
      </c>
      <c r="P1413" s="6" t="s">
        <v>1528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+VLOOKUP(G1413,Liste!$A$7:$G$69,3,FALSE)</f>
        <v>Pin d'Alep</v>
      </c>
      <c r="BI1413" s="96" t="str">
        <f>+VLOOKUP(H1413,Liste!$B$7:$G$69,5,FALSE)</f>
        <v>Pin d'Alep</v>
      </c>
      <c r="BJ1413" s="135">
        <f t="shared" si="434"/>
        <v>42</v>
      </c>
      <c r="BK1413" s="135" t="str">
        <f t="shared" si="436"/>
        <v>Pin d'Alep_F1_Dynamique_Pin d'Alep_42_</v>
      </c>
      <c r="BL1413" s="319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97" t="str">
        <f>+VLOOKUP(G1413,Liste!$A$7:$H$69,8,FALSE)</f>
        <v>Résineux</v>
      </c>
      <c r="BU1413" s="297">
        <f t="shared" si="437"/>
        <v>0</v>
      </c>
      <c r="BV1413" s="299">
        <f t="shared" si="438"/>
        <v>1</v>
      </c>
      <c r="BW1413" s="318">
        <v>0</v>
      </c>
      <c r="BX1413" s="297">
        <f t="shared" si="439"/>
        <v>0.43</v>
      </c>
      <c r="BY1413">
        <f t="shared" si="440"/>
        <v>0</v>
      </c>
      <c r="BZ1413" s="303">
        <f t="shared" si="441"/>
        <v>0</v>
      </c>
      <c r="CB1413" s="298">
        <v>0.6</v>
      </c>
      <c r="CC1413" s="298">
        <v>0.4</v>
      </c>
      <c r="CD1413">
        <f t="shared" si="442"/>
        <v>0</v>
      </c>
      <c r="CE1413">
        <f t="shared" si="443"/>
        <v>0</v>
      </c>
      <c r="CF1413">
        <f t="shared" si="444"/>
        <v>0</v>
      </c>
      <c r="CG1413">
        <f t="shared" si="445"/>
        <v>0</v>
      </c>
      <c r="CH1413">
        <f t="shared" si="446"/>
        <v>0</v>
      </c>
      <c r="CI1413">
        <f t="shared" si="447"/>
        <v>0</v>
      </c>
      <c r="CJ1413">
        <f t="shared" si="448"/>
        <v>0</v>
      </c>
      <c r="CK1413">
        <f t="shared" si="449"/>
        <v>0</v>
      </c>
      <c r="CL1413">
        <f t="shared" si="450"/>
        <v>0</v>
      </c>
      <c r="CM1413">
        <f t="shared" ref="CM1413:CM1476" si="452">+CJ1413+CK1413+CL1413</f>
        <v>0</v>
      </c>
      <c r="CN1413">
        <f t="shared" si="451"/>
        <v>0</v>
      </c>
      <c r="CO1413">
        <f t="shared" si="435"/>
        <v>0</v>
      </c>
    </row>
    <row r="1414" spans="1:93" hidden="1" x14ac:dyDescent="0.25">
      <c r="A1414" s="4">
        <v>2021</v>
      </c>
      <c r="B1414" s="315">
        <v>44320</v>
      </c>
      <c r="C1414" s="4" t="s">
        <v>1522</v>
      </c>
      <c r="D1414" s="4" t="s">
        <v>1523</v>
      </c>
      <c r="F1414" s="4" t="s">
        <v>1524</v>
      </c>
      <c r="G1414" s="5" t="s">
        <v>1512</v>
      </c>
      <c r="H1414" s="5" t="s">
        <v>1525</v>
      </c>
      <c r="I1414" s="5" t="s">
        <v>146</v>
      </c>
      <c r="J1414" s="5" t="s">
        <v>9</v>
      </c>
      <c r="K1414" s="5">
        <v>15.5</v>
      </c>
      <c r="L1414" s="5" t="s">
        <v>1526</v>
      </c>
      <c r="M1414" s="5">
        <v>1100</v>
      </c>
      <c r="N1414" s="5" t="s">
        <v>170</v>
      </c>
      <c r="O1414" s="6" t="s">
        <v>81</v>
      </c>
      <c r="P1414" s="6" t="s">
        <v>1528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+VLOOKUP(G1414,Liste!$A$7:$G$69,3,FALSE)</f>
        <v>Pin d'Alep</v>
      </c>
      <c r="BI1414" s="96" t="str">
        <f>+VLOOKUP(H1414,Liste!$B$7:$G$69,5,FALSE)</f>
        <v>Pin d'Alep</v>
      </c>
      <c r="BJ1414" s="135">
        <f t="shared" si="434"/>
        <v>43</v>
      </c>
      <c r="BK1414" s="135" t="str">
        <f t="shared" si="436"/>
        <v>Pin d'Alep_F1_Dynamique_Pin d'Alep_43_</v>
      </c>
      <c r="BL1414" s="319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97" t="str">
        <f>+VLOOKUP(G1414,Liste!$A$7:$H$69,8,FALSE)</f>
        <v>Résineux</v>
      </c>
      <c r="BU1414" s="297">
        <f t="shared" si="437"/>
        <v>0</v>
      </c>
      <c r="BV1414" s="299">
        <f t="shared" si="438"/>
        <v>1</v>
      </c>
      <c r="BW1414" s="318">
        <v>0</v>
      </c>
      <c r="BX1414" s="297">
        <f t="shared" si="439"/>
        <v>0.43</v>
      </c>
      <c r="BY1414">
        <f t="shared" si="440"/>
        <v>0</v>
      </c>
      <c r="BZ1414" s="303">
        <f t="shared" si="441"/>
        <v>0</v>
      </c>
      <c r="CB1414" s="298">
        <v>0.6</v>
      </c>
      <c r="CC1414" s="298">
        <v>0.4</v>
      </c>
      <c r="CD1414">
        <f t="shared" si="442"/>
        <v>0</v>
      </c>
      <c r="CE1414">
        <f t="shared" si="443"/>
        <v>0</v>
      </c>
      <c r="CF1414">
        <f t="shared" si="444"/>
        <v>0</v>
      </c>
      <c r="CG1414">
        <f t="shared" si="445"/>
        <v>0</v>
      </c>
      <c r="CH1414">
        <f t="shared" si="446"/>
        <v>0</v>
      </c>
      <c r="CI1414">
        <f t="shared" si="447"/>
        <v>0</v>
      </c>
      <c r="CJ1414">
        <f t="shared" si="448"/>
        <v>0</v>
      </c>
      <c r="CK1414">
        <f t="shared" si="449"/>
        <v>0</v>
      </c>
      <c r="CL1414">
        <f t="shared" si="450"/>
        <v>0</v>
      </c>
      <c r="CM1414">
        <f t="shared" si="452"/>
        <v>0</v>
      </c>
      <c r="CN1414">
        <f t="shared" si="451"/>
        <v>0</v>
      </c>
      <c r="CO1414">
        <f t="shared" si="435"/>
        <v>0</v>
      </c>
    </row>
    <row r="1415" spans="1:93" hidden="1" x14ac:dyDescent="0.25">
      <c r="A1415" s="4">
        <v>2021</v>
      </c>
      <c r="B1415" s="315">
        <v>44320</v>
      </c>
      <c r="C1415" s="4" t="s">
        <v>1522</v>
      </c>
      <c r="D1415" s="4" t="s">
        <v>1523</v>
      </c>
      <c r="F1415" s="4" t="s">
        <v>1524</v>
      </c>
      <c r="G1415" s="5" t="s">
        <v>1512</v>
      </c>
      <c r="H1415" s="5" t="s">
        <v>1525</v>
      </c>
      <c r="I1415" s="5" t="s">
        <v>146</v>
      </c>
      <c r="J1415" s="5" t="s">
        <v>9</v>
      </c>
      <c r="K1415" s="5">
        <v>15.5</v>
      </c>
      <c r="L1415" s="5" t="s">
        <v>1526</v>
      </c>
      <c r="M1415" s="5">
        <v>1100</v>
      </c>
      <c r="N1415" s="5" t="s">
        <v>170</v>
      </c>
      <c r="O1415" s="6" t="s">
        <v>81</v>
      </c>
      <c r="P1415" s="6" t="s">
        <v>1528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+VLOOKUP(G1415,Liste!$A$7:$G$69,3,FALSE)</f>
        <v>Pin d'Alep</v>
      </c>
      <c r="BI1415" s="96" t="str">
        <f>+VLOOKUP(H1415,Liste!$B$7:$G$69,5,FALSE)</f>
        <v>Pin d'Alep</v>
      </c>
      <c r="BJ1415" s="135">
        <f t="shared" si="434"/>
        <v>44</v>
      </c>
      <c r="BK1415" s="135" t="str">
        <f t="shared" si="436"/>
        <v>Pin d'Alep_F1_Dynamique_Pin d'Alep_44_</v>
      </c>
      <c r="BL1415" s="319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97" t="str">
        <f>+VLOOKUP(G1415,Liste!$A$7:$H$69,8,FALSE)</f>
        <v>Résineux</v>
      </c>
      <c r="BU1415" s="297">
        <f t="shared" si="437"/>
        <v>0</v>
      </c>
      <c r="BV1415" s="299">
        <f t="shared" si="438"/>
        <v>1</v>
      </c>
      <c r="BW1415" s="318">
        <v>0</v>
      </c>
      <c r="BX1415" s="297">
        <f t="shared" si="439"/>
        <v>0.43</v>
      </c>
      <c r="BY1415">
        <f t="shared" si="440"/>
        <v>0</v>
      </c>
      <c r="BZ1415" s="303">
        <f t="shared" si="441"/>
        <v>0</v>
      </c>
      <c r="CB1415" s="298">
        <v>0.6</v>
      </c>
      <c r="CC1415" s="298">
        <v>0.4</v>
      </c>
      <c r="CD1415">
        <f t="shared" si="442"/>
        <v>0</v>
      </c>
      <c r="CE1415">
        <f t="shared" si="443"/>
        <v>0</v>
      </c>
      <c r="CF1415">
        <f t="shared" si="444"/>
        <v>0</v>
      </c>
      <c r="CG1415">
        <f t="shared" si="445"/>
        <v>0</v>
      </c>
      <c r="CH1415">
        <f t="shared" si="446"/>
        <v>0</v>
      </c>
      <c r="CI1415">
        <f t="shared" si="447"/>
        <v>0</v>
      </c>
      <c r="CJ1415">
        <f t="shared" si="448"/>
        <v>0</v>
      </c>
      <c r="CK1415">
        <f t="shared" si="449"/>
        <v>0</v>
      </c>
      <c r="CL1415">
        <f t="shared" si="450"/>
        <v>0</v>
      </c>
      <c r="CM1415">
        <f t="shared" si="452"/>
        <v>0</v>
      </c>
      <c r="CN1415">
        <f t="shared" si="451"/>
        <v>0</v>
      </c>
      <c r="CO1415">
        <f t="shared" si="435"/>
        <v>0</v>
      </c>
    </row>
    <row r="1416" spans="1:93" hidden="1" x14ac:dyDescent="0.25">
      <c r="A1416" s="4">
        <v>2021</v>
      </c>
      <c r="B1416" s="315">
        <v>44320</v>
      </c>
      <c r="C1416" s="4" t="s">
        <v>1522</v>
      </c>
      <c r="D1416" s="4" t="s">
        <v>1523</v>
      </c>
      <c r="F1416" s="4" t="s">
        <v>1524</v>
      </c>
      <c r="G1416" s="5" t="s">
        <v>1512</v>
      </c>
      <c r="H1416" s="5" t="s">
        <v>1525</v>
      </c>
      <c r="I1416" s="5" t="s">
        <v>146</v>
      </c>
      <c r="J1416" s="5" t="s">
        <v>9</v>
      </c>
      <c r="K1416" s="5">
        <v>15.5</v>
      </c>
      <c r="L1416" s="5" t="s">
        <v>1526</v>
      </c>
      <c r="M1416" s="5">
        <v>1100</v>
      </c>
      <c r="N1416" s="5" t="s">
        <v>170</v>
      </c>
      <c r="O1416" s="6" t="s">
        <v>81</v>
      </c>
      <c r="P1416" s="6" t="s">
        <v>1528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+VLOOKUP(G1416,Liste!$A$7:$G$69,3,FALSE)</f>
        <v>Pin d'Alep</v>
      </c>
      <c r="BI1416" s="96" t="str">
        <f>+VLOOKUP(H1416,Liste!$B$7:$G$69,5,FALSE)</f>
        <v>Pin d'Alep</v>
      </c>
      <c r="BJ1416" s="135">
        <f t="shared" si="434"/>
        <v>45</v>
      </c>
      <c r="BK1416" s="135" t="str">
        <f t="shared" si="436"/>
        <v>Pin d'Alep_F1_Dynamique_Pin d'Alep_45_</v>
      </c>
      <c r="BL1416" s="319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97" t="str">
        <f>+VLOOKUP(G1416,Liste!$A$7:$H$69,8,FALSE)</f>
        <v>Résineux</v>
      </c>
      <c r="BU1416" s="297">
        <f t="shared" si="437"/>
        <v>0</v>
      </c>
      <c r="BV1416" s="299">
        <f t="shared" si="438"/>
        <v>1</v>
      </c>
      <c r="BW1416" s="318">
        <v>0</v>
      </c>
      <c r="BX1416" s="297">
        <f t="shared" si="439"/>
        <v>0.43</v>
      </c>
      <c r="BY1416">
        <f t="shared" si="440"/>
        <v>0</v>
      </c>
      <c r="BZ1416" s="303">
        <f t="shared" si="441"/>
        <v>0</v>
      </c>
      <c r="CB1416" s="298">
        <v>0.6</v>
      </c>
      <c r="CC1416" s="298">
        <v>0.4</v>
      </c>
      <c r="CD1416">
        <f t="shared" si="442"/>
        <v>0</v>
      </c>
      <c r="CE1416">
        <f t="shared" si="443"/>
        <v>0</v>
      </c>
      <c r="CF1416">
        <f t="shared" si="444"/>
        <v>0</v>
      </c>
      <c r="CG1416">
        <f t="shared" si="445"/>
        <v>0</v>
      </c>
      <c r="CH1416">
        <f t="shared" si="446"/>
        <v>0</v>
      </c>
      <c r="CI1416">
        <f t="shared" si="447"/>
        <v>0</v>
      </c>
      <c r="CJ1416">
        <f t="shared" si="448"/>
        <v>0</v>
      </c>
      <c r="CK1416">
        <f t="shared" si="449"/>
        <v>0</v>
      </c>
      <c r="CL1416">
        <f t="shared" si="450"/>
        <v>0</v>
      </c>
      <c r="CM1416">
        <f t="shared" si="452"/>
        <v>0</v>
      </c>
      <c r="CN1416">
        <f t="shared" si="451"/>
        <v>0</v>
      </c>
      <c r="CO1416">
        <f t="shared" si="435"/>
        <v>0</v>
      </c>
    </row>
    <row r="1417" spans="1:93" hidden="1" x14ac:dyDescent="0.25">
      <c r="A1417" s="4">
        <v>2021</v>
      </c>
      <c r="B1417" s="315">
        <v>44320</v>
      </c>
      <c r="C1417" s="4" t="s">
        <v>1522</v>
      </c>
      <c r="D1417" s="4" t="s">
        <v>1523</v>
      </c>
      <c r="F1417" s="4" t="s">
        <v>1524</v>
      </c>
      <c r="G1417" s="5" t="s">
        <v>1512</v>
      </c>
      <c r="H1417" s="5" t="s">
        <v>1525</v>
      </c>
      <c r="I1417" s="5" t="s">
        <v>146</v>
      </c>
      <c r="J1417" s="5" t="s">
        <v>9</v>
      </c>
      <c r="K1417" s="5">
        <v>15.5</v>
      </c>
      <c r="L1417" s="5" t="s">
        <v>1526</v>
      </c>
      <c r="M1417" s="5">
        <v>1100</v>
      </c>
      <c r="N1417" s="5" t="s">
        <v>170</v>
      </c>
      <c r="O1417" s="6" t="s">
        <v>81</v>
      </c>
      <c r="P1417" s="6" t="s">
        <v>1528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+VLOOKUP(G1417,Liste!$A$7:$G$69,3,FALSE)</f>
        <v>Pin d'Alep</v>
      </c>
      <c r="BI1417" s="96" t="str">
        <f>+VLOOKUP(H1417,Liste!$B$7:$G$69,5,FALSE)</f>
        <v>Pin d'Alep</v>
      </c>
      <c r="BJ1417" s="135">
        <f t="shared" si="434"/>
        <v>46</v>
      </c>
      <c r="BK1417" s="135" t="str">
        <f t="shared" si="436"/>
        <v>Pin d'Alep_F1_Dynamique_Pin d'Alep_46_</v>
      </c>
      <c r="BL1417" s="319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97" t="str">
        <f>+VLOOKUP(G1417,Liste!$A$7:$H$69,8,FALSE)</f>
        <v>Résineux</v>
      </c>
      <c r="BU1417" s="297">
        <f t="shared" si="437"/>
        <v>0</v>
      </c>
      <c r="BV1417" s="299">
        <f t="shared" si="438"/>
        <v>1</v>
      </c>
      <c r="BW1417" s="318">
        <v>0</v>
      </c>
      <c r="BX1417" s="297">
        <f t="shared" si="439"/>
        <v>0.43</v>
      </c>
      <c r="BY1417">
        <f t="shared" si="440"/>
        <v>0</v>
      </c>
      <c r="BZ1417" s="303">
        <f t="shared" si="441"/>
        <v>0</v>
      </c>
      <c r="CB1417" s="298">
        <v>0.6</v>
      </c>
      <c r="CC1417" s="298">
        <v>0.4</v>
      </c>
      <c r="CD1417">
        <f t="shared" si="442"/>
        <v>0</v>
      </c>
      <c r="CE1417">
        <f t="shared" si="443"/>
        <v>0</v>
      </c>
      <c r="CF1417">
        <f t="shared" si="444"/>
        <v>0</v>
      </c>
      <c r="CG1417">
        <f t="shared" si="445"/>
        <v>0</v>
      </c>
      <c r="CH1417">
        <f t="shared" si="446"/>
        <v>0</v>
      </c>
      <c r="CI1417">
        <f t="shared" si="447"/>
        <v>0</v>
      </c>
      <c r="CJ1417">
        <f t="shared" si="448"/>
        <v>0</v>
      </c>
      <c r="CK1417">
        <f t="shared" si="449"/>
        <v>0</v>
      </c>
      <c r="CL1417">
        <f t="shared" si="450"/>
        <v>0</v>
      </c>
      <c r="CM1417">
        <f t="shared" si="452"/>
        <v>0</v>
      </c>
      <c r="CN1417">
        <f t="shared" si="451"/>
        <v>0</v>
      </c>
      <c r="CO1417">
        <f t="shared" si="435"/>
        <v>0</v>
      </c>
    </row>
    <row r="1418" spans="1:93" hidden="1" x14ac:dyDescent="0.25">
      <c r="A1418" s="4">
        <v>2021</v>
      </c>
      <c r="B1418" s="315">
        <v>44320</v>
      </c>
      <c r="C1418" s="4" t="s">
        <v>1522</v>
      </c>
      <c r="D1418" s="4" t="s">
        <v>1523</v>
      </c>
      <c r="F1418" s="4" t="s">
        <v>1524</v>
      </c>
      <c r="G1418" s="5" t="s">
        <v>1512</v>
      </c>
      <c r="H1418" s="5" t="s">
        <v>1525</v>
      </c>
      <c r="I1418" s="5" t="s">
        <v>146</v>
      </c>
      <c r="J1418" s="5" t="s">
        <v>9</v>
      </c>
      <c r="K1418" s="5">
        <v>15.5</v>
      </c>
      <c r="L1418" s="5" t="s">
        <v>1526</v>
      </c>
      <c r="M1418" s="5">
        <v>1100</v>
      </c>
      <c r="N1418" s="5" t="s">
        <v>170</v>
      </c>
      <c r="O1418" s="6" t="s">
        <v>81</v>
      </c>
      <c r="P1418" s="6" t="s">
        <v>1528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+VLOOKUP(G1418,Liste!$A$7:$G$69,3,FALSE)</f>
        <v>Pin d'Alep</v>
      </c>
      <c r="BI1418" s="96" t="str">
        <f>+VLOOKUP(H1418,Liste!$B$7:$G$69,5,FALSE)</f>
        <v>Pin d'Alep</v>
      </c>
      <c r="BJ1418" s="135">
        <f t="shared" si="434"/>
        <v>47</v>
      </c>
      <c r="BK1418" s="135" t="str">
        <f t="shared" si="436"/>
        <v>Pin d'Alep_F1_Dynamique_Pin d'Alep_47_</v>
      </c>
      <c r="BL1418" s="319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97" t="str">
        <f>+VLOOKUP(G1418,Liste!$A$7:$H$69,8,FALSE)</f>
        <v>Résineux</v>
      </c>
      <c r="BU1418" s="297">
        <f t="shared" si="437"/>
        <v>0</v>
      </c>
      <c r="BV1418" s="299">
        <f t="shared" si="438"/>
        <v>1</v>
      </c>
      <c r="BW1418" s="318">
        <v>0</v>
      </c>
      <c r="BX1418" s="297">
        <f t="shared" si="439"/>
        <v>0.43</v>
      </c>
      <c r="BY1418">
        <f t="shared" si="440"/>
        <v>0</v>
      </c>
      <c r="BZ1418" s="303">
        <f t="shared" si="441"/>
        <v>0</v>
      </c>
      <c r="CB1418" s="298">
        <v>0.6</v>
      </c>
      <c r="CC1418" s="298">
        <v>0.4</v>
      </c>
      <c r="CD1418">
        <f t="shared" si="442"/>
        <v>0</v>
      </c>
      <c r="CE1418">
        <f t="shared" si="443"/>
        <v>0</v>
      </c>
      <c r="CF1418">
        <f t="shared" si="444"/>
        <v>0</v>
      </c>
      <c r="CG1418">
        <f t="shared" si="445"/>
        <v>0</v>
      </c>
      <c r="CH1418">
        <f t="shared" si="446"/>
        <v>0</v>
      </c>
      <c r="CI1418">
        <f t="shared" si="447"/>
        <v>0</v>
      </c>
      <c r="CJ1418">
        <f t="shared" si="448"/>
        <v>0</v>
      </c>
      <c r="CK1418">
        <f t="shared" si="449"/>
        <v>0</v>
      </c>
      <c r="CL1418">
        <f t="shared" si="450"/>
        <v>0</v>
      </c>
      <c r="CM1418">
        <f t="shared" si="452"/>
        <v>0</v>
      </c>
      <c r="CN1418">
        <f t="shared" si="451"/>
        <v>0</v>
      </c>
      <c r="CO1418">
        <f t="shared" si="435"/>
        <v>0</v>
      </c>
    </row>
    <row r="1419" spans="1:93" hidden="1" x14ac:dyDescent="0.25">
      <c r="A1419" s="4">
        <v>2021</v>
      </c>
      <c r="B1419" s="315">
        <v>44320</v>
      </c>
      <c r="C1419" s="4" t="s">
        <v>1522</v>
      </c>
      <c r="D1419" s="4" t="s">
        <v>1523</v>
      </c>
      <c r="F1419" s="4" t="s">
        <v>1524</v>
      </c>
      <c r="G1419" s="5" t="s">
        <v>1512</v>
      </c>
      <c r="H1419" s="5" t="s">
        <v>1525</v>
      </c>
      <c r="I1419" s="5" t="s">
        <v>146</v>
      </c>
      <c r="J1419" s="5" t="s">
        <v>9</v>
      </c>
      <c r="K1419" s="5">
        <v>15.5</v>
      </c>
      <c r="L1419" s="5" t="s">
        <v>1526</v>
      </c>
      <c r="M1419" s="5">
        <v>1100</v>
      </c>
      <c r="N1419" s="5" t="s">
        <v>170</v>
      </c>
      <c r="O1419" s="6" t="s">
        <v>81</v>
      </c>
      <c r="P1419" s="6" t="s">
        <v>1528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+VLOOKUP(G1419,Liste!$A$7:$G$69,3,FALSE)</f>
        <v>Pin d'Alep</v>
      </c>
      <c r="BI1419" s="96" t="str">
        <f>+VLOOKUP(H1419,Liste!$B$7:$G$69,5,FALSE)</f>
        <v>Pin d'Alep</v>
      </c>
      <c r="BJ1419" s="135">
        <f t="shared" si="434"/>
        <v>48</v>
      </c>
      <c r="BK1419" s="135" t="str">
        <f t="shared" si="436"/>
        <v>Pin d'Alep_F1_Dynamique_Pin d'Alep_48_</v>
      </c>
      <c r="BL1419" s="319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97" t="str">
        <f>+VLOOKUP(G1419,Liste!$A$7:$H$69,8,FALSE)</f>
        <v>Résineux</v>
      </c>
      <c r="BU1419" s="297">
        <f t="shared" si="437"/>
        <v>0</v>
      </c>
      <c r="BV1419" s="299">
        <f t="shared" si="438"/>
        <v>1</v>
      </c>
      <c r="BW1419" s="318">
        <v>0</v>
      </c>
      <c r="BX1419" s="297">
        <f t="shared" si="439"/>
        <v>0.43</v>
      </c>
      <c r="BY1419">
        <f t="shared" si="440"/>
        <v>0</v>
      </c>
      <c r="BZ1419" s="303">
        <f t="shared" si="441"/>
        <v>0</v>
      </c>
      <c r="CB1419" s="298">
        <v>0.6</v>
      </c>
      <c r="CC1419" s="298">
        <v>0.4</v>
      </c>
      <c r="CD1419">
        <f t="shared" si="442"/>
        <v>0</v>
      </c>
      <c r="CE1419">
        <f t="shared" si="443"/>
        <v>0</v>
      </c>
      <c r="CF1419">
        <f t="shared" si="444"/>
        <v>0</v>
      </c>
      <c r="CG1419">
        <f t="shared" si="445"/>
        <v>0</v>
      </c>
      <c r="CH1419">
        <f t="shared" si="446"/>
        <v>0</v>
      </c>
      <c r="CI1419">
        <f t="shared" si="447"/>
        <v>0</v>
      </c>
      <c r="CJ1419">
        <f t="shared" si="448"/>
        <v>0</v>
      </c>
      <c r="CK1419">
        <f t="shared" si="449"/>
        <v>0</v>
      </c>
      <c r="CL1419">
        <f t="shared" si="450"/>
        <v>0</v>
      </c>
      <c r="CM1419">
        <f t="shared" si="452"/>
        <v>0</v>
      </c>
      <c r="CN1419">
        <f t="shared" si="451"/>
        <v>0</v>
      </c>
      <c r="CO1419">
        <f t="shared" si="435"/>
        <v>0</v>
      </c>
    </row>
    <row r="1420" spans="1:93" hidden="1" x14ac:dyDescent="0.25">
      <c r="A1420" s="4">
        <v>2021</v>
      </c>
      <c r="B1420" s="315">
        <v>44320</v>
      </c>
      <c r="C1420" s="4" t="s">
        <v>1522</v>
      </c>
      <c r="D1420" s="4" t="s">
        <v>1523</v>
      </c>
      <c r="F1420" s="4" t="s">
        <v>1524</v>
      </c>
      <c r="G1420" s="5" t="s">
        <v>1512</v>
      </c>
      <c r="H1420" s="5" t="s">
        <v>1525</v>
      </c>
      <c r="I1420" s="5" t="s">
        <v>146</v>
      </c>
      <c r="J1420" s="5" t="s">
        <v>9</v>
      </c>
      <c r="K1420" s="5">
        <v>15.5</v>
      </c>
      <c r="L1420" s="5" t="s">
        <v>1526</v>
      </c>
      <c r="M1420" s="5">
        <v>1100</v>
      </c>
      <c r="N1420" s="5" t="s">
        <v>170</v>
      </c>
      <c r="O1420" s="6" t="s">
        <v>81</v>
      </c>
      <c r="P1420" s="6" t="s">
        <v>1528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+VLOOKUP(G1420,Liste!$A$7:$G$69,3,FALSE)</f>
        <v>Pin d'Alep</v>
      </c>
      <c r="BI1420" s="96" t="str">
        <f>+VLOOKUP(H1420,Liste!$B$7:$G$69,5,FALSE)</f>
        <v>Pin d'Alep</v>
      </c>
      <c r="BJ1420" s="135">
        <f t="shared" si="434"/>
        <v>49</v>
      </c>
      <c r="BK1420" s="135" t="str">
        <f t="shared" si="436"/>
        <v>Pin d'Alep_F1_Dynamique_Pin d'Alep_49_</v>
      </c>
      <c r="BL1420" s="319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97" t="str">
        <f>+VLOOKUP(G1420,Liste!$A$7:$H$69,8,FALSE)</f>
        <v>Résineux</v>
      </c>
      <c r="BU1420" s="297">
        <f t="shared" si="437"/>
        <v>0</v>
      </c>
      <c r="BV1420" s="299">
        <f t="shared" si="438"/>
        <v>1</v>
      </c>
      <c r="BW1420" s="318">
        <v>0</v>
      </c>
      <c r="BX1420" s="297">
        <f t="shared" si="439"/>
        <v>0.43</v>
      </c>
      <c r="BY1420">
        <f t="shared" si="440"/>
        <v>0</v>
      </c>
      <c r="BZ1420" s="303">
        <f t="shared" si="441"/>
        <v>0</v>
      </c>
      <c r="CB1420" s="298">
        <v>0.6</v>
      </c>
      <c r="CC1420" s="298">
        <v>0.4</v>
      </c>
      <c r="CD1420">
        <f t="shared" si="442"/>
        <v>0</v>
      </c>
      <c r="CE1420">
        <f t="shared" si="443"/>
        <v>0</v>
      </c>
      <c r="CF1420">
        <f t="shared" si="444"/>
        <v>0</v>
      </c>
      <c r="CG1420">
        <f t="shared" si="445"/>
        <v>0</v>
      </c>
      <c r="CH1420">
        <f t="shared" si="446"/>
        <v>0</v>
      </c>
      <c r="CI1420">
        <f t="shared" si="447"/>
        <v>0</v>
      </c>
      <c r="CJ1420">
        <f t="shared" si="448"/>
        <v>0</v>
      </c>
      <c r="CK1420">
        <f t="shared" si="449"/>
        <v>0</v>
      </c>
      <c r="CL1420">
        <f t="shared" si="450"/>
        <v>0</v>
      </c>
      <c r="CM1420">
        <f t="shared" si="452"/>
        <v>0</v>
      </c>
      <c r="CN1420">
        <f t="shared" si="451"/>
        <v>0</v>
      </c>
      <c r="CO1420">
        <f t="shared" si="435"/>
        <v>0</v>
      </c>
    </row>
    <row r="1421" spans="1:93" hidden="1" x14ac:dyDescent="0.25">
      <c r="A1421" s="4">
        <v>2021</v>
      </c>
      <c r="B1421" s="315">
        <v>44320</v>
      </c>
      <c r="C1421" s="4" t="s">
        <v>1522</v>
      </c>
      <c r="D1421" s="4" t="s">
        <v>1523</v>
      </c>
      <c r="F1421" s="4" t="s">
        <v>1524</v>
      </c>
      <c r="G1421" s="5" t="s">
        <v>1512</v>
      </c>
      <c r="H1421" s="5" t="s">
        <v>1525</v>
      </c>
      <c r="I1421" s="5" t="s">
        <v>146</v>
      </c>
      <c r="J1421" s="5" t="s">
        <v>9</v>
      </c>
      <c r="K1421" s="5">
        <v>15.5</v>
      </c>
      <c r="L1421" s="5" t="s">
        <v>1526</v>
      </c>
      <c r="M1421" s="5">
        <v>1100</v>
      </c>
      <c r="N1421" s="5" t="s">
        <v>170</v>
      </c>
      <c r="O1421" s="6" t="s">
        <v>81</v>
      </c>
      <c r="P1421" s="6" t="s">
        <v>1528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+VLOOKUP(G1421,Liste!$A$7:$G$69,3,FALSE)</f>
        <v>Pin d'Alep</v>
      </c>
      <c r="BI1421" s="96" t="str">
        <f>+VLOOKUP(H1421,Liste!$B$7:$G$69,5,FALSE)</f>
        <v>Pin d'Alep</v>
      </c>
      <c r="BJ1421" s="135">
        <f t="shared" si="434"/>
        <v>49</v>
      </c>
      <c r="BK1421" s="135" t="str">
        <f t="shared" si="436"/>
        <v>Pin d'Alep_F1_Dynamique_Pin d'Alep_49_</v>
      </c>
      <c r="BL1421" s="319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97" t="str">
        <f>+VLOOKUP(G1421,Liste!$A$7:$H$69,8,FALSE)</f>
        <v>Résineux</v>
      </c>
      <c r="BU1421" s="297">
        <f t="shared" si="437"/>
        <v>0</v>
      </c>
      <c r="BV1421" s="299">
        <f t="shared" si="438"/>
        <v>1</v>
      </c>
      <c r="BW1421" s="318">
        <v>0</v>
      </c>
      <c r="BX1421" s="297">
        <f t="shared" si="439"/>
        <v>0.43</v>
      </c>
      <c r="BY1421">
        <f t="shared" si="440"/>
        <v>0</v>
      </c>
      <c r="BZ1421" s="303">
        <f t="shared" si="441"/>
        <v>0</v>
      </c>
      <c r="CB1421" s="298">
        <v>0.6</v>
      </c>
      <c r="CC1421" s="298">
        <v>0.4</v>
      </c>
      <c r="CD1421">
        <f t="shared" si="442"/>
        <v>0</v>
      </c>
      <c r="CE1421">
        <f t="shared" si="443"/>
        <v>0</v>
      </c>
      <c r="CF1421">
        <f t="shared" si="444"/>
        <v>0</v>
      </c>
      <c r="CG1421">
        <f t="shared" si="445"/>
        <v>0</v>
      </c>
      <c r="CH1421">
        <f t="shared" si="446"/>
        <v>0</v>
      </c>
      <c r="CI1421">
        <f t="shared" si="447"/>
        <v>0</v>
      </c>
      <c r="CJ1421">
        <f t="shared" si="448"/>
        <v>0</v>
      </c>
      <c r="CK1421">
        <f t="shared" si="449"/>
        <v>0</v>
      </c>
      <c r="CL1421">
        <f t="shared" si="450"/>
        <v>0</v>
      </c>
      <c r="CM1421">
        <f t="shared" si="452"/>
        <v>0</v>
      </c>
      <c r="CN1421">
        <f t="shared" si="451"/>
        <v>0</v>
      </c>
      <c r="CO1421">
        <f t="shared" si="435"/>
        <v>0</v>
      </c>
    </row>
    <row r="1422" spans="1:93" hidden="1" x14ac:dyDescent="0.25">
      <c r="A1422" s="4">
        <v>2021</v>
      </c>
      <c r="B1422" s="315">
        <v>44320</v>
      </c>
      <c r="C1422" s="4" t="s">
        <v>1522</v>
      </c>
      <c r="D1422" s="4" t="s">
        <v>1523</v>
      </c>
      <c r="F1422" s="4" t="s">
        <v>1524</v>
      </c>
      <c r="G1422" s="5" t="s">
        <v>1512</v>
      </c>
      <c r="H1422" s="5" t="s">
        <v>1525</v>
      </c>
      <c r="I1422" s="5" t="s">
        <v>146</v>
      </c>
      <c r="J1422" s="5" t="s">
        <v>9</v>
      </c>
      <c r="K1422" s="5">
        <v>15.5</v>
      </c>
      <c r="L1422" s="5" t="s">
        <v>1526</v>
      </c>
      <c r="M1422" s="5">
        <v>1100</v>
      </c>
      <c r="N1422" s="5" t="s">
        <v>170</v>
      </c>
      <c r="O1422" s="6" t="s">
        <v>81</v>
      </c>
      <c r="P1422" s="6" t="s">
        <v>1528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+VLOOKUP(G1422,Liste!$A$7:$G$69,3,FALSE)</f>
        <v>Pin d'Alep</v>
      </c>
      <c r="BI1422" s="96" t="str">
        <f>+VLOOKUP(H1422,Liste!$B$7:$G$69,5,FALSE)</f>
        <v>Pin d'Alep</v>
      </c>
      <c r="BJ1422" s="135">
        <f t="shared" si="434"/>
        <v>50</v>
      </c>
      <c r="BK1422" s="135" t="str">
        <f t="shared" si="436"/>
        <v>Pin d'Alep_F1_Dynamique_Pin d'Alep_50_</v>
      </c>
      <c r="BL1422" s="319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97" t="str">
        <f>+VLOOKUP(G1422,Liste!$A$7:$H$69,8,FALSE)</f>
        <v>Résineux</v>
      </c>
      <c r="BU1422" s="297">
        <f t="shared" si="437"/>
        <v>0</v>
      </c>
      <c r="BV1422" s="299">
        <f t="shared" si="438"/>
        <v>1</v>
      </c>
      <c r="BW1422" s="318">
        <v>0</v>
      </c>
      <c r="BX1422" s="297">
        <f t="shared" si="439"/>
        <v>0.43</v>
      </c>
      <c r="BY1422">
        <f t="shared" si="440"/>
        <v>0</v>
      </c>
      <c r="BZ1422" s="303">
        <f t="shared" si="441"/>
        <v>0</v>
      </c>
      <c r="CB1422" s="298">
        <v>0.6</v>
      </c>
      <c r="CC1422" s="298">
        <v>0.4</v>
      </c>
      <c r="CD1422">
        <f t="shared" si="442"/>
        <v>0</v>
      </c>
      <c r="CE1422">
        <f t="shared" si="443"/>
        <v>0</v>
      </c>
      <c r="CF1422">
        <f t="shared" si="444"/>
        <v>0</v>
      </c>
      <c r="CG1422">
        <f t="shared" si="445"/>
        <v>0</v>
      </c>
      <c r="CH1422">
        <f t="shared" si="446"/>
        <v>0</v>
      </c>
      <c r="CI1422">
        <f t="shared" si="447"/>
        <v>0</v>
      </c>
      <c r="CJ1422">
        <f t="shared" si="448"/>
        <v>0</v>
      </c>
      <c r="CK1422">
        <f t="shared" si="449"/>
        <v>0</v>
      </c>
      <c r="CL1422">
        <f t="shared" si="450"/>
        <v>0</v>
      </c>
      <c r="CM1422">
        <f t="shared" si="452"/>
        <v>0</v>
      </c>
      <c r="CN1422">
        <f t="shared" si="451"/>
        <v>0</v>
      </c>
      <c r="CO1422">
        <f t="shared" si="435"/>
        <v>0</v>
      </c>
    </row>
    <row r="1423" spans="1:93" hidden="1" x14ac:dyDescent="0.25">
      <c r="A1423" s="4">
        <v>2021</v>
      </c>
      <c r="B1423" s="315">
        <v>44320</v>
      </c>
      <c r="C1423" s="4" t="s">
        <v>1522</v>
      </c>
      <c r="D1423" s="4" t="s">
        <v>1523</v>
      </c>
      <c r="F1423" s="4" t="s">
        <v>1524</v>
      </c>
      <c r="G1423" s="5" t="s">
        <v>1512</v>
      </c>
      <c r="H1423" s="5" t="s">
        <v>1525</v>
      </c>
      <c r="I1423" s="5" t="s">
        <v>146</v>
      </c>
      <c r="J1423" s="5" t="s">
        <v>9</v>
      </c>
      <c r="K1423" s="5">
        <v>15.5</v>
      </c>
      <c r="L1423" s="5" t="s">
        <v>1526</v>
      </c>
      <c r="M1423" s="5">
        <v>1100</v>
      </c>
      <c r="N1423" s="5" t="s">
        <v>170</v>
      </c>
      <c r="O1423" s="6" t="s">
        <v>81</v>
      </c>
      <c r="P1423" s="6" t="s">
        <v>1528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+VLOOKUP(G1423,Liste!$A$7:$G$69,3,FALSE)</f>
        <v>Pin d'Alep</v>
      </c>
      <c r="BI1423" s="96" t="str">
        <f>+VLOOKUP(H1423,Liste!$B$7:$G$69,5,FALSE)</f>
        <v>Pin d'Alep</v>
      </c>
      <c r="BJ1423" s="135">
        <f t="shared" si="434"/>
        <v>51</v>
      </c>
      <c r="BK1423" s="135" t="str">
        <f t="shared" si="436"/>
        <v>Pin d'Alep_F1_Dynamique_Pin d'Alep_51_</v>
      </c>
      <c r="BL1423" s="319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97" t="str">
        <f>+VLOOKUP(G1423,Liste!$A$7:$H$69,8,FALSE)</f>
        <v>Résineux</v>
      </c>
      <c r="BU1423" s="297">
        <f t="shared" si="437"/>
        <v>0</v>
      </c>
      <c r="BV1423" s="299">
        <f t="shared" si="438"/>
        <v>1</v>
      </c>
      <c r="BW1423" s="318">
        <v>0</v>
      </c>
      <c r="BX1423" s="297">
        <f t="shared" si="439"/>
        <v>0.43</v>
      </c>
      <c r="BY1423">
        <f t="shared" si="440"/>
        <v>0</v>
      </c>
      <c r="BZ1423" s="303">
        <f t="shared" si="441"/>
        <v>0</v>
      </c>
      <c r="CB1423" s="298">
        <v>0.6</v>
      </c>
      <c r="CC1423" s="298">
        <v>0.4</v>
      </c>
      <c r="CD1423">
        <f t="shared" si="442"/>
        <v>0</v>
      </c>
      <c r="CE1423">
        <f t="shared" si="443"/>
        <v>0</v>
      </c>
      <c r="CF1423">
        <f t="shared" si="444"/>
        <v>0</v>
      </c>
      <c r="CG1423">
        <f t="shared" si="445"/>
        <v>0</v>
      </c>
      <c r="CH1423">
        <f t="shared" si="446"/>
        <v>0</v>
      </c>
      <c r="CI1423">
        <f t="shared" si="447"/>
        <v>0</v>
      </c>
      <c r="CJ1423">
        <f t="shared" si="448"/>
        <v>0</v>
      </c>
      <c r="CK1423">
        <f t="shared" si="449"/>
        <v>0</v>
      </c>
      <c r="CL1423">
        <f t="shared" si="450"/>
        <v>0</v>
      </c>
      <c r="CM1423">
        <f t="shared" si="452"/>
        <v>0</v>
      </c>
      <c r="CN1423">
        <f t="shared" si="451"/>
        <v>0</v>
      </c>
      <c r="CO1423">
        <f t="shared" si="435"/>
        <v>0</v>
      </c>
    </row>
    <row r="1424" spans="1:93" hidden="1" x14ac:dyDescent="0.25">
      <c r="A1424" s="4">
        <v>2021</v>
      </c>
      <c r="B1424" s="315">
        <v>44320</v>
      </c>
      <c r="C1424" s="4" t="s">
        <v>1522</v>
      </c>
      <c r="D1424" s="4" t="s">
        <v>1523</v>
      </c>
      <c r="F1424" s="4" t="s">
        <v>1524</v>
      </c>
      <c r="G1424" s="5" t="s">
        <v>1512</v>
      </c>
      <c r="H1424" s="5" t="s">
        <v>1525</v>
      </c>
      <c r="I1424" s="5" t="s">
        <v>146</v>
      </c>
      <c r="J1424" s="5" t="s">
        <v>9</v>
      </c>
      <c r="K1424" s="5">
        <v>15.5</v>
      </c>
      <c r="L1424" s="5" t="s">
        <v>1526</v>
      </c>
      <c r="M1424" s="5">
        <v>1100</v>
      </c>
      <c r="N1424" s="5" t="s">
        <v>170</v>
      </c>
      <c r="O1424" s="6" t="s">
        <v>81</v>
      </c>
      <c r="P1424" s="6" t="s">
        <v>1528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+VLOOKUP(G1424,Liste!$A$7:$G$69,3,FALSE)</f>
        <v>Pin d'Alep</v>
      </c>
      <c r="BI1424" s="96" t="str">
        <f>+VLOOKUP(H1424,Liste!$B$7:$G$69,5,FALSE)</f>
        <v>Pin d'Alep</v>
      </c>
      <c r="BJ1424" s="135">
        <f t="shared" si="434"/>
        <v>52</v>
      </c>
      <c r="BK1424" s="135" t="str">
        <f t="shared" si="436"/>
        <v>Pin d'Alep_F1_Dynamique_Pin d'Alep_52_</v>
      </c>
      <c r="BL1424" s="319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97" t="str">
        <f>+VLOOKUP(G1424,Liste!$A$7:$H$69,8,FALSE)</f>
        <v>Résineux</v>
      </c>
      <c r="BU1424" s="297">
        <f t="shared" si="437"/>
        <v>0</v>
      </c>
      <c r="BV1424" s="299">
        <f t="shared" si="438"/>
        <v>1</v>
      </c>
      <c r="BW1424" s="318">
        <v>0</v>
      </c>
      <c r="BX1424" s="297">
        <f t="shared" si="439"/>
        <v>0.43</v>
      </c>
      <c r="BY1424">
        <f t="shared" si="440"/>
        <v>0</v>
      </c>
      <c r="BZ1424" s="303">
        <f t="shared" si="441"/>
        <v>0</v>
      </c>
      <c r="CB1424" s="298">
        <v>0.6</v>
      </c>
      <c r="CC1424" s="298">
        <v>0.4</v>
      </c>
      <c r="CD1424">
        <f t="shared" si="442"/>
        <v>0</v>
      </c>
      <c r="CE1424">
        <f t="shared" si="443"/>
        <v>0</v>
      </c>
      <c r="CF1424">
        <f t="shared" si="444"/>
        <v>0</v>
      </c>
      <c r="CG1424">
        <f t="shared" si="445"/>
        <v>0</v>
      </c>
      <c r="CH1424">
        <f t="shared" si="446"/>
        <v>0</v>
      </c>
      <c r="CI1424">
        <f t="shared" si="447"/>
        <v>0</v>
      </c>
      <c r="CJ1424">
        <f t="shared" si="448"/>
        <v>0</v>
      </c>
      <c r="CK1424">
        <f t="shared" si="449"/>
        <v>0</v>
      </c>
      <c r="CL1424">
        <f t="shared" si="450"/>
        <v>0</v>
      </c>
      <c r="CM1424">
        <f t="shared" si="452"/>
        <v>0</v>
      </c>
      <c r="CN1424">
        <f t="shared" si="451"/>
        <v>0</v>
      </c>
      <c r="CO1424">
        <f t="shared" si="435"/>
        <v>0</v>
      </c>
    </row>
    <row r="1425" spans="1:93" hidden="1" x14ac:dyDescent="0.25">
      <c r="A1425" s="4">
        <v>2021</v>
      </c>
      <c r="B1425" s="315">
        <v>44320</v>
      </c>
      <c r="C1425" s="4" t="s">
        <v>1522</v>
      </c>
      <c r="D1425" s="4" t="s">
        <v>1523</v>
      </c>
      <c r="F1425" s="4" t="s">
        <v>1524</v>
      </c>
      <c r="G1425" s="5" t="s">
        <v>1512</v>
      </c>
      <c r="H1425" s="5" t="s">
        <v>1525</v>
      </c>
      <c r="I1425" s="5" t="s">
        <v>146</v>
      </c>
      <c r="J1425" s="5" t="s">
        <v>9</v>
      </c>
      <c r="K1425" s="5">
        <v>15.5</v>
      </c>
      <c r="L1425" s="5" t="s">
        <v>1526</v>
      </c>
      <c r="M1425" s="5">
        <v>1100</v>
      </c>
      <c r="N1425" s="5" t="s">
        <v>170</v>
      </c>
      <c r="O1425" s="6" t="s">
        <v>81</v>
      </c>
      <c r="P1425" s="6" t="s">
        <v>1528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+VLOOKUP(G1425,Liste!$A$7:$G$69,3,FALSE)</f>
        <v>Pin d'Alep</v>
      </c>
      <c r="BI1425" s="96" t="str">
        <f>+VLOOKUP(H1425,Liste!$B$7:$G$69,5,FALSE)</f>
        <v>Pin d'Alep</v>
      </c>
      <c r="BJ1425" s="135">
        <f t="shared" si="434"/>
        <v>53</v>
      </c>
      <c r="BK1425" s="135" t="str">
        <f t="shared" si="436"/>
        <v>Pin d'Alep_F1_Dynamique_Pin d'Alep_53_</v>
      </c>
      <c r="BL1425" s="319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97" t="str">
        <f>+VLOOKUP(G1425,Liste!$A$7:$H$69,8,FALSE)</f>
        <v>Résineux</v>
      </c>
      <c r="BU1425" s="297">
        <f t="shared" si="437"/>
        <v>0</v>
      </c>
      <c r="BV1425" s="299">
        <f t="shared" si="438"/>
        <v>1</v>
      </c>
      <c r="BW1425" s="318">
        <v>0</v>
      </c>
      <c r="BX1425" s="297">
        <f t="shared" si="439"/>
        <v>0.43</v>
      </c>
      <c r="BY1425">
        <f t="shared" si="440"/>
        <v>0</v>
      </c>
      <c r="BZ1425" s="303">
        <f t="shared" si="441"/>
        <v>0</v>
      </c>
      <c r="CB1425" s="298">
        <v>0.6</v>
      </c>
      <c r="CC1425" s="298">
        <v>0.4</v>
      </c>
      <c r="CD1425">
        <f t="shared" si="442"/>
        <v>0</v>
      </c>
      <c r="CE1425">
        <f t="shared" si="443"/>
        <v>0</v>
      </c>
      <c r="CF1425">
        <f t="shared" si="444"/>
        <v>0</v>
      </c>
      <c r="CG1425">
        <f t="shared" si="445"/>
        <v>0</v>
      </c>
      <c r="CH1425">
        <f t="shared" si="446"/>
        <v>0</v>
      </c>
      <c r="CI1425">
        <f t="shared" si="447"/>
        <v>0</v>
      </c>
      <c r="CJ1425">
        <f t="shared" si="448"/>
        <v>0</v>
      </c>
      <c r="CK1425">
        <f t="shared" si="449"/>
        <v>0</v>
      </c>
      <c r="CL1425">
        <f t="shared" si="450"/>
        <v>0</v>
      </c>
      <c r="CM1425">
        <f t="shared" si="452"/>
        <v>0</v>
      </c>
      <c r="CN1425">
        <f t="shared" si="451"/>
        <v>0</v>
      </c>
      <c r="CO1425">
        <f t="shared" si="435"/>
        <v>0</v>
      </c>
    </row>
    <row r="1426" spans="1:93" hidden="1" x14ac:dyDescent="0.25">
      <c r="A1426" s="4">
        <v>2021</v>
      </c>
      <c r="B1426" s="315">
        <v>44320</v>
      </c>
      <c r="C1426" s="4" t="s">
        <v>1522</v>
      </c>
      <c r="D1426" s="4" t="s">
        <v>1523</v>
      </c>
      <c r="F1426" s="4" t="s">
        <v>1524</v>
      </c>
      <c r="G1426" s="5" t="s">
        <v>1512</v>
      </c>
      <c r="H1426" s="5" t="s">
        <v>1525</v>
      </c>
      <c r="I1426" s="5" t="s">
        <v>146</v>
      </c>
      <c r="J1426" s="5" t="s">
        <v>9</v>
      </c>
      <c r="K1426" s="5">
        <v>15.5</v>
      </c>
      <c r="L1426" s="5" t="s">
        <v>1526</v>
      </c>
      <c r="M1426" s="5">
        <v>1100</v>
      </c>
      <c r="N1426" s="5" t="s">
        <v>170</v>
      </c>
      <c r="O1426" s="6" t="s">
        <v>81</v>
      </c>
      <c r="P1426" s="6" t="s">
        <v>1528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+VLOOKUP(G1426,Liste!$A$7:$G$69,3,FALSE)</f>
        <v>Pin d'Alep</v>
      </c>
      <c r="BI1426" s="96" t="str">
        <f>+VLOOKUP(H1426,Liste!$B$7:$G$69,5,FALSE)</f>
        <v>Pin d'Alep</v>
      </c>
      <c r="BJ1426" s="135">
        <f t="shared" si="434"/>
        <v>54</v>
      </c>
      <c r="BK1426" s="135" t="str">
        <f t="shared" si="436"/>
        <v>Pin d'Alep_F1_Dynamique_Pin d'Alep_54_</v>
      </c>
      <c r="BL1426" s="319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97" t="str">
        <f>+VLOOKUP(G1426,Liste!$A$7:$H$69,8,FALSE)</f>
        <v>Résineux</v>
      </c>
      <c r="BU1426" s="297">
        <f t="shared" si="437"/>
        <v>0</v>
      </c>
      <c r="BV1426" s="299">
        <f t="shared" si="438"/>
        <v>1</v>
      </c>
      <c r="BW1426" s="318">
        <v>0</v>
      </c>
      <c r="BX1426" s="297">
        <f t="shared" si="439"/>
        <v>0.43</v>
      </c>
      <c r="BY1426">
        <f t="shared" si="440"/>
        <v>0</v>
      </c>
      <c r="BZ1426" s="303">
        <f t="shared" si="441"/>
        <v>0</v>
      </c>
      <c r="CB1426" s="298">
        <v>0.6</v>
      </c>
      <c r="CC1426" s="298">
        <v>0.4</v>
      </c>
      <c r="CD1426">
        <f t="shared" si="442"/>
        <v>0</v>
      </c>
      <c r="CE1426">
        <f t="shared" si="443"/>
        <v>0</v>
      </c>
      <c r="CF1426">
        <f t="shared" si="444"/>
        <v>0</v>
      </c>
      <c r="CG1426">
        <f t="shared" si="445"/>
        <v>0</v>
      </c>
      <c r="CH1426">
        <f t="shared" si="446"/>
        <v>0</v>
      </c>
      <c r="CI1426">
        <f t="shared" si="447"/>
        <v>0</v>
      </c>
      <c r="CJ1426">
        <f t="shared" si="448"/>
        <v>0</v>
      </c>
      <c r="CK1426">
        <f t="shared" si="449"/>
        <v>0</v>
      </c>
      <c r="CL1426">
        <f t="shared" si="450"/>
        <v>0</v>
      </c>
      <c r="CM1426">
        <f t="shared" si="452"/>
        <v>0</v>
      </c>
      <c r="CN1426">
        <f t="shared" si="451"/>
        <v>0</v>
      </c>
      <c r="CO1426">
        <f t="shared" si="435"/>
        <v>0</v>
      </c>
    </row>
    <row r="1427" spans="1:93" hidden="1" x14ac:dyDescent="0.25">
      <c r="A1427" s="4">
        <v>2021</v>
      </c>
      <c r="B1427" s="315">
        <v>44320</v>
      </c>
      <c r="C1427" s="4" t="s">
        <v>1522</v>
      </c>
      <c r="D1427" s="4" t="s">
        <v>1523</v>
      </c>
      <c r="F1427" s="4" t="s">
        <v>1524</v>
      </c>
      <c r="G1427" s="5" t="s">
        <v>1512</v>
      </c>
      <c r="H1427" s="5" t="s">
        <v>1525</v>
      </c>
      <c r="I1427" s="5" t="s">
        <v>146</v>
      </c>
      <c r="J1427" s="5" t="s">
        <v>9</v>
      </c>
      <c r="K1427" s="5">
        <v>15.5</v>
      </c>
      <c r="L1427" s="5" t="s">
        <v>1526</v>
      </c>
      <c r="M1427" s="5">
        <v>1100</v>
      </c>
      <c r="N1427" s="5" t="s">
        <v>170</v>
      </c>
      <c r="O1427" s="6" t="s">
        <v>81</v>
      </c>
      <c r="P1427" s="6" t="s">
        <v>1528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+VLOOKUP(G1427,Liste!$A$7:$G$69,3,FALSE)</f>
        <v>Pin d'Alep</v>
      </c>
      <c r="BI1427" s="96" t="str">
        <f>+VLOOKUP(H1427,Liste!$B$7:$G$69,5,FALSE)</f>
        <v>Pin d'Alep</v>
      </c>
      <c r="BJ1427" s="135">
        <f t="shared" si="434"/>
        <v>55</v>
      </c>
      <c r="BK1427" s="135" t="str">
        <f t="shared" si="436"/>
        <v>Pin d'Alep_F1_Dynamique_Pin d'Alep_55_</v>
      </c>
      <c r="BL1427" s="319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97" t="str">
        <f>+VLOOKUP(G1427,Liste!$A$7:$H$69,8,FALSE)</f>
        <v>Résineux</v>
      </c>
      <c r="BU1427" s="297">
        <f t="shared" si="437"/>
        <v>0</v>
      </c>
      <c r="BV1427" s="299">
        <f t="shared" si="438"/>
        <v>1</v>
      </c>
      <c r="BW1427" s="318">
        <v>0</v>
      </c>
      <c r="BX1427" s="297">
        <f t="shared" si="439"/>
        <v>0.43</v>
      </c>
      <c r="BY1427">
        <f t="shared" si="440"/>
        <v>0</v>
      </c>
      <c r="BZ1427" s="303">
        <f t="shared" si="441"/>
        <v>0</v>
      </c>
      <c r="CB1427" s="298">
        <v>0.6</v>
      </c>
      <c r="CC1427" s="298">
        <v>0.4</v>
      </c>
      <c r="CD1427">
        <f t="shared" si="442"/>
        <v>0</v>
      </c>
      <c r="CE1427">
        <f t="shared" si="443"/>
        <v>0</v>
      </c>
      <c r="CF1427">
        <f t="shared" si="444"/>
        <v>0</v>
      </c>
      <c r="CG1427">
        <f t="shared" si="445"/>
        <v>0</v>
      </c>
      <c r="CH1427">
        <f t="shared" si="446"/>
        <v>0</v>
      </c>
      <c r="CI1427">
        <f t="shared" si="447"/>
        <v>0</v>
      </c>
      <c r="CJ1427">
        <f t="shared" si="448"/>
        <v>0</v>
      </c>
      <c r="CK1427">
        <f t="shared" si="449"/>
        <v>0</v>
      </c>
      <c r="CL1427">
        <f t="shared" si="450"/>
        <v>0</v>
      </c>
      <c r="CM1427">
        <f t="shared" si="452"/>
        <v>0</v>
      </c>
      <c r="CN1427">
        <f t="shared" si="451"/>
        <v>0</v>
      </c>
      <c r="CO1427">
        <f t="shared" si="435"/>
        <v>0</v>
      </c>
    </row>
    <row r="1428" spans="1:93" hidden="1" x14ac:dyDescent="0.25">
      <c r="A1428" s="4">
        <v>2021</v>
      </c>
      <c r="B1428" s="315">
        <v>44320</v>
      </c>
      <c r="C1428" s="4" t="s">
        <v>1522</v>
      </c>
      <c r="D1428" s="4" t="s">
        <v>1523</v>
      </c>
      <c r="F1428" s="4" t="s">
        <v>1524</v>
      </c>
      <c r="G1428" s="5" t="s">
        <v>1512</v>
      </c>
      <c r="H1428" s="5" t="s">
        <v>1525</v>
      </c>
      <c r="I1428" s="5" t="s">
        <v>146</v>
      </c>
      <c r="J1428" s="5" t="s">
        <v>9</v>
      </c>
      <c r="K1428" s="5">
        <v>15.5</v>
      </c>
      <c r="L1428" s="5" t="s">
        <v>1526</v>
      </c>
      <c r="M1428" s="5">
        <v>1100</v>
      </c>
      <c r="N1428" s="5" t="s">
        <v>170</v>
      </c>
      <c r="O1428" s="6" t="s">
        <v>81</v>
      </c>
      <c r="P1428" s="6" t="s">
        <v>1528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+VLOOKUP(G1428,Liste!$A$7:$G$69,3,FALSE)</f>
        <v>Pin d'Alep</v>
      </c>
      <c r="BI1428" s="96" t="str">
        <f>+VLOOKUP(H1428,Liste!$B$7:$G$69,5,FALSE)</f>
        <v>Pin d'Alep</v>
      </c>
      <c r="BJ1428" s="135">
        <f t="shared" si="434"/>
        <v>56</v>
      </c>
      <c r="BK1428" s="135" t="str">
        <f t="shared" si="436"/>
        <v>Pin d'Alep_F1_Dynamique_Pin d'Alep_56_</v>
      </c>
      <c r="BL1428" s="319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97" t="str">
        <f>+VLOOKUP(G1428,Liste!$A$7:$H$69,8,FALSE)</f>
        <v>Résineux</v>
      </c>
      <c r="BU1428" s="297">
        <f t="shared" si="437"/>
        <v>0</v>
      </c>
      <c r="BV1428" s="299">
        <f t="shared" si="438"/>
        <v>1</v>
      </c>
      <c r="BW1428" s="318">
        <v>0</v>
      </c>
      <c r="BX1428" s="297">
        <f t="shared" si="439"/>
        <v>0.43</v>
      </c>
      <c r="BY1428">
        <f t="shared" si="440"/>
        <v>0</v>
      </c>
      <c r="BZ1428" s="303">
        <f t="shared" si="441"/>
        <v>0</v>
      </c>
      <c r="CB1428" s="298">
        <v>0.6</v>
      </c>
      <c r="CC1428" s="298">
        <v>0.4</v>
      </c>
      <c r="CD1428">
        <f t="shared" si="442"/>
        <v>0</v>
      </c>
      <c r="CE1428">
        <f t="shared" si="443"/>
        <v>0</v>
      </c>
      <c r="CF1428">
        <f t="shared" si="444"/>
        <v>0</v>
      </c>
      <c r="CG1428">
        <f t="shared" si="445"/>
        <v>0</v>
      </c>
      <c r="CH1428">
        <f t="shared" si="446"/>
        <v>0</v>
      </c>
      <c r="CI1428">
        <f t="shared" si="447"/>
        <v>0</v>
      </c>
      <c r="CJ1428">
        <f t="shared" si="448"/>
        <v>0</v>
      </c>
      <c r="CK1428">
        <f t="shared" si="449"/>
        <v>0</v>
      </c>
      <c r="CL1428">
        <f t="shared" si="450"/>
        <v>0</v>
      </c>
      <c r="CM1428">
        <f t="shared" si="452"/>
        <v>0</v>
      </c>
      <c r="CN1428">
        <f t="shared" si="451"/>
        <v>0</v>
      </c>
      <c r="CO1428">
        <f t="shared" si="435"/>
        <v>0</v>
      </c>
    </row>
    <row r="1429" spans="1:93" hidden="1" x14ac:dyDescent="0.25">
      <c r="A1429" s="4">
        <v>2021</v>
      </c>
      <c r="B1429" s="315">
        <v>44320</v>
      </c>
      <c r="C1429" s="4" t="s">
        <v>1522</v>
      </c>
      <c r="D1429" s="4" t="s">
        <v>1523</v>
      </c>
      <c r="F1429" s="4" t="s">
        <v>1524</v>
      </c>
      <c r="G1429" s="5" t="s">
        <v>1512</v>
      </c>
      <c r="H1429" s="5" t="s">
        <v>1525</v>
      </c>
      <c r="I1429" s="5" t="s">
        <v>146</v>
      </c>
      <c r="J1429" s="5" t="s">
        <v>9</v>
      </c>
      <c r="K1429" s="5">
        <v>15.5</v>
      </c>
      <c r="L1429" s="5" t="s">
        <v>1526</v>
      </c>
      <c r="M1429" s="5">
        <v>1100</v>
      </c>
      <c r="N1429" s="5" t="s">
        <v>170</v>
      </c>
      <c r="O1429" s="6" t="s">
        <v>81</v>
      </c>
      <c r="P1429" s="6" t="s">
        <v>1528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+VLOOKUP(G1429,Liste!$A$7:$G$69,3,FALSE)</f>
        <v>Pin d'Alep</v>
      </c>
      <c r="BI1429" s="96" t="str">
        <f>+VLOOKUP(H1429,Liste!$B$7:$G$69,5,FALSE)</f>
        <v>Pin d'Alep</v>
      </c>
      <c r="BJ1429" s="135">
        <f t="shared" si="434"/>
        <v>57</v>
      </c>
      <c r="BK1429" s="135" t="str">
        <f t="shared" si="436"/>
        <v>Pin d'Alep_F1_Dynamique_Pin d'Alep_57_</v>
      </c>
      <c r="BL1429" s="319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97" t="str">
        <f>+VLOOKUP(G1429,Liste!$A$7:$H$69,8,FALSE)</f>
        <v>Résineux</v>
      </c>
      <c r="BU1429" s="297">
        <f t="shared" si="437"/>
        <v>0</v>
      </c>
      <c r="BV1429" s="299">
        <f t="shared" si="438"/>
        <v>1</v>
      </c>
      <c r="BW1429" s="318">
        <v>0</v>
      </c>
      <c r="BX1429" s="297">
        <f t="shared" si="439"/>
        <v>0.43</v>
      </c>
      <c r="BY1429">
        <f t="shared" si="440"/>
        <v>0</v>
      </c>
      <c r="BZ1429" s="303">
        <f t="shared" si="441"/>
        <v>0</v>
      </c>
      <c r="CB1429" s="298">
        <v>0.6</v>
      </c>
      <c r="CC1429" s="298">
        <v>0.4</v>
      </c>
      <c r="CD1429">
        <f t="shared" si="442"/>
        <v>0</v>
      </c>
      <c r="CE1429">
        <f t="shared" si="443"/>
        <v>0</v>
      </c>
      <c r="CF1429">
        <f t="shared" si="444"/>
        <v>0</v>
      </c>
      <c r="CG1429">
        <f t="shared" si="445"/>
        <v>0</v>
      </c>
      <c r="CH1429">
        <f t="shared" si="446"/>
        <v>0</v>
      </c>
      <c r="CI1429">
        <f t="shared" si="447"/>
        <v>0</v>
      </c>
      <c r="CJ1429">
        <f t="shared" si="448"/>
        <v>0</v>
      </c>
      <c r="CK1429">
        <f t="shared" si="449"/>
        <v>0</v>
      </c>
      <c r="CL1429">
        <f t="shared" si="450"/>
        <v>0</v>
      </c>
      <c r="CM1429">
        <f t="shared" si="452"/>
        <v>0</v>
      </c>
      <c r="CN1429">
        <f t="shared" si="451"/>
        <v>0</v>
      </c>
      <c r="CO1429">
        <f t="shared" si="435"/>
        <v>0</v>
      </c>
    </row>
    <row r="1430" spans="1:93" hidden="1" x14ac:dyDescent="0.25">
      <c r="A1430" s="4">
        <v>2021</v>
      </c>
      <c r="B1430" s="315">
        <v>44320</v>
      </c>
      <c r="C1430" s="4" t="s">
        <v>1522</v>
      </c>
      <c r="D1430" s="4" t="s">
        <v>1523</v>
      </c>
      <c r="F1430" s="4" t="s">
        <v>1524</v>
      </c>
      <c r="G1430" s="5" t="s">
        <v>1512</v>
      </c>
      <c r="H1430" s="5" t="s">
        <v>1525</v>
      </c>
      <c r="I1430" s="5" t="s">
        <v>146</v>
      </c>
      <c r="J1430" s="5" t="s">
        <v>9</v>
      </c>
      <c r="K1430" s="5">
        <v>15.5</v>
      </c>
      <c r="L1430" s="5" t="s">
        <v>1526</v>
      </c>
      <c r="M1430" s="5">
        <v>1100</v>
      </c>
      <c r="N1430" s="5" t="s">
        <v>170</v>
      </c>
      <c r="O1430" s="6" t="s">
        <v>81</v>
      </c>
      <c r="P1430" s="6" t="s">
        <v>1528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+VLOOKUP(G1430,Liste!$A$7:$G$69,3,FALSE)</f>
        <v>Pin d'Alep</v>
      </c>
      <c r="BI1430" s="96" t="str">
        <f>+VLOOKUP(H1430,Liste!$B$7:$G$69,5,FALSE)</f>
        <v>Pin d'Alep</v>
      </c>
      <c r="BJ1430" s="135">
        <f t="shared" si="434"/>
        <v>58</v>
      </c>
      <c r="BK1430" s="135" t="str">
        <f t="shared" si="436"/>
        <v>Pin d'Alep_F1_Dynamique_Pin d'Alep_58_</v>
      </c>
      <c r="BL1430" s="319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97" t="str">
        <f>+VLOOKUP(G1430,Liste!$A$7:$H$69,8,FALSE)</f>
        <v>Résineux</v>
      </c>
      <c r="BU1430" s="297">
        <f t="shared" si="437"/>
        <v>0</v>
      </c>
      <c r="BV1430" s="299">
        <f t="shared" si="438"/>
        <v>1</v>
      </c>
      <c r="BW1430" s="318">
        <v>0</v>
      </c>
      <c r="BX1430" s="297">
        <f t="shared" si="439"/>
        <v>0.43</v>
      </c>
      <c r="BY1430">
        <f t="shared" si="440"/>
        <v>0</v>
      </c>
      <c r="BZ1430" s="303">
        <f t="shared" si="441"/>
        <v>0</v>
      </c>
      <c r="CB1430" s="298">
        <v>0.6</v>
      </c>
      <c r="CC1430" s="298">
        <v>0.4</v>
      </c>
      <c r="CD1430">
        <f t="shared" si="442"/>
        <v>0</v>
      </c>
      <c r="CE1430">
        <f t="shared" si="443"/>
        <v>0</v>
      </c>
      <c r="CF1430">
        <f t="shared" si="444"/>
        <v>0</v>
      </c>
      <c r="CG1430">
        <f t="shared" si="445"/>
        <v>0</v>
      </c>
      <c r="CH1430">
        <f t="shared" si="446"/>
        <v>0</v>
      </c>
      <c r="CI1430">
        <f t="shared" si="447"/>
        <v>0</v>
      </c>
      <c r="CJ1430">
        <f t="shared" si="448"/>
        <v>0</v>
      </c>
      <c r="CK1430">
        <f t="shared" si="449"/>
        <v>0</v>
      </c>
      <c r="CL1430">
        <f t="shared" si="450"/>
        <v>0</v>
      </c>
      <c r="CM1430">
        <f t="shared" si="452"/>
        <v>0</v>
      </c>
      <c r="CN1430">
        <f t="shared" si="451"/>
        <v>0</v>
      </c>
      <c r="CO1430">
        <f t="shared" si="435"/>
        <v>0</v>
      </c>
    </row>
    <row r="1431" spans="1:93" hidden="1" x14ac:dyDescent="0.25">
      <c r="A1431" s="4">
        <v>2021</v>
      </c>
      <c r="B1431" s="315">
        <v>44320</v>
      </c>
      <c r="C1431" s="4" t="s">
        <v>1522</v>
      </c>
      <c r="D1431" s="4" t="s">
        <v>1523</v>
      </c>
      <c r="F1431" s="4" t="s">
        <v>1524</v>
      </c>
      <c r="G1431" s="5" t="s">
        <v>1512</v>
      </c>
      <c r="H1431" s="5" t="s">
        <v>1525</v>
      </c>
      <c r="I1431" s="5" t="s">
        <v>146</v>
      </c>
      <c r="J1431" s="5" t="s">
        <v>9</v>
      </c>
      <c r="K1431" s="5">
        <v>15.5</v>
      </c>
      <c r="L1431" s="5" t="s">
        <v>1526</v>
      </c>
      <c r="M1431" s="5">
        <v>1100</v>
      </c>
      <c r="N1431" s="5" t="s">
        <v>170</v>
      </c>
      <c r="O1431" s="6" t="s">
        <v>81</v>
      </c>
      <c r="P1431" s="6" t="s">
        <v>1528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+VLOOKUP(G1431,Liste!$A$7:$G$69,3,FALSE)</f>
        <v>Pin d'Alep</v>
      </c>
      <c r="BI1431" s="96" t="str">
        <f>+VLOOKUP(H1431,Liste!$B$7:$G$69,5,FALSE)</f>
        <v>Pin d'Alep</v>
      </c>
      <c r="BJ1431" s="135">
        <f t="shared" si="434"/>
        <v>59</v>
      </c>
      <c r="BK1431" s="135" t="str">
        <f t="shared" si="436"/>
        <v>Pin d'Alep_F1_Dynamique_Pin d'Alep_59_</v>
      </c>
      <c r="BL1431" s="319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97" t="str">
        <f>+VLOOKUP(G1431,Liste!$A$7:$H$69,8,FALSE)</f>
        <v>Résineux</v>
      </c>
      <c r="BU1431" s="297">
        <f t="shared" si="437"/>
        <v>0</v>
      </c>
      <c r="BV1431" s="299">
        <f t="shared" si="438"/>
        <v>1</v>
      </c>
      <c r="BW1431" s="318">
        <v>0</v>
      </c>
      <c r="BX1431" s="297">
        <f t="shared" si="439"/>
        <v>0.43</v>
      </c>
      <c r="BY1431">
        <f t="shared" si="440"/>
        <v>0</v>
      </c>
      <c r="BZ1431" s="303">
        <f t="shared" si="441"/>
        <v>0</v>
      </c>
      <c r="CB1431" s="298">
        <v>0.6</v>
      </c>
      <c r="CC1431" s="298">
        <v>0.4</v>
      </c>
      <c r="CD1431">
        <f t="shared" si="442"/>
        <v>0</v>
      </c>
      <c r="CE1431">
        <f t="shared" si="443"/>
        <v>0</v>
      </c>
      <c r="CF1431">
        <f t="shared" si="444"/>
        <v>0</v>
      </c>
      <c r="CG1431">
        <f t="shared" si="445"/>
        <v>0</v>
      </c>
      <c r="CH1431">
        <f t="shared" si="446"/>
        <v>0</v>
      </c>
      <c r="CI1431">
        <f t="shared" si="447"/>
        <v>0</v>
      </c>
      <c r="CJ1431">
        <f t="shared" si="448"/>
        <v>0</v>
      </c>
      <c r="CK1431">
        <f t="shared" si="449"/>
        <v>0</v>
      </c>
      <c r="CL1431">
        <f t="shared" si="450"/>
        <v>0</v>
      </c>
      <c r="CM1431">
        <f t="shared" si="452"/>
        <v>0</v>
      </c>
      <c r="CN1431">
        <f t="shared" si="451"/>
        <v>0</v>
      </c>
      <c r="CO1431">
        <f t="shared" si="435"/>
        <v>0</v>
      </c>
    </row>
    <row r="1432" spans="1:93" hidden="1" x14ac:dyDescent="0.25">
      <c r="A1432" s="4">
        <v>2021</v>
      </c>
      <c r="B1432" s="315">
        <v>44320</v>
      </c>
      <c r="C1432" s="4" t="s">
        <v>1522</v>
      </c>
      <c r="D1432" s="4" t="s">
        <v>1523</v>
      </c>
      <c r="F1432" s="4" t="s">
        <v>1524</v>
      </c>
      <c r="G1432" s="5" t="s">
        <v>1512</v>
      </c>
      <c r="H1432" s="5" t="s">
        <v>1525</v>
      </c>
      <c r="I1432" s="5" t="s">
        <v>146</v>
      </c>
      <c r="J1432" s="5" t="s">
        <v>9</v>
      </c>
      <c r="K1432" s="5">
        <v>15.5</v>
      </c>
      <c r="L1432" s="5" t="s">
        <v>1526</v>
      </c>
      <c r="M1432" s="5">
        <v>1100</v>
      </c>
      <c r="N1432" s="5" t="s">
        <v>170</v>
      </c>
      <c r="O1432" s="6" t="s">
        <v>81</v>
      </c>
      <c r="P1432" s="6" t="s">
        <v>1528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+VLOOKUP(G1432,Liste!$A$7:$G$69,3,FALSE)</f>
        <v>Pin d'Alep</v>
      </c>
      <c r="BI1432" s="96" t="str">
        <f>+VLOOKUP(H1432,Liste!$B$7:$G$69,5,FALSE)</f>
        <v>Pin d'Alep</v>
      </c>
      <c r="BJ1432" s="135">
        <f t="shared" si="434"/>
        <v>60</v>
      </c>
      <c r="BK1432" s="135" t="str">
        <f t="shared" si="436"/>
        <v>Pin d'Alep_F1_Dynamique_Pin d'Alep_60_</v>
      </c>
      <c r="BL1432" s="319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97" t="str">
        <f>+VLOOKUP(G1432,Liste!$A$7:$H$69,8,FALSE)</f>
        <v>Résineux</v>
      </c>
      <c r="BU1432" s="297">
        <f t="shared" si="437"/>
        <v>0</v>
      </c>
      <c r="BV1432" s="299">
        <f t="shared" si="438"/>
        <v>1</v>
      </c>
      <c r="BW1432" s="318">
        <v>0</v>
      </c>
      <c r="BX1432" s="297">
        <f t="shared" si="439"/>
        <v>0.43</v>
      </c>
      <c r="BY1432">
        <f t="shared" si="440"/>
        <v>0</v>
      </c>
      <c r="BZ1432" s="303">
        <f t="shared" si="441"/>
        <v>0</v>
      </c>
      <c r="CB1432" s="298">
        <v>0.6</v>
      </c>
      <c r="CC1432" s="298">
        <v>0.4</v>
      </c>
      <c r="CD1432">
        <f t="shared" si="442"/>
        <v>0</v>
      </c>
      <c r="CE1432">
        <f t="shared" si="443"/>
        <v>0</v>
      </c>
      <c r="CF1432">
        <f t="shared" si="444"/>
        <v>0</v>
      </c>
      <c r="CG1432">
        <f t="shared" si="445"/>
        <v>0</v>
      </c>
      <c r="CH1432">
        <f t="shared" si="446"/>
        <v>0</v>
      </c>
      <c r="CI1432">
        <f t="shared" si="447"/>
        <v>0</v>
      </c>
      <c r="CJ1432">
        <f t="shared" si="448"/>
        <v>0</v>
      </c>
      <c r="CK1432">
        <f t="shared" si="449"/>
        <v>0</v>
      </c>
      <c r="CL1432">
        <f t="shared" si="450"/>
        <v>0</v>
      </c>
      <c r="CM1432">
        <f t="shared" si="452"/>
        <v>0</v>
      </c>
      <c r="CN1432">
        <f t="shared" si="451"/>
        <v>0</v>
      </c>
      <c r="CO1432">
        <f t="shared" si="435"/>
        <v>0</v>
      </c>
    </row>
    <row r="1433" spans="1:93" hidden="1" x14ac:dyDescent="0.25">
      <c r="A1433" s="4">
        <v>2021</v>
      </c>
      <c r="B1433" s="315">
        <v>44320</v>
      </c>
      <c r="C1433" s="4" t="s">
        <v>1522</v>
      </c>
      <c r="D1433" s="4" t="s">
        <v>1523</v>
      </c>
      <c r="F1433" s="4" t="s">
        <v>1524</v>
      </c>
      <c r="G1433" s="5" t="s">
        <v>1512</v>
      </c>
      <c r="H1433" s="5" t="s">
        <v>1525</v>
      </c>
      <c r="I1433" s="5" t="s">
        <v>146</v>
      </c>
      <c r="J1433" s="5" t="s">
        <v>9</v>
      </c>
      <c r="K1433" s="5">
        <v>15.5</v>
      </c>
      <c r="L1433" s="5" t="s">
        <v>1526</v>
      </c>
      <c r="M1433" s="5">
        <v>1100</v>
      </c>
      <c r="N1433" s="5" t="s">
        <v>170</v>
      </c>
      <c r="O1433" s="6" t="s">
        <v>81</v>
      </c>
      <c r="P1433" s="6" t="s">
        <v>1528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+VLOOKUP(G1433,Liste!$A$7:$G$69,3,FALSE)</f>
        <v>Pin d'Alep</v>
      </c>
      <c r="BI1433" s="96" t="str">
        <f>+VLOOKUP(H1433,Liste!$B$7:$G$69,5,FALSE)</f>
        <v>Pin d'Alep</v>
      </c>
      <c r="BJ1433" s="135">
        <f t="shared" si="434"/>
        <v>61</v>
      </c>
      <c r="BK1433" s="135" t="str">
        <f t="shared" si="436"/>
        <v>Pin d'Alep_F1_Dynamique_Pin d'Alep_61_</v>
      </c>
      <c r="BL1433" s="319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97" t="str">
        <f>+VLOOKUP(G1433,Liste!$A$7:$H$69,8,FALSE)</f>
        <v>Résineux</v>
      </c>
      <c r="BU1433" s="297">
        <f t="shared" si="437"/>
        <v>0</v>
      </c>
      <c r="BV1433" s="299">
        <f t="shared" si="438"/>
        <v>1</v>
      </c>
      <c r="BW1433" s="318">
        <v>0</v>
      </c>
      <c r="BX1433" s="297">
        <f t="shared" si="439"/>
        <v>0.43</v>
      </c>
      <c r="BY1433">
        <f t="shared" si="440"/>
        <v>0</v>
      </c>
      <c r="BZ1433" s="303">
        <f t="shared" si="441"/>
        <v>0</v>
      </c>
      <c r="CB1433" s="298">
        <v>0.6</v>
      </c>
      <c r="CC1433" s="298">
        <v>0.4</v>
      </c>
      <c r="CD1433">
        <f t="shared" si="442"/>
        <v>0</v>
      </c>
      <c r="CE1433">
        <f t="shared" si="443"/>
        <v>0</v>
      </c>
      <c r="CF1433">
        <f t="shared" si="444"/>
        <v>0</v>
      </c>
      <c r="CG1433">
        <f t="shared" si="445"/>
        <v>0</v>
      </c>
      <c r="CH1433">
        <f t="shared" si="446"/>
        <v>0</v>
      </c>
      <c r="CI1433">
        <f t="shared" si="447"/>
        <v>0</v>
      </c>
      <c r="CJ1433">
        <f t="shared" si="448"/>
        <v>0</v>
      </c>
      <c r="CK1433">
        <f t="shared" si="449"/>
        <v>0</v>
      </c>
      <c r="CL1433">
        <f t="shared" si="450"/>
        <v>0</v>
      </c>
      <c r="CM1433">
        <f t="shared" si="452"/>
        <v>0</v>
      </c>
      <c r="CN1433">
        <f t="shared" si="451"/>
        <v>0</v>
      </c>
      <c r="CO1433">
        <f t="shared" si="435"/>
        <v>0</v>
      </c>
    </row>
    <row r="1434" spans="1:93" hidden="1" x14ac:dyDescent="0.25">
      <c r="A1434" s="4">
        <v>2021</v>
      </c>
      <c r="B1434" s="315">
        <v>44320</v>
      </c>
      <c r="C1434" s="4" t="s">
        <v>1522</v>
      </c>
      <c r="D1434" s="4" t="s">
        <v>1523</v>
      </c>
      <c r="F1434" s="4" t="s">
        <v>1524</v>
      </c>
      <c r="G1434" s="5" t="s">
        <v>1512</v>
      </c>
      <c r="H1434" s="5" t="s">
        <v>1525</v>
      </c>
      <c r="I1434" s="5" t="s">
        <v>146</v>
      </c>
      <c r="J1434" s="5" t="s">
        <v>9</v>
      </c>
      <c r="K1434" s="5">
        <v>15.5</v>
      </c>
      <c r="L1434" s="5" t="s">
        <v>1526</v>
      </c>
      <c r="M1434" s="5">
        <v>1100</v>
      </c>
      <c r="N1434" s="5" t="s">
        <v>170</v>
      </c>
      <c r="O1434" s="6" t="s">
        <v>81</v>
      </c>
      <c r="P1434" s="6" t="s">
        <v>1528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+VLOOKUP(G1434,Liste!$A$7:$G$69,3,FALSE)</f>
        <v>Pin d'Alep</v>
      </c>
      <c r="BI1434" s="96" t="str">
        <f>+VLOOKUP(H1434,Liste!$B$7:$G$69,5,FALSE)</f>
        <v>Pin d'Alep</v>
      </c>
      <c r="BJ1434" s="135">
        <f t="shared" si="434"/>
        <v>61</v>
      </c>
      <c r="BK1434" s="135" t="str">
        <f t="shared" si="436"/>
        <v>Pin d'Alep_F1_Dynamique_Pin d'Alep_61_</v>
      </c>
      <c r="BL1434" s="319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97" t="str">
        <f>+VLOOKUP(G1434,Liste!$A$7:$H$69,8,FALSE)</f>
        <v>Résineux</v>
      </c>
      <c r="BU1434" s="297">
        <f t="shared" si="437"/>
        <v>0</v>
      </c>
      <c r="BV1434" s="299">
        <f t="shared" si="438"/>
        <v>1</v>
      </c>
      <c r="BW1434" s="318">
        <v>0</v>
      </c>
      <c r="BX1434" s="297">
        <f t="shared" si="439"/>
        <v>0.43</v>
      </c>
      <c r="BY1434">
        <f t="shared" si="440"/>
        <v>0</v>
      </c>
      <c r="BZ1434" s="303">
        <f t="shared" si="441"/>
        <v>0</v>
      </c>
      <c r="CB1434" s="298">
        <v>0.6</v>
      </c>
      <c r="CC1434" s="298">
        <v>0.4</v>
      </c>
      <c r="CD1434">
        <f t="shared" si="442"/>
        <v>0</v>
      </c>
      <c r="CE1434">
        <f t="shared" si="443"/>
        <v>0</v>
      </c>
      <c r="CF1434">
        <f t="shared" si="444"/>
        <v>0</v>
      </c>
      <c r="CG1434">
        <f t="shared" si="445"/>
        <v>0</v>
      </c>
      <c r="CH1434">
        <f t="shared" si="446"/>
        <v>0</v>
      </c>
      <c r="CI1434">
        <f t="shared" si="447"/>
        <v>0</v>
      </c>
      <c r="CJ1434">
        <f t="shared" si="448"/>
        <v>0</v>
      </c>
      <c r="CK1434">
        <f t="shared" si="449"/>
        <v>0</v>
      </c>
      <c r="CL1434">
        <f t="shared" si="450"/>
        <v>0</v>
      </c>
      <c r="CM1434">
        <f t="shared" si="452"/>
        <v>0</v>
      </c>
      <c r="CN1434">
        <f t="shared" si="451"/>
        <v>0</v>
      </c>
      <c r="CO1434">
        <f t="shared" si="435"/>
        <v>0</v>
      </c>
    </row>
    <row r="1435" spans="1:93" hidden="1" x14ac:dyDescent="0.25">
      <c r="A1435" s="4">
        <v>2021</v>
      </c>
      <c r="B1435" s="315">
        <v>44320</v>
      </c>
      <c r="C1435" s="4" t="s">
        <v>1522</v>
      </c>
      <c r="D1435" s="4" t="s">
        <v>1523</v>
      </c>
      <c r="F1435" s="4" t="s">
        <v>1524</v>
      </c>
      <c r="G1435" s="5" t="s">
        <v>1512</v>
      </c>
      <c r="H1435" s="5" t="s">
        <v>1525</v>
      </c>
      <c r="I1435" s="5" t="s">
        <v>146</v>
      </c>
      <c r="J1435" s="5" t="s">
        <v>9</v>
      </c>
      <c r="K1435" s="5">
        <v>15.5</v>
      </c>
      <c r="L1435" s="5" t="s">
        <v>1526</v>
      </c>
      <c r="M1435" s="5">
        <v>1100</v>
      </c>
      <c r="N1435" s="5" t="s">
        <v>170</v>
      </c>
      <c r="O1435" s="6" t="s">
        <v>81</v>
      </c>
      <c r="P1435" s="6" t="s">
        <v>1528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+VLOOKUP(G1435,Liste!$A$7:$G$69,3,FALSE)</f>
        <v>Pin d'Alep</v>
      </c>
      <c r="BI1435" s="96" t="str">
        <f>+VLOOKUP(H1435,Liste!$B$7:$G$69,5,FALSE)</f>
        <v>Pin d'Alep</v>
      </c>
      <c r="BJ1435" s="135">
        <f t="shared" si="434"/>
        <v>62</v>
      </c>
      <c r="BK1435" s="135" t="str">
        <f t="shared" si="436"/>
        <v>Pin d'Alep_F1_Dynamique_Pin d'Alep_62_</v>
      </c>
      <c r="BL1435" s="319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97" t="str">
        <f>+VLOOKUP(G1435,Liste!$A$7:$H$69,8,FALSE)</f>
        <v>Résineux</v>
      </c>
      <c r="BU1435" s="297">
        <f t="shared" si="437"/>
        <v>0</v>
      </c>
      <c r="BV1435" s="299">
        <f t="shared" si="438"/>
        <v>1</v>
      </c>
      <c r="BW1435" s="318">
        <v>0</v>
      </c>
      <c r="BX1435" s="297">
        <f t="shared" si="439"/>
        <v>0.43</v>
      </c>
      <c r="BY1435">
        <f t="shared" si="440"/>
        <v>0</v>
      </c>
      <c r="BZ1435" s="303">
        <f t="shared" si="441"/>
        <v>0</v>
      </c>
      <c r="CB1435" s="298">
        <v>0.6</v>
      </c>
      <c r="CC1435" s="298">
        <v>0.4</v>
      </c>
      <c r="CD1435">
        <f t="shared" si="442"/>
        <v>0</v>
      </c>
      <c r="CE1435">
        <f t="shared" si="443"/>
        <v>0</v>
      </c>
      <c r="CF1435">
        <f t="shared" si="444"/>
        <v>0</v>
      </c>
      <c r="CG1435">
        <f t="shared" si="445"/>
        <v>0</v>
      </c>
      <c r="CH1435">
        <f t="shared" si="446"/>
        <v>0</v>
      </c>
      <c r="CI1435">
        <f t="shared" si="447"/>
        <v>0</v>
      </c>
      <c r="CJ1435">
        <f t="shared" si="448"/>
        <v>0</v>
      </c>
      <c r="CK1435">
        <f t="shared" si="449"/>
        <v>0</v>
      </c>
      <c r="CL1435">
        <f t="shared" si="450"/>
        <v>0</v>
      </c>
      <c r="CM1435">
        <f t="shared" si="452"/>
        <v>0</v>
      </c>
      <c r="CN1435">
        <f t="shared" si="451"/>
        <v>0</v>
      </c>
      <c r="CO1435">
        <f t="shared" si="435"/>
        <v>0</v>
      </c>
    </row>
    <row r="1436" spans="1:93" hidden="1" x14ac:dyDescent="0.25">
      <c r="A1436" s="4">
        <v>2021</v>
      </c>
      <c r="B1436" s="315">
        <v>44320</v>
      </c>
      <c r="C1436" s="4" t="s">
        <v>1522</v>
      </c>
      <c r="D1436" s="4" t="s">
        <v>1523</v>
      </c>
      <c r="F1436" s="4" t="s">
        <v>1524</v>
      </c>
      <c r="G1436" s="5" t="s">
        <v>1512</v>
      </c>
      <c r="H1436" s="5" t="s">
        <v>1525</v>
      </c>
      <c r="I1436" s="5" t="s">
        <v>146</v>
      </c>
      <c r="J1436" s="5" t="s">
        <v>9</v>
      </c>
      <c r="K1436" s="5">
        <v>15.5</v>
      </c>
      <c r="L1436" s="5" t="s">
        <v>1526</v>
      </c>
      <c r="M1436" s="5">
        <v>1100</v>
      </c>
      <c r="N1436" s="5" t="s">
        <v>170</v>
      </c>
      <c r="O1436" s="6" t="s">
        <v>81</v>
      </c>
      <c r="P1436" s="6" t="s">
        <v>1528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+VLOOKUP(G1436,Liste!$A$7:$G$69,3,FALSE)</f>
        <v>Pin d'Alep</v>
      </c>
      <c r="BI1436" s="96" t="str">
        <f>+VLOOKUP(H1436,Liste!$B$7:$G$69,5,FALSE)</f>
        <v>Pin d'Alep</v>
      </c>
      <c r="BJ1436" s="135">
        <f t="shared" si="434"/>
        <v>63</v>
      </c>
      <c r="BK1436" s="135" t="str">
        <f t="shared" si="436"/>
        <v>Pin d'Alep_F1_Dynamique_Pin d'Alep_63_</v>
      </c>
      <c r="BL1436" s="319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97" t="str">
        <f>+VLOOKUP(G1436,Liste!$A$7:$H$69,8,FALSE)</f>
        <v>Résineux</v>
      </c>
      <c r="BU1436" s="297">
        <f t="shared" si="437"/>
        <v>0</v>
      </c>
      <c r="BV1436" s="299">
        <f t="shared" si="438"/>
        <v>1</v>
      </c>
      <c r="BW1436" s="318">
        <v>0</v>
      </c>
      <c r="BX1436" s="297">
        <f t="shared" si="439"/>
        <v>0.43</v>
      </c>
      <c r="BY1436">
        <f t="shared" si="440"/>
        <v>0</v>
      </c>
      <c r="BZ1436" s="303">
        <f t="shared" si="441"/>
        <v>0</v>
      </c>
      <c r="CB1436" s="298">
        <v>0.6</v>
      </c>
      <c r="CC1436" s="298">
        <v>0.4</v>
      </c>
      <c r="CD1436">
        <f t="shared" si="442"/>
        <v>0</v>
      </c>
      <c r="CE1436">
        <f t="shared" si="443"/>
        <v>0</v>
      </c>
      <c r="CF1436">
        <f t="shared" si="444"/>
        <v>0</v>
      </c>
      <c r="CG1436">
        <f t="shared" si="445"/>
        <v>0</v>
      </c>
      <c r="CH1436">
        <f t="shared" si="446"/>
        <v>0</v>
      </c>
      <c r="CI1436">
        <f t="shared" si="447"/>
        <v>0</v>
      </c>
      <c r="CJ1436">
        <f t="shared" si="448"/>
        <v>0</v>
      </c>
      <c r="CK1436">
        <f t="shared" si="449"/>
        <v>0</v>
      </c>
      <c r="CL1436">
        <f t="shared" si="450"/>
        <v>0</v>
      </c>
      <c r="CM1436">
        <f t="shared" si="452"/>
        <v>0</v>
      </c>
      <c r="CN1436">
        <f t="shared" si="451"/>
        <v>0</v>
      </c>
      <c r="CO1436">
        <f t="shared" si="435"/>
        <v>0</v>
      </c>
    </row>
    <row r="1437" spans="1:93" hidden="1" x14ac:dyDescent="0.25">
      <c r="A1437" s="4">
        <v>2021</v>
      </c>
      <c r="B1437" s="315">
        <v>44320</v>
      </c>
      <c r="C1437" s="4" t="s">
        <v>1522</v>
      </c>
      <c r="D1437" s="4" t="s">
        <v>1523</v>
      </c>
      <c r="F1437" s="4" t="s">
        <v>1524</v>
      </c>
      <c r="G1437" s="5" t="s">
        <v>1512</v>
      </c>
      <c r="H1437" s="5" t="s">
        <v>1525</v>
      </c>
      <c r="I1437" s="5" t="s">
        <v>146</v>
      </c>
      <c r="J1437" s="5" t="s">
        <v>9</v>
      </c>
      <c r="K1437" s="5">
        <v>15.5</v>
      </c>
      <c r="L1437" s="5" t="s">
        <v>1526</v>
      </c>
      <c r="M1437" s="5">
        <v>1100</v>
      </c>
      <c r="N1437" s="5" t="s">
        <v>170</v>
      </c>
      <c r="O1437" s="6" t="s">
        <v>81</v>
      </c>
      <c r="P1437" s="6" t="s">
        <v>1528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+VLOOKUP(G1437,Liste!$A$7:$G$69,3,FALSE)</f>
        <v>Pin d'Alep</v>
      </c>
      <c r="BI1437" s="96" t="str">
        <f>+VLOOKUP(H1437,Liste!$B$7:$G$69,5,FALSE)</f>
        <v>Pin d'Alep</v>
      </c>
      <c r="BJ1437" s="135">
        <f t="shared" si="434"/>
        <v>64</v>
      </c>
      <c r="BK1437" s="135" t="str">
        <f t="shared" si="436"/>
        <v>Pin d'Alep_F1_Dynamique_Pin d'Alep_64_</v>
      </c>
      <c r="BL1437" s="319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97" t="str">
        <f>+VLOOKUP(G1437,Liste!$A$7:$H$69,8,FALSE)</f>
        <v>Résineux</v>
      </c>
      <c r="BU1437" s="297">
        <f t="shared" si="437"/>
        <v>0</v>
      </c>
      <c r="BV1437" s="299">
        <f t="shared" si="438"/>
        <v>1</v>
      </c>
      <c r="BW1437" s="318">
        <v>0</v>
      </c>
      <c r="BX1437" s="297">
        <f t="shared" si="439"/>
        <v>0.43</v>
      </c>
      <c r="BY1437">
        <f t="shared" si="440"/>
        <v>0</v>
      </c>
      <c r="BZ1437" s="303">
        <f t="shared" si="441"/>
        <v>0</v>
      </c>
      <c r="CB1437" s="298">
        <v>0.6</v>
      </c>
      <c r="CC1437" s="298">
        <v>0.4</v>
      </c>
      <c r="CD1437">
        <f t="shared" si="442"/>
        <v>0</v>
      </c>
      <c r="CE1437">
        <f t="shared" si="443"/>
        <v>0</v>
      </c>
      <c r="CF1437">
        <f t="shared" si="444"/>
        <v>0</v>
      </c>
      <c r="CG1437">
        <f t="shared" si="445"/>
        <v>0</v>
      </c>
      <c r="CH1437">
        <f t="shared" si="446"/>
        <v>0</v>
      </c>
      <c r="CI1437">
        <f t="shared" si="447"/>
        <v>0</v>
      </c>
      <c r="CJ1437">
        <f t="shared" si="448"/>
        <v>0</v>
      </c>
      <c r="CK1437">
        <f t="shared" si="449"/>
        <v>0</v>
      </c>
      <c r="CL1437">
        <f t="shared" si="450"/>
        <v>0</v>
      </c>
      <c r="CM1437">
        <f t="shared" si="452"/>
        <v>0</v>
      </c>
      <c r="CN1437">
        <f t="shared" si="451"/>
        <v>0</v>
      </c>
      <c r="CO1437">
        <f t="shared" si="435"/>
        <v>0</v>
      </c>
    </row>
    <row r="1438" spans="1:93" hidden="1" x14ac:dyDescent="0.25">
      <c r="A1438" s="4">
        <v>2021</v>
      </c>
      <c r="B1438" s="315">
        <v>44320</v>
      </c>
      <c r="C1438" s="4" t="s">
        <v>1522</v>
      </c>
      <c r="D1438" s="4" t="s">
        <v>1523</v>
      </c>
      <c r="F1438" s="4" t="s">
        <v>1524</v>
      </c>
      <c r="G1438" s="5" t="s">
        <v>1512</v>
      </c>
      <c r="H1438" s="5" t="s">
        <v>1525</v>
      </c>
      <c r="I1438" s="5" t="s">
        <v>146</v>
      </c>
      <c r="J1438" s="5" t="s">
        <v>9</v>
      </c>
      <c r="K1438" s="5">
        <v>15.5</v>
      </c>
      <c r="L1438" s="5" t="s">
        <v>1526</v>
      </c>
      <c r="M1438" s="5">
        <v>1100</v>
      </c>
      <c r="N1438" s="5" t="s">
        <v>170</v>
      </c>
      <c r="O1438" s="6" t="s">
        <v>81</v>
      </c>
      <c r="P1438" s="6" t="s">
        <v>1528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+VLOOKUP(G1438,Liste!$A$7:$G$69,3,FALSE)</f>
        <v>Pin d'Alep</v>
      </c>
      <c r="BI1438" s="96" t="str">
        <f>+VLOOKUP(H1438,Liste!$B$7:$G$69,5,FALSE)</f>
        <v>Pin d'Alep</v>
      </c>
      <c r="BJ1438" s="135">
        <f t="shared" si="434"/>
        <v>65</v>
      </c>
      <c r="BK1438" s="135" t="str">
        <f t="shared" si="436"/>
        <v>Pin d'Alep_F1_Dynamique_Pin d'Alep_65_</v>
      </c>
      <c r="BL1438" s="319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97" t="str">
        <f>+VLOOKUP(G1438,Liste!$A$7:$H$69,8,FALSE)</f>
        <v>Résineux</v>
      </c>
      <c r="BU1438" s="297">
        <f t="shared" si="437"/>
        <v>0</v>
      </c>
      <c r="BV1438" s="299">
        <f t="shared" si="438"/>
        <v>1</v>
      </c>
      <c r="BW1438" s="318">
        <v>0</v>
      </c>
      <c r="BX1438" s="297">
        <f t="shared" si="439"/>
        <v>0.43</v>
      </c>
      <c r="BY1438">
        <f t="shared" si="440"/>
        <v>0</v>
      </c>
      <c r="BZ1438" s="303">
        <f t="shared" si="441"/>
        <v>0</v>
      </c>
      <c r="CB1438" s="298">
        <v>0.6</v>
      </c>
      <c r="CC1438" s="298">
        <v>0.4</v>
      </c>
      <c r="CD1438">
        <f t="shared" si="442"/>
        <v>0</v>
      </c>
      <c r="CE1438">
        <f t="shared" si="443"/>
        <v>0</v>
      </c>
      <c r="CF1438">
        <f t="shared" si="444"/>
        <v>0</v>
      </c>
      <c r="CG1438">
        <f t="shared" si="445"/>
        <v>0</v>
      </c>
      <c r="CH1438">
        <f t="shared" si="446"/>
        <v>0</v>
      </c>
      <c r="CI1438">
        <f t="shared" si="447"/>
        <v>0</v>
      </c>
      <c r="CJ1438">
        <f t="shared" si="448"/>
        <v>0</v>
      </c>
      <c r="CK1438">
        <f t="shared" si="449"/>
        <v>0</v>
      </c>
      <c r="CL1438">
        <f t="shared" si="450"/>
        <v>0</v>
      </c>
      <c r="CM1438">
        <f t="shared" si="452"/>
        <v>0</v>
      </c>
      <c r="CN1438">
        <f t="shared" si="451"/>
        <v>0</v>
      </c>
      <c r="CO1438">
        <f t="shared" si="435"/>
        <v>0</v>
      </c>
    </row>
    <row r="1439" spans="1:93" hidden="1" x14ac:dyDescent="0.25">
      <c r="A1439" s="4">
        <v>2021</v>
      </c>
      <c r="B1439" s="315">
        <v>44320</v>
      </c>
      <c r="C1439" s="4" t="s">
        <v>1522</v>
      </c>
      <c r="D1439" s="4" t="s">
        <v>1523</v>
      </c>
      <c r="F1439" s="4" t="s">
        <v>1524</v>
      </c>
      <c r="G1439" s="5" t="s">
        <v>1512</v>
      </c>
      <c r="H1439" s="5" t="s">
        <v>1525</v>
      </c>
      <c r="I1439" s="5" t="s">
        <v>146</v>
      </c>
      <c r="J1439" s="5" t="s">
        <v>9</v>
      </c>
      <c r="K1439" s="5">
        <v>15.5</v>
      </c>
      <c r="L1439" s="5" t="s">
        <v>1526</v>
      </c>
      <c r="M1439" s="5">
        <v>1100</v>
      </c>
      <c r="N1439" s="5" t="s">
        <v>170</v>
      </c>
      <c r="O1439" s="6" t="s">
        <v>81</v>
      </c>
      <c r="P1439" s="6" t="s">
        <v>1528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+VLOOKUP(G1439,Liste!$A$7:$G$69,3,FALSE)</f>
        <v>Pin d'Alep</v>
      </c>
      <c r="BI1439" s="96" t="str">
        <f>+VLOOKUP(H1439,Liste!$B$7:$G$69,5,FALSE)</f>
        <v>Pin d'Alep</v>
      </c>
      <c r="BJ1439" s="135">
        <f t="shared" si="434"/>
        <v>66</v>
      </c>
      <c r="BK1439" s="135" t="str">
        <f t="shared" si="436"/>
        <v>Pin d'Alep_F1_Dynamique_Pin d'Alep_66_</v>
      </c>
      <c r="BL1439" s="319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97" t="str">
        <f>+VLOOKUP(G1439,Liste!$A$7:$H$69,8,FALSE)</f>
        <v>Résineux</v>
      </c>
      <c r="BU1439" s="297">
        <f t="shared" si="437"/>
        <v>0</v>
      </c>
      <c r="BV1439" s="299">
        <f t="shared" si="438"/>
        <v>1</v>
      </c>
      <c r="BW1439" s="318">
        <v>0</v>
      </c>
      <c r="BX1439" s="297">
        <f t="shared" si="439"/>
        <v>0.43</v>
      </c>
      <c r="BY1439">
        <f t="shared" si="440"/>
        <v>0</v>
      </c>
      <c r="BZ1439" s="303">
        <f t="shared" si="441"/>
        <v>0</v>
      </c>
      <c r="CB1439" s="298">
        <v>0.6</v>
      </c>
      <c r="CC1439" s="298">
        <v>0.4</v>
      </c>
      <c r="CD1439">
        <f t="shared" si="442"/>
        <v>0</v>
      </c>
      <c r="CE1439">
        <f t="shared" si="443"/>
        <v>0</v>
      </c>
      <c r="CF1439">
        <f t="shared" si="444"/>
        <v>0</v>
      </c>
      <c r="CG1439">
        <f t="shared" si="445"/>
        <v>0</v>
      </c>
      <c r="CH1439">
        <f t="shared" si="446"/>
        <v>0</v>
      </c>
      <c r="CI1439">
        <f t="shared" si="447"/>
        <v>0</v>
      </c>
      <c r="CJ1439">
        <f t="shared" si="448"/>
        <v>0</v>
      </c>
      <c r="CK1439">
        <f t="shared" si="449"/>
        <v>0</v>
      </c>
      <c r="CL1439">
        <f t="shared" si="450"/>
        <v>0</v>
      </c>
      <c r="CM1439">
        <f t="shared" si="452"/>
        <v>0</v>
      </c>
      <c r="CN1439">
        <f t="shared" si="451"/>
        <v>0</v>
      </c>
      <c r="CO1439">
        <f t="shared" si="435"/>
        <v>0</v>
      </c>
    </row>
    <row r="1440" spans="1:93" hidden="1" x14ac:dyDescent="0.25">
      <c r="A1440" s="4">
        <v>2021</v>
      </c>
      <c r="B1440" s="315">
        <v>44320</v>
      </c>
      <c r="C1440" s="4" t="s">
        <v>1522</v>
      </c>
      <c r="D1440" s="4" t="s">
        <v>1523</v>
      </c>
      <c r="F1440" s="4" t="s">
        <v>1524</v>
      </c>
      <c r="G1440" s="5" t="s">
        <v>1512</v>
      </c>
      <c r="H1440" s="5" t="s">
        <v>1525</v>
      </c>
      <c r="I1440" s="5" t="s">
        <v>146</v>
      </c>
      <c r="J1440" s="5" t="s">
        <v>9</v>
      </c>
      <c r="K1440" s="5">
        <v>15.5</v>
      </c>
      <c r="L1440" s="5" t="s">
        <v>1526</v>
      </c>
      <c r="M1440" s="5">
        <v>1100</v>
      </c>
      <c r="N1440" s="5" t="s">
        <v>170</v>
      </c>
      <c r="O1440" s="6" t="s">
        <v>81</v>
      </c>
      <c r="P1440" s="6" t="s">
        <v>1528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+VLOOKUP(G1440,Liste!$A$7:$G$69,3,FALSE)</f>
        <v>Pin d'Alep</v>
      </c>
      <c r="BI1440" s="96" t="str">
        <f>+VLOOKUP(H1440,Liste!$B$7:$G$69,5,FALSE)</f>
        <v>Pin d'Alep</v>
      </c>
      <c r="BJ1440" s="135">
        <f t="shared" si="434"/>
        <v>67</v>
      </c>
      <c r="BK1440" s="135" t="str">
        <f t="shared" si="436"/>
        <v>Pin d'Alep_F1_Dynamique_Pin d'Alep_67_</v>
      </c>
      <c r="BL1440" s="319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97" t="str">
        <f>+VLOOKUP(G1440,Liste!$A$7:$H$69,8,FALSE)</f>
        <v>Résineux</v>
      </c>
      <c r="BU1440" s="297">
        <f t="shared" si="437"/>
        <v>0</v>
      </c>
      <c r="BV1440" s="299">
        <f t="shared" si="438"/>
        <v>1</v>
      </c>
      <c r="BW1440" s="318">
        <v>0</v>
      </c>
      <c r="BX1440" s="297">
        <f t="shared" si="439"/>
        <v>0.43</v>
      </c>
      <c r="BY1440">
        <f t="shared" si="440"/>
        <v>0</v>
      </c>
      <c r="BZ1440" s="303">
        <f t="shared" si="441"/>
        <v>0</v>
      </c>
      <c r="CB1440" s="298">
        <v>0.6</v>
      </c>
      <c r="CC1440" s="298">
        <v>0.4</v>
      </c>
      <c r="CD1440">
        <f t="shared" si="442"/>
        <v>0</v>
      </c>
      <c r="CE1440">
        <f t="shared" si="443"/>
        <v>0</v>
      </c>
      <c r="CF1440">
        <f t="shared" si="444"/>
        <v>0</v>
      </c>
      <c r="CG1440">
        <f t="shared" si="445"/>
        <v>0</v>
      </c>
      <c r="CH1440">
        <f t="shared" si="446"/>
        <v>0</v>
      </c>
      <c r="CI1440">
        <f t="shared" si="447"/>
        <v>0</v>
      </c>
      <c r="CJ1440">
        <f t="shared" si="448"/>
        <v>0</v>
      </c>
      <c r="CK1440">
        <f t="shared" si="449"/>
        <v>0</v>
      </c>
      <c r="CL1440">
        <f t="shared" si="450"/>
        <v>0</v>
      </c>
      <c r="CM1440">
        <f t="shared" si="452"/>
        <v>0</v>
      </c>
      <c r="CN1440">
        <f t="shared" si="451"/>
        <v>0</v>
      </c>
      <c r="CO1440">
        <f t="shared" si="435"/>
        <v>0</v>
      </c>
    </row>
    <row r="1441" spans="1:93" hidden="1" x14ac:dyDescent="0.25">
      <c r="A1441" s="4">
        <v>2021</v>
      </c>
      <c r="B1441" s="315">
        <v>44320</v>
      </c>
      <c r="C1441" s="4" t="s">
        <v>1522</v>
      </c>
      <c r="D1441" s="4" t="s">
        <v>1523</v>
      </c>
      <c r="F1441" s="4" t="s">
        <v>1524</v>
      </c>
      <c r="G1441" s="5" t="s">
        <v>1512</v>
      </c>
      <c r="H1441" s="5" t="s">
        <v>1525</v>
      </c>
      <c r="I1441" s="5" t="s">
        <v>146</v>
      </c>
      <c r="J1441" s="5" t="s">
        <v>9</v>
      </c>
      <c r="K1441" s="5">
        <v>15.5</v>
      </c>
      <c r="L1441" s="5" t="s">
        <v>1526</v>
      </c>
      <c r="M1441" s="5">
        <v>1100</v>
      </c>
      <c r="N1441" s="5" t="s">
        <v>170</v>
      </c>
      <c r="O1441" s="6" t="s">
        <v>81</v>
      </c>
      <c r="P1441" s="6" t="s">
        <v>1528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+VLOOKUP(G1441,Liste!$A$7:$G$69,3,FALSE)</f>
        <v>Pin d'Alep</v>
      </c>
      <c r="BI1441" s="96" t="str">
        <f>+VLOOKUP(H1441,Liste!$B$7:$G$69,5,FALSE)</f>
        <v>Pin d'Alep</v>
      </c>
      <c r="BJ1441" s="135">
        <f t="shared" si="434"/>
        <v>68</v>
      </c>
      <c r="BK1441" s="135" t="str">
        <f t="shared" si="436"/>
        <v>Pin d'Alep_F1_Dynamique_Pin d'Alep_68_</v>
      </c>
      <c r="BL1441" s="319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97" t="str">
        <f>+VLOOKUP(G1441,Liste!$A$7:$H$69,8,FALSE)</f>
        <v>Résineux</v>
      </c>
      <c r="BU1441" s="297">
        <f t="shared" si="437"/>
        <v>0</v>
      </c>
      <c r="BV1441" s="299">
        <f t="shared" si="438"/>
        <v>1</v>
      </c>
      <c r="BW1441" s="318">
        <v>0</v>
      </c>
      <c r="BX1441" s="297">
        <f t="shared" si="439"/>
        <v>0.43</v>
      </c>
      <c r="BY1441">
        <f t="shared" si="440"/>
        <v>0</v>
      </c>
      <c r="BZ1441" s="303">
        <f t="shared" si="441"/>
        <v>0</v>
      </c>
      <c r="CB1441" s="298">
        <v>0.6</v>
      </c>
      <c r="CC1441" s="298">
        <v>0.4</v>
      </c>
      <c r="CD1441">
        <f t="shared" si="442"/>
        <v>0</v>
      </c>
      <c r="CE1441">
        <f t="shared" si="443"/>
        <v>0</v>
      </c>
      <c r="CF1441">
        <f t="shared" si="444"/>
        <v>0</v>
      </c>
      <c r="CG1441">
        <f t="shared" si="445"/>
        <v>0</v>
      </c>
      <c r="CH1441">
        <f t="shared" si="446"/>
        <v>0</v>
      </c>
      <c r="CI1441">
        <f t="shared" si="447"/>
        <v>0</v>
      </c>
      <c r="CJ1441">
        <f t="shared" si="448"/>
        <v>0</v>
      </c>
      <c r="CK1441">
        <f t="shared" si="449"/>
        <v>0</v>
      </c>
      <c r="CL1441">
        <f t="shared" si="450"/>
        <v>0</v>
      </c>
      <c r="CM1441">
        <f t="shared" si="452"/>
        <v>0</v>
      </c>
      <c r="CN1441">
        <f t="shared" si="451"/>
        <v>0</v>
      </c>
      <c r="CO1441">
        <f t="shared" si="435"/>
        <v>0</v>
      </c>
    </row>
    <row r="1442" spans="1:93" hidden="1" x14ac:dyDescent="0.25">
      <c r="A1442" s="4">
        <v>2021</v>
      </c>
      <c r="B1442" s="315">
        <v>44320</v>
      </c>
      <c r="C1442" s="4" t="s">
        <v>1522</v>
      </c>
      <c r="D1442" s="4" t="s">
        <v>1523</v>
      </c>
      <c r="F1442" s="4" t="s">
        <v>1524</v>
      </c>
      <c r="G1442" s="5" t="s">
        <v>1512</v>
      </c>
      <c r="H1442" s="5" t="s">
        <v>1525</v>
      </c>
      <c r="I1442" s="5" t="s">
        <v>146</v>
      </c>
      <c r="J1442" s="5" t="s">
        <v>9</v>
      </c>
      <c r="K1442" s="5">
        <v>15.5</v>
      </c>
      <c r="L1442" s="5" t="s">
        <v>1526</v>
      </c>
      <c r="M1442" s="5">
        <v>1100</v>
      </c>
      <c r="N1442" s="5" t="s">
        <v>170</v>
      </c>
      <c r="O1442" s="6" t="s">
        <v>81</v>
      </c>
      <c r="P1442" s="6" t="s">
        <v>1528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+VLOOKUP(G1442,Liste!$A$7:$G$69,3,FALSE)</f>
        <v>Pin d'Alep</v>
      </c>
      <c r="BI1442" s="96" t="str">
        <f>+VLOOKUP(H1442,Liste!$B$7:$G$69,5,FALSE)</f>
        <v>Pin d'Alep</v>
      </c>
      <c r="BJ1442" s="135">
        <f t="shared" si="434"/>
        <v>69</v>
      </c>
      <c r="BK1442" s="135" t="str">
        <f t="shared" si="436"/>
        <v>Pin d'Alep_F1_Dynamique_Pin d'Alep_69_</v>
      </c>
      <c r="BL1442" s="319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97" t="str">
        <f>+VLOOKUP(G1442,Liste!$A$7:$H$69,8,FALSE)</f>
        <v>Résineux</v>
      </c>
      <c r="BU1442" s="297">
        <f t="shared" si="437"/>
        <v>0</v>
      </c>
      <c r="BV1442" s="299">
        <f t="shared" si="438"/>
        <v>1</v>
      </c>
      <c r="BW1442" s="318">
        <v>0</v>
      </c>
      <c r="BX1442" s="297">
        <f t="shared" si="439"/>
        <v>0.43</v>
      </c>
      <c r="BY1442">
        <f t="shared" si="440"/>
        <v>0</v>
      </c>
      <c r="BZ1442" s="303">
        <f t="shared" si="441"/>
        <v>0</v>
      </c>
      <c r="CB1442" s="298">
        <v>0.6</v>
      </c>
      <c r="CC1442" s="298">
        <v>0.4</v>
      </c>
      <c r="CD1442">
        <f t="shared" si="442"/>
        <v>0</v>
      </c>
      <c r="CE1442">
        <f t="shared" si="443"/>
        <v>0</v>
      </c>
      <c r="CF1442">
        <f t="shared" si="444"/>
        <v>0</v>
      </c>
      <c r="CG1442">
        <f t="shared" si="445"/>
        <v>0</v>
      </c>
      <c r="CH1442">
        <f t="shared" si="446"/>
        <v>0</v>
      </c>
      <c r="CI1442">
        <f t="shared" si="447"/>
        <v>0</v>
      </c>
      <c r="CJ1442">
        <f t="shared" si="448"/>
        <v>0</v>
      </c>
      <c r="CK1442">
        <f t="shared" si="449"/>
        <v>0</v>
      </c>
      <c r="CL1442">
        <f t="shared" si="450"/>
        <v>0</v>
      </c>
      <c r="CM1442">
        <f t="shared" si="452"/>
        <v>0</v>
      </c>
      <c r="CN1442">
        <f t="shared" si="451"/>
        <v>0</v>
      </c>
      <c r="CO1442">
        <f t="shared" si="435"/>
        <v>0</v>
      </c>
    </row>
    <row r="1443" spans="1:93" hidden="1" x14ac:dyDescent="0.25">
      <c r="A1443" s="4">
        <v>2021</v>
      </c>
      <c r="B1443" s="315">
        <v>44320</v>
      </c>
      <c r="C1443" s="4" t="s">
        <v>1522</v>
      </c>
      <c r="D1443" s="4" t="s">
        <v>1523</v>
      </c>
      <c r="F1443" s="4" t="s">
        <v>1524</v>
      </c>
      <c r="G1443" s="5" t="s">
        <v>1512</v>
      </c>
      <c r="H1443" s="5" t="s">
        <v>1525</v>
      </c>
      <c r="I1443" s="5" t="s">
        <v>146</v>
      </c>
      <c r="J1443" s="5" t="s">
        <v>9</v>
      </c>
      <c r="K1443" s="5">
        <v>15.5</v>
      </c>
      <c r="L1443" s="5" t="s">
        <v>1526</v>
      </c>
      <c r="M1443" s="5">
        <v>1100</v>
      </c>
      <c r="N1443" s="5" t="s">
        <v>170</v>
      </c>
      <c r="O1443" s="6" t="s">
        <v>81</v>
      </c>
      <c r="P1443" s="6" t="s">
        <v>1528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+VLOOKUP(G1443,Liste!$A$7:$G$69,3,FALSE)</f>
        <v>Pin d'Alep</v>
      </c>
      <c r="BI1443" s="96" t="str">
        <f>+VLOOKUP(H1443,Liste!$B$7:$G$69,5,FALSE)</f>
        <v>Pin d'Alep</v>
      </c>
      <c r="BJ1443" s="135">
        <f t="shared" si="434"/>
        <v>70</v>
      </c>
      <c r="BK1443" s="135" t="str">
        <f t="shared" si="436"/>
        <v>Pin d'Alep_F1_Dynamique_Pin d'Alep_70_</v>
      </c>
      <c r="BL1443" s="319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97" t="str">
        <f>+VLOOKUP(G1443,Liste!$A$7:$H$69,8,FALSE)</f>
        <v>Résineux</v>
      </c>
      <c r="BU1443" s="297">
        <f t="shared" si="437"/>
        <v>0</v>
      </c>
      <c r="BV1443" s="299">
        <f t="shared" si="438"/>
        <v>1</v>
      </c>
      <c r="BW1443" s="318">
        <v>0</v>
      </c>
      <c r="BX1443" s="297">
        <f t="shared" si="439"/>
        <v>0.43</v>
      </c>
      <c r="BY1443">
        <f t="shared" si="440"/>
        <v>0</v>
      </c>
      <c r="BZ1443" s="303">
        <f t="shared" si="441"/>
        <v>0</v>
      </c>
      <c r="CB1443" s="298">
        <v>0.6</v>
      </c>
      <c r="CC1443" s="298">
        <v>0.4</v>
      </c>
      <c r="CD1443">
        <f t="shared" si="442"/>
        <v>0</v>
      </c>
      <c r="CE1443">
        <f t="shared" si="443"/>
        <v>0</v>
      </c>
      <c r="CF1443">
        <f t="shared" si="444"/>
        <v>0</v>
      </c>
      <c r="CG1443">
        <f t="shared" si="445"/>
        <v>0</v>
      </c>
      <c r="CH1443">
        <f t="shared" si="446"/>
        <v>0</v>
      </c>
      <c r="CI1443">
        <f t="shared" si="447"/>
        <v>0</v>
      </c>
      <c r="CJ1443">
        <f t="shared" si="448"/>
        <v>0</v>
      </c>
      <c r="CK1443">
        <f t="shared" si="449"/>
        <v>0</v>
      </c>
      <c r="CL1443">
        <f t="shared" si="450"/>
        <v>0</v>
      </c>
      <c r="CM1443">
        <f t="shared" si="452"/>
        <v>0</v>
      </c>
      <c r="CN1443">
        <f t="shared" si="451"/>
        <v>0</v>
      </c>
      <c r="CO1443">
        <f t="shared" si="435"/>
        <v>0</v>
      </c>
    </row>
    <row r="1444" spans="1:93" hidden="1" x14ac:dyDescent="0.25">
      <c r="A1444" s="4">
        <v>2021</v>
      </c>
      <c r="B1444" s="315">
        <v>44320</v>
      </c>
      <c r="C1444" s="4" t="s">
        <v>1522</v>
      </c>
      <c r="D1444" s="4" t="s">
        <v>1523</v>
      </c>
      <c r="F1444" s="4" t="s">
        <v>1524</v>
      </c>
      <c r="G1444" s="5" t="s">
        <v>1512</v>
      </c>
      <c r="H1444" s="5" t="s">
        <v>1525</v>
      </c>
      <c r="I1444" s="5" t="s">
        <v>146</v>
      </c>
      <c r="J1444" s="5" t="s">
        <v>9</v>
      </c>
      <c r="K1444" s="5">
        <v>15.5</v>
      </c>
      <c r="L1444" s="5" t="s">
        <v>1526</v>
      </c>
      <c r="M1444" s="5">
        <v>1100</v>
      </c>
      <c r="N1444" s="5" t="s">
        <v>170</v>
      </c>
      <c r="O1444" s="6" t="s">
        <v>81</v>
      </c>
      <c r="P1444" s="6" t="s">
        <v>1528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+VLOOKUP(G1444,Liste!$A$7:$G$69,3,FALSE)</f>
        <v>Pin d'Alep</v>
      </c>
      <c r="BI1444" s="96" t="str">
        <f>+VLOOKUP(H1444,Liste!$B$7:$G$69,5,FALSE)</f>
        <v>Pin d'Alep</v>
      </c>
      <c r="BJ1444" s="135">
        <f t="shared" si="434"/>
        <v>71</v>
      </c>
      <c r="BK1444" s="135" t="str">
        <f t="shared" si="436"/>
        <v>Pin d'Alep_F1_Dynamique_Pin d'Alep_71_</v>
      </c>
      <c r="BL1444" s="319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97" t="str">
        <f>+VLOOKUP(G1444,Liste!$A$7:$H$69,8,FALSE)</f>
        <v>Résineux</v>
      </c>
      <c r="BU1444" s="297">
        <f t="shared" si="437"/>
        <v>0</v>
      </c>
      <c r="BV1444" s="299">
        <f t="shared" si="438"/>
        <v>1</v>
      </c>
      <c r="BW1444" s="318">
        <v>0</v>
      </c>
      <c r="BX1444" s="297">
        <f t="shared" si="439"/>
        <v>0.43</v>
      </c>
      <c r="BY1444">
        <f t="shared" si="440"/>
        <v>0</v>
      </c>
      <c r="BZ1444" s="303">
        <f t="shared" si="441"/>
        <v>0</v>
      </c>
      <c r="CB1444" s="298">
        <v>0.6</v>
      </c>
      <c r="CC1444" s="298">
        <v>0.4</v>
      </c>
      <c r="CD1444">
        <f t="shared" si="442"/>
        <v>0</v>
      </c>
      <c r="CE1444">
        <f t="shared" si="443"/>
        <v>0</v>
      </c>
      <c r="CF1444">
        <f t="shared" si="444"/>
        <v>0</v>
      </c>
      <c r="CG1444">
        <f t="shared" si="445"/>
        <v>0</v>
      </c>
      <c r="CH1444">
        <f t="shared" si="446"/>
        <v>0</v>
      </c>
      <c r="CI1444">
        <f t="shared" si="447"/>
        <v>0</v>
      </c>
      <c r="CJ1444">
        <f t="shared" si="448"/>
        <v>0</v>
      </c>
      <c r="CK1444">
        <f t="shared" si="449"/>
        <v>0</v>
      </c>
      <c r="CL1444">
        <f t="shared" si="450"/>
        <v>0</v>
      </c>
      <c r="CM1444">
        <f t="shared" si="452"/>
        <v>0</v>
      </c>
      <c r="CN1444">
        <f t="shared" si="451"/>
        <v>0</v>
      </c>
      <c r="CO1444">
        <f t="shared" si="435"/>
        <v>0</v>
      </c>
    </row>
    <row r="1445" spans="1:93" hidden="1" x14ac:dyDescent="0.25">
      <c r="A1445" s="4">
        <v>2021</v>
      </c>
      <c r="B1445" s="315">
        <v>44320</v>
      </c>
      <c r="C1445" s="4" t="s">
        <v>1522</v>
      </c>
      <c r="D1445" s="4" t="s">
        <v>1523</v>
      </c>
      <c r="F1445" s="4" t="s">
        <v>1524</v>
      </c>
      <c r="G1445" s="5" t="s">
        <v>1512</v>
      </c>
      <c r="H1445" s="5" t="s">
        <v>1525</v>
      </c>
      <c r="I1445" s="5" t="s">
        <v>146</v>
      </c>
      <c r="J1445" s="5" t="s">
        <v>9</v>
      </c>
      <c r="K1445" s="5">
        <v>15.5</v>
      </c>
      <c r="L1445" s="5" t="s">
        <v>1526</v>
      </c>
      <c r="M1445" s="5">
        <v>1100</v>
      </c>
      <c r="N1445" s="5" t="s">
        <v>170</v>
      </c>
      <c r="O1445" s="6" t="s">
        <v>81</v>
      </c>
      <c r="P1445" s="6" t="s">
        <v>1528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+VLOOKUP(G1445,Liste!$A$7:$G$69,3,FALSE)</f>
        <v>Pin d'Alep</v>
      </c>
      <c r="BI1445" s="96" t="str">
        <f>+VLOOKUP(H1445,Liste!$B$7:$G$69,5,FALSE)</f>
        <v>Pin d'Alep</v>
      </c>
      <c r="BJ1445" s="135">
        <f t="shared" si="434"/>
        <v>72</v>
      </c>
      <c r="BK1445" s="135" t="str">
        <f t="shared" si="436"/>
        <v>Pin d'Alep_F1_Dynamique_Pin d'Alep_72_</v>
      </c>
      <c r="BL1445" s="319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97" t="str">
        <f>+VLOOKUP(G1445,Liste!$A$7:$H$69,8,FALSE)</f>
        <v>Résineux</v>
      </c>
      <c r="BU1445" s="297">
        <f t="shared" si="437"/>
        <v>0</v>
      </c>
      <c r="BV1445" s="299">
        <f t="shared" si="438"/>
        <v>1</v>
      </c>
      <c r="BW1445" s="318">
        <v>0</v>
      </c>
      <c r="BX1445" s="297">
        <f t="shared" si="439"/>
        <v>0.43</v>
      </c>
      <c r="BY1445">
        <f t="shared" si="440"/>
        <v>0</v>
      </c>
      <c r="BZ1445" s="303">
        <f t="shared" si="441"/>
        <v>0</v>
      </c>
      <c r="CB1445" s="298">
        <v>0.6</v>
      </c>
      <c r="CC1445" s="298">
        <v>0.4</v>
      </c>
      <c r="CD1445">
        <f t="shared" si="442"/>
        <v>0</v>
      </c>
      <c r="CE1445">
        <f t="shared" si="443"/>
        <v>0</v>
      </c>
      <c r="CF1445">
        <f t="shared" si="444"/>
        <v>0</v>
      </c>
      <c r="CG1445">
        <f t="shared" si="445"/>
        <v>0</v>
      </c>
      <c r="CH1445">
        <f t="shared" si="446"/>
        <v>0</v>
      </c>
      <c r="CI1445">
        <f t="shared" si="447"/>
        <v>0</v>
      </c>
      <c r="CJ1445">
        <f t="shared" si="448"/>
        <v>0</v>
      </c>
      <c r="CK1445">
        <f t="shared" si="449"/>
        <v>0</v>
      </c>
      <c r="CL1445">
        <f t="shared" si="450"/>
        <v>0</v>
      </c>
      <c r="CM1445">
        <f t="shared" si="452"/>
        <v>0</v>
      </c>
      <c r="CN1445">
        <f t="shared" si="451"/>
        <v>0</v>
      </c>
      <c r="CO1445">
        <f t="shared" si="435"/>
        <v>0</v>
      </c>
    </row>
    <row r="1446" spans="1:93" hidden="1" x14ac:dyDescent="0.25">
      <c r="A1446" s="4">
        <v>2021</v>
      </c>
      <c r="B1446" s="315">
        <v>44320</v>
      </c>
      <c r="C1446" s="4" t="s">
        <v>1522</v>
      </c>
      <c r="D1446" s="4" t="s">
        <v>1523</v>
      </c>
      <c r="F1446" s="4" t="s">
        <v>1524</v>
      </c>
      <c r="G1446" s="5" t="s">
        <v>1512</v>
      </c>
      <c r="H1446" s="5" t="s">
        <v>1525</v>
      </c>
      <c r="I1446" s="5" t="s">
        <v>146</v>
      </c>
      <c r="J1446" s="5" t="s">
        <v>9</v>
      </c>
      <c r="K1446" s="5">
        <v>15.5</v>
      </c>
      <c r="L1446" s="5" t="s">
        <v>1526</v>
      </c>
      <c r="M1446" s="5">
        <v>1100</v>
      </c>
      <c r="N1446" s="5" t="s">
        <v>170</v>
      </c>
      <c r="O1446" s="6" t="s">
        <v>81</v>
      </c>
      <c r="P1446" s="6" t="s">
        <v>1528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+VLOOKUP(G1446,Liste!$A$7:$G$69,3,FALSE)</f>
        <v>Pin d'Alep</v>
      </c>
      <c r="BI1446" s="96" t="str">
        <f>+VLOOKUP(H1446,Liste!$B$7:$G$69,5,FALSE)</f>
        <v>Pin d'Alep</v>
      </c>
      <c r="BJ1446" s="135">
        <f t="shared" si="434"/>
        <v>73</v>
      </c>
      <c r="BK1446" s="135" t="str">
        <f t="shared" si="436"/>
        <v>Pin d'Alep_F1_Dynamique_Pin d'Alep_73_</v>
      </c>
      <c r="BL1446" s="319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97" t="str">
        <f>+VLOOKUP(G1446,Liste!$A$7:$H$69,8,FALSE)</f>
        <v>Résineux</v>
      </c>
      <c r="BU1446" s="297">
        <f t="shared" si="437"/>
        <v>0</v>
      </c>
      <c r="BV1446" s="299">
        <f t="shared" si="438"/>
        <v>1</v>
      </c>
      <c r="BW1446" s="318">
        <v>0</v>
      </c>
      <c r="BX1446" s="297">
        <f t="shared" si="439"/>
        <v>0.43</v>
      </c>
      <c r="BY1446">
        <f t="shared" si="440"/>
        <v>0</v>
      </c>
      <c r="BZ1446" s="303">
        <f t="shared" si="441"/>
        <v>0</v>
      </c>
      <c r="CB1446" s="298">
        <v>0.6</v>
      </c>
      <c r="CC1446" s="298">
        <v>0.4</v>
      </c>
      <c r="CD1446">
        <f t="shared" si="442"/>
        <v>0</v>
      </c>
      <c r="CE1446">
        <f t="shared" si="443"/>
        <v>0</v>
      </c>
      <c r="CF1446">
        <f t="shared" si="444"/>
        <v>0</v>
      </c>
      <c r="CG1446">
        <f t="shared" si="445"/>
        <v>0</v>
      </c>
      <c r="CH1446">
        <f t="shared" si="446"/>
        <v>0</v>
      </c>
      <c r="CI1446">
        <f t="shared" si="447"/>
        <v>0</v>
      </c>
      <c r="CJ1446">
        <f t="shared" si="448"/>
        <v>0</v>
      </c>
      <c r="CK1446">
        <f t="shared" si="449"/>
        <v>0</v>
      </c>
      <c r="CL1446">
        <f t="shared" si="450"/>
        <v>0</v>
      </c>
      <c r="CM1446">
        <f t="shared" si="452"/>
        <v>0</v>
      </c>
      <c r="CN1446">
        <f t="shared" si="451"/>
        <v>0</v>
      </c>
      <c r="CO1446">
        <f t="shared" si="435"/>
        <v>0</v>
      </c>
    </row>
    <row r="1447" spans="1:93" hidden="1" x14ac:dyDescent="0.25">
      <c r="A1447" s="4">
        <v>2021</v>
      </c>
      <c r="B1447" s="315">
        <v>44320</v>
      </c>
      <c r="C1447" s="4" t="s">
        <v>1522</v>
      </c>
      <c r="D1447" s="4" t="s">
        <v>1523</v>
      </c>
      <c r="F1447" s="4" t="s">
        <v>1524</v>
      </c>
      <c r="G1447" s="5" t="s">
        <v>1512</v>
      </c>
      <c r="H1447" s="5" t="s">
        <v>1525</v>
      </c>
      <c r="I1447" s="5" t="s">
        <v>146</v>
      </c>
      <c r="J1447" s="5" t="s">
        <v>9</v>
      </c>
      <c r="K1447" s="5">
        <v>15.5</v>
      </c>
      <c r="L1447" s="5" t="s">
        <v>1526</v>
      </c>
      <c r="M1447" s="5">
        <v>1100</v>
      </c>
      <c r="N1447" s="5" t="s">
        <v>170</v>
      </c>
      <c r="O1447" s="6" t="s">
        <v>81</v>
      </c>
      <c r="P1447" s="6" t="s">
        <v>1528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+VLOOKUP(G1447,Liste!$A$7:$G$69,3,FALSE)</f>
        <v>Pin d'Alep</v>
      </c>
      <c r="BI1447" s="96" t="str">
        <f>+VLOOKUP(H1447,Liste!$B$7:$G$69,5,FALSE)</f>
        <v>Pin d'Alep</v>
      </c>
      <c r="BJ1447" s="135">
        <f t="shared" si="434"/>
        <v>74</v>
      </c>
      <c r="BK1447" s="135" t="str">
        <f t="shared" si="436"/>
        <v>Pin d'Alep_F1_Dynamique_Pin d'Alep_74_</v>
      </c>
      <c r="BL1447" s="319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97" t="str">
        <f>+VLOOKUP(G1447,Liste!$A$7:$H$69,8,FALSE)</f>
        <v>Résineux</v>
      </c>
      <c r="BU1447" s="297">
        <f t="shared" si="437"/>
        <v>0</v>
      </c>
      <c r="BV1447" s="299">
        <f t="shared" si="438"/>
        <v>1</v>
      </c>
      <c r="BW1447" s="318">
        <v>0</v>
      </c>
      <c r="BX1447" s="297">
        <f t="shared" si="439"/>
        <v>0.43</v>
      </c>
      <c r="BY1447">
        <f t="shared" si="440"/>
        <v>0</v>
      </c>
      <c r="BZ1447" s="303">
        <f t="shared" si="441"/>
        <v>0</v>
      </c>
      <c r="CB1447" s="298">
        <v>0.6</v>
      </c>
      <c r="CC1447" s="298">
        <v>0.4</v>
      </c>
      <c r="CD1447">
        <f t="shared" si="442"/>
        <v>0</v>
      </c>
      <c r="CE1447">
        <f t="shared" si="443"/>
        <v>0</v>
      </c>
      <c r="CF1447">
        <f t="shared" si="444"/>
        <v>0</v>
      </c>
      <c r="CG1447">
        <f t="shared" si="445"/>
        <v>0</v>
      </c>
      <c r="CH1447">
        <f t="shared" si="446"/>
        <v>0</v>
      </c>
      <c r="CI1447">
        <f t="shared" si="447"/>
        <v>0</v>
      </c>
      <c r="CJ1447">
        <f t="shared" si="448"/>
        <v>0</v>
      </c>
      <c r="CK1447">
        <f t="shared" si="449"/>
        <v>0</v>
      </c>
      <c r="CL1447">
        <f t="shared" si="450"/>
        <v>0</v>
      </c>
      <c r="CM1447">
        <f t="shared" si="452"/>
        <v>0</v>
      </c>
      <c r="CN1447">
        <f t="shared" si="451"/>
        <v>0</v>
      </c>
      <c r="CO1447">
        <f t="shared" si="435"/>
        <v>0</v>
      </c>
    </row>
    <row r="1448" spans="1:93" hidden="1" x14ac:dyDescent="0.25">
      <c r="A1448" s="4">
        <v>2021</v>
      </c>
      <c r="B1448" s="315">
        <v>44320</v>
      </c>
      <c r="C1448" s="4" t="s">
        <v>1522</v>
      </c>
      <c r="D1448" s="4" t="s">
        <v>1523</v>
      </c>
      <c r="F1448" s="4" t="s">
        <v>1524</v>
      </c>
      <c r="G1448" s="5" t="s">
        <v>1512</v>
      </c>
      <c r="H1448" s="5" t="s">
        <v>1525</v>
      </c>
      <c r="I1448" s="5" t="s">
        <v>146</v>
      </c>
      <c r="J1448" s="5" t="s">
        <v>9</v>
      </c>
      <c r="K1448" s="5">
        <v>15.5</v>
      </c>
      <c r="L1448" s="5" t="s">
        <v>1526</v>
      </c>
      <c r="M1448" s="5">
        <v>1100</v>
      </c>
      <c r="N1448" s="5" t="s">
        <v>170</v>
      </c>
      <c r="O1448" s="6" t="s">
        <v>81</v>
      </c>
      <c r="P1448" s="6" t="s">
        <v>1528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+VLOOKUP(G1448,Liste!$A$7:$G$69,3,FALSE)</f>
        <v>Pin d'Alep</v>
      </c>
      <c r="BI1448" s="96" t="str">
        <f>+VLOOKUP(H1448,Liste!$B$7:$G$69,5,FALSE)</f>
        <v>Pin d'Alep</v>
      </c>
      <c r="BJ1448" s="135">
        <f t="shared" si="434"/>
        <v>75</v>
      </c>
      <c r="BK1448" s="135" t="str">
        <f t="shared" si="436"/>
        <v>Pin d'Alep_F1_Dynamique_Pin d'Alep_75_</v>
      </c>
      <c r="BL1448" s="319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97" t="str">
        <f>+VLOOKUP(G1448,Liste!$A$7:$H$69,8,FALSE)</f>
        <v>Résineux</v>
      </c>
      <c r="BU1448" s="297">
        <f t="shared" si="437"/>
        <v>0</v>
      </c>
      <c r="BV1448" s="299">
        <f t="shared" si="438"/>
        <v>1</v>
      </c>
      <c r="BW1448" s="318">
        <v>0</v>
      </c>
      <c r="BX1448" s="297">
        <f t="shared" si="439"/>
        <v>0.43</v>
      </c>
      <c r="BY1448">
        <f t="shared" si="440"/>
        <v>0</v>
      </c>
      <c r="BZ1448" s="303">
        <f t="shared" si="441"/>
        <v>0</v>
      </c>
      <c r="CB1448" s="298">
        <v>0.6</v>
      </c>
      <c r="CC1448" s="298">
        <v>0.4</v>
      </c>
      <c r="CD1448">
        <f t="shared" si="442"/>
        <v>0</v>
      </c>
      <c r="CE1448">
        <f t="shared" si="443"/>
        <v>0</v>
      </c>
      <c r="CF1448">
        <f t="shared" si="444"/>
        <v>0</v>
      </c>
      <c r="CG1448">
        <f t="shared" si="445"/>
        <v>0</v>
      </c>
      <c r="CH1448">
        <f t="shared" si="446"/>
        <v>0</v>
      </c>
      <c r="CI1448">
        <f t="shared" si="447"/>
        <v>0</v>
      </c>
      <c r="CJ1448">
        <f t="shared" si="448"/>
        <v>0</v>
      </c>
      <c r="CK1448">
        <f t="shared" si="449"/>
        <v>0</v>
      </c>
      <c r="CL1448">
        <f t="shared" si="450"/>
        <v>0</v>
      </c>
      <c r="CM1448">
        <f t="shared" si="452"/>
        <v>0</v>
      </c>
      <c r="CN1448">
        <f t="shared" si="451"/>
        <v>0</v>
      </c>
      <c r="CO1448">
        <f t="shared" si="435"/>
        <v>0</v>
      </c>
    </row>
    <row r="1449" spans="1:93" hidden="1" x14ac:dyDescent="0.25">
      <c r="A1449" s="4">
        <v>2021</v>
      </c>
      <c r="B1449" s="315">
        <v>44320</v>
      </c>
      <c r="C1449" s="4" t="s">
        <v>1522</v>
      </c>
      <c r="D1449" s="4" t="s">
        <v>1523</v>
      </c>
      <c r="F1449" s="4" t="s">
        <v>1524</v>
      </c>
      <c r="G1449" s="5" t="s">
        <v>1512</v>
      </c>
      <c r="H1449" s="5" t="s">
        <v>1525</v>
      </c>
      <c r="I1449" s="5" t="s">
        <v>146</v>
      </c>
      <c r="J1449" s="5" t="s">
        <v>9</v>
      </c>
      <c r="K1449" s="5">
        <v>15.5</v>
      </c>
      <c r="L1449" s="5" t="s">
        <v>1526</v>
      </c>
      <c r="M1449" s="5">
        <v>1100</v>
      </c>
      <c r="N1449" s="5" t="s">
        <v>170</v>
      </c>
      <c r="O1449" s="6" t="s">
        <v>81</v>
      </c>
      <c r="P1449" s="6" t="s">
        <v>1528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+VLOOKUP(G1449,Liste!$A$7:$G$69,3,FALSE)</f>
        <v>Pin d'Alep</v>
      </c>
      <c r="BI1449" s="96" t="str">
        <f>+VLOOKUP(H1449,Liste!$B$7:$G$69,5,FALSE)</f>
        <v>Pin d'Alep</v>
      </c>
      <c r="BJ1449" s="135">
        <f t="shared" si="434"/>
        <v>76</v>
      </c>
      <c r="BK1449" s="135" t="str">
        <f t="shared" si="436"/>
        <v>Pin d'Alep_F1_Dynamique_Pin d'Alep_76_</v>
      </c>
      <c r="BL1449" s="319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97" t="str">
        <f>+VLOOKUP(G1449,Liste!$A$7:$H$69,8,FALSE)</f>
        <v>Résineux</v>
      </c>
      <c r="BU1449" s="297">
        <f t="shared" si="437"/>
        <v>0</v>
      </c>
      <c r="BV1449" s="299">
        <f t="shared" si="438"/>
        <v>1</v>
      </c>
      <c r="BW1449" s="318">
        <v>0</v>
      </c>
      <c r="BX1449" s="297">
        <f t="shared" si="439"/>
        <v>0.43</v>
      </c>
      <c r="BY1449">
        <f t="shared" si="440"/>
        <v>0</v>
      </c>
      <c r="BZ1449" s="303">
        <f t="shared" si="441"/>
        <v>0</v>
      </c>
      <c r="CB1449" s="298">
        <v>0.6</v>
      </c>
      <c r="CC1449" s="298">
        <v>0.4</v>
      </c>
      <c r="CD1449">
        <f t="shared" si="442"/>
        <v>0</v>
      </c>
      <c r="CE1449">
        <f t="shared" si="443"/>
        <v>0</v>
      </c>
      <c r="CF1449">
        <f t="shared" si="444"/>
        <v>0</v>
      </c>
      <c r="CG1449">
        <f t="shared" si="445"/>
        <v>0</v>
      </c>
      <c r="CH1449">
        <f t="shared" si="446"/>
        <v>0</v>
      </c>
      <c r="CI1449">
        <f t="shared" si="447"/>
        <v>0</v>
      </c>
      <c r="CJ1449">
        <f t="shared" si="448"/>
        <v>0</v>
      </c>
      <c r="CK1449">
        <f t="shared" si="449"/>
        <v>0</v>
      </c>
      <c r="CL1449">
        <f t="shared" si="450"/>
        <v>0</v>
      </c>
      <c r="CM1449">
        <f t="shared" si="452"/>
        <v>0</v>
      </c>
      <c r="CN1449">
        <f t="shared" si="451"/>
        <v>0</v>
      </c>
      <c r="CO1449">
        <f t="shared" si="435"/>
        <v>0</v>
      </c>
    </row>
    <row r="1450" spans="1:93" hidden="1" x14ac:dyDescent="0.25">
      <c r="A1450" s="4">
        <v>2021</v>
      </c>
      <c r="B1450" s="315">
        <v>44320</v>
      </c>
      <c r="C1450" s="4" t="s">
        <v>1522</v>
      </c>
      <c r="D1450" s="4" t="s">
        <v>1523</v>
      </c>
      <c r="F1450" s="4" t="s">
        <v>1524</v>
      </c>
      <c r="G1450" s="5" t="s">
        <v>1512</v>
      </c>
      <c r="H1450" s="5" t="s">
        <v>1525</v>
      </c>
      <c r="I1450" s="5" t="s">
        <v>146</v>
      </c>
      <c r="J1450" s="5" t="s">
        <v>9</v>
      </c>
      <c r="K1450" s="5">
        <v>15.5</v>
      </c>
      <c r="L1450" s="5" t="s">
        <v>1526</v>
      </c>
      <c r="M1450" s="5">
        <v>1100</v>
      </c>
      <c r="N1450" s="5" t="s">
        <v>170</v>
      </c>
      <c r="O1450" s="6" t="s">
        <v>81</v>
      </c>
      <c r="P1450" s="6" t="s">
        <v>1528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+VLOOKUP(G1450,Liste!$A$7:$G$69,3,FALSE)</f>
        <v>Pin d'Alep</v>
      </c>
      <c r="BI1450" s="96" t="str">
        <f>+VLOOKUP(H1450,Liste!$B$7:$G$69,5,FALSE)</f>
        <v>Pin d'Alep</v>
      </c>
      <c r="BJ1450" s="135">
        <f t="shared" si="434"/>
        <v>77</v>
      </c>
      <c r="BK1450" s="135" t="str">
        <f t="shared" si="436"/>
        <v>Pin d'Alep_F1_Dynamique_Pin d'Alep_77_</v>
      </c>
      <c r="BL1450" s="319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97" t="str">
        <f>+VLOOKUP(G1450,Liste!$A$7:$H$69,8,FALSE)</f>
        <v>Résineux</v>
      </c>
      <c r="BU1450" s="297">
        <f t="shared" si="437"/>
        <v>0</v>
      </c>
      <c r="BV1450" s="299">
        <f t="shared" si="438"/>
        <v>1</v>
      </c>
      <c r="BW1450" s="318">
        <v>0</v>
      </c>
      <c r="BX1450" s="297">
        <f t="shared" si="439"/>
        <v>0.43</v>
      </c>
      <c r="BY1450">
        <f t="shared" si="440"/>
        <v>0</v>
      </c>
      <c r="BZ1450" s="303">
        <f t="shared" si="441"/>
        <v>0</v>
      </c>
      <c r="CB1450" s="298">
        <v>0.6</v>
      </c>
      <c r="CC1450" s="298">
        <v>0.4</v>
      </c>
      <c r="CD1450">
        <f t="shared" si="442"/>
        <v>0</v>
      </c>
      <c r="CE1450">
        <f t="shared" si="443"/>
        <v>0</v>
      </c>
      <c r="CF1450">
        <f t="shared" si="444"/>
        <v>0</v>
      </c>
      <c r="CG1450">
        <f t="shared" si="445"/>
        <v>0</v>
      </c>
      <c r="CH1450">
        <f t="shared" si="446"/>
        <v>0</v>
      </c>
      <c r="CI1450">
        <f t="shared" si="447"/>
        <v>0</v>
      </c>
      <c r="CJ1450">
        <f t="shared" si="448"/>
        <v>0</v>
      </c>
      <c r="CK1450">
        <f t="shared" si="449"/>
        <v>0</v>
      </c>
      <c r="CL1450">
        <f t="shared" si="450"/>
        <v>0</v>
      </c>
      <c r="CM1450">
        <f t="shared" si="452"/>
        <v>0</v>
      </c>
      <c r="CN1450">
        <f t="shared" si="451"/>
        <v>0</v>
      </c>
      <c r="CO1450">
        <f t="shared" si="435"/>
        <v>0</v>
      </c>
    </row>
    <row r="1451" spans="1:93" hidden="1" x14ac:dyDescent="0.25">
      <c r="A1451" s="4">
        <v>2021</v>
      </c>
      <c r="B1451" s="315">
        <v>44320</v>
      </c>
      <c r="C1451" s="4" t="s">
        <v>1522</v>
      </c>
      <c r="D1451" s="4" t="s">
        <v>1523</v>
      </c>
      <c r="F1451" s="4" t="s">
        <v>1524</v>
      </c>
      <c r="G1451" s="5" t="s">
        <v>1512</v>
      </c>
      <c r="H1451" s="5" t="s">
        <v>1525</v>
      </c>
      <c r="I1451" s="5" t="s">
        <v>146</v>
      </c>
      <c r="J1451" s="5" t="s">
        <v>9</v>
      </c>
      <c r="K1451" s="5">
        <v>15.5</v>
      </c>
      <c r="L1451" s="5" t="s">
        <v>1526</v>
      </c>
      <c r="M1451" s="5">
        <v>1100</v>
      </c>
      <c r="N1451" s="5" t="s">
        <v>170</v>
      </c>
      <c r="O1451" s="6" t="s">
        <v>81</v>
      </c>
      <c r="P1451" s="6" t="s">
        <v>1528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+VLOOKUP(G1451,Liste!$A$7:$G$69,3,FALSE)</f>
        <v>Pin d'Alep</v>
      </c>
      <c r="BI1451" s="96" t="str">
        <f>+VLOOKUP(H1451,Liste!$B$7:$G$69,5,FALSE)</f>
        <v>Pin d'Alep</v>
      </c>
      <c r="BJ1451" s="135">
        <f t="shared" si="434"/>
        <v>78</v>
      </c>
      <c r="BK1451" s="135" t="str">
        <f t="shared" si="436"/>
        <v>Pin d'Alep_F1_Dynamique_Pin d'Alep_78_</v>
      </c>
      <c r="BL1451" s="319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97" t="str">
        <f>+VLOOKUP(G1451,Liste!$A$7:$H$69,8,FALSE)</f>
        <v>Résineux</v>
      </c>
      <c r="BU1451" s="297">
        <f t="shared" si="437"/>
        <v>0</v>
      </c>
      <c r="BV1451" s="299">
        <f t="shared" si="438"/>
        <v>1</v>
      </c>
      <c r="BW1451" s="318">
        <v>0</v>
      </c>
      <c r="BX1451" s="297">
        <f t="shared" si="439"/>
        <v>0.43</v>
      </c>
      <c r="BY1451">
        <f t="shared" si="440"/>
        <v>0</v>
      </c>
      <c r="BZ1451" s="303">
        <f t="shared" si="441"/>
        <v>0</v>
      </c>
      <c r="CB1451" s="298">
        <v>0.6</v>
      </c>
      <c r="CC1451" s="298">
        <v>0.4</v>
      </c>
      <c r="CD1451">
        <f t="shared" si="442"/>
        <v>0</v>
      </c>
      <c r="CE1451">
        <f t="shared" si="443"/>
        <v>0</v>
      </c>
      <c r="CF1451">
        <f t="shared" si="444"/>
        <v>0</v>
      </c>
      <c r="CG1451">
        <f t="shared" si="445"/>
        <v>0</v>
      </c>
      <c r="CH1451">
        <f t="shared" si="446"/>
        <v>0</v>
      </c>
      <c r="CI1451">
        <f t="shared" si="447"/>
        <v>0</v>
      </c>
      <c r="CJ1451">
        <f t="shared" si="448"/>
        <v>0</v>
      </c>
      <c r="CK1451">
        <f t="shared" si="449"/>
        <v>0</v>
      </c>
      <c r="CL1451">
        <f t="shared" si="450"/>
        <v>0</v>
      </c>
      <c r="CM1451">
        <f t="shared" si="452"/>
        <v>0</v>
      </c>
      <c r="CN1451">
        <f t="shared" si="451"/>
        <v>0</v>
      </c>
      <c r="CO1451">
        <f t="shared" si="435"/>
        <v>0</v>
      </c>
    </row>
    <row r="1452" spans="1:93" hidden="1" x14ac:dyDescent="0.25">
      <c r="A1452" s="4">
        <v>2021</v>
      </c>
      <c r="B1452" s="315">
        <v>44320</v>
      </c>
      <c r="C1452" s="4" t="s">
        <v>1522</v>
      </c>
      <c r="D1452" s="4" t="s">
        <v>1523</v>
      </c>
      <c r="F1452" s="4" t="s">
        <v>1524</v>
      </c>
      <c r="G1452" s="5" t="s">
        <v>1512</v>
      </c>
      <c r="H1452" s="5" t="s">
        <v>1525</v>
      </c>
      <c r="I1452" s="5" t="s">
        <v>146</v>
      </c>
      <c r="J1452" s="5" t="s">
        <v>9</v>
      </c>
      <c r="K1452" s="5">
        <v>15.5</v>
      </c>
      <c r="L1452" s="5" t="s">
        <v>1526</v>
      </c>
      <c r="M1452" s="5">
        <v>1100</v>
      </c>
      <c r="N1452" s="5" t="s">
        <v>170</v>
      </c>
      <c r="O1452" s="6" t="s">
        <v>81</v>
      </c>
      <c r="P1452" s="6" t="s">
        <v>1528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+VLOOKUP(G1452,Liste!$A$7:$G$69,3,FALSE)</f>
        <v>Pin d'Alep</v>
      </c>
      <c r="BI1452" s="96" t="str">
        <f>+VLOOKUP(H1452,Liste!$B$7:$G$69,5,FALSE)</f>
        <v>Pin d'Alep</v>
      </c>
      <c r="BJ1452" s="135">
        <f t="shared" si="434"/>
        <v>79</v>
      </c>
      <c r="BK1452" s="135" t="str">
        <f t="shared" si="436"/>
        <v>Pin d'Alep_F1_Dynamique_Pin d'Alep_79_</v>
      </c>
      <c r="BL1452" s="319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97" t="str">
        <f>+VLOOKUP(G1452,Liste!$A$7:$H$69,8,FALSE)</f>
        <v>Résineux</v>
      </c>
      <c r="BU1452" s="297">
        <f t="shared" si="437"/>
        <v>0</v>
      </c>
      <c r="BV1452" s="299">
        <f t="shared" si="438"/>
        <v>1</v>
      </c>
      <c r="BW1452" s="318">
        <v>0</v>
      </c>
      <c r="BX1452" s="297">
        <f t="shared" si="439"/>
        <v>0.43</v>
      </c>
      <c r="BY1452">
        <f t="shared" si="440"/>
        <v>0</v>
      </c>
      <c r="BZ1452" s="303">
        <f t="shared" si="441"/>
        <v>0</v>
      </c>
      <c r="CB1452" s="298">
        <v>0.6</v>
      </c>
      <c r="CC1452" s="298">
        <v>0.4</v>
      </c>
      <c r="CD1452">
        <f t="shared" si="442"/>
        <v>0</v>
      </c>
      <c r="CE1452">
        <f t="shared" si="443"/>
        <v>0</v>
      </c>
      <c r="CF1452">
        <f t="shared" si="444"/>
        <v>0</v>
      </c>
      <c r="CG1452">
        <f t="shared" si="445"/>
        <v>0</v>
      </c>
      <c r="CH1452">
        <f t="shared" si="446"/>
        <v>0</v>
      </c>
      <c r="CI1452">
        <f t="shared" si="447"/>
        <v>0</v>
      </c>
      <c r="CJ1452">
        <f t="shared" si="448"/>
        <v>0</v>
      </c>
      <c r="CK1452">
        <f t="shared" si="449"/>
        <v>0</v>
      </c>
      <c r="CL1452">
        <f t="shared" si="450"/>
        <v>0</v>
      </c>
      <c r="CM1452">
        <f t="shared" si="452"/>
        <v>0</v>
      </c>
      <c r="CN1452">
        <f t="shared" si="451"/>
        <v>0</v>
      </c>
      <c r="CO1452">
        <f t="shared" si="435"/>
        <v>0</v>
      </c>
    </row>
    <row r="1453" spans="1:93" hidden="1" x14ac:dyDescent="0.25">
      <c r="A1453" s="4">
        <v>2021</v>
      </c>
      <c r="B1453" s="315">
        <v>44320</v>
      </c>
      <c r="C1453" s="4" t="s">
        <v>1522</v>
      </c>
      <c r="D1453" s="4" t="s">
        <v>1523</v>
      </c>
      <c r="F1453" s="4" t="s">
        <v>1524</v>
      </c>
      <c r="G1453" s="5" t="s">
        <v>1512</v>
      </c>
      <c r="H1453" s="5" t="s">
        <v>1525</v>
      </c>
      <c r="I1453" s="5" t="s">
        <v>146</v>
      </c>
      <c r="J1453" s="5" t="s">
        <v>9</v>
      </c>
      <c r="K1453" s="5">
        <v>15.5</v>
      </c>
      <c r="L1453" s="5" t="s">
        <v>1526</v>
      </c>
      <c r="M1453" s="5">
        <v>1100</v>
      </c>
      <c r="N1453" s="5" t="s">
        <v>170</v>
      </c>
      <c r="O1453" s="6" t="s">
        <v>81</v>
      </c>
      <c r="P1453" s="6" t="s">
        <v>1528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+VLOOKUP(G1453,Liste!$A$7:$G$69,3,FALSE)</f>
        <v>Pin d'Alep</v>
      </c>
      <c r="BI1453" s="96" t="str">
        <f>+VLOOKUP(H1453,Liste!$B$7:$G$69,5,FALSE)</f>
        <v>Pin d'Alep</v>
      </c>
      <c r="BJ1453" s="135">
        <f t="shared" si="434"/>
        <v>79</v>
      </c>
      <c r="BK1453" s="135" t="str">
        <f t="shared" si="436"/>
        <v>Pin d'Alep_F1_Dynamique_Pin d'Alep_79_</v>
      </c>
      <c r="BL1453" s="319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97" t="str">
        <f>+VLOOKUP(G1453,Liste!$A$7:$H$69,8,FALSE)</f>
        <v>Résineux</v>
      </c>
      <c r="BU1453" s="297">
        <f t="shared" si="437"/>
        <v>0</v>
      </c>
      <c r="BV1453" s="299">
        <f t="shared" si="438"/>
        <v>1</v>
      </c>
      <c r="BW1453" s="318">
        <v>0</v>
      </c>
      <c r="BX1453" s="297">
        <f t="shared" si="439"/>
        <v>0.43</v>
      </c>
      <c r="BY1453">
        <f t="shared" si="440"/>
        <v>0</v>
      </c>
      <c r="BZ1453" s="303">
        <f t="shared" si="441"/>
        <v>0</v>
      </c>
      <c r="CB1453" s="298">
        <v>0.6</v>
      </c>
      <c r="CC1453" s="298">
        <v>0.4</v>
      </c>
      <c r="CD1453">
        <f t="shared" si="442"/>
        <v>0</v>
      </c>
      <c r="CE1453">
        <f t="shared" si="443"/>
        <v>0</v>
      </c>
      <c r="CF1453">
        <f t="shared" si="444"/>
        <v>0</v>
      </c>
      <c r="CG1453">
        <f t="shared" si="445"/>
        <v>0</v>
      </c>
      <c r="CH1453">
        <f t="shared" si="446"/>
        <v>0</v>
      </c>
      <c r="CI1453">
        <f t="shared" si="447"/>
        <v>0</v>
      </c>
      <c r="CJ1453">
        <f t="shared" si="448"/>
        <v>0</v>
      </c>
      <c r="CK1453">
        <f t="shared" si="449"/>
        <v>0</v>
      </c>
      <c r="CL1453">
        <f t="shared" si="450"/>
        <v>0</v>
      </c>
      <c r="CM1453">
        <f t="shared" si="452"/>
        <v>0</v>
      </c>
      <c r="CN1453">
        <f t="shared" si="451"/>
        <v>0</v>
      </c>
      <c r="CO1453">
        <f t="shared" si="435"/>
        <v>0</v>
      </c>
    </row>
    <row r="1454" spans="1:93" hidden="1" x14ac:dyDescent="0.25">
      <c r="A1454" s="4">
        <v>2021</v>
      </c>
      <c r="B1454" s="315">
        <v>44320</v>
      </c>
      <c r="C1454" s="4" t="s">
        <v>1522</v>
      </c>
      <c r="D1454" s="4" t="s">
        <v>1523</v>
      </c>
      <c r="F1454" s="4" t="s">
        <v>1524</v>
      </c>
      <c r="G1454" s="5" t="s">
        <v>1512</v>
      </c>
      <c r="H1454" s="5" t="s">
        <v>1525</v>
      </c>
      <c r="I1454" s="5" t="s">
        <v>146</v>
      </c>
      <c r="J1454" s="5" t="s">
        <v>9</v>
      </c>
      <c r="K1454" s="5">
        <v>15.5</v>
      </c>
      <c r="L1454" s="5" t="s">
        <v>1526</v>
      </c>
      <c r="M1454" s="5">
        <v>1100</v>
      </c>
      <c r="N1454" s="5" t="s">
        <v>170</v>
      </c>
      <c r="O1454" s="6" t="s">
        <v>81</v>
      </c>
      <c r="P1454" s="6" t="s">
        <v>1528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+VLOOKUP(G1454,Liste!$A$7:$G$69,3,FALSE)</f>
        <v>Pin d'Alep</v>
      </c>
      <c r="BI1454" s="96" t="str">
        <f>+VLOOKUP(H1454,Liste!$B$7:$G$69,5,FALSE)</f>
        <v>Pin d'Alep</v>
      </c>
      <c r="BJ1454" s="135">
        <f t="shared" si="434"/>
        <v>80</v>
      </c>
      <c r="BK1454" s="135" t="str">
        <f t="shared" si="436"/>
        <v>Pin d'Alep_F1_Dynamique_Pin d'Alep_80_</v>
      </c>
      <c r="BL1454" s="319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97" t="str">
        <f>+VLOOKUP(G1454,Liste!$A$7:$H$69,8,FALSE)</f>
        <v>Résineux</v>
      </c>
      <c r="BU1454" s="297">
        <f t="shared" si="437"/>
        <v>0</v>
      </c>
      <c r="BV1454" s="299">
        <f t="shared" si="438"/>
        <v>1</v>
      </c>
      <c r="BW1454" s="318">
        <v>0</v>
      </c>
      <c r="BX1454" s="297">
        <f t="shared" si="439"/>
        <v>0.43</v>
      </c>
      <c r="BY1454">
        <f t="shared" si="440"/>
        <v>0</v>
      </c>
      <c r="BZ1454" s="303">
        <f t="shared" si="441"/>
        <v>0</v>
      </c>
      <c r="CB1454" s="298">
        <v>0.6</v>
      </c>
      <c r="CC1454" s="298">
        <v>0.4</v>
      </c>
      <c r="CD1454">
        <f t="shared" si="442"/>
        <v>0</v>
      </c>
      <c r="CE1454">
        <f t="shared" si="443"/>
        <v>0</v>
      </c>
      <c r="CF1454">
        <f t="shared" si="444"/>
        <v>0</v>
      </c>
      <c r="CG1454">
        <f t="shared" si="445"/>
        <v>0</v>
      </c>
      <c r="CH1454">
        <f t="shared" si="446"/>
        <v>0</v>
      </c>
      <c r="CI1454">
        <f t="shared" si="447"/>
        <v>0</v>
      </c>
      <c r="CJ1454">
        <f t="shared" si="448"/>
        <v>0</v>
      </c>
      <c r="CK1454">
        <f t="shared" si="449"/>
        <v>0</v>
      </c>
      <c r="CL1454">
        <f t="shared" si="450"/>
        <v>0</v>
      </c>
      <c r="CM1454">
        <f t="shared" si="452"/>
        <v>0</v>
      </c>
      <c r="CN1454">
        <f t="shared" si="451"/>
        <v>0</v>
      </c>
      <c r="CO1454">
        <f t="shared" si="435"/>
        <v>0</v>
      </c>
    </row>
    <row r="1455" spans="1:93" hidden="1" x14ac:dyDescent="0.25">
      <c r="A1455" s="4">
        <v>2021</v>
      </c>
      <c r="B1455" s="315">
        <v>44320</v>
      </c>
      <c r="C1455" s="4" t="s">
        <v>1522</v>
      </c>
      <c r="D1455" s="4" t="s">
        <v>1523</v>
      </c>
      <c r="F1455" s="4" t="s">
        <v>1524</v>
      </c>
      <c r="G1455" s="5" t="s">
        <v>1512</v>
      </c>
      <c r="H1455" s="5" t="s">
        <v>1525</v>
      </c>
      <c r="I1455" s="5" t="s">
        <v>146</v>
      </c>
      <c r="J1455" s="5" t="s">
        <v>9</v>
      </c>
      <c r="K1455" s="5">
        <v>15.5</v>
      </c>
      <c r="L1455" s="5" t="s">
        <v>1526</v>
      </c>
      <c r="M1455" s="5">
        <v>1100</v>
      </c>
      <c r="N1455" s="5" t="s">
        <v>170</v>
      </c>
      <c r="O1455" s="6" t="s">
        <v>81</v>
      </c>
      <c r="P1455" s="6" t="s">
        <v>1528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+VLOOKUP(G1455,Liste!$A$7:$G$69,3,FALSE)</f>
        <v>Pin d'Alep</v>
      </c>
      <c r="BI1455" s="96" t="str">
        <f>+VLOOKUP(H1455,Liste!$B$7:$G$69,5,FALSE)</f>
        <v>Pin d'Alep</v>
      </c>
      <c r="BJ1455" s="135">
        <f t="shared" si="434"/>
        <v>81</v>
      </c>
      <c r="BK1455" s="135" t="str">
        <f t="shared" si="436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97" t="str">
        <f>+VLOOKUP(G1455,Liste!$A$7:$H$69,8,FALSE)</f>
        <v>Résineux</v>
      </c>
      <c r="BU1455" s="297">
        <f t="shared" si="437"/>
        <v>0</v>
      </c>
      <c r="BV1455" s="299">
        <f t="shared" si="438"/>
        <v>1</v>
      </c>
      <c r="BW1455" s="318">
        <v>0</v>
      </c>
      <c r="BX1455" s="297">
        <f t="shared" si="439"/>
        <v>0.43</v>
      </c>
      <c r="BY1455">
        <f t="shared" si="440"/>
        <v>0</v>
      </c>
      <c r="BZ1455" s="303">
        <f t="shared" si="441"/>
        <v>0</v>
      </c>
      <c r="CB1455" s="298">
        <v>0.6</v>
      </c>
      <c r="CC1455" s="298">
        <v>0.4</v>
      </c>
      <c r="CD1455">
        <f t="shared" si="442"/>
        <v>0</v>
      </c>
      <c r="CE1455">
        <f t="shared" si="443"/>
        <v>0</v>
      </c>
      <c r="CF1455">
        <f t="shared" si="444"/>
        <v>0</v>
      </c>
      <c r="CG1455">
        <f t="shared" si="445"/>
        <v>0</v>
      </c>
      <c r="CH1455">
        <f t="shared" si="446"/>
        <v>0</v>
      </c>
      <c r="CI1455">
        <f t="shared" si="447"/>
        <v>0</v>
      </c>
      <c r="CJ1455">
        <f t="shared" si="448"/>
        <v>0</v>
      </c>
      <c r="CK1455">
        <f t="shared" si="449"/>
        <v>0</v>
      </c>
      <c r="CL1455">
        <f t="shared" si="450"/>
        <v>0</v>
      </c>
      <c r="CM1455">
        <f t="shared" si="452"/>
        <v>0</v>
      </c>
      <c r="CN1455">
        <f t="shared" si="451"/>
        <v>0</v>
      </c>
      <c r="CO1455">
        <f t="shared" si="435"/>
        <v>0</v>
      </c>
    </row>
    <row r="1456" spans="1:93" hidden="1" x14ac:dyDescent="0.25">
      <c r="A1456" s="4">
        <v>2021</v>
      </c>
      <c r="B1456" s="315">
        <v>44320</v>
      </c>
      <c r="C1456" s="4" t="s">
        <v>1522</v>
      </c>
      <c r="D1456" s="4" t="s">
        <v>1523</v>
      </c>
      <c r="F1456" s="4" t="s">
        <v>1524</v>
      </c>
      <c r="G1456" s="5" t="s">
        <v>1512</v>
      </c>
      <c r="H1456" s="5" t="s">
        <v>1525</v>
      </c>
      <c r="I1456" s="5" t="s">
        <v>146</v>
      </c>
      <c r="J1456" s="5" t="s">
        <v>9</v>
      </c>
      <c r="K1456" s="5">
        <v>15.5</v>
      </c>
      <c r="L1456" s="5" t="s">
        <v>1526</v>
      </c>
      <c r="M1456" s="5">
        <v>1100</v>
      </c>
      <c r="N1456" s="5" t="s">
        <v>170</v>
      </c>
      <c r="O1456" s="6" t="s">
        <v>81</v>
      </c>
      <c r="P1456" s="6" t="s">
        <v>1528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+VLOOKUP(G1456,Liste!$A$7:$G$69,3,FALSE)</f>
        <v>Pin d'Alep</v>
      </c>
      <c r="BI1456" s="96" t="str">
        <f>+VLOOKUP(H1456,Liste!$B$7:$G$69,5,FALSE)</f>
        <v>Pin d'Alep</v>
      </c>
      <c r="BJ1456" s="135">
        <f t="shared" si="434"/>
        <v>82</v>
      </c>
      <c r="BK1456" s="135" t="str">
        <f t="shared" si="436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97" t="str">
        <f>+VLOOKUP(G1456,Liste!$A$7:$H$69,8,FALSE)</f>
        <v>Résineux</v>
      </c>
      <c r="BU1456" s="297">
        <f t="shared" si="437"/>
        <v>0</v>
      </c>
      <c r="BV1456" s="299">
        <f t="shared" si="438"/>
        <v>1</v>
      </c>
      <c r="BW1456" s="318">
        <v>0</v>
      </c>
      <c r="BX1456" s="297">
        <f t="shared" si="439"/>
        <v>0.43</v>
      </c>
      <c r="BY1456">
        <f t="shared" si="440"/>
        <v>0</v>
      </c>
      <c r="BZ1456" s="303">
        <f t="shared" si="441"/>
        <v>0</v>
      </c>
      <c r="CB1456" s="298">
        <v>0.6</v>
      </c>
      <c r="CC1456" s="298">
        <v>0.4</v>
      </c>
      <c r="CD1456">
        <f t="shared" si="442"/>
        <v>0</v>
      </c>
      <c r="CE1456">
        <f t="shared" si="443"/>
        <v>0</v>
      </c>
      <c r="CF1456">
        <f t="shared" si="444"/>
        <v>0</v>
      </c>
      <c r="CG1456">
        <f t="shared" si="445"/>
        <v>0</v>
      </c>
      <c r="CH1456">
        <f t="shared" si="446"/>
        <v>0</v>
      </c>
      <c r="CI1456">
        <f t="shared" si="447"/>
        <v>0</v>
      </c>
      <c r="CJ1456">
        <f t="shared" si="448"/>
        <v>0</v>
      </c>
      <c r="CK1456">
        <f t="shared" si="449"/>
        <v>0</v>
      </c>
      <c r="CL1456">
        <f t="shared" si="450"/>
        <v>0</v>
      </c>
      <c r="CM1456">
        <f t="shared" si="452"/>
        <v>0</v>
      </c>
      <c r="CN1456">
        <f t="shared" si="451"/>
        <v>0</v>
      </c>
      <c r="CO1456">
        <f t="shared" si="435"/>
        <v>0</v>
      </c>
    </row>
    <row r="1457" spans="1:93" hidden="1" x14ac:dyDescent="0.25">
      <c r="A1457" s="4">
        <v>2021</v>
      </c>
      <c r="B1457" s="315">
        <v>44320</v>
      </c>
      <c r="C1457" s="4" t="s">
        <v>1522</v>
      </c>
      <c r="D1457" s="4" t="s">
        <v>1523</v>
      </c>
      <c r="F1457" s="4" t="s">
        <v>1524</v>
      </c>
      <c r="G1457" s="5" t="s">
        <v>1512</v>
      </c>
      <c r="H1457" s="5" t="s">
        <v>1525</v>
      </c>
      <c r="I1457" s="5" t="s">
        <v>146</v>
      </c>
      <c r="J1457" s="5" t="s">
        <v>9</v>
      </c>
      <c r="K1457" s="5">
        <v>15.5</v>
      </c>
      <c r="L1457" s="5" t="s">
        <v>1526</v>
      </c>
      <c r="M1457" s="5">
        <v>1100</v>
      </c>
      <c r="N1457" s="5" t="s">
        <v>170</v>
      </c>
      <c r="O1457" s="6" t="s">
        <v>81</v>
      </c>
      <c r="P1457" s="6" t="s">
        <v>1528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+VLOOKUP(G1457,Liste!$A$7:$G$69,3,FALSE)</f>
        <v>Pin d'Alep</v>
      </c>
      <c r="BI1457" s="96" t="str">
        <f>+VLOOKUP(H1457,Liste!$B$7:$G$69,5,FALSE)</f>
        <v>Pin d'Alep</v>
      </c>
      <c r="BJ1457" s="135">
        <f t="shared" si="434"/>
        <v>83</v>
      </c>
      <c r="BK1457" s="135" t="str">
        <f t="shared" si="436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97" t="str">
        <f>+VLOOKUP(G1457,Liste!$A$7:$H$69,8,FALSE)</f>
        <v>Résineux</v>
      </c>
      <c r="BU1457" s="297">
        <f t="shared" si="437"/>
        <v>0</v>
      </c>
      <c r="BV1457" s="299">
        <f t="shared" si="438"/>
        <v>1</v>
      </c>
      <c r="BW1457" s="318">
        <v>0</v>
      </c>
      <c r="BX1457" s="297">
        <f t="shared" si="439"/>
        <v>0.43</v>
      </c>
      <c r="BY1457">
        <f t="shared" si="440"/>
        <v>0</v>
      </c>
      <c r="BZ1457" s="303">
        <f t="shared" si="441"/>
        <v>0</v>
      </c>
      <c r="CB1457" s="298">
        <v>0.6</v>
      </c>
      <c r="CC1457" s="298">
        <v>0.4</v>
      </c>
      <c r="CD1457">
        <f t="shared" si="442"/>
        <v>0</v>
      </c>
      <c r="CE1457">
        <f t="shared" si="443"/>
        <v>0</v>
      </c>
      <c r="CF1457">
        <f t="shared" si="444"/>
        <v>0</v>
      </c>
      <c r="CG1457">
        <f t="shared" si="445"/>
        <v>0</v>
      </c>
      <c r="CH1457">
        <f t="shared" si="446"/>
        <v>0</v>
      </c>
      <c r="CI1457">
        <f t="shared" si="447"/>
        <v>0</v>
      </c>
      <c r="CJ1457">
        <f t="shared" si="448"/>
        <v>0</v>
      </c>
      <c r="CK1457">
        <f t="shared" si="449"/>
        <v>0</v>
      </c>
      <c r="CL1457">
        <f t="shared" si="450"/>
        <v>0</v>
      </c>
      <c r="CM1457">
        <f t="shared" si="452"/>
        <v>0</v>
      </c>
      <c r="CN1457">
        <f t="shared" si="451"/>
        <v>0</v>
      </c>
      <c r="CO1457">
        <f t="shared" si="435"/>
        <v>0</v>
      </c>
    </row>
    <row r="1458" spans="1:93" hidden="1" x14ac:dyDescent="0.25">
      <c r="A1458" s="4">
        <v>2021</v>
      </c>
      <c r="B1458" s="315">
        <v>44320</v>
      </c>
      <c r="C1458" s="4" t="s">
        <v>1522</v>
      </c>
      <c r="D1458" s="4" t="s">
        <v>1523</v>
      </c>
      <c r="F1458" s="4" t="s">
        <v>1524</v>
      </c>
      <c r="G1458" s="5" t="s">
        <v>1512</v>
      </c>
      <c r="H1458" s="5" t="s">
        <v>1525</v>
      </c>
      <c r="I1458" s="5" t="s">
        <v>146</v>
      </c>
      <c r="J1458" s="5" t="s">
        <v>9</v>
      </c>
      <c r="K1458" s="5">
        <v>15.5</v>
      </c>
      <c r="L1458" s="5" t="s">
        <v>1526</v>
      </c>
      <c r="M1458" s="5">
        <v>1100</v>
      </c>
      <c r="N1458" s="5" t="s">
        <v>170</v>
      </c>
      <c r="O1458" s="6" t="s">
        <v>81</v>
      </c>
      <c r="P1458" s="6" t="s">
        <v>1528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+VLOOKUP(G1458,Liste!$A$7:$G$69,3,FALSE)</f>
        <v>Pin d'Alep</v>
      </c>
      <c r="BI1458" s="96" t="str">
        <f>+VLOOKUP(H1458,Liste!$B$7:$G$69,5,FALSE)</f>
        <v>Pin d'Alep</v>
      </c>
      <c r="BJ1458" s="135">
        <f t="shared" si="434"/>
        <v>84</v>
      </c>
      <c r="BK1458" s="135" t="str">
        <f t="shared" si="436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97" t="str">
        <f>+VLOOKUP(G1458,Liste!$A$7:$H$69,8,FALSE)</f>
        <v>Résineux</v>
      </c>
      <c r="BU1458" s="297">
        <f t="shared" si="437"/>
        <v>0</v>
      </c>
      <c r="BV1458" s="299">
        <f t="shared" si="438"/>
        <v>1</v>
      </c>
      <c r="BW1458" s="318">
        <v>0</v>
      </c>
      <c r="BX1458" s="297">
        <f t="shared" si="439"/>
        <v>0.43</v>
      </c>
      <c r="BY1458">
        <f t="shared" si="440"/>
        <v>0</v>
      </c>
      <c r="BZ1458" s="303">
        <f t="shared" si="441"/>
        <v>0</v>
      </c>
      <c r="CB1458" s="298">
        <v>0.6</v>
      </c>
      <c r="CC1458" s="298">
        <v>0.4</v>
      </c>
      <c r="CD1458">
        <f t="shared" si="442"/>
        <v>0</v>
      </c>
      <c r="CE1458">
        <f t="shared" si="443"/>
        <v>0</v>
      </c>
      <c r="CF1458">
        <f t="shared" si="444"/>
        <v>0</v>
      </c>
      <c r="CG1458">
        <f t="shared" si="445"/>
        <v>0</v>
      </c>
      <c r="CH1458">
        <f t="shared" si="446"/>
        <v>0</v>
      </c>
      <c r="CI1458">
        <f t="shared" si="447"/>
        <v>0</v>
      </c>
      <c r="CJ1458">
        <f t="shared" si="448"/>
        <v>0</v>
      </c>
      <c r="CK1458">
        <f t="shared" si="449"/>
        <v>0</v>
      </c>
      <c r="CL1458">
        <f t="shared" si="450"/>
        <v>0</v>
      </c>
      <c r="CM1458">
        <f t="shared" si="452"/>
        <v>0</v>
      </c>
      <c r="CN1458">
        <f t="shared" si="451"/>
        <v>0</v>
      </c>
      <c r="CO1458">
        <f t="shared" si="435"/>
        <v>0</v>
      </c>
    </row>
    <row r="1459" spans="1:93" hidden="1" x14ac:dyDescent="0.25">
      <c r="A1459" s="4">
        <v>2021</v>
      </c>
      <c r="B1459" s="315">
        <v>44320</v>
      </c>
      <c r="C1459" s="4" t="s">
        <v>1522</v>
      </c>
      <c r="D1459" s="4" t="s">
        <v>1523</v>
      </c>
      <c r="F1459" s="4" t="s">
        <v>1524</v>
      </c>
      <c r="G1459" s="5" t="s">
        <v>1512</v>
      </c>
      <c r="H1459" s="5" t="s">
        <v>1525</v>
      </c>
      <c r="I1459" s="5" t="s">
        <v>146</v>
      </c>
      <c r="J1459" s="5" t="s">
        <v>9</v>
      </c>
      <c r="K1459" s="5">
        <v>15.5</v>
      </c>
      <c r="L1459" s="5" t="s">
        <v>1526</v>
      </c>
      <c r="M1459" s="5">
        <v>1100</v>
      </c>
      <c r="N1459" s="5" t="s">
        <v>170</v>
      </c>
      <c r="O1459" s="6" t="s">
        <v>81</v>
      </c>
      <c r="P1459" s="6" t="s">
        <v>1528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+VLOOKUP(G1459,Liste!$A$7:$G$69,3,FALSE)</f>
        <v>Pin d'Alep</v>
      </c>
      <c r="BI1459" s="96" t="str">
        <f>+VLOOKUP(H1459,Liste!$B$7:$G$69,5,FALSE)</f>
        <v>Pin d'Alep</v>
      </c>
      <c r="BJ1459" s="135">
        <f t="shared" si="434"/>
        <v>85</v>
      </c>
      <c r="BK1459" s="135" t="str">
        <f t="shared" si="436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97" t="str">
        <f>+VLOOKUP(G1459,Liste!$A$7:$H$69,8,FALSE)</f>
        <v>Résineux</v>
      </c>
      <c r="BU1459" s="297">
        <f t="shared" si="437"/>
        <v>0</v>
      </c>
      <c r="BV1459" s="299">
        <f t="shared" si="438"/>
        <v>1</v>
      </c>
      <c r="BW1459" s="318">
        <v>0</v>
      </c>
      <c r="BX1459" s="297">
        <f t="shared" si="439"/>
        <v>0.43</v>
      </c>
      <c r="BY1459">
        <f t="shared" si="440"/>
        <v>0</v>
      </c>
      <c r="BZ1459" s="303">
        <f t="shared" si="441"/>
        <v>0</v>
      </c>
      <c r="CB1459" s="298">
        <v>0.6</v>
      </c>
      <c r="CC1459" s="298">
        <v>0.4</v>
      </c>
      <c r="CD1459">
        <f t="shared" si="442"/>
        <v>0</v>
      </c>
      <c r="CE1459">
        <f t="shared" si="443"/>
        <v>0</v>
      </c>
      <c r="CF1459">
        <f t="shared" si="444"/>
        <v>0</v>
      </c>
      <c r="CG1459">
        <f t="shared" si="445"/>
        <v>0</v>
      </c>
      <c r="CH1459">
        <f t="shared" si="446"/>
        <v>0</v>
      </c>
      <c r="CI1459">
        <f t="shared" si="447"/>
        <v>0</v>
      </c>
      <c r="CJ1459">
        <f t="shared" si="448"/>
        <v>0</v>
      </c>
      <c r="CK1459">
        <f t="shared" si="449"/>
        <v>0</v>
      </c>
      <c r="CL1459">
        <f t="shared" si="450"/>
        <v>0</v>
      </c>
      <c r="CM1459">
        <f t="shared" si="452"/>
        <v>0</v>
      </c>
      <c r="CN1459">
        <f t="shared" si="451"/>
        <v>0</v>
      </c>
      <c r="CO1459">
        <f t="shared" si="435"/>
        <v>0</v>
      </c>
    </row>
    <row r="1460" spans="1:93" hidden="1" x14ac:dyDescent="0.25">
      <c r="A1460" s="4">
        <v>2021</v>
      </c>
      <c r="B1460" s="315">
        <v>44320</v>
      </c>
      <c r="C1460" s="4" t="s">
        <v>1522</v>
      </c>
      <c r="D1460" s="4" t="s">
        <v>1523</v>
      </c>
      <c r="F1460" s="4" t="s">
        <v>1524</v>
      </c>
      <c r="G1460" s="5" t="s">
        <v>1512</v>
      </c>
      <c r="H1460" s="5" t="s">
        <v>1525</v>
      </c>
      <c r="I1460" s="5" t="s">
        <v>146</v>
      </c>
      <c r="J1460" s="5" t="s">
        <v>9</v>
      </c>
      <c r="K1460" s="5">
        <v>15.5</v>
      </c>
      <c r="L1460" s="5" t="s">
        <v>1526</v>
      </c>
      <c r="M1460" s="5">
        <v>1100</v>
      </c>
      <c r="N1460" s="5" t="s">
        <v>170</v>
      </c>
      <c r="O1460" s="6" t="s">
        <v>81</v>
      </c>
      <c r="P1460" s="6" t="s">
        <v>1528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+VLOOKUP(G1460,Liste!$A$7:$G$69,3,FALSE)</f>
        <v>Pin d'Alep</v>
      </c>
      <c r="BI1460" s="96" t="str">
        <f>+VLOOKUP(H1460,Liste!$B$7:$G$69,5,FALSE)</f>
        <v>Pin d'Alep</v>
      </c>
      <c r="BJ1460" s="135">
        <f t="shared" si="434"/>
        <v>86</v>
      </c>
      <c r="BK1460" s="135" t="str">
        <f t="shared" si="436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97" t="str">
        <f>+VLOOKUP(G1460,Liste!$A$7:$H$69,8,FALSE)</f>
        <v>Résineux</v>
      </c>
      <c r="BU1460" s="297">
        <f t="shared" si="437"/>
        <v>0</v>
      </c>
      <c r="BV1460" s="299">
        <f t="shared" si="438"/>
        <v>1</v>
      </c>
      <c r="BW1460" s="318">
        <v>0</v>
      </c>
      <c r="BX1460" s="297">
        <f t="shared" si="439"/>
        <v>0.43</v>
      </c>
      <c r="BY1460">
        <f t="shared" si="440"/>
        <v>0</v>
      </c>
      <c r="BZ1460" s="303">
        <f t="shared" si="441"/>
        <v>0</v>
      </c>
      <c r="CB1460" s="298">
        <v>0.6</v>
      </c>
      <c r="CC1460" s="298">
        <v>0.4</v>
      </c>
      <c r="CD1460">
        <f t="shared" si="442"/>
        <v>0</v>
      </c>
      <c r="CE1460">
        <f t="shared" si="443"/>
        <v>0</v>
      </c>
      <c r="CF1460">
        <f t="shared" si="444"/>
        <v>0</v>
      </c>
      <c r="CG1460">
        <f t="shared" si="445"/>
        <v>0</v>
      </c>
      <c r="CH1460">
        <f t="shared" si="446"/>
        <v>0</v>
      </c>
      <c r="CI1460">
        <f t="shared" si="447"/>
        <v>0</v>
      </c>
      <c r="CJ1460">
        <f t="shared" si="448"/>
        <v>0</v>
      </c>
      <c r="CK1460">
        <f t="shared" si="449"/>
        <v>0</v>
      </c>
      <c r="CL1460">
        <f t="shared" si="450"/>
        <v>0</v>
      </c>
      <c r="CM1460">
        <f t="shared" si="452"/>
        <v>0</v>
      </c>
      <c r="CN1460">
        <f t="shared" si="451"/>
        <v>0</v>
      </c>
      <c r="CO1460">
        <f t="shared" si="435"/>
        <v>0</v>
      </c>
    </row>
    <row r="1461" spans="1:93" hidden="1" x14ac:dyDescent="0.25">
      <c r="A1461" s="4">
        <v>2021</v>
      </c>
      <c r="B1461" s="315">
        <v>44320</v>
      </c>
      <c r="C1461" s="4" t="s">
        <v>1522</v>
      </c>
      <c r="D1461" s="4" t="s">
        <v>1523</v>
      </c>
      <c r="F1461" s="4" t="s">
        <v>1524</v>
      </c>
      <c r="G1461" s="5" t="s">
        <v>1512</v>
      </c>
      <c r="H1461" s="5" t="s">
        <v>1525</v>
      </c>
      <c r="I1461" s="5" t="s">
        <v>146</v>
      </c>
      <c r="J1461" s="5" t="s">
        <v>9</v>
      </c>
      <c r="K1461" s="5">
        <v>15.5</v>
      </c>
      <c r="L1461" s="5" t="s">
        <v>1526</v>
      </c>
      <c r="M1461" s="5">
        <v>1100</v>
      </c>
      <c r="N1461" s="5" t="s">
        <v>170</v>
      </c>
      <c r="O1461" s="6" t="s">
        <v>81</v>
      </c>
      <c r="P1461" s="6" t="s">
        <v>1528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+VLOOKUP(G1461,Liste!$A$7:$G$69,3,FALSE)</f>
        <v>Pin d'Alep</v>
      </c>
      <c r="BI1461" s="96" t="str">
        <f>+VLOOKUP(H1461,Liste!$B$7:$G$69,5,FALSE)</f>
        <v>Pin d'Alep</v>
      </c>
      <c r="BJ1461" s="135">
        <f t="shared" si="434"/>
        <v>87</v>
      </c>
      <c r="BK1461" s="135" t="str">
        <f t="shared" si="436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97" t="str">
        <f>+VLOOKUP(G1461,Liste!$A$7:$H$69,8,FALSE)</f>
        <v>Résineux</v>
      </c>
      <c r="BU1461" s="297">
        <f t="shared" si="437"/>
        <v>0</v>
      </c>
      <c r="BV1461" s="299">
        <f t="shared" si="438"/>
        <v>1</v>
      </c>
      <c r="BW1461" s="318">
        <v>0</v>
      </c>
      <c r="BX1461" s="297">
        <f t="shared" si="439"/>
        <v>0.43</v>
      </c>
      <c r="BY1461">
        <f t="shared" si="440"/>
        <v>0</v>
      </c>
      <c r="BZ1461" s="303">
        <f t="shared" si="441"/>
        <v>0</v>
      </c>
      <c r="CB1461" s="298">
        <v>0.6</v>
      </c>
      <c r="CC1461" s="298">
        <v>0.4</v>
      </c>
      <c r="CD1461">
        <f t="shared" si="442"/>
        <v>0</v>
      </c>
      <c r="CE1461">
        <f t="shared" si="443"/>
        <v>0</v>
      </c>
      <c r="CF1461">
        <f t="shared" si="444"/>
        <v>0</v>
      </c>
      <c r="CG1461">
        <f t="shared" si="445"/>
        <v>0</v>
      </c>
      <c r="CH1461">
        <f t="shared" si="446"/>
        <v>0</v>
      </c>
      <c r="CI1461">
        <f t="shared" si="447"/>
        <v>0</v>
      </c>
      <c r="CJ1461">
        <f t="shared" si="448"/>
        <v>0</v>
      </c>
      <c r="CK1461">
        <f t="shared" si="449"/>
        <v>0</v>
      </c>
      <c r="CL1461">
        <f t="shared" si="450"/>
        <v>0</v>
      </c>
      <c r="CM1461">
        <f t="shared" si="452"/>
        <v>0</v>
      </c>
      <c r="CN1461">
        <f t="shared" si="451"/>
        <v>0</v>
      </c>
      <c r="CO1461">
        <f t="shared" si="435"/>
        <v>0</v>
      </c>
    </row>
    <row r="1462" spans="1:93" hidden="1" x14ac:dyDescent="0.25">
      <c r="A1462" s="4">
        <v>2021</v>
      </c>
      <c r="B1462" s="315">
        <v>44320</v>
      </c>
      <c r="C1462" s="4" t="s">
        <v>1522</v>
      </c>
      <c r="D1462" s="4" t="s">
        <v>1523</v>
      </c>
      <c r="F1462" s="4" t="s">
        <v>1524</v>
      </c>
      <c r="G1462" s="5" t="s">
        <v>1512</v>
      </c>
      <c r="H1462" s="5" t="s">
        <v>1525</v>
      </c>
      <c r="I1462" s="5" t="s">
        <v>146</v>
      </c>
      <c r="J1462" s="5" t="s">
        <v>9</v>
      </c>
      <c r="K1462" s="5">
        <v>15.5</v>
      </c>
      <c r="L1462" s="5" t="s">
        <v>1526</v>
      </c>
      <c r="M1462" s="5">
        <v>1100</v>
      </c>
      <c r="N1462" s="5" t="s">
        <v>170</v>
      </c>
      <c r="O1462" s="6" t="s">
        <v>81</v>
      </c>
      <c r="P1462" s="6" t="s">
        <v>1528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+VLOOKUP(G1462,Liste!$A$7:$G$69,3,FALSE)</f>
        <v>Pin d'Alep</v>
      </c>
      <c r="BI1462" s="96" t="str">
        <f>+VLOOKUP(H1462,Liste!$B$7:$G$69,5,FALSE)</f>
        <v>Pin d'Alep</v>
      </c>
      <c r="BJ1462" s="135">
        <f t="shared" si="434"/>
        <v>88</v>
      </c>
      <c r="BK1462" s="135" t="str">
        <f t="shared" si="436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97" t="str">
        <f>+VLOOKUP(G1462,Liste!$A$7:$H$69,8,FALSE)</f>
        <v>Résineux</v>
      </c>
      <c r="BU1462" s="297">
        <f t="shared" si="437"/>
        <v>0</v>
      </c>
      <c r="BV1462" s="299">
        <f t="shared" si="438"/>
        <v>1</v>
      </c>
      <c r="BW1462" s="318">
        <v>0</v>
      </c>
      <c r="BX1462" s="297">
        <f t="shared" si="439"/>
        <v>0.43</v>
      </c>
      <c r="BY1462">
        <f t="shared" si="440"/>
        <v>0</v>
      </c>
      <c r="BZ1462" s="303">
        <f t="shared" si="441"/>
        <v>0</v>
      </c>
      <c r="CB1462" s="298">
        <v>0.6</v>
      </c>
      <c r="CC1462" s="298">
        <v>0.4</v>
      </c>
      <c r="CD1462">
        <f t="shared" si="442"/>
        <v>0</v>
      </c>
      <c r="CE1462">
        <f t="shared" si="443"/>
        <v>0</v>
      </c>
      <c r="CF1462">
        <f t="shared" si="444"/>
        <v>0</v>
      </c>
      <c r="CG1462">
        <f t="shared" si="445"/>
        <v>0</v>
      </c>
      <c r="CH1462">
        <f t="shared" si="446"/>
        <v>0</v>
      </c>
      <c r="CI1462">
        <f t="shared" si="447"/>
        <v>0</v>
      </c>
      <c r="CJ1462">
        <f t="shared" si="448"/>
        <v>0</v>
      </c>
      <c r="CK1462">
        <f t="shared" si="449"/>
        <v>0</v>
      </c>
      <c r="CL1462">
        <f t="shared" si="450"/>
        <v>0</v>
      </c>
      <c r="CM1462">
        <f t="shared" si="452"/>
        <v>0</v>
      </c>
      <c r="CN1462">
        <f t="shared" si="451"/>
        <v>0</v>
      </c>
      <c r="CO1462">
        <f t="shared" si="435"/>
        <v>0</v>
      </c>
    </row>
    <row r="1463" spans="1:93" hidden="1" x14ac:dyDescent="0.25">
      <c r="A1463" s="4">
        <v>2021</v>
      </c>
      <c r="B1463" s="315">
        <v>44320</v>
      </c>
      <c r="C1463" s="4" t="s">
        <v>1522</v>
      </c>
      <c r="D1463" s="4" t="s">
        <v>1523</v>
      </c>
      <c r="F1463" s="4" t="s">
        <v>1524</v>
      </c>
      <c r="G1463" s="5" t="s">
        <v>1512</v>
      </c>
      <c r="H1463" s="5" t="s">
        <v>1525</v>
      </c>
      <c r="I1463" s="5" t="s">
        <v>146</v>
      </c>
      <c r="J1463" s="5" t="s">
        <v>9</v>
      </c>
      <c r="K1463" s="5">
        <v>15.5</v>
      </c>
      <c r="L1463" s="5" t="s">
        <v>1526</v>
      </c>
      <c r="M1463" s="5">
        <v>1100</v>
      </c>
      <c r="N1463" s="5" t="s">
        <v>170</v>
      </c>
      <c r="O1463" s="6" t="s">
        <v>81</v>
      </c>
      <c r="P1463" s="6" t="s">
        <v>1528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+VLOOKUP(G1463,Liste!$A$7:$G$69,3,FALSE)</f>
        <v>Pin d'Alep</v>
      </c>
      <c r="BI1463" s="96" t="str">
        <f>+VLOOKUP(H1463,Liste!$B$7:$G$69,5,FALSE)</f>
        <v>Pin d'Alep</v>
      </c>
      <c r="BJ1463" s="135">
        <f t="shared" si="434"/>
        <v>89</v>
      </c>
      <c r="BK1463" s="135" t="str">
        <f t="shared" si="436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97" t="str">
        <f>+VLOOKUP(G1463,Liste!$A$7:$H$69,8,FALSE)</f>
        <v>Résineux</v>
      </c>
      <c r="BU1463" s="297">
        <f t="shared" si="437"/>
        <v>0</v>
      </c>
      <c r="BV1463" s="299">
        <f t="shared" si="438"/>
        <v>1</v>
      </c>
      <c r="BW1463" s="318">
        <v>0</v>
      </c>
      <c r="BX1463" s="297">
        <f t="shared" si="439"/>
        <v>0.43</v>
      </c>
      <c r="BY1463">
        <f t="shared" si="440"/>
        <v>0</v>
      </c>
      <c r="BZ1463" s="303">
        <f t="shared" si="441"/>
        <v>0</v>
      </c>
      <c r="CB1463" s="298">
        <v>0.6</v>
      </c>
      <c r="CC1463" s="298">
        <v>0.4</v>
      </c>
      <c r="CD1463">
        <f t="shared" si="442"/>
        <v>0</v>
      </c>
      <c r="CE1463">
        <f t="shared" si="443"/>
        <v>0</v>
      </c>
      <c r="CF1463">
        <f t="shared" si="444"/>
        <v>0</v>
      </c>
      <c r="CG1463">
        <f t="shared" si="445"/>
        <v>0</v>
      </c>
      <c r="CH1463">
        <f t="shared" si="446"/>
        <v>0</v>
      </c>
      <c r="CI1463">
        <f t="shared" si="447"/>
        <v>0</v>
      </c>
      <c r="CJ1463">
        <f t="shared" si="448"/>
        <v>0</v>
      </c>
      <c r="CK1463">
        <f t="shared" si="449"/>
        <v>0</v>
      </c>
      <c r="CL1463">
        <f t="shared" si="450"/>
        <v>0</v>
      </c>
      <c r="CM1463">
        <f t="shared" si="452"/>
        <v>0</v>
      </c>
      <c r="CN1463">
        <f t="shared" si="451"/>
        <v>0</v>
      </c>
      <c r="CO1463">
        <f t="shared" si="435"/>
        <v>0</v>
      </c>
    </row>
    <row r="1464" spans="1:93" hidden="1" x14ac:dyDescent="0.25">
      <c r="A1464" s="4">
        <v>2021</v>
      </c>
      <c r="B1464" s="315">
        <v>44320</v>
      </c>
      <c r="C1464" s="4" t="s">
        <v>1522</v>
      </c>
      <c r="D1464" s="4" t="s">
        <v>1523</v>
      </c>
      <c r="F1464" s="4" t="s">
        <v>1524</v>
      </c>
      <c r="G1464" s="5" t="s">
        <v>1512</v>
      </c>
      <c r="H1464" s="5" t="s">
        <v>1525</v>
      </c>
      <c r="I1464" s="5" t="s">
        <v>146</v>
      </c>
      <c r="J1464" s="5" t="s">
        <v>9</v>
      </c>
      <c r="K1464" s="5">
        <v>15.5</v>
      </c>
      <c r="L1464" s="5" t="s">
        <v>1526</v>
      </c>
      <c r="M1464" s="5">
        <v>1100</v>
      </c>
      <c r="N1464" s="5" t="s">
        <v>170</v>
      </c>
      <c r="O1464" s="6" t="s">
        <v>81</v>
      </c>
      <c r="P1464" s="6" t="s">
        <v>1528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+VLOOKUP(G1464,Liste!$A$7:$G$69,3,FALSE)</f>
        <v>Pin d'Alep</v>
      </c>
      <c r="BI1464" s="96" t="str">
        <f>+VLOOKUP(H1464,Liste!$B$7:$G$69,5,FALSE)</f>
        <v>Pin d'Alep</v>
      </c>
      <c r="BJ1464" s="135">
        <f t="shared" si="434"/>
        <v>90</v>
      </c>
      <c r="BK1464" s="135" t="str">
        <f t="shared" si="436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97" t="str">
        <f>+VLOOKUP(G1464,Liste!$A$7:$H$69,8,FALSE)</f>
        <v>Résineux</v>
      </c>
      <c r="BU1464" s="297">
        <f t="shared" si="437"/>
        <v>0</v>
      </c>
      <c r="BV1464" s="299">
        <f t="shared" si="438"/>
        <v>1</v>
      </c>
      <c r="BW1464" s="318">
        <v>0</v>
      </c>
      <c r="BX1464" s="297">
        <f t="shared" si="439"/>
        <v>0.43</v>
      </c>
      <c r="BY1464">
        <f t="shared" si="440"/>
        <v>0</v>
      </c>
      <c r="BZ1464" s="303">
        <f t="shared" si="441"/>
        <v>0</v>
      </c>
      <c r="CB1464" s="298">
        <v>0.6</v>
      </c>
      <c r="CC1464" s="298">
        <v>0.4</v>
      </c>
      <c r="CD1464">
        <f t="shared" si="442"/>
        <v>0</v>
      </c>
      <c r="CE1464">
        <f t="shared" si="443"/>
        <v>0</v>
      </c>
      <c r="CF1464">
        <f t="shared" si="444"/>
        <v>0</v>
      </c>
      <c r="CG1464">
        <f t="shared" si="445"/>
        <v>0</v>
      </c>
      <c r="CH1464">
        <f t="shared" si="446"/>
        <v>0</v>
      </c>
      <c r="CI1464">
        <f t="shared" si="447"/>
        <v>0</v>
      </c>
      <c r="CJ1464">
        <f t="shared" si="448"/>
        <v>0</v>
      </c>
      <c r="CK1464">
        <f t="shared" si="449"/>
        <v>0</v>
      </c>
      <c r="CL1464">
        <f t="shared" si="450"/>
        <v>0</v>
      </c>
      <c r="CM1464">
        <f t="shared" si="452"/>
        <v>0</v>
      </c>
      <c r="CN1464">
        <f t="shared" si="451"/>
        <v>0</v>
      </c>
      <c r="CO1464">
        <f t="shared" si="435"/>
        <v>0</v>
      </c>
    </row>
    <row r="1465" spans="1:93" hidden="1" x14ac:dyDescent="0.25">
      <c r="A1465" s="4">
        <v>2021</v>
      </c>
      <c r="B1465" s="315">
        <v>44320</v>
      </c>
      <c r="C1465" s="4" t="s">
        <v>1522</v>
      </c>
      <c r="D1465" s="4" t="s">
        <v>1523</v>
      </c>
      <c r="F1465" s="4" t="s">
        <v>1524</v>
      </c>
      <c r="G1465" s="5" t="s">
        <v>1512</v>
      </c>
      <c r="H1465" s="5" t="s">
        <v>1525</v>
      </c>
      <c r="I1465" s="5" t="s">
        <v>146</v>
      </c>
      <c r="J1465" s="5" t="s">
        <v>9</v>
      </c>
      <c r="K1465" s="5">
        <v>15.5</v>
      </c>
      <c r="L1465" s="5" t="s">
        <v>1526</v>
      </c>
      <c r="M1465" s="5">
        <v>1100</v>
      </c>
      <c r="N1465" s="5" t="s">
        <v>170</v>
      </c>
      <c r="O1465" s="6" t="s">
        <v>81</v>
      </c>
      <c r="P1465" s="6" t="s">
        <v>1528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+VLOOKUP(G1465,Liste!$A$7:$G$69,3,FALSE)</f>
        <v>Pin d'Alep</v>
      </c>
      <c r="BI1465" s="96" t="str">
        <f>+VLOOKUP(H1465,Liste!$B$7:$G$69,5,FALSE)</f>
        <v>Pin d'Alep</v>
      </c>
      <c r="BJ1465" s="135">
        <f t="shared" si="434"/>
        <v>91</v>
      </c>
      <c r="BK1465" s="135" t="str">
        <f t="shared" si="436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97" t="str">
        <f>+VLOOKUP(G1465,Liste!$A$7:$H$69,8,FALSE)</f>
        <v>Résineux</v>
      </c>
      <c r="BU1465" s="297">
        <f t="shared" si="437"/>
        <v>0</v>
      </c>
      <c r="BV1465" s="299">
        <f t="shared" si="438"/>
        <v>1</v>
      </c>
      <c r="BW1465" s="318">
        <v>0</v>
      </c>
      <c r="BX1465" s="297">
        <f t="shared" si="439"/>
        <v>0.43</v>
      </c>
      <c r="BY1465">
        <f t="shared" si="440"/>
        <v>0</v>
      </c>
      <c r="BZ1465" s="303">
        <f t="shared" si="441"/>
        <v>0</v>
      </c>
      <c r="CB1465" s="298">
        <v>0.6</v>
      </c>
      <c r="CC1465" s="298">
        <v>0.4</v>
      </c>
      <c r="CD1465">
        <f t="shared" si="442"/>
        <v>0</v>
      </c>
      <c r="CE1465">
        <f t="shared" si="443"/>
        <v>0</v>
      </c>
      <c r="CF1465">
        <f t="shared" si="444"/>
        <v>0</v>
      </c>
      <c r="CG1465">
        <f t="shared" si="445"/>
        <v>0</v>
      </c>
      <c r="CH1465">
        <f t="shared" si="446"/>
        <v>0</v>
      </c>
      <c r="CI1465">
        <f t="shared" si="447"/>
        <v>0</v>
      </c>
      <c r="CJ1465">
        <f t="shared" si="448"/>
        <v>0</v>
      </c>
      <c r="CK1465">
        <f t="shared" si="449"/>
        <v>0</v>
      </c>
      <c r="CL1465">
        <f t="shared" si="450"/>
        <v>0</v>
      </c>
      <c r="CM1465">
        <f t="shared" si="452"/>
        <v>0</v>
      </c>
      <c r="CN1465">
        <f t="shared" si="451"/>
        <v>0</v>
      </c>
      <c r="CO1465">
        <f t="shared" si="435"/>
        <v>0</v>
      </c>
    </row>
    <row r="1466" spans="1:93" hidden="1" x14ac:dyDescent="0.25">
      <c r="A1466" s="4">
        <v>2021</v>
      </c>
      <c r="B1466" s="315">
        <v>44320</v>
      </c>
      <c r="C1466" s="4" t="s">
        <v>1522</v>
      </c>
      <c r="D1466" s="4" t="s">
        <v>1523</v>
      </c>
      <c r="F1466" s="4" t="s">
        <v>1524</v>
      </c>
      <c r="G1466" s="5" t="s">
        <v>1512</v>
      </c>
      <c r="H1466" s="5" t="s">
        <v>1525</v>
      </c>
      <c r="I1466" s="5" t="s">
        <v>146</v>
      </c>
      <c r="J1466" s="5" t="s">
        <v>9</v>
      </c>
      <c r="K1466" s="5">
        <v>15.5</v>
      </c>
      <c r="L1466" s="5" t="s">
        <v>1526</v>
      </c>
      <c r="M1466" s="5">
        <v>1100</v>
      </c>
      <c r="N1466" s="5" t="s">
        <v>170</v>
      </c>
      <c r="O1466" s="6" t="s">
        <v>81</v>
      </c>
      <c r="P1466" s="6" t="s">
        <v>1528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+VLOOKUP(G1466,Liste!$A$7:$G$69,3,FALSE)</f>
        <v>Pin d'Alep</v>
      </c>
      <c r="BI1466" s="96" t="str">
        <f>+VLOOKUP(H1466,Liste!$B$7:$G$69,5,FALSE)</f>
        <v>Pin d'Alep</v>
      </c>
      <c r="BJ1466" s="135">
        <f t="shared" si="434"/>
        <v>92</v>
      </c>
      <c r="BK1466" s="135" t="str">
        <f t="shared" si="436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97" t="str">
        <f>+VLOOKUP(G1466,Liste!$A$7:$H$69,8,FALSE)</f>
        <v>Résineux</v>
      </c>
      <c r="BU1466" s="297">
        <f t="shared" si="437"/>
        <v>0</v>
      </c>
      <c r="BV1466" s="299">
        <f t="shared" si="438"/>
        <v>1</v>
      </c>
      <c r="BW1466" s="318">
        <v>0</v>
      </c>
      <c r="BX1466" s="297">
        <f t="shared" si="439"/>
        <v>0.43</v>
      </c>
      <c r="BY1466">
        <f t="shared" si="440"/>
        <v>0</v>
      </c>
      <c r="BZ1466" s="303">
        <f t="shared" si="441"/>
        <v>0</v>
      </c>
      <c r="CB1466" s="298">
        <v>0.6</v>
      </c>
      <c r="CC1466" s="298">
        <v>0.4</v>
      </c>
      <c r="CD1466">
        <f t="shared" si="442"/>
        <v>0</v>
      </c>
      <c r="CE1466">
        <f t="shared" si="443"/>
        <v>0</v>
      </c>
      <c r="CF1466">
        <f t="shared" si="444"/>
        <v>0</v>
      </c>
      <c r="CG1466">
        <f t="shared" si="445"/>
        <v>0</v>
      </c>
      <c r="CH1466">
        <f t="shared" si="446"/>
        <v>0</v>
      </c>
      <c r="CI1466">
        <f t="shared" si="447"/>
        <v>0</v>
      </c>
      <c r="CJ1466">
        <f t="shared" si="448"/>
        <v>0</v>
      </c>
      <c r="CK1466">
        <f t="shared" si="449"/>
        <v>0</v>
      </c>
      <c r="CL1466">
        <f t="shared" si="450"/>
        <v>0</v>
      </c>
      <c r="CM1466">
        <f t="shared" si="452"/>
        <v>0</v>
      </c>
      <c r="CN1466">
        <f t="shared" si="451"/>
        <v>0</v>
      </c>
      <c r="CO1466">
        <f t="shared" si="435"/>
        <v>0</v>
      </c>
    </row>
    <row r="1467" spans="1:93" hidden="1" x14ac:dyDescent="0.25">
      <c r="A1467" s="4">
        <v>2021</v>
      </c>
      <c r="B1467" s="315">
        <v>44320</v>
      </c>
      <c r="C1467" s="4" t="s">
        <v>1522</v>
      </c>
      <c r="D1467" s="4" t="s">
        <v>1523</v>
      </c>
      <c r="F1467" s="4" t="s">
        <v>1524</v>
      </c>
      <c r="G1467" s="5" t="s">
        <v>1512</v>
      </c>
      <c r="H1467" s="5" t="s">
        <v>1525</v>
      </c>
      <c r="I1467" s="5" t="s">
        <v>146</v>
      </c>
      <c r="J1467" s="5" t="s">
        <v>9</v>
      </c>
      <c r="K1467" s="5">
        <v>15.5</v>
      </c>
      <c r="L1467" s="5" t="s">
        <v>1526</v>
      </c>
      <c r="M1467" s="5">
        <v>1100</v>
      </c>
      <c r="N1467" s="5" t="s">
        <v>170</v>
      </c>
      <c r="O1467" s="6" t="s">
        <v>81</v>
      </c>
      <c r="P1467" s="6" t="s">
        <v>1528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+VLOOKUP(G1467,Liste!$A$7:$G$69,3,FALSE)</f>
        <v>Pin d'Alep</v>
      </c>
      <c r="BI1467" s="96" t="str">
        <f>+VLOOKUP(H1467,Liste!$B$7:$G$69,5,FALSE)</f>
        <v>Pin d'Alep</v>
      </c>
      <c r="BJ1467" s="135">
        <f t="shared" si="434"/>
        <v>93</v>
      </c>
      <c r="BK1467" s="135" t="str">
        <f t="shared" si="436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97" t="str">
        <f>+VLOOKUP(G1467,Liste!$A$7:$H$69,8,FALSE)</f>
        <v>Résineux</v>
      </c>
      <c r="BU1467" s="297">
        <f t="shared" si="437"/>
        <v>0</v>
      </c>
      <c r="BV1467" s="299">
        <f t="shared" si="438"/>
        <v>1</v>
      </c>
      <c r="BW1467" s="318">
        <v>0</v>
      </c>
      <c r="BX1467" s="297">
        <f t="shared" si="439"/>
        <v>0.43</v>
      </c>
      <c r="BY1467">
        <f t="shared" si="440"/>
        <v>0</v>
      </c>
      <c r="BZ1467" s="303">
        <f t="shared" si="441"/>
        <v>0</v>
      </c>
      <c r="CB1467" s="298">
        <v>0.6</v>
      </c>
      <c r="CC1467" s="298">
        <v>0.4</v>
      </c>
      <c r="CD1467">
        <f t="shared" si="442"/>
        <v>0</v>
      </c>
      <c r="CE1467">
        <f t="shared" si="443"/>
        <v>0</v>
      </c>
      <c r="CF1467">
        <f t="shared" si="444"/>
        <v>0</v>
      </c>
      <c r="CG1467">
        <f t="shared" si="445"/>
        <v>0</v>
      </c>
      <c r="CH1467">
        <f t="shared" si="446"/>
        <v>0</v>
      </c>
      <c r="CI1467">
        <f t="shared" si="447"/>
        <v>0</v>
      </c>
      <c r="CJ1467">
        <f t="shared" si="448"/>
        <v>0</v>
      </c>
      <c r="CK1467">
        <f t="shared" si="449"/>
        <v>0</v>
      </c>
      <c r="CL1467">
        <f t="shared" si="450"/>
        <v>0</v>
      </c>
      <c r="CM1467">
        <f t="shared" si="452"/>
        <v>0</v>
      </c>
      <c r="CN1467">
        <f t="shared" si="451"/>
        <v>0</v>
      </c>
      <c r="CO1467">
        <f t="shared" si="435"/>
        <v>0</v>
      </c>
    </row>
    <row r="1468" spans="1:93" hidden="1" x14ac:dyDescent="0.25">
      <c r="A1468" s="4">
        <v>2021</v>
      </c>
      <c r="B1468" s="315">
        <v>44320</v>
      </c>
      <c r="C1468" s="4" t="s">
        <v>1522</v>
      </c>
      <c r="D1468" s="4" t="s">
        <v>1523</v>
      </c>
      <c r="F1468" s="4" t="s">
        <v>1524</v>
      </c>
      <c r="G1468" s="5" t="s">
        <v>1512</v>
      </c>
      <c r="H1468" s="5" t="s">
        <v>1525</v>
      </c>
      <c r="I1468" s="5" t="s">
        <v>146</v>
      </c>
      <c r="J1468" s="5" t="s">
        <v>9</v>
      </c>
      <c r="K1468" s="5">
        <v>15.5</v>
      </c>
      <c r="L1468" s="5" t="s">
        <v>1526</v>
      </c>
      <c r="M1468" s="5">
        <v>1100</v>
      </c>
      <c r="N1468" s="5" t="s">
        <v>170</v>
      </c>
      <c r="O1468" s="6" t="s">
        <v>81</v>
      </c>
      <c r="P1468" s="6" t="s">
        <v>1528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+VLOOKUP(G1468,Liste!$A$7:$G$69,3,FALSE)</f>
        <v>Pin d'Alep</v>
      </c>
      <c r="BI1468" s="96" t="str">
        <f>+VLOOKUP(H1468,Liste!$B$7:$G$69,5,FALSE)</f>
        <v>Pin d'Alep</v>
      </c>
      <c r="BJ1468" s="135">
        <f t="shared" si="434"/>
        <v>94</v>
      </c>
      <c r="BK1468" s="135" t="str">
        <f t="shared" si="436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97" t="str">
        <f>+VLOOKUP(G1468,Liste!$A$7:$H$69,8,FALSE)</f>
        <v>Résineux</v>
      </c>
      <c r="BU1468" s="297">
        <f t="shared" si="437"/>
        <v>0</v>
      </c>
      <c r="BV1468" s="299">
        <f t="shared" si="438"/>
        <v>1</v>
      </c>
      <c r="BW1468" s="318">
        <v>0</v>
      </c>
      <c r="BX1468" s="297">
        <f t="shared" si="439"/>
        <v>0.43</v>
      </c>
      <c r="BY1468">
        <f t="shared" si="440"/>
        <v>0</v>
      </c>
      <c r="BZ1468" s="303">
        <f t="shared" si="441"/>
        <v>0</v>
      </c>
      <c r="CB1468" s="298">
        <v>0.6</v>
      </c>
      <c r="CC1468" s="298">
        <v>0.4</v>
      </c>
      <c r="CD1468">
        <f t="shared" si="442"/>
        <v>0</v>
      </c>
      <c r="CE1468">
        <f t="shared" si="443"/>
        <v>0</v>
      </c>
      <c r="CF1468">
        <f t="shared" si="444"/>
        <v>0</v>
      </c>
      <c r="CG1468">
        <f t="shared" si="445"/>
        <v>0</v>
      </c>
      <c r="CH1468">
        <f t="shared" si="446"/>
        <v>0</v>
      </c>
      <c r="CI1468">
        <f t="shared" si="447"/>
        <v>0</v>
      </c>
      <c r="CJ1468">
        <f t="shared" si="448"/>
        <v>0</v>
      </c>
      <c r="CK1468">
        <f t="shared" si="449"/>
        <v>0</v>
      </c>
      <c r="CL1468">
        <f t="shared" si="450"/>
        <v>0</v>
      </c>
      <c r="CM1468">
        <f t="shared" si="452"/>
        <v>0</v>
      </c>
      <c r="CN1468">
        <f t="shared" si="451"/>
        <v>0</v>
      </c>
      <c r="CO1468">
        <f t="shared" si="435"/>
        <v>0</v>
      </c>
    </row>
    <row r="1469" spans="1:93" hidden="1" x14ac:dyDescent="0.25">
      <c r="A1469" s="4">
        <v>2021</v>
      </c>
      <c r="B1469" s="315">
        <v>44320</v>
      </c>
      <c r="C1469" s="4" t="s">
        <v>1522</v>
      </c>
      <c r="D1469" s="4" t="s">
        <v>1523</v>
      </c>
      <c r="F1469" s="4" t="s">
        <v>1524</v>
      </c>
      <c r="G1469" s="5" t="s">
        <v>1512</v>
      </c>
      <c r="H1469" s="5" t="s">
        <v>1525</v>
      </c>
      <c r="I1469" s="5" t="s">
        <v>146</v>
      </c>
      <c r="J1469" s="5" t="s">
        <v>9</v>
      </c>
      <c r="K1469" s="5">
        <v>15.5</v>
      </c>
      <c r="L1469" s="5" t="s">
        <v>1526</v>
      </c>
      <c r="M1469" s="5">
        <v>1100</v>
      </c>
      <c r="N1469" s="5" t="s">
        <v>170</v>
      </c>
      <c r="O1469" s="6" t="s">
        <v>81</v>
      </c>
      <c r="P1469" s="6" t="s">
        <v>1528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+VLOOKUP(G1469,Liste!$A$7:$G$69,3,FALSE)</f>
        <v>Pin d'Alep</v>
      </c>
      <c r="BI1469" s="96" t="str">
        <f>+VLOOKUP(H1469,Liste!$B$7:$G$69,5,FALSE)</f>
        <v>Pin d'Alep</v>
      </c>
      <c r="BJ1469" s="135">
        <f t="shared" si="434"/>
        <v>94</v>
      </c>
      <c r="BK1469" s="135" t="str">
        <f t="shared" si="436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97" t="str">
        <f>+VLOOKUP(G1469,Liste!$A$7:$H$69,8,FALSE)</f>
        <v>Résineux</v>
      </c>
      <c r="BU1469" s="297">
        <f t="shared" si="437"/>
        <v>0</v>
      </c>
      <c r="BV1469" s="299">
        <f t="shared" si="438"/>
        <v>1</v>
      </c>
      <c r="BW1469" s="318">
        <v>0</v>
      </c>
      <c r="BX1469" s="297">
        <f t="shared" si="439"/>
        <v>0.43</v>
      </c>
      <c r="BY1469">
        <f t="shared" si="440"/>
        <v>0</v>
      </c>
      <c r="BZ1469" s="303">
        <f t="shared" si="441"/>
        <v>0</v>
      </c>
      <c r="CB1469" s="298">
        <v>0.6</v>
      </c>
      <c r="CC1469" s="298">
        <v>0.4</v>
      </c>
      <c r="CD1469">
        <f t="shared" si="442"/>
        <v>0</v>
      </c>
      <c r="CE1469">
        <f t="shared" si="443"/>
        <v>0</v>
      </c>
      <c r="CF1469">
        <f t="shared" si="444"/>
        <v>0</v>
      </c>
      <c r="CG1469">
        <f t="shared" si="445"/>
        <v>0</v>
      </c>
      <c r="CH1469">
        <f t="shared" si="446"/>
        <v>0</v>
      </c>
      <c r="CI1469">
        <f t="shared" si="447"/>
        <v>0</v>
      </c>
      <c r="CJ1469">
        <f t="shared" si="448"/>
        <v>0</v>
      </c>
      <c r="CK1469">
        <f t="shared" si="449"/>
        <v>0</v>
      </c>
      <c r="CL1469">
        <f t="shared" si="450"/>
        <v>0</v>
      </c>
      <c r="CM1469">
        <f t="shared" si="452"/>
        <v>0</v>
      </c>
      <c r="CN1469">
        <f t="shared" si="451"/>
        <v>0</v>
      </c>
      <c r="CO1469">
        <f t="shared" si="435"/>
        <v>0</v>
      </c>
    </row>
    <row r="1470" spans="1:93" hidden="1" x14ac:dyDescent="0.25">
      <c r="A1470" s="4">
        <v>2021</v>
      </c>
      <c r="B1470" s="315">
        <v>44361</v>
      </c>
      <c r="C1470" s="4" t="s">
        <v>66</v>
      </c>
      <c r="D1470" s="4" t="s">
        <v>1523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1527</v>
      </c>
      <c r="M1470" s="5">
        <v>1666</v>
      </c>
      <c r="N1470" s="5" t="s">
        <v>170</v>
      </c>
      <c r="O1470" s="6" t="s">
        <v>81</v>
      </c>
      <c r="P1470" s="6" t="s">
        <v>1503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+VLOOKUP(G1470,Liste!$A$7:$G$69,3,FALSE)</f>
        <v>Chêne sessile</v>
      </c>
      <c r="BI1470" s="96" t="str">
        <f>+VLOOKUP(H1470,Liste!$B$7:$G$69,5,FALSE)</f>
        <v>Guide chênaie atlantique</v>
      </c>
      <c r="BJ1470" s="135">
        <f t="shared" si="434"/>
        <v>30</v>
      </c>
      <c r="BK1470" s="135" t="str">
        <f t="shared" si="436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97" t="str">
        <f>+VLOOKUP(G1470,Liste!$A$7:$H$69,8,FALSE)</f>
        <v>Feuillus</v>
      </c>
      <c r="BU1470" s="297">
        <f t="shared" si="437"/>
        <v>1</v>
      </c>
      <c r="BV1470" s="299">
        <f t="shared" si="438"/>
        <v>0</v>
      </c>
      <c r="BW1470" s="318">
        <v>0</v>
      </c>
      <c r="BX1470" s="297">
        <f t="shared" si="439"/>
        <v>0.25</v>
      </c>
      <c r="BY1470">
        <f t="shared" si="440"/>
        <v>0</v>
      </c>
      <c r="BZ1470" s="303">
        <f t="shared" si="441"/>
        <v>0</v>
      </c>
      <c r="CB1470" s="298">
        <v>0.6</v>
      </c>
      <c r="CC1470" s="298">
        <v>0.4</v>
      </c>
      <c r="CD1470">
        <f t="shared" si="442"/>
        <v>0</v>
      </c>
      <c r="CE1470">
        <f t="shared" si="443"/>
        <v>0</v>
      </c>
      <c r="CF1470">
        <f t="shared" si="444"/>
        <v>0</v>
      </c>
      <c r="CG1470">
        <f t="shared" si="445"/>
        <v>0</v>
      </c>
      <c r="CH1470">
        <f t="shared" si="446"/>
        <v>0</v>
      </c>
      <c r="CI1470">
        <f t="shared" si="447"/>
        <v>0</v>
      </c>
      <c r="CJ1470">
        <f t="shared" si="448"/>
        <v>0</v>
      </c>
      <c r="CK1470">
        <f t="shared" si="449"/>
        <v>0</v>
      </c>
      <c r="CL1470">
        <f t="shared" si="450"/>
        <v>0</v>
      </c>
      <c r="CM1470">
        <f t="shared" si="452"/>
        <v>0</v>
      </c>
      <c r="CN1470">
        <f t="shared" si="451"/>
        <v>0</v>
      </c>
      <c r="CO1470">
        <f t="shared" si="435"/>
        <v>0</v>
      </c>
    </row>
    <row r="1471" spans="1:93" hidden="1" x14ac:dyDescent="0.25">
      <c r="A1471" s="4">
        <v>2021</v>
      </c>
      <c r="B1471" s="315">
        <v>44361</v>
      </c>
      <c r="C1471" s="4" t="s">
        <v>66</v>
      </c>
      <c r="D1471" s="4" t="s">
        <v>1523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1527</v>
      </c>
      <c r="M1471" s="5">
        <v>1666</v>
      </c>
      <c r="N1471" s="5" t="s">
        <v>170</v>
      </c>
      <c r="O1471" s="6" t="s">
        <v>81</v>
      </c>
      <c r="P1471" s="6" t="s">
        <v>1503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+VLOOKUP(G1471,Liste!$A$7:$G$69,3,FALSE)</f>
        <v>Chêne sessile</v>
      </c>
      <c r="BI1471" s="96" t="str">
        <f>+VLOOKUP(H1471,Liste!$B$7:$G$69,5,FALSE)</f>
        <v>Guide chênaie atlantique</v>
      </c>
      <c r="BJ1471" s="135">
        <f t="shared" si="434"/>
        <v>34</v>
      </c>
      <c r="BK1471" s="135" t="str">
        <f t="shared" si="436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97" t="str">
        <f>+VLOOKUP(G1471,Liste!$A$7:$H$69,8,FALSE)</f>
        <v>Feuillus</v>
      </c>
      <c r="BU1471" s="297">
        <f t="shared" si="437"/>
        <v>1</v>
      </c>
      <c r="BV1471" s="299">
        <f t="shared" si="438"/>
        <v>0</v>
      </c>
      <c r="BW1471" s="318">
        <v>0</v>
      </c>
      <c r="BX1471" s="297">
        <f t="shared" si="439"/>
        <v>0.25</v>
      </c>
      <c r="BY1471">
        <f t="shared" si="440"/>
        <v>0</v>
      </c>
      <c r="BZ1471" s="303">
        <f t="shared" si="441"/>
        <v>0</v>
      </c>
      <c r="CB1471" s="298">
        <v>0.6</v>
      </c>
      <c r="CC1471" s="298">
        <v>0.4</v>
      </c>
      <c r="CD1471">
        <f t="shared" si="442"/>
        <v>0</v>
      </c>
      <c r="CE1471">
        <f t="shared" si="443"/>
        <v>0</v>
      </c>
      <c r="CF1471">
        <f t="shared" si="444"/>
        <v>0</v>
      </c>
      <c r="CG1471">
        <f t="shared" si="445"/>
        <v>0</v>
      </c>
      <c r="CH1471">
        <f t="shared" si="446"/>
        <v>0</v>
      </c>
      <c r="CI1471">
        <f t="shared" si="447"/>
        <v>0</v>
      </c>
      <c r="CJ1471">
        <f t="shared" si="448"/>
        <v>0</v>
      </c>
      <c r="CK1471">
        <f t="shared" si="449"/>
        <v>0</v>
      </c>
      <c r="CL1471">
        <f t="shared" si="450"/>
        <v>0</v>
      </c>
      <c r="CM1471">
        <f t="shared" si="452"/>
        <v>0</v>
      </c>
      <c r="CN1471">
        <f t="shared" si="451"/>
        <v>0</v>
      </c>
      <c r="CO1471">
        <f t="shared" si="435"/>
        <v>0</v>
      </c>
    </row>
    <row r="1472" spans="1:93" hidden="1" x14ac:dyDescent="0.25">
      <c r="A1472" s="4">
        <v>2021</v>
      </c>
      <c r="B1472" s="315">
        <v>44361</v>
      </c>
      <c r="C1472" s="4" t="s">
        <v>66</v>
      </c>
      <c r="D1472" s="4" t="s">
        <v>1523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1527</v>
      </c>
      <c r="M1472" s="5">
        <v>1666</v>
      </c>
      <c r="N1472" s="5" t="s">
        <v>170</v>
      </c>
      <c r="O1472" s="6" t="s">
        <v>81</v>
      </c>
      <c r="P1472" s="6" t="s">
        <v>1503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+VLOOKUP(G1472,Liste!$A$7:$G$69,3,FALSE)</f>
        <v>Chêne sessile</v>
      </c>
      <c r="BI1472" s="96" t="str">
        <f>+VLOOKUP(H1472,Liste!$B$7:$G$69,5,FALSE)</f>
        <v>Guide chênaie atlantique</v>
      </c>
      <c r="BJ1472" s="135">
        <f t="shared" si="434"/>
        <v>34</v>
      </c>
      <c r="BK1472" s="135" t="str">
        <f t="shared" si="436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97" t="str">
        <f>+VLOOKUP(G1472,Liste!$A$7:$H$69,8,FALSE)</f>
        <v>Feuillus</v>
      </c>
      <c r="BU1472" s="297">
        <f t="shared" si="437"/>
        <v>1</v>
      </c>
      <c r="BV1472" s="299">
        <f t="shared" si="438"/>
        <v>0</v>
      </c>
      <c r="BW1472" s="318">
        <v>0</v>
      </c>
      <c r="BX1472" s="297">
        <f t="shared" si="439"/>
        <v>0.25</v>
      </c>
      <c r="BY1472">
        <f t="shared" si="440"/>
        <v>0</v>
      </c>
      <c r="BZ1472" s="303">
        <f t="shared" si="441"/>
        <v>0</v>
      </c>
      <c r="CB1472" s="298">
        <v>0.6</v>
      </c>
      <c r="CC1472" s="298">
        <v>0.4</v>
      </c>
      <c r="CD1472">
        <f t="shared" si="442"/>
        <v>0</v>
      </c>
      <c r="CE1472">
        <f t="shared" si="443"/>
        <v>0</v>
      </c>
      <c r="CF1472">
        <f t="shared" si="444"/>
        <v>0</v>
      </c>
      <c r="CG1472">
        <f t="shared" si="445"/>
        <v>0</v>
      </c>
      <c r="CH1472">
        <f t="shared" si="446"/>
        <v>0</v>
      </c>
      <c r="CI1472">
        <f t="shared" si="447"/>
        <v>0</v>
      </c>
      <c r="CJ1472">
        <f t="shared" si="448"/>
        <v>0</v>
      </c>
      <c r="CK1472">
        <f t="shared" si="449"/>
        <v>0</v>
      </c>
      <c r="CL1472">
        <f t="shared" si="450"/>
        <v>0</v>
      </c>
      <c r="CM1472">
        <f t="shared" si="452"/>
        <v>0</v>
      </c>
      <c r="CN1472">
        <f t="shared" si="451"/>
        <v>0</v>
      </c>
      <c r="CO1472">
        <f t="shared" si="435"/>
        <v>0</v>
      </c>
    </row>
    <row r="1473" spans="1:93" hidden="1" x14ac:dyDescent="0.25">
      <c r="A1473" s="4">
        <v>2021</v>
      </c>
      <c r="B1473" s="315">
        <v>44361</v>
      </c>
      <c r="C1473" s="4" t="s">
        <v>66</v>
      </c>
      <c r="D1473" s="4" t="s">
        <v>1523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1527</v>
      </c>
      <c r="M1473" s="5">
        <v>1666</v>
      </c>
      <c r="N1473" s="5" t="s">
        <v>170</v>
      </c>
      <c r="O1473" s="6" t="s">
        <v>81</v>
      </c>
      <c r="P1473" s="6" t="s">
        <v>1503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+VLOOKUP(G1473,Liste!$A$7:$G$69,3,FALSE)</f>
        <v>Chêne sessile</v>
      </c>
      <c r="BI1473" s="96" t="str">
        <f>+VLOOKUP(H1473,Liste!$B$7:$G$69,5,FALSE)</f>
        <v>Guide chênaie atlantique</v>
      </c>
      <c r="BJ1473" s="135">
        <f t="shared" si="434"/>
        <v>37</v>
      </c>
      <c r="BK1473" s="135" t="str">
        <f t="shared" si="436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97" t="str">
        <f>+VLOOKUP(G1473,Liste!$A$7:$H$69,8,FALSE)</f>
        <v>Feuillus</v>
      </c>
      <c r="BU1473" s="297">
        <f t="shared" si="437"/>
        <v>1</v>
      </c>
      <c r="BV1473" s="299">
        <f t="shared" si="438"/>
        <v>0</v>
      </c>
      <c r="BW1473" s="318">
        <v>0</v>
      </c>
      <c r="BX1473" s="297">
        <f t="shared" si="439"/>
        <v>0.25</v>
      </c>
      <c r="BY1473">
        <f t="shared" si="440"/>
        <v>0</v>
      </c>
      <c r="BZ1473" s="303">
        <f t="shared" si="441"/>
        <v>0</v>
      </c>
      <c r="CB1473" s="298">
        <v>0.6</v>
      </c>
      <c r="CC1473" s="298">
        <v>0.4</v>
      </c>
      <c r="CD1473">
        <f t="shared" si="442"/>
        <v>0</v>
      </c>
      <c r="CE1473">
        <f t="shared" si="443"/>
        <v>0</v>
      </c>
      <c r="CF1473">
        <f t="shared" si="444"/>
        <v>0</v>
      </c>
      <c r="CG1473">
        <f t="shared" si="445"/>
        <v>0</v>
      </c>
      <c r="CH1473">
        <f t="shared" si="446"/>
        <v>0</v>
      </c>
      <c r="CI1473">
        <f t="shared" si="447"/>
        <v>0</v>
      </c>
      <c r="CJ1473">
        <f t="shared" si="448"/>
        <v>0</v>
      </c>
      <c r="CK1473">
        <f t="shared" si="449"/>
        <v>0</v>
      </c>
      <c r="CL1473">
        <f t="shared" si="450"/>
        <v>0</v>
      </c>
      <c r="CM1473">
        <f t="shared" si="452"/>
        <v>0</v>
      </c>
      <c r="CN1473">
        <f t="shared" si="451"/>
        <v>0</v>
      </c>
      <c r="CO1473">
        <f t="shared" si="435"/>
        <v>0</v>
      </c>
    </row>
    <row r="1474" spans="1:93" hidden="1" x14ac:dyDescent="0.25">
      <c r="A1474" s="4">
        <v>2021</v>
      </c>
      <c r="B1474" s="315">
        <v>44361</v>
      </c>
      <c r="C1474" s="4" t="s">
        <v>66</v>
      </c>
      <c r="D1474" s="4" t="s">
        <v>1523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1527</v>
      </c>
      <c r="M1474" s="5">
        <v>1666</v>
      </c>
      <c r="N1474" s="5" t="s">
        <v>170</v>
      </c>
      <c r="O1474" s="6" t="s">
        <v>81</v>
      </c>
      <c r="P1474" s="6" t="s">
        <v>1503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+VLOOKUP(G1474,Liste!$A$7:$G$69,3,FALSE)</f>
        <v>Chêne sessile</v>
      </c>
      <c r="BI1474" s="96" t="str">
        <f>+VLOOKUP(H1474,Liste!$B$7:$G$69,5,FALSE)</f>
        <v>Guide chênaie atlantique</v>
      </c>
      <c r="BJ1474" s="135">
        <f t="shared" si="434"/>
        <v>40</v>
      </c>
      <c r="BK1474" s="135" t="str">
        <f t="shared" si="436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97" t="str">
        <f>+VLOOKUP(G1474,Liste!$A$7:$H$69,8,FALSE)</f>
        <v>Feuillus</v>
      </c>
      <c r="BU1474" s="297">
        <f t="shared" si="437"/>
        <v>1</v>
      </c>
      <c r="BV1474" s="299">
        <f t="shared" si="438"/>
        <v>0</v>
      </c>
      <c r="BW1474" s="318">
        <v>0</v>
      </c>
      <c r="BX1474" s="297">
        <f t="shared" si="439"/>
        <v>0.25</v>
      </c>
      <c r="BY1474">
        <f t="shared" si="440"/>
        <v>0</v>
      </c>
      <c r="BZ1474" s="303">
        <f t="shared" si="441"/>
        <v>0</v>
      </c>
      <c r="CB1474" s="298">
        <v>0.6</v>
      </c>
      <c r="CC1474" s="298">
        <v>0.4</v>
      </c>
      <c r="CD1474">
        <f t="shared" si="442"/>
        <v>0</v>
      </c>
      <c r="CE1474">
        <f t="shared" si="443"/>
        <v>0</v>
      </c>
      <c r="CF1474">
        <f t="shared" si="444"/>
        <v>0</v>
      </c>
      <c r="CG1474">
        <f t="shared" si="445"/>
        <v>0</v>
      </c>
      <c r="CH1474">
        <f t="shared" si="446"/>
        <v>0</v>
      </c>
      <c r="CI1474">
        <f t="shared" si="447"/>
        <v>0</v>
      </c>
      <c r="CJ1474">
        <f t="shared" si="448"/>
        <v>0</v>
      </c>
      <c r="CK1474">
        <f t="shared" si="449"/>
        <v>0</v>
      </c>
      <c r="CL1474">
        <f t="shared" si="450"/>
        <v>0</v>
      </c>
      <c r="CM1474">
        <f t="shared" si="452"/>
        <v>0</v>
      </c>
      <c r="CN1474">
        <f t="shared" si="451"/>
        <v>0</v>
      </c>
      <c r="CO1474">
        <f t="shared" si="435"/>
        <v>0</v>
      </c>
    </row>
    <row r="1475" spans="1:93" hidden="1" x14ac:dyDescent="0.25">
      <c r="A1475" s="4">
        <v>2021</v>
      </c>
      <c r="B1475" s="315">
        <v>44361</v>
      </c>
      <c r="C1475" s="4" t="s">
        <v>66</v>
      </c>
      <c r="D1475" s="4" t="s">
        <v>1523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1527</v>
      </c>
      <c r="M1475" s="5">
        <v>1666</v>
      </c>
      <c r="N1475" s="5" t="s">
        <v>170</v>
      </c>
      <c r="O1475" s="6" t="s">
        <v>81</v>
      </c>
      <c r="P1475" s="6" t="s">
        <v>1503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+VLOOKUP(G1475,Liste!$A$7:$G$69,3,FALSE)</f>
        <v>Chêne sessile</v>
      </c>
      <c r="BI1475" s="96" t="str">
        <f>+VLOOKUP(H1475,Liste!$B$7:$G$69,5,FALSE)</f>
        <v>Guide chênaie atlantique</v>
      </c>
      <c r="BJ1475" s="135">
        <f t="shared" ref="BJ1475:BJ1538" si="453">+AC1475</f>
        <v>42</v>
      </c>
      <c r="BK1475" s="135" t="str">
        <f t="shared" si="436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97" t="str">
        <f>+VLOOKUP(G1475,Liste!$A$7:$H$69,8,FALSE)</f>
        <v>Feuillus</v>
      </c>
      <c r="BU1475" s="297">
        <f t="shared" si="437"/>
        <v>1</v>
      </c>
      <c r="BV1475" s="299">
        <f t="shared" si="438"/>
        <v>0</v>
      </c>
      <c r="BW1475" s="318">
        <v>0</v>
      </c>
      <c r="BX1475" s="297">
        <f t="shared" si="439"/>
        <v>0.25</v>
      </c>
      <c r="BY1475">
        <f t="shared" si="440"/>
        <v>0</v>
      </c>
      <c r="BZ1475" s="303">
        <f t="shared" si="441"/>
        <v>0</v>
      </c>
      <c r="CB1475" s="298">
        <v>0.6</v>
      </c>
      <c r="CC1475" s="298">
        <v>0.4</v>
      </c>
      <c r="CD1475">
        <f t="shared" si="442"/>
        <v>0</v>
      </c>
      <c r="CE1475">
        <f t="shared" si="443"/>
        <v>0</v>
      </c>
      <c r="CF1475">
        <f t="shared" si="444"/>
        <v>0</v>
      </c>
      <c r="CG1475">
        <f t="shared" si="445"/>
        <v>0</v>
      </c>
      <c r="CH1475">
        <f t="shared" si="446"/>
        <v>0</v>
      </c>
      <c r="CI1475">
        <f t="shared" si="447"/>
        <v>0</v>
      </c>
      <c r="CJ1475">
        <f t="shared" si="448"/>
        <v>0</v>
      </c>
      <c r="CK1475">
        <f t="shared" si="449"/>
        <v>0</v>
      </c>
      <c r="CL1475">
        <f t="shared" si="450"/>
        <v>0</v>
      </c>
      <c r="CM1475">
        <f t="shared" si="452"/>
        <v>0</v>
      </c>
      <c r="CN1475">
        <f t="shared" si="451"/>
        <v>0</v>
      </c>
      <c r="CO1475">
        <f t="shared" ref="CO1475:CO1538" si="454">+IF(BJ1475=30,CN1475/30,0)</f>
        <v>0</v>
      </c>
    </row>
    <row r="1476" spans="1:93" hidden="1" x14ac:dyDescent="0.25">
      <c r="A1476" s="4">
        <v>2021</v>
      </c>
      <c r="B1476" s="315">
        <v>44361</v>
      </c>
      <c r="C1476" s="4" t="s">
        <v>66</v>
      </c>
      <c r="D1476" s="4" t="s">
        <v>1523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1527</v>
      </c>
      <c r="M1476" s="5">
        <v>1666</v>
      </c>
      <c r="N1476" s="5" t="s">
        <v>170</v>
      </c>
      <c r="O1476" s="6" t="s">
        <v>81</v>
      </c>
      <c r="P1476" s="6" t="s">
        <v>1503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+VLOOKUP(G1476,Liste!$A$7:$G$69,3,FALSE)</f>
        <v>Chêne sessile</v>
      </c>
      <c r="BI1476" s="96" t="str">
        <f>+VLOOKUP(H1476,Liste!$B$7:$G$69,5,FALSE)</f>
        <v>Guide chênaie atlantique</v>
      </c>
      <c r="BJ1476" s="135">
        <f t="shared" si="453"/>
        <v>42</v>
      </c>
      <c r="BK1476" s="135" t="str">
        <f t="shared" ref="BK1476:BK1539" si="455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97" t="str">
        <f>+VLOOKUP(G1476,Liste!$A$7:$H$69,8,FALSE)</f>
        <v>Feuillus</v>
      </c>
      <c r="BU1476" s="297">
        <f t="shared" ref="BU1476:BU1539" si="456">IF(BT1476="Résineux",0%,100%)</f>
        <v>1</v>
      </c>
      <c r="BV1476" s="299">
        <f t="shared" ref="BV1476:BV1539" si="457">+IF(BT1476="Résineux",100%,0%)</f>
        <v>0</v>
      </c>
      <c r="BW1476" s="318">
        <v>0</v>
      </c>
      <c r="BX1476" s="297">
        <f t="shared" ref="BX1476:BX1539" si="458">+IF(BV1476&lt;&gt;0,0.43,0.25)</f>
        <v>0.25</v>
      </c>
      <c r="BY1476">
        <f t="shared" ref="BY1476:BY1539" si="459">+IF(BJ1476&lt;=30,AV1476*BX1476,0)</f>
        <v>0</v>
      </c>
      <c r="BZ1476" s="303">
        <f t="shared" ref="BZ1476:BZ1539" si="460">+IF(BJ1476&gt;=31,0,BY1476+BZ1475)</f>
        <v>0</v>
      </c>
      <c r="CB1476" s="298">
        <v>0.6</v>
      </c>
      <c r="CC1476" s="298">
        <v>0.4</v>
      </c>
      <c r="CD1476">
        <f t="shared" ref="CD1476:CD1539" si="461">+IF(BJ1476&lt;=31,AV1476*CA1476*0.5,0)</f>
        <v>0</v>
      </c>
      <c r="CE1476">
        <f t="shared" ref="CE1476:CE1539" si="462">IF(BJ1476&lt;=31,AV1476*CB1476,0)</f>
        <v>0</v>
      </c>
      <c r="CF1476">
        <f t="shared" ref="CF1476:CF1539" si="463">IF(BJ1476&lt;=31,AV1476*CC1476,0)</f>
        <v>0</v>
      </c>
      <c r="CG1476">
        <f t="shared" ref="CG1476:CG1539" si="464">CD1476*44/12*0.475*BF1476</f>
        <v>0</v>
      </c>
      <c r="CH1476">
        <f t="shared" ref="CH1476:CH1539" si="465">CE1476*44/12*0.475*BF1476</f>
        <v>0</v>
      </c>
      <c r="CI1476">
        <f t="shared" ref="CI1476:CI1539" si="466">CF1476*44/12*0.475*BF1476</f>
        <v>0</v>
      </c>
      <c r="CJ1476">
        <f t="shared" ref="CJ1476:CJ1539" si="467">+IF(BJ1476&lt;=31,CJ1475*EXP(-$CJ$1)+CG1475*(1-EXP(-$CJ$1))/$CJ$1,0)</f>
        <v>0</v>
      </c>
      <c r="CK1476">
        <f t="shared" ref="CK1476:CK1539" si="468">+IF(BJ1476&lt;=31,CK1475*EXP(-$CK$1)+CH1475*(1-EXP(-$CK$1))/$CK$1,0)</f>
        <v>0</v>
      </c>
      <c r="CL1476">
        <f t="shared" ref="CL1476:CL1539" si="469">+IF(BJ1476&lt;=31,CL1475*EXP(-$CL$1)+CI1475*(1-EXP(-$CL$1))/$CL$1,0)</f>
        <v>0</v>
      </c>
      <c r="CM1476">
        <f t="shared" si="452"/>
        <v>0</v>
      </c>
      <c r="CN1476">
        <f t="shared" ref="CN1476:CN1539" si="470">+IF(BJ1476&lt;=31,CM1476+CN1475,0)</f>
        <v>0</v>
      </c>
      <c r="CO1476">
        <f t="shared" si="454"/>
        <v>0</v>
      </c>
    </row>
    <row r="1477" spans="1:93" hidden="1" x14ac:dyDescent="0.25">
      <c r="A1477" s="4">
        <v>2021</v>
      </c>
      <c r="B1477" s="315">
        <v>44361</v>
      </c>
      <c r="C1477" s="4" t="s">
        <v>66</v>
      </c>
      <c r="D1477" s="4" t="s">
        <v>1523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1527</v>
      </c>
      <c r="M1477" s="5">
        <v>1666</v>
      </c>
      <c r="N1477" s="5" t="s">
        <v>170</v>
      </c>
      <c r="O1477" s="6" t="s">
        <v>81</v>
      </c>
      <c r="P1477" s="6" t="s">
        <v>1503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+VLOOKUP(G1477,Liste!$A$7:$G$69,3,FALSE)</f>
        <v>Chêne sessile</v>
      </c>
      <c r="BI1477" s="96" t="str">
        <f>+VLOOKUP(H1477,Liste!$B$7:$G$69,5,FALSE)</f>
        <v>Guide chênaie atlantique</v>
      </c>
      <c r="BJ1477" s="135">
        <f t="shared" si="453"/>
        <v>45</v>
      </c>
      <c r="BK1477" s="135" t="str">
        <f t="shared" si="455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97" t="str">
        <f>+VLOOKUP(G1477,Liste!$A$7:$H$69,8,FALSE)</f>
        <v>Feuillus</v>
      </c>
      <c r="BU1477" s="297">
        <f t="shared" si="456"/>
        <v>1</v>
      </c>
      <c r="BV1477" s="299">
        <f t="shared" si="457"/>
        <v>0</v>
      </c>
      <c r="BW1477" s="318">
        <v>0</v>
      </c>
      <c r="BX1477" s="297">
        <f t="shared" si="458"/>
        <v>0.25</v>
      </c>
      <c r="BY1477">
        <f t="shared" si="459"/>
        <v>0</v>
      </c>
      <c r="BZ1477" s="303">
        <f t="shared" si="460"/>
        <v>0</v>
      </c>
      <c r="CB1477" s="298">
        <v>0.6</v>
      </c>
      <c r="CC1477" s="298">
        <v>0.4</v>
      </c>
      <c r="CD1477">
        <f t="shared" si="461"/>
        <v>0</v>
      </c>
      <c r="CE1477">
        <f t="shared" si="462"/>
        <v>0</v>
      </c>
      <c r="CF1477">
        <f t="shared" si="463"/>
        <v>0</v>
      </c>
      <c r="CG1477">
        <f t="shared" si="464"/>
        <v>0</v>
      </c>
      <c r="CH1477">
        <f t="shared" si="465"/>
        <v>0</v>
      </c>
      <c r="CI1477">
        <f t="shared" si="466"/>
        <v>0</v>
      </c>
      <c r="CJ1477">
        <f t="shared" si="467"/>
        <v>0</v>
      </c>
      <c r="CK1477">
        <f t="shared" si="468"/>
        <v>0</v>
      </c>
      <c r="CL1477">
        <f t="shared" si="469"/>
        <v>0</v>
      </c>
      <c r="CM1477">
        <f t="shared" ref="CM1477:CM1540" si="471">+CJ1477+CK1477+CL1477</f>
        <v>0</v>
      </c>
      <c r="CN1477">
        <f t="shared" si="470"/>
        <v>0</v>
      </c>
      <c r="CO1477">
        <f t="shared" si="454"/>
        <v>0</v>
      </c>
    </row>
    <row r="1478" spans="1:93" hidden="1" x14ac:dyDescent="0.25">
      <c r="A1478" s="4">
        <v>2021</v>
      </c>
      <c r="B1478" s="315">
        <v>44361</v>
      </c>
      <c r="C1478" s="4" t="s">
        <v>66</v>
      </c>
      <c r="D1478" s="4" t="s">
        <v>1523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1527</v>
      </c>
      <c r="M1478" s="5">
        <v>1666</v>
      </c>
      <c r="N1478" s="5" t="s">
        <v>170</v>
      </c>
      <c r="O1478" s="6" t="s">
        <v>81</v>
      </c>
      <c r="P1478" s="6" t="s">
        <v>1503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+VLOOKUP(G1478,Liste!$A$7:$G$69,3,FALSE)</f>
        <v>Chêne sessile</v>
      </c>
      <c r="BI1478" s="96" t="str">
        <f>+VLOOKUP(H1478,Liste!$B$7:$G$69,5,FALSE)</f>
        <v>Guide chênaie atlantique</v>
      </c>
      <c r="BJ1478" s="135">
        <f t="shared" si="453"/>
        <v>48</v>
      </c>
      <c r="BK1478" s="135" t="str">
        <f t="shared" si="455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97" t="str">
        <f>+VLOOKUP(G1478,Liste!$A$7:$H$69,8,FALSE)</f>
        <v>Feuillus</v>
      </c>
      <c r="BU1478" s="297">
        <f t="shared" si="456"/>
        <v>1</v>
      </c>
      <c r="BV1478" s="299">
        <f t="shared" si="457"/>
        <v>0</v>
      </c>
      <c r="BW1478" s="318">
        <v>0</v>
      </c>
      <c r="BX1478" s="297">
        <f t="shared" si="458"/>
        <v>0.25</v>
      </c>
      <c r="BY1478">
        <f t="shared" si="459"/>
        <v>0</v>
      </c>
      <c r="BZ1478" s="303">
        <f t="shared" si="460"/>
        <v>0</v>
      </c>
      <c r="CB1478" s="298">
        <v>0.6</v>
      </c>
      <c r="CC1478" s="298">
        <v>0.4</v>
      </c>
      <c r="CD1478">
        <f t="shared" si="461"/>
        <v>0</v>
      </c>
      <c r="CE1478">
        <f t="shared" si="462"/>
        <v>0</v>
      </c>
      <c r="CF1478">
        <f t="shared" si="463"/>
        <v>0</v>
      </c>
      <c r="CG1478">
        <f t="shared" si="464"/>
        <v>0</v>
      </c>
      <c r="CH1478">
        <f t="shared" si="465"/>
        <v>0</v>
      </c>
      <c r="CI1478">
        <f t="shared" si="466"/>
        <v>0</v>
      </c>
      <c r="CJ1478">
        <f t="shared" si="467"/>
        <v>0</v>
      </c>
      <c r="CK1478">
        <f t="shared" si="468"/>
        <v>0</v>
      </c>
      <c r="CL1478">
        <f t="shared" si="469"/>
        <v>0</v>
      </c>
      <c r="CM1478">
        <f t="shared" si="471"/>
        <v>0</v>
      </c>
      <c r="CN1478">
        <f t="shared" si="470"/>
        <v>0</v>
      </c>
      <c r="CO1478">
        <f t="shared" si="454"/>
        <v>0</v>
      </c>
    </row>
    <row r="1479" spans="1:93" hidden="1" x14ac:dyDescent="0.25">
      <c r="A1479" s="4">
        <v>2021</v>
      </c>
      <c r="B1479" s="315">
        <v>44361</v>
      </c>
      <c r="C1479" s="4" t="s">
        <v>66</v>
      </c>
      <c r="D1479" s="4" t="s">
        <v>1523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1527</v>
      </c>
      <c r="M1479" s="5">
        <v>1666</v>
      </c>
      <c r="N1479" s="5" t="s">
        <v>170</v>
      </c>
      <c r="O1479" s="6" t="s">
        <v>81</v>
      </c>
      <c r="P1479" s="6" t="s">
        <v>1503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+VLOOKUP(G1479,Liste!$A$7:$G$69,3,FALSE)</f>
        <v>Chêne sessile</v>
      </c>
      <c r="BI1479" s="96" t="str">
        <f>+VLOOKUP(H1479,Liste!$B$7:$G$69,5,FALSE)</f>
        <v>Guide chênaie atlantique</v>
      </c>
      <c r="BJ1479" s="135">
        <f t="shared" si="453"/>
        <v>50</v>
      </c>
      <c r="BK1479" s="135" t="str">
        <f t="shared" si="455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97" t="str">
        <f>+VLOOKUP(G1479,Liste!$A$7:$H$69,8,FALSE)</f>
        <v>Feuillus</v>
      </c>
      <c r="BU1479" s="297">
        <f t="shared" si="456"/>
        <v>1</v>
      </c>
      <c r="BV1479" s="299">
        <f t="shared" si="457"/>
        <v>0</v>
      </c>
      <c r="BW1479" s="318">
        <v>0</v>
      </c>
      <c r="BX1479" s="297">
        <f t="shared" si="458"/>
        <v>0.25</v>
      </c>
      <c r="BY1479">
        <f t="shared" si="459"/>
        <v>0</v>
      </c>
      <c r="BZ1479" s="303">
        <f t="shared" si="460"/>
        <v>0</v>
      </c>
      <c r="CB1479" s="298">
        <v>0.6</v>
      </c>
      <c r="CC1479" s="298">
        <v>0.4</v>
      </c>
      <c r="CD1479">
        <f t="shared" si="461"/>
        <v>0</v>
      </c>
      <c r="CE1479">
        <f t="shared" si="462"/>
        <v>0</v>
      </c>
      <c r="CF1479">
        <f t="shared" si="463"/>
        <v>0</v>
      </c>
      <c r="CG1479">
        <f t="shared" si="464"/>
        <v>0</v>
      </c>
      <c r="CH1479">
        <f t="shared" si="465"/>
        <v>0</v>
      </c>
      <c r="CI1479">
        <f t="shared" si="466"/>
        <v>0</v>
      </c>
      <c r="CJ1479">
        <f t="shared" si="467"/>
        <v>0</v>
      </c>
      <c r="CK1479">
        <f t="shared" si="468"/>
        <v>0</v>
      </c>
      <c r="CL1479">
        <f t="shared" si="469"/>
        <v>0</v>
      </c>
      <c r="CM1479">
        <f t="shared" si="471"/>
        <v>0</v>
      </c>
      <c r="CN1479">
        <f t="shared" si="470"/>
        <v>0</v>
      </c>
      <c r="CO1479">
        <f t="shared" si="454"/>
        <v>0</v>
      </c>
    </row>
    <row r="1480" spans="1:93" hidden="1" x14ac:dyDescent="0.25">
      <c r="A1480" s="4">
        <v>2021</v>
      </c>
      <c r="B1480" s="315">
        <v>44361</v>
      </c>
      <c r="C1480" s="4" t="s">
        <v>66</v>
      </c>
      <c r="D1480" s="4" t="s">
        <v>1523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1527</v>
      </c>
      <c r="M1480" s="5">
        <v>1666</v>
      </c>
      <c r="N1480" s="5" t="s">
        <v>170</v>
      </c>
      <c r="O1480" s="6" t="s">
        <v>81</v>
      </c>
      <c r="P1480" s="6" t="s">
        <v>1503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+VLOOKUP(G1480,Liste!$A$7:$G$69,3,FALSE)</f>
        <v>Chêne sessile</v>
      </c>
      <c r="BI1480" s="96" t="str">
        <f>+VLOOKUP(H1480,Liste!$B$7:$G$69,5,FALSE)</f>
        <v>Guide chênaie atlantique</v>
      </c>
      <c r="BJ1480" s="135">
        <f t="shared" si="453"/>
        <v>50</v>
      </c>
      <c r="BK1480" s="135" t="str">
        <f t="shared" si="455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97" t="str">
        <f>+VLOOKUP(G1480,Liste!$A$7:$H$69,8,FALSE)</f>
        <v>Feuillus</v>
      </c>
      <c r="BU1480" s="297">
        <f t="shared" si="456"/>
        <v>1</v>
      </c>
      <c r="BV1480" s="299">
        <f t="shared" si="457"/>
        <v>0</v>
      </c>
      <c r="BW1480" s="318">
        <v>0</v>
      </c>
      <c r="BX1480" s="297">
        <f t="shared" si="458"/>
        <v>0.25</v>
      </c>
      <c r="BY1480">
        <f t="shared" si="459"/>
        <v>0</v>
      </c>
      <c r="BZ1480" s="303">
        <f t="shared" si="460"/>
        <v>0</v>
      </c>
      <c r="CB1480" s="298">
        <v>0.6</v>
      </c>
      <c r="CC1480" s="298">
        <v>0.4</v>
      </c>
      <c r="CD1480">
        <f t="shared" si="461"/>
        <v>0</v>
      </c>
      <c r="CE1480">
        <f t="shared" si="462"/>
        <v>0</v>
      </c>
      <c r="CF1480">
        <f t="shared" si="463"/>
        <v>0</v>
      </c>
      <c r="CG1480">
        <f t="shared" si="464"/>
        <v>0</v>
      </c>
      <c r="CH1480">
        <f t="shared" si="465"/>
        <v>0</v>
      </c>
      <c r="CI1480">
        <f t="shared" si="466"/>
        <v>0</v>
      </c>
      <c r="CJ1480">
        <f t="shared" si="467"/>
        <v>0</v>
      </c>
      <c r="CK1480">
        <f t="shared" si="468"/>
        <v>0</v>
      </c>
      <c r="CL1480">
        <f t="shared" si="469"/>
        <v>0</v>
      </c>
      <c r="CM1480">
        <f t="shared" si="471"/>
        <v>0</v>
      </c>
      <c r="CN1480">
        <f t="shared" si="470"/>
        <v>0</v>
      </c>
      <c r="CO1480">
        <f t="shared" si="454"/>
        <v>0</v>
      </c>
    </row>
    <row r="1481" spans="1:93" hidden="1" x14ac:dyDescent="0.25">
      <c r="A1481" s="4">
        <v>2021</v>
      </c>
      <c r="B1481" s="315">
        <v>44361</v>
      </c>
      <c r="C1481" s="4" t="s">
        <v>66</v>
      </c>
      <c r="D1481" s="4" t="s">
        <v>1523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1527</v>
      </c>
      <c r="M1481" s="5">
        <v>1666</v>
      </c>
      <c r="N1481" s="5" t="s">
        <v>170</v>
      </c>
      <c r="O1481" s="6" t="s">
        <v>81</v>
      </c>
      <c r="P1481" s="6" t="s">
        <v>1503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+VLOOKUP(G1481,Liste!$A$7:$G$69,3,FALSE)</f>
        <v>Chêne sessile</v>
      </c>
      <c r="BI1481" s="96" t="str">
        <f>+VLOOKUP(H1481,Liste!$B$7:$G$69,5,FALSE)</f>
        <v>Guide chênaie atlantique</v>
      </c>
      <c r="BJ1481" s="135">
        <f t="shared" si="453"/>
        <v>53</v>
      </c>
      <c r="BK1481" s="135" t="str">
        <f t="shared" si="455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97" t="str">
        <f>+VLOOKUP(G1481,Liste!$A$7:$H$69,8,FALSE)</f>
        <v>Feuillus</v>
      </c>
      <c r="BU1481" s="297">
        <f t="shared" si="456"/>
        <v>1</v>
      </c>
      <c r="BV1481" s="299">
        <f t="shared" si="457"/>
        <v>0</v>
      </c>
      <c r="BW1481" s="318">
        <v>0</v>
      </c>
      <c r="BX1481" s="297">
        <f t="shared" si="458"/>
        <v>0.25</v>
      </c>
      <c r="BY1481">
        <f t="shared" si="459"/>
        <v>0</v>
      </c>
      <c r="BZ1481" s="303">
        <f t="shared" si="460"/>
        <v>0</v>
      </c>
      <c r="CB1481" s="298">
        <v>0.6</v>
      </c>
      <c r="CC1481" s="298">
        <v>0.4</v>
      </c>
      <c r="CD1481">
        <f t="shared" si="461"/>
        <v>0</v>
      </c>
      <c r="CE1481">
        <f t="shared" si="462"/>
        <v>0</v>
      </c>
      <c r="CF1481">
        <f t="shared" si="463"/>
        <v>0</v>
      </c>
      <c r="CG1481">
        <f t="shared" si="464"/>
        <v>0</v>
      </c>
      <c r="CH1481">
        <f t="shared" si="465"/>
        <v>0</v>
      </c>
      <c r="CI1481">
        <f t="shared" si="466"/>
        <v>0</v>
      </c>
      <c r="CJ1481">
        <f t="shared" si="467"/>
        <v>0</v>
      </c>
      <c r="CK1481">
        <f t="shared" si="468"/>
        <v>0</v>
      </c>
      <c r="CL1481">
        <f t="shared" si="469"/>
        <v>0</v>
      </c>
      <c r="CM1481">
        <f t="shared" si="471"/>
        <v>0</v>
      </c>
      <c r="CN1481">
        <f t="shared" si="470"/>
        <v>0</v>
      </c>
      <c r="CO1481">
        <f t="shared" si="454"/>
        <v>0</v>
      </c>
    </row>
    <row r="1482" spans="1:93" hidden="1" x14ac:dyDescent="0.25">
      <c r="A1482" s="4">
        <v>2021</v>
      </c>
      <c r="B1482" s="315">
        <v>44361</v>
      </c>
      <c r="C1482" s="4" t="s">
        <v>66</v>
      </c>
      <c r="D1482" s="4" t="s">
        <v>1523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1527</v>
      </c>
      <c r="M1482" s="5">
        <v>1666</v>
      </c>
      <c r="N1482" s="5" t="s">
        <v>170</v>
      </c>
      <c r="O1482" s="6" t="s">
        <v>81</v>
      </c>
      <c r="P1482" s="6" t="s">
        <v>1503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+VLOOKUP(G1482,Liste!$A$7:$G$69,3,FALSE)</f>
        <v>Chêne sessile</v>
      </c>
      <c r="BI1482" s="96" t="str">
        <f>+VLOOKUP(H1482,Liste!$B$7:$G$69,5,FALSE)</f>
        <v>Guide chênaie atlantique</v>
      </c>
      <c r="BJ1482" s="135">
        <f t="shared" si="453"/>
        <v>56</v>
      </c>
      <c r="BK1482" s="135" t="str">
        <f t="shared" si="455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97" t="str">
        <f>+VLOOKUP(G1482,Liste!$A$7:$H$69,8,FALSE)</f>
        <v>Feuillus</v>
      </c>
      <c r="BU1482" s="297">
        <f t="shared" si="456"/>
        <v>1</v>
      </c>
      <c r="BV1482" s="299">
        <f t="shared" si="457"/>
        <v>0</v>
      </c>
      <c r="BW1482" s="318">
        <v>0</v>
      </c>
      <c r="BX1482" s="297">
        <f t="shared" si="458"/>
        <v>0.25</v>
      </c>
      <c r="BY1482">
        <f t="shared" si="459"/>
        <v>0</v>
      </c>
      <c r="BZ1482" s="303">
        <f t="shared" si="460"/>
        <v>0</v>
      </c>
      <c r="CB1482" s="298">
        <v>0.6</v>
      </c>
      <c r="CC1482" s="298">
        <v>0.4</v>
      </c>
      <c r="CD1482">
        <f t="shared" si="461"/>
        <v>0</v>
      </c>
      <c r="CE1482">
        <f t="shared" si="462"/>
        <v>0</v>
      </c>
      <c r="CF1482">
        <f t="shared" si="463"/>
        <v>0</v>
      </c>
      <c r="CG1482">
        <f t="shared" si="464"/>
        <v>0</v>
      </c>
      <c r="CH1482">
        <f t="shared" si="465"/>
        <v>0</v>
      </c>
      <c r="CI1482">
        <f t="shared" si="466"/>
        <v>0</v>
      </c>
      <c r="CJ1482">
        <f t="shared" si="467"/>
        <v>0</v>
      </c>
      <c r="CK1482">
        <f t="shared" si="468"/>
        <v>0</v>
      </c>
      <c r="CL1482">
        <f t="shared" si="469"/>
        <v>0</v>
      </c>
      <c r="CM1482">
        <f t="shared" si="471"/>
        <v>0</v>
      </c>
      <c r="CN1482">
        <f t="shared" si="470"/>
        <v>0</v>
      </c>
      <c r="CO1482">
        <f t="shared" si="454"/>
        <v>0</v>
      </c>
    </row>
    <row r="1483" spans="1:93" hidden="1" x14ac:dyDescent="0.25">
      <c r="A1483" s="4">
        <v>2021</v>
      </c>
      <c r="B1483" s="315">
        <v>44361</v>
      </c>
      <c r="C1483" s="4" t="s">
        <v>66</v>
      </c>
      <c r="D1483" s="4" t="s">
        <v>1523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1527</v>
      </c>
      <c r="M1483" s="5">
        <v>1666</v>
      </c>
      <c r="N1483" s="5" t="s">
        <v>170</v>
      </c>
      <c r="O1483" s="6" t="s">
        <v>81</v>
      </c>
      <c r="P1483" s="6" t="s">
        <v>1503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+VLOOKUP(G1483,Liste!$A$7:$G$69,3,FALSE)</f>
        <v>Chêne sessile</v>
      </c>
      <c r="BI1483" s="96" t="str">
        <f>+VLOOKUP(H1483,Liste!$B$7:$G$69,5,FALSE)</f>
        <v>Guide chênaie atlantique</v>
      </c>
      <c r="BJ1483" s="135">
        <f t="shared" si="453"/>
        <v>58</v>
      </c>
      <c r="BK1483" s="135" t="str">
        <f t="shared" si="455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97" t="str">
        <f>+VLOOKUP(G1483,Liste!$A$7:$H$69,8,FALSE)</f>
        <v>Feuillus</v>
      </c>
      <c r="BU1483" s="297">
        <f t="shared" si="456"/>
        <v>1</v>
      </c>
      <c r="BV1483" s="299">
        <f t="shared" si="457"/>
        <v>0</v>
      </c>
      <c r="BW1483" s="318">
        <v>0</v>
      </c>
      <c r="BX1483" s="297">
        <f t="shared" si="458"/>
        <v>0.25</v>
      </c>
      <c r="BY1483">
        <f t="shared" si="459"/>
        <v>0</v>
      </c>
      <c r="BZ1483" s="303">
        <f t="shared" si="460"/>
        <v>0</v>
      </c>
      <c r="CB1483" s="298">
        <v>0.6</v>
      </c>
      <c r="CC1483" s="298">
        <v>0.4</v>
      </c>
      <c r="CD1483">
        <f t="shared" si="461"/>
        <v>0</v>
      </c>
      <c r="CE1483">
        <f t="shared" si="462"/>
        <v>0</v>
      </c>
      <c r="CF1483">
        <f t="shared" si="463"/>
        <v>0</v>
      </c>
      <c r="CG1483">
        <f t="shared" si="464"/>
        <v>0</v>
      </c>
      <c r="CH1483">
        <f t="shared" si="465"/>
        <v>0</v>
      </c>
      <c r="CI1483">
        <f t="shared" si="466"/>
        <v>0</v>
      </c>
      <c r="CJ1483">
        <f t="shared" si="467"/>
        <v>0</v>
      </c>
      <c r="CK1483">
        <f t="shared" si="468"/>
        <v>0</v>
      </c>
      <c r="CL1483">
        <f t="shared" si="469"/>
        <v>0</v>
      </c>
      <c r="CM1483">
        <f t="shared" si="471"/>
        <v>0</v>
      </c>
      <c r="CN1483">
        <f t="shared" si="470"/>
        <v>0</v>
      </c>
      <c r="CO1483">
        <f t="shared" si="454"/>
        <v>0</v>
      </c>
    </row>
    <row r="1484" spans="1:93" hidden="1" x14ac:dyDescent="0.25">
      <c r="A1484" s="4">
        <v>2021</v>
      </c>
      <c r="B1484" s="315">
        <v>44361</v>
      </c>
      <c r="C1484" s="4" t="s">
        <v>66</v>
      </c>
      <c r="D1484" s="4" t="s">
        <v>1523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1527</v>
      </c>
      <c r="M1484" s="5">
        <v>1666</v>
      </c>
      <c r="N1484" s="5" t="s">
        <v>170</v>
      </c>
      <c r="O1484" s="6" t="s">
        <v>81</v>
      </c>
      <c r="P1484" s="6" t="s">
        <v>1503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+VLOOKUP(G1484,Liste!$A$7:$G$69,3,FALSE)</f>
        <v>Chêne sessile</v>
      </c>
      <c r="BI1484" s="96" t="str">
        <f>+VLOOKUP(H1484,Liste!$B$7:$G$69,5,FALSE)</f>
        <v>Guide chênaie atlantique</v>
      </c>
      <c r="BJ1484" s="135">
        <f t="shared" si="453"/>
        <v>58</v>
      </c>
      <c r="BK1484" s="135" t="str">
        <f t="shared" si="455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97" t="str">
        <f>+VLOOKUP(G1484,Liste!$A$7:$H$69,8,FALSE)</f>
        <v>Feuillus</v>
      </c>
      <c r="BU1484" s="297">
        <f t="shared" si="456"/>
        <v>1</v>
      </c>
      <c r="BV1484" s="299">
        <f t="shared" si="457"/>
        <v>0</v>
      </c>
      <c r="BW1484" s="318">
        <v>0</v>
      </c>
      <c r="BX1484" s="297">
        <f t="shared" si="458"/>
        <v>0.25</v>
      </c>
      <c r="BY1484">
        <f t="shared" si="459"/>
        <v>0</v>
      </c>
      <c r="BZ1484" s="303">
        <f t="shared" si="460"/>
        <v>0</v>
      </c>
      <c r="CB1484" s="298">
        <v>0.6</v>
      </c>
      <c r="CC1484" s="298">
        <v>0.4</v>
      </c>
      <c r="CD1484">
        <f t="shared" si="461"/>
        <v>0</v>
      </c>
      <c r="CE1484">
        <f t="shared" si="462"/>
        <v>0</v>
      </c>
      <c r="CF1484">
        <f t="shared" si="463"/>
        <v>0</v>
      </c>
      <c r="CG1484">
        <f t="shared" si="464"/>
        <v>0</v>
      </c>
      <c r="CH1484">
        <f t="shared" si="465"/>
        <v>0</v>
      </c>
      <c r="CI1484">
        <f t="shared" si="466"/>
        <v>0</v>
      </c>
      <c r="CJ1484">
        <f t="shared" si="467"/>
        <v>0</v>
      </c>
      <c r="CK1484">
        <f t="shared" si="468"/>
        <v>0</v>
      </c>
      <c r="CL1484">
        <f t="shared" si="469"/>
        <v>0</v>
      </c>
      <c r="CM1484">
        <f t="shared" si="471"/>
        <v>0</v>
      </c>
      <c r="CN1484">
        <f t="shared" si="470"/>
        <v>0</v>
      </c>
      <c r="CO1484">
        <f t="shared" si="454"/>
        <v>0</v>
      </c>
    </row>
    <row r="1485" spans="1:93" hidden="1" x14ac:dyDescent="0.25">
      <c r="A1485" s="4">
        <v>2021</v>
      </c>
      <c r="B1485" s="315">
        <v>44361</v>
      </c>
      <c r="C1485" s="4" t="s">
        <v>66</v>
      </c>
      <c r="D1485" s="4" t="s">
        <v>1523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1527</v>
      </c>
      <c r="M1485" s="5">
        <v>1666</v>
      </c>
      <c r="N1485" s="5" t="s">
        <v>170</v>
      </c>
      <c r="O1485" s="6" t="s">
        <v>81</v>
      </c>
      <c r="P1485" s="6" t="s">
        <v>1503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+VLOOKUP(G1485,Liste!$A$7:$G$69,3,FALSE)</f>
        <v>Chêne sessile</v>
      </c>
      <c r="BI1485" s="96" t="str">
        <f>+VLOOKUP(H1485,Liste!$B$7:$G$69,5,FALSE)</f>
        <v>Guide chênaie atlantique</v>
      </c>
      <c r="BJ1485" s="135">
        <f t="shared" si="453"/>
        <v>61</v>
      </c>
      <c r="BK1485" s="135" t="str">
        <f t="shared" si="455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97" t="str">
        <f>+VLOOKUP(G1485,Liste!$A$7:$H$69,8,FALSE)</f>
        <v>Feuillus</v>
      </c>
      <c r="BU1485" s="297">
        <f t="shared" si="456"/>
        <v>1</v>
      </c>
      <c r="BV1485" s="299">
        <f t="shared" si="457"/>
        <v>0</v>
      </c>
      <c r="BW1485" s="318">
        <v>0</v>
      </c>
      <c r="BX1485" s="297">
        <f t="shared" si="458"/>
        <v>0.25</v>
      </c>
      <c r="BY1485">
        <f t="shared" si="459"/>
        <v>0</v>
      </c>
      <c r="BZ1485" s="303">
        <f t="shared" si="460"/>
        <v>0</v>
      </c>
      <c r="CB1485" s="298">
        <v>0.6</v>
      </c>
      <c r="CC1485" s="298">
        <v>0.4</v>
      </c>
      <c r="CD1485">
        <f t="shared" si="461"/>
        <v>0</v>
      </c>
      <c r="CE1485">
        <f t="shared" si="462"/>
        <v>0</v>
      </c>
      <c r="CF1485">
        <f t="shared" si="463"/>
        <v>0</v>
      </c>
      <c r="CG1485">
        <f t="shared" si="464"/>
        <v>0</v>
      </c>
      <c r="CH1485">
        <f t="shared" si="465"/>
        <v>0</v>
      </c>
      <c r="CI1485">
        <f t="shared" si="466"/>
        <v>0</v>
      </c>
      <c r="CJ1485">
        <f t="shared" si="467"/>
        <v>0</v>
      </c>
      <c r="CK1485">
        <f t="shared" si="468"/>
        <v>0</v>
      </c>
      <c r="CL1485">
        <f t="shared" si="469"/>
        <v>0</v>
      </c>
      <c r="CM1485">
        <f t="shared" si="471"/>
        <v>0</v>
      </c>
      <c r="CN1485">
        <f t="shared" si="470"/>
        <v>0</v>
      </c>
      <c r="CO1485">
        <f t="shared" si="454"/>
        <v>0</v>
      </c>
    </row>
    <row r="1486" spans="1:93" hidden="1" x14ac:dyDescent="0.25">
      <c r="A1486" s="4">
        <v>2021</v>
      </c>
      <c r="B1486" s="315">
        <v>44361</v>
      </c>
      <c r="C1486" s="4" t="s">
        <v>66</v>
      </c>
      <c r="D1486" s="4" t="s">
        <v>1523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1527</v>
      </c>
      <c r="M1486" s="5">
        <v>1666</v>
      </c>
      <c r="N1486" s="5" t="s">
        <v>170</v>
      </c>
      <c r="O1486" s="6" t="s">
        <v>81</v>
      </c>
      <c r="P1486" s="6" t="s">
        <v>1503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+VLOOKUP(G1486,Liste!$A$7:$G$69,3,FALSE)</f>
        <v>Chêne sessile</v>
      </c>
      <c r="BI1486" s="96" t="str">
        <f>+VLOOKUP(H1486,Liste!$B$7:$G$69,5,FALSE)</f>
        <v>Guide chênaie atlantique</v>
      </c>
      <c r="BJ1486" s="135">
        <f t="shared" si="453"/>
        <v>64</v>
      </c>
      <c r="BK1486" s="135" t="str">
        <f t="shared" si="455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97" t="str">
        <f>+VLOOKUP(G1486,Liste!$A$7:$H$69,8,FALSE)</f>
        <v>Feuillus</v>
      </c>
      <c r="BU1486" s="297">
        <f t="shared" si="456"/>
        <v>1</v>
      </c>
      <c r="BV1486" s="299">
        <f t="shared" si="457"/>
        <v>0</v>
      </c>
      <c r="BW1486" s="318">
        <v>0</v>
      </c>
      <c r="BX1486" s="297">
        <f t="shared" si="458"/>
        <v>0.25</v>
      </c>
      <c r="BY1486">
        <f t="shared" si="459"/>
        <v>0</v>
      </c>
      <c r="BZ1486" s="303">
        <f t="shared" si="460"/>
        <v>0</v>
      </c>
      <c r="CB1486" s="298">
        <v>0.6</v>
      </c>
      <c r="CC1486" s="298">
        <v>0.4</v>
      </c>
      <c r="CD1486">
        <f t="shared" si="461"/>
        <v>0</v>
      </c>
      <c r="CE1486">
        <f t="shared" si="462"/>
        <v>0</v>
      </c>
      <c r="CF1486">
        <f t="shared" si="463"/>
        <v>0</v>
      </c>
      <c r="CG1486">
        <f t="shared" si="464"/>
        <v>0</v>
      </c>
      <c r="CH1486">
        <f t="shared" si="465"/>
        <v>0</v>
      </c>
      <c r="CI1486">
        <f t="shared" si="466"/>
        <v>0</v>
      </c>
      <c r="CJ1486">
        <f t="shared" si="467"/>
        <v>0</v>
      </c>
      <c r="CK1486">
        <f t="shared" si="468"/>
        <v>0</v>
      </c>
      <c r="CL1486">
        <f t="shared" si="469"/>
        <v>0</v>
      </c>
      <c r="CM1486">
        <f t="shared" si="471"/>
        <v>0</v>
      </c>
      <c r="CN1486">
        <f t="shared" si="470"/>
        <v>0</v>
      </c>
      <c r="CO1486">
        <f t="shared" si="454"/>
        <v>0</v>
      </c>
    </row>
    <row r="1487" spans="1:93" hidden="1" x14ac:dyDescent="0.25">
      <c r="A1487" s="4">
        <v>2021</v>
      </c>
      <c r="B1487" s="315">
        <v>44361</v>
      </c>
      <c r="C1487" s="4" t="s">
        <v>66</v>
      </c>
      <c r="D1487" s="4" t="s">
        <v>1523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1527</v>
      </c>
      <c r="M1487" s="5">
        <v>1666</v>
      </c>
      <c r="N1487" s="5" t="s">
        <v>170</v>
      </c>
      <c r="O1487" s="6" t="s">
        <v>81</v>
      </c>
      <c r="P1487" s="6" t="s">
        <v>1503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+VLOOKUP(G1487,Liste!$A$7:$G$69,3,FALSE)</f>
        <v>Chêne sessile</v>
      </c>
      <c r="BI1487" s="96" t="str">
        <f>+VLOOKUP(H1487,Liste!$B$7:$G$69,5,FALSE)</f>
        <v>Guide chênaie atlantique</v>
      </c>
      <c r="BJ1487" s="135">
        <f t="shared" si="453"/>
        <v>66</v>
      </c>
      <c r="BK1487" s="135" t="str">
        <f t="shared" si="455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97" t="str">
        <f>+VLOOKUP(G1487,Liste!$A$7:$H$69,8,FALSE)</f>
        <v>Feuillus</v>
      </c>
      <c r="BU1487" s="297">
        <f t="shared" si="456"/>
        <v>1</v>
      </c>
      <c r="BV1487" s="299">
        <f t="shared" si="457"/>
        <v>0</v>
      </c>
      <c r="BW1487" s="318">
        <v>0</v>
      </c>
      <c r="BX1487" s="297">
        <f t="shared" si="458"/>
        <v>0.25</v>
      </c>
      <c r="BY1487">
        <f t="shared" si="459"/>
        <v>0</v>
      </c>
      <c r="BZ1487" s="303">
        <f t="shared" si="460"/>
        <v>0</v>
      </c>
      <c r="CB1487" s="298">
        <v>0.6</v>
      </c>
      <c r="CC1487" s="298">
        <v>0.4</v>
      </c>
      <c r="CD1487">
        <f t="shared" si="461"/>
        <v>0</v>
      </c>
      <c r="CE1487">
        <f t="shared" si="462"/>
        <v>0</v>
      </c>
      <c r="CF1487">
        <f t="shared" si="463"/>
        <v>0</v>
      </c>
      <c r="CG1487">
        <f t="shared" si="464"/>
        <v>0</v>
      </c>
      <c r="CH1487">
        <f t="shared" si="465"/>
        <v>0</v>
      </c>
      <c r="CI1487">
        <f t="shared" si="466"/>
        <v>0</v>
      </c>
      <c r="CJ1487">
        <f t="shared" si="467"/>
        <v>0</v>
      </c>
      <c r="CK1487">
        <f t="shared" si="468"/>
        <v>0</v>
      </c>
      <c r="CL1487">
        <f t="shared" si="469"/>
        <v>0</v>
      </c>
      <c r="CM1487">
        <f t="shared" si="471"/>
        <v>0</v>
      </c>
      <c r="CN1487">
        <f t="shared" si="470"/>
        <v>0</v>
      </c>
      <c r="CO1487">
        <f t="shared" si="454"/>
        <v>0</v>
      </c>
    </row>
    <row r="1488" spans="1:93" hidden="1" x14ac:dyDescent="0.25">
      <c r="A1488" s="4">
        <v>2021</v>
      </c>
      <c r="B1488" s="315">
        <v>44361</v>
      </c>
      <c r="C1488" s="4" t="s">
        <v>66</v>
      </c>
      <c r="D1488" s="4" t="s">
        <v>1523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1527</v>
      </c>
      <c r="M1488" s="5">
        <v>1666</v>
      </c>
      <c r="N1488" s="5" t="s">
        <v>170</v>
      </c>
      <c r="O1488" s="6" t="s">
        <v>81</v>
      </c>
      <c r="P1488" s="6" t="s">
        <v>1503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+VLOOKUP(G1488,Liste!$A$7:$G$69,3,FALSE)</f>
        <v>Chêne sessile</v>
      </c>
      <c r="BI1488" s="96" t="str">
        <f>+VLOOKUP(H1488,Liste!$B$7:$G$69,5,FALSE)</f>
        <v>Guide chênaie atlantique</v>
      </c>
      <c r="BJ1488" s="135">
        <f t="shared" si="453"/>
        <v>66</v>
      </c>
      <c r="BK1488" s="135" t="str">
        <f t="shared" si="455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97" t="str">
        <f>+VLOOKUP(G1488,Liste!$A$7:$H$69,8,FALSE)</f>
        <v>Feuillus</v>
      </c>
      <c r="BU1488" s="297">
        <f t="shared" si="456"/>
        <v>1</v>
      </c>
      <c r="BV1488" s="299">
        <f t="shared" si="457"/>
        <v>0</v>
      </c>
      <c r="BW1488" s="318">
        <v>0</v>
      </c>
      <c r="BX1488" s="297">
        <f t="shared" si="458"/>
        <v>0.25</v>
      </c>
      <c r="BY1488">
        <f t="shared" si="459"/>
        <v>0</v>
      </c>
      <c r="BZ1488" s="303">
        <f t="shared" si="460"/>
        <v>0</v>
      </c>
      <c r="CB1488" s="298">
        <v>0.6</v>
      </c>
      <c r="CC1488" s="298">
        <v>0.4</v>
      </c>
      <c r="CD1488">
        <f t="shared" si="461"/>
        <v>0</v>
      </c>
      <c r="CE1488">
        <f t="shared" si="462"/>
        <v>0</v>
      </c>
      <c r="CF1488">
        <f t="shared" si="463"/>
        <v>0</v>
      </c>
      <c r="CG1488">
        <f t="shared" si="464"/>
        <v>0</v>
      </c>
      <c r="CH1488">
        <f t="shared" si="465"/>
        <v>0</v>
      </c>
      <c r="CI1488">
        <f t="shared" si="466"/>
        <v>0</v>
      </c>
      <c r="CJ1488">
        <f t="shared" si="467"/>
        <v>0</v>
      </c>
      <c r="CK1488">
        <f t="shared" si="468"/>
        <v>0</v>
      </c>
      <c r="CL1488">
        <f t="shared" si="469"/>
        <v>0</v>
      </c>
      <c r="CM1488">
        <f t="shared" si="471"/>
        <v>0</v>
      </c>
      <c r="CN1488">
        <f t="shared" si="470"/>
        <v>0</v>
      </c>
      <c r="CO1488">
        <f t="shared" si="454"/>
        <v>0</v>
      </c>
    </row>
    <row r="1489" spans="1:93" hidden="1" x14ac:dyDescent="0.25">
      <c r="A1489" s="4">
        <v>2021</v>
      </c>
      <c r="B1489" s="315">
        <v>44361</v>
      </c>
      <c r="C1489" s="4" t="s">
        <v>66</v>
      </c>
      <c r="D1489" s="4" t="s">
        <v>1523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1527</v>
      </c>
      <c r="M1489" s="5">
        <v>1666</v>
      </c>
      <c r="N1489" s="5" t="s">
        <v>170</v>
      </c>
      <c r="O1489" s="6" t="s">
        <v>81</v>
      </c>
      <c r="P1489" s="6" t="s">
        <v>1503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+VLOOKUP(G1489,Liste!$A$7:$G$69,3,FALSE)</f>
        <v>Chêne sessile</v>
      </c>
      <c r="BI1489" s="96" t="str">
        <f>+VLOOKUP(H1489,Liste!$B$7:$G$69,5,FALSE)</f>
        <v>Guide chênaie atlantique</v>
      </c>
      <c r="BJ1489" s="135">
        <f t="shared" si="453"/>
        <v>69</v>
      </c>
      <c r="BK1489" s="135" t="str">
        <f t="shared" si="455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97" t="str">
        <f>+VLOOKUP(G1489,Liste!$A$7:$H$69,8,FALSE)</f>
        <v>Feuillus</v>
      </c>
      <c r="BU1489" s="297">
        <f t="shared" si="456"/>
        <v>1</v>
      </c>
      <c r="BV1489" s="299">
        <f t="shared" si="457"/>
        <v>0</v>
      </c>
      <c r="BW1489" s="318">
        <v>0</v>
      </c>
      <c r="BX1489" s="297">
        <f t="shared" si="458"/>
        <v>0.25</v>
      </c>
      <c r="BY1489">
        <f t="shared" si="459"/>
        <v>0</v>
      </c>
      <c r="BZ1489" s="303">
        <f t="shared" si="460"/>
        <v>0</v>
      </c>
      <c r="CB1489" s="298">
        <v>0.6</v>
      </c>
      <c r="CC1489" s="298">
        <v>0.4</v>
      </c>
      <c r="CD1489">
        <f t="shared" si="461"/>
        <v>0</v>
      </c>
      <c r="CE1489">
        <f t="shared" si="462"/>
        <v>0</v>
      </c>
      <c r="CF1489">
        <f t="shared" si="463"/>
        <v>0</v>
      </c>
      <c r="CG1489">
        <f t="shared" si="464"/>
        <v>0</v>
      </c>
      <c r="CH1489">
        <f t="shared" si="465"/>
        <v>0</v>
      </c>
      <c r="CI1489">
        <f t="shared" si="466"/>
        <v>0</v>
      </c>
      <c r="CJ1489">
        <f t="shared" si="467"/>
        <v>0</v>
      </c>
      <c r="CK1489">
        <f t="shared" si="468"/>
        <v>0</v>
      </c>
      <c r="CL1489">
        <f t="shared" si="469"/>
        <v>0</v>
      </c>
      <c r="CM1489">
        <f t="shared" si="471"/>
        <v>0</v>
      </c>
      <c r="CN1489">
        <f t="shared" si="470"/>
        <v>0</v>
      </c>
      <c r="CO1489">
        <f t="shared" si="454"/>
        <v>0</v>
      </c>
    </row>
    <row r="1490" spans="1:93" hidden="1" x14ac:dyDescent="0.25">
      <c r="A1490" s="4">
        <v>2021</v>
      </c>
      <c r="B1490" s="315">
        <v>44361</v>
      </c>
      <c r="C1490" s="4" t="s">
        <v>66</v>
      </c>
      <c r="D1490" s="4" t="s">
        <v>1523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1527</v>
      </c>
      <c r="M1490" s="5">
        <v>1666</v>
      </c>
      <c r="N1490" s="5" t="s">
        <v>170</v>
      </c>
      <c r="O1490" s="6" t="s">
        <v>81</v>
      </c>
      <c r="P1490" s="6" t="s">
        <v>1503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+VLOOKUP(G1490,Liste!$A$7:$G$69,3,FALSE)</f>
        <v>Chêne sessile</v>
      </c>
      <c r="BI1490" s="96" t="str">
        <f>+VLOOKUP(H1490,Liste!$B$7:$G$69,5,FALSE)</f>
        <v>Guide chênaie atlantique</v>
      </c>
      <c r="BJ1490" s="135">
        <f t="shared" si="453"/>
        <v>72</v>
      </c>
      <c r="BK1490" s="135" t="str">
        <f t="shared" si="455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97" t="str">
        <f>+VLOOKUP(G1490,Liste!$A$7:$H$69,8,FALSE)</f>
        <v>Feuillus</v>
      </c>
      <c r="BU1490" s="297">
        <f t="shared" si="456"/>
        <v>1</v>
      </c>
      <c r="BV1490" s="299">
        <f t="shared" si="457"/>
        <v>0</v>
      </c>
      <c r="BW1490" s="318">
        <v>0</v>
      </c>
      <c r="BX1490" s="297">
        <f t="shared" si="458"/>
        <v>0.25</v>
      </c>
      <c r="BY1490">
        <f t="shared" si="459"/>
        <v>0</v>
      </c>
      <c r="BZ1490" s="303">
        <f t="shared" si="460"/>
        <v>0</v>
      </c>
      <c r="CB1490" s="298">
        <v>0.6</v>
      </c>
      <c r="CC1490" s="298">
        <v>0.4</v>
      </c>
      <c r="CD1490">
        <f t="shared" si="461"/>
        <v>0</v>
      </c>
      <c r="CE1490">
        <f t="shared" si="462"/>
        <v>0</v>
      </c>
      <c r="CF1490">
        <f t="shared" si="463"/>
        <v>0</v>
      </c>
      <c r="CG1490">
        <f t="shared" si="464"/>
        <v>0</v>
      </c>
      <c r="CH1490">
        <f t="shared" si="465"/>
        <v>0</v>
      </c>
      <c r="CI1490">
        <f t="shared" si="466"/>
        <v>0</v>
      </c>
      <c r="CJ1490">
        <f t="shared" si="467"/>
        <v>0</v>
      </c>
      <c r="CK1490">
        <f t="shared" si="468"/>
        <v>0</v>
      </c>
      <c r="CL1490">
        <f t="shared" si="469"/>
        <v>0</v>
      </c>
      <c r="CM1490">
        <f t="shared" si="471"/>
        <v>0</v>
      </c>
      <c r="CN1490">
        <f t="shared" si="470"/>
        <v>0</v>
      </c>
      <c r="CO1490">
        <f t="shared" si="454"/>
        <v>0</v>
      </c>
    </row>
    <row r="1491" spans="1:93" hidden="1" x14ac:dyDescent="0.25">
      <c r="A1491" s="4">
        <v>2021</v>
      </c>
      <c r="B1491" s="315">
        <v>44361</v>
      </c>
      <c r="C1491" s="4" t="s">
        <v>66</v>
      </c>
      <c r="D1491" s="4" t="s">
        <v>1523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1527</v>
      </c>
      <c r="M1491" s="5">
        <v>1666</v>
      </c>
      <c r="N1491" s="5" t="s">
        <v>170</v>
      </c>
      <c r="O1491" s="6" t="s">
        <v>81</v>
      </c>
      <c r="P1491" s="6" t="s">
        <v>1503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+VLOOKUP(G1491,Liste!$A$7:$G$69,3,FALSE)</f>
        <v>Chêne sessile</v>
      </c>
      <c r="BI1491" s="96" t="str">
        <f>+VLOOKUP(H1491,Liste!$B$7:$G$69,5,FALSE)</f>
        <v>Guide chênaie atlantique</v>
      </c>
      <c r="BJ1491" s="135">
        <f t="shared" si="453"/>
        <v>74</v>
      </c>
      <c r="BK1491" s="135" t="str">
        <f t="shared" si="455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97" t="str">
        <f>+VLOOKUP(G1491,Liste!$A$7:$H$69,8,FALSE)</f>
        <v>Feuillus</v>
      </c>
      <c r="BU1491" s="297">
        <f t="shared" si="456"/>
        <v>1</v>
      </c>
      <c r="BV1491" s="299">
        <f t="shared" si="457"/>
        <v>0</v>
      </c>
      <c r="BW1491" s="318">
        <v>0</v>
      </c>
      <c r="BX1491" s="297">
        <f t="shared" si="458"/>
        <v>0.25</v>
      </c>
      <c r="BY1491">
        <f t="shared" si="459"/>
        <v>0</v>
      </c>
      <c r="BZ1491" s="303">
        <f t="shared" si="460"/>
        <v>0</v>
      </c>
      <c r="CB1491" s="298">
        <v>0.6</v>
      </c>
      <c r="CC1491" s="298">
        <v>0.4</v>
      </c>
      <c r="CD1491">
        <f t="shared" si="461"/>
        <v>0</v>
      </c>
      <c r="CE1491">
        <f t="shared" si="462"/>
        <v>0</v>
      </c>
      <c r="CF1491">
        <f t="shared" si="463"/>
        <v>0</v>
      </c>
      <c r="CG1491">
        <f t="shared" si="464"/>
        <v>0</v>
      </c>
      <c r="CH1491">
        <f t="shared" si="465"/>
        <v>0</v>
      </c>
      <c r="CI1491">
        <f t="shared" si="466"/>
        <v>0</v>
      </c>
      <c r="CJ1491">
        <f t="shared" si="467"/>
        <v>0</v>
      </c>
      <c r="CK1491">
        <f t="shared" si="468"/>
        <v>0</v>
      </c>
      <c r="CL1491">
        <f t="shared" si="469"/>
        <v>0</v>
      </c>
      <c r="CM1491">
        <f t="shared" si="471"/>
        <v>0</v>
      </c>
      <c r="CN1491">
        <f t="shared" si="470"/>
        <v>0</v>
      </c>
      <c r="CO1491">
        <f t="shared" si="454"/>
        <v>0</v>
      </c>
    </row>
    <row r="1492" spans="1:93" hidden="1" x14ac:dyDescent="0.25">
      <c r="A1492" s="4">
        <v>2021</v>
      </c>
      <c r="B1492" s="315">
        <v>44361</v>
      </c>
      <c r="C1492" s="4" t="s">
        <v>66</v>
      </c>
      <c r="D1492" s="4" t="s">
        <v>1523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1527</v>
      </c>
      <c r="M1492" s="5">
        <v>1666</v>
      </c>
      <c r="N1492" s="5" t="s">
        <v>170</v>
      </c>
      <c r="O1492" s="6" t="s">
        <v>81</v>
      </c>
      <c r="P1492" s="6" t="s">
        <v>1503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+VLOOKUP(G1492,Liste!$A$7:$G$69,3,FALSE)</f>
        <v>Chêne sessile</v>
      </c>
      <c r="BI1492" s="96" t="str">
        <f>+VLOOKUP(H1492,Liste!$B$7:$G$69,5,FALSE)</f>
        <v>Guide chênaie atlantique</v>
      </c>
      <c r="BJ1492" s="135">
        <f t="shared" si="453"/>
        <v>74</v>
      </c>
      <c r="BK1492" s="135" t="str">
        <f t="shared" si="455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97" t="str">
        <f>+VLOOKUP(G1492,Liste!$A$7:$H$69,8,FALSE)</f>
        <v>Feuillus</v>
      </c>
      <c r="BU1492" s="297">
        <f t="shared" si="456"/>
        <v>1</v>
      </c>
      <c r="BV1492" s="299">
        <f t="shared" si="457"/>
        <v>0</v>
      </c>
      <c r="BW1492" s="318">
        <v>0</v>
      </c>
      <c r="BX1492" s="297">
        <f t="shared" si="458"/>
        <v>0.25</v>
      </c>
      <c r="BY1492">
        <f t="shared" si="459"/>
        <v>0</v>
      </c>
      <c r="BZ1492" s="303">
        <f t="shared" si="460"/>
        <v>0</v>
      </c>
      <c r="CB1492" s="298">
        <v>0.6</v>
      </c>
      <c r="CC1492" s="298">
        <v>0.4</v>
      </c>
      <c r="CD1492">
        <f t="shared" si="461"/>
        <v>0</v>
      </c>
      <c r="CE1492">
        <f t="shared" si="462"/>
        <v>0</v>
      </c>
      <c r="CF1492">
        <f t="shared" si="463"/>
        <v>0</v>
      </c>
      <c r="CG1492">
        <f t="shared" si="464"/>
        <v>0</v>
      </c>
      <c r="CH1492">
        <f t="shared" si="465"/>
        <v>0</v>
      </c>
      <c r="CI1492">
        <f t="shared" si="466"/>
        <v>0</v>
      </c>
      <c r="CJ1492">
        <f t="shared" si="467"/>
        <v>0</v>
      </c>
      <c r="CK1492">
        <f t="shared" si="468"/>
        <v>0</v>
      </c>
      <c r="CL1492">
        <f t="shared" si="469"/>
        <v>0</v>
      </c>
      <c r="CM1492">
        <f t="shared" si="471"/>
        <v>0</v>
      </c>
      <c r="CN1492">
        <f t="shared" si="470"/>
        <v>0</v>
      </c>
      <c r="CO1492">
        <f t="shared" si="454"/>
        <v>0</v>
      </c>
    </row>
    <row r="1493" spans="1:93" hidden="1" x14ac:dyDescent="0.25">
      <c r="A1493" s="4">
        <v>2021</v>
      </c>
      <c r="B1493" s="315">
        <v>44361</v>
      </c>
      <c r="C1493" s="4" t="s">
        <v>66</v>
      </c>
      <c r="D1493" s="4" t="s">
        <v>1523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1527</v>
      </c>
      <c r="M1493" s="5">
        <v>1666</v>
      </c>
      <c r="N1493" s="5" t="s">
        <v>170</v>
      </c>
      <c r="O1493" s="6" t="s">
        <v>81</v>
      </c>
      <c r="P1493" s="6" t="s">
        <v>1503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+VLOOKUP(G1493,Liste!$A$7:$G$69,3,FALSE)</f>
        <v>Chêne sessile</v>
      </c>
      <c r="BI1493" s="96" t="str">
        <f>+VLOOKUP(H1493,Liste!$B$7:$G$69,5,FALSE)</f>
        <v>Guide chênaie atlantique</v>
      </c>
      <c r="BJ1493" s="135">
        <f t="shared" si="453"/>
        <v>77</v>
      </c>
      <c r="BK1493" s="135" t="str">
        <f t="shared" si="455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97" t="str">
        <f>+VLOOKUP(G1493,Liste!$A$7:$H$69,8,FALSE)</f>
        <v>Feuillus</v>
      </c>
      <c r="BU1493" s="297">
        <f t="shared" si="456"/>
        <v>1</v>
      </c>
      <c r="BV1493" s="299">
        <f t="shared" si="457"/>
        <v>0</v>
      </c>
      <c r="BW1493" s="318">
        <v>0</v>
      </c>
      <c r="BX1493" s="297">
        <f t="shared" si="458"/>
        <v>0.25</v>
      </c>
      <c r="BY1493">
        <f t="shared" si="459"/>
        <v>0</v>
      </c>
      <c r="BZ1493" s="303">
        <f t="shared" si="460"/>
        <v>0</v>
      </c>
      <c r="CB1493" s="298">
        <v>0.6</v>
      </c>
      <c r="CC1493" s="298">
        <v>0.4</v>
      </c>
      <c r="CD1493">
        <f t="shared" si="461"/>
        <v>0</v>
      </c>
      <c r="CE1493">
        <f t="shared" si="462"/>
        <v>0</v>
      </c>
      <c r="CF1493">
        <f t="shared" si="463"/>
        <v>0</v>
      </c>
      <c r="CG1493">
        <f t="shared" si="464"/>
        <v>0</v>
      </c>
      <c r="CH1493">
        <f t="shared" si="465"/>
        <v>0</v>
      </c>
      <c r="CI1493">
        <f t="shared" si="466"/>
        <v>0</v>
      </c>
      <c r="CJ1493">
        <f t="shared" si="467"/>
        <v>0</v>
      </c>
      <c r="CK1493">
        <f t="shared" si="468"/>
        <v>0</v>
      </c>
      <c r="CL1493">
        <f t="shared" si="469"/>
        <v>0</v>
      </c>
      <c r="CM1493">
        <f t="shared" si="471"/>
        <v>0</v>
      </c>
      <c r="CN1493">
        <f t="shared" si="470"/>
        <v>0</v>
      </c>
      <c r="CO1493">
        <f t="shared" si="454"/>
        <v>0</v>
      </c>
    </row>
    <row r="1494" spans="1:93" hidden="1" x14ac:dyDescent="0.25">
      <c r="A1494" s="4">
        <v>2021</v>
      </c>
      <c r="B1494" s="315">
        <v>44361</v>
      </c>
      <c r="C1494" s="4" t="s">
        <v>66</v>
      </c>
      <c r="D1494" s="4" t="s">
        <v>1523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1527</v>
      </c>
      <c r="M1494" s="5">
        <v>1666</v>
      </c>
      <c r="N1494" s="5" t="s">
        <v>170</v>
      </c>
      <c r="O1494" s="6" t="s">
        <v>81</v>
      </c>
      <c r="P1494" s="6" t="s">
        <v>1503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+VLOOKUP(G1494,Liste!$A$7:$G$69,3,FALSE)</f>
        <v>Chêne sessile</v>
      </c>
      <c r="BI1494" s="96" t="str">
        <f>+VLOOKUP(H1494,Liste!$B$7:$G$69,5,FALSE)</f>
        <v>Guide chênaie atlantique</v>
      </c>
      <c r="BJ1494" s="135">
        <f t="shared" si="453"/>
        <v>80</v>
      </c>
      <c r="BK1494" s="135" t="str">
        <f t="shared" si="455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97" t="str">
        <f>+VLOOKUP(G1494,Liste!$A$7:$H$69,8,FALSE)</f>
        <v>Feuillus</v>
      </c>
      <c r="BU1494" s="297">
        <f t="shared" si="456"/>
        <v>1</v>
      </c>
      <c r="BV1494" s="299">
        <f t="shared" si="457"/>
        <v>0</v>
      </c>
      <c r="BW1494" s="318">
        <v>0</v>
      </c>
      <c r="BX1494" s="297">
        <f t="shared" si="458"/>
        <v>0.25</v>
      </c>
      <c r="BY1494">
        <f t="shared" si="459"/>
        <v>0</v>
      </c>
      <c r="BZ1494" s="303">
        <f t="shared" si="460"/>
        <v>0</v>
      </c>
      <c r="CB1494" s="298">
        <v>0.6</v>
      </c>
      <c r="CC1494" s="298">
        <v>0.4</v>
      </c>
      <c r="CD1494">
        <f t="shared" si="461"/>
        <v>0</v>
      </c>
      <c r="CE1494">
        <f t="shared" si="462"/>
        <v>0</v>
      </c>
      <c r="CF1494">
        <f t="shared" si="463"/>
        <v>0</v>
      </c>
      <c r="CG1494">
        <f t="shared" si="464"/>
        <v>0</v>
      </c>
      <c r="CH1494">
        <f t="shared" si="465"/>
        <v>0</v>
      </c>
      <c r="CI1494">
        <f t="shared" si="466"/>
        <v>0</v>
      </c>
      <c r="CJ1494">
        <f t="shared" si="467"/>
        <v>0</v>
      </c>
      <c r="CK1494">
        <f t="shared" si="468"/>
        <v>0</v>
      </c>
      <c r="CL1494">
        <f t="shared" si="469"/>
        <v>0</v>
      </c>
      <c r="CM1494">
        <f t="shared" si="471"/>
        <v>0</v>
      </c>
      <c r="CN1494">
        <f t="shared" si="470"/>
        <v>0</v>
      </c>
      <c r="CO1494">
        <f t="shared" si="454"/>
        <v>0</v>
      </c>
    </row>
    <row r="1495" spans="1:93" hidden="1" x14ac:dyDescent="0.25">
      <c r="A1495" s="4">
        <v>2021</v>
      </c>
      <c r="B1495" s="315">
        <v>44361</v>
      </c>
      <c r="C1495" s="4" t="s">
        <v>66</v>
      </c>
      <c r="D1495" s="4" t="s">
        <v>1523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1527</v>
      </c>
      <c r="M1495" s="5">
        <v>1666</v>
      </c>
      <c r="N1495" s="5" t="s">
        <v>170</v>
      </c>
      <c r="O1495" s="6" t="s">
        <v>81</v>
      </c>
      <c r="P1495" s="6" t="s">
        <v>1503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+VLOOKUP(G1495,Liste!$A$7:$G$69,3,FALSE)</f>
        <v>Chêne sessile</v>
      </c>
      <c r="BI1495" s="96" t="str">
        <f>+VLOOKUP(H1495,Liste!$B$7:$G$69,5,FALSE)</f>
        <v>Guide chênaie atlantique</v>
      </c>
      <c r="BJ1495" s="135">
        <f t="shared" si="453"/>
        <v>82</v>
      </c>
      <c r="BK1495" s="135" t="str">
        <f t="shared" si="455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97" t="str">
        <f>+VLOOKUP(G1495,Liste!$A$7:$H$69,8,FALSE)</f>
        <v>Feuillus</v>
      </c>
      <c r="BU1495" s="297">
        <f t="shared" si="456"/>
        <v>1</v>
      </c>
      <c r="BV1495" s="299">
        <f t="shared" si="457"/>
        <v>0</v>
      </c>
      <c r="BW1495" s="318">
        <v>0</v>
      </c>
      <c r="BX1495" s="297">
        <f t="shared" si="458"/>
        <v>0.25</v>
      </c>
      <c r="BY1495">
        <f t="shared" si="459"/>
        <v>0</v>
      </c>
      <c r="BZ1495" s="303">
        <f t="shared" si="460"/>
        <v>0</v>
      </c>
      <c r="CB1495" s="298">
        <v>0.6</v>
      </c>
      <c r="CC1495" s="298">
        <v>0.4</v>
      </c>
      <c r="CD1495">
        <f t="shared" si="461"/>
        <v>0</v>
      </c>
      <c r="CE1495">
        <f t="shared" si="462"/>
        <v>0</v>
      </c>
      <c r="CF1495">
        <f t="shared" si="463"/>
        <v>0</v>
      </c>
      <c r="CG1495">
        <f t="shared" si="464"/>
        <v>0</v>
      </c>
      <c r="CH1495">
        <f t="shared" si="465"/>
        <v>0</v>
      </c>
      <c r="CI1495">
        <f t="shared" si="466"/>
        <v>0</v>
      </c>
      <c r="CJ1495">
        <f t="shared" si="467"/>
        <v>0</v>
      </c>
      <c r="CK1495">
        <f t="shared" si="468"/>
        <v>0</v>
      </c>
      <c r="CL1495">
        <f t="shared" si="469"/>
        <v>0</v>
      </c>
      <c r="CM1495">
        <f t="shared" si="471"/>
        <v>0</v>
      </c>
      <c r="CN1495">
        <f t="shared" si="470"/>
        <v>0</v>
      </c>
      <c r="CO1495">
        <f t="shared" si="454"/>
        <v>0</v>
      </c>
    </row>
    <row r="1496" spans="1:93" hidden="1" x14ac:dyDescent="0.25">
      <c r="A1496" s="4">
        <v>2021</v>
      </c>
      <c r="B1496" s="315">
        <v>44361</v>
      </c>
      <c r="C1496" s="4" t="s">
        <v>66</v>
      </c>
      <c r="D1496" s="4" t="s">
        <v>1523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1527</v>
      </c>
      <c r="M1496" s="5">
        <v>1666</v>
      </c>
      <c r="N1496" s="5" t="s">
        <v>170</v>
      </c>
      <c r="O1496" s="6" t="s">
        <v>81</v>
      </c>
      <c r="P1496" s="6" t="s">
        <v>1503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+VLOOKUP(G1496,Liste!$A$7:$G$69,3,FALSE)</f>
        <v>Chêne sessile</v>
      </c>
      <c r="BI1496" s="96" t="str">
        <f>+VLOOKUP(H1496,Liste!$B$7:$G$69,5,FALSE)</f>
        <v>Guide chênaie atlantique</v>
      </c>
      <c r="BJ1496" s="135">
        <f t="shared" si="453"/>
        <v>82</v>
      </c>
      <c r="BK1496" s="135" t="str">
        <f t="shared" si="455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97" t="str">
        <f>+VLOOKUP(G1496,Liste!$A$7:$H$69,8,FALSE)</f>
        <v>Feuillus</v>
      </c>
      <c r="BU1496" s="297">
        <f t="shared" si="456"/>
        <v>1</v>
      </c>
      <c r="BV1496" s="299">
        <f t="shared" si="457"/>
        <v>0</v>
      </c>
      <c r="BW1496" s="318">
        <v>0</v>
      </c>
      <c r="BX1496" s="297">
        <f t="shared" si="458"/>
        <v>0.25</v>
      </c>
      <c r="BY1496">
        <f t="shared" si="459"/>
        <v>0</v>
      </c>
      <c r="BZ1496" s="303">
        <f t="shared" si="460"/>
        <v>0</v>
      </c>
      <c r="CB1496" s="298">
        <v>0.6</v>
      </c>
      <c r="CC1496" s="298">
        <v>0.4</v>
      </c>
      <c r="CD1496">
        <f t="shared" si="461"/>
        <v>0</v>
      </c>
      <c r="CE1496">
        <f t="shared" si="462"/>
        <v>0</v>
      </c>
      <c r="CF1496">
        <f t="shared" si="463"/>
        <v>0</v>
      </c>
      <c r="CG1496">
        <f t="shared" si="464"/>
        <v>0</v>
      </c>
      <c r="CH1496">
        <f t="shared" si="465"/>
        <v>0</v>
      </c>
      <c r="CI1496">
        <f t="shared" si="466"/>
        <v>0</v>
      </c>
      <c r="CJ1496">
        <f t="shared" si="467"/>
        <v>0</v>
      </c>
      <c r="CK1496">
        <f t="shared" si="468"/>
        <v>0</v>
      </c>
      <c r="CL1496">
        <f t="shared" si="469"/>
        <v>0</v>
      </c>
      <c r="CM1496">
        <f t="shared" si="471"/>
        <v>0</v>
      </c>
      <c r="CN1496">
        <f t="shared" si="470"/>
        <v>0</v>
      </c>
      <c r="CO1496">
        <f t="shared" si="454"/>
        <v>0</v>
      </c>
    </row>
    <row r="1497" spans="1:93" hidden="1" x14ac:dyDescent="0.25">
      <c r="A1497" s="4">
        <v>2021</v>
      </c>
      <c r="B1497" s="315">
        <v>44361</v>
      </c>
      <c r="C1497" s="4" t="s">
        <v>66</v>
      </c>
      <c r="D1497" s="4" t="s">
        <v>1523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1527</v>
      </c>
      <c r="M1497" s="5">
        <v>1666</v>
      </c>
      <c r="N1497" s="5" t="s">
        <v>170</v>
      </c>
      <c r="O1497" s="6" t="s">
        <v>81</v>
      </c>
      <c r="P1497" s="6" t="s">
        <v>1503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+VLOOKUP(G1497,Liste!$A$7:$G$69,3,FALSE)</f>
        <v>Chêne sessile</v>
      </c>
      <c r="BI1497" s="96" t="str">
        <f>+VLOOKUP(H1497,Liste!$B$7:$G$69,5,FALSE)</f>
        <v>Guide chênaie atlantique</v>
      </c>
      <c r="BJ1497" s="135">
        <f t="shared" si="453"/>
        <v>85</v>
      </c>
      <c r="BK1497" s="135" t="str">
        <f t="shared" si="455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97" t="str">
        <f>+VLOOKUP(G1497,Liste!$A$7:$H$69,8,FALSE)</f>
        <v>Feuillus</v>
      </c>
      <c r="BU1497" s="297">
        <f t="shared" si="456"/>
        <v>1</v>
      </c>
      <c r="BV1497" s="299">
        <f t="shared" si="457"/>
        <v>0</v>
      </c>
      <c r="BW1497" s="318">
        <v>0</v>
      </c>
      <c r="BX1497" s="297">
        <f t="shared" si="458"/>
        <v>0.25</v>
      </c>
      <c r="BY1497">
        <f t="shared" si="459"/>
        <v>0</v>
      </c>
      <c r="BZ1497" s="303">
        <f t="shared" si="460"/>
        <v>0</v>
      </c>
      <c r="CB1497" s="298">
        <v>0.6</v>
      </c>
      <c r="CC1497" s="298">
        <v>0.4</v>
      </c>
      <c r="CD1497">
        <f t="shared" si="461"/>
        <v>0</v>
      </c>
      <c r="CE1497">
        <f t="shared" si="462"/>
        <v>0</v>
      </c>
      <c r="CF1497">
        <f t="shared" si="463"/>
        <v>0</v>
      </c>
      <c r="CG1497">
        <f t="shared" si="464"/>
        <v>0</v>
      </c>
      <c r="CH1497">
        <f t="shared" si="465"/>
        <v>0</v>
      </c>
      <c r="CI1497">
        <f t="shared" si="466"/>
        <v>0</v>
      </c>
      <c r="CJ1497">
        <f t="shared" si="467"/>
        <v>0</v>
      </c>
      <c r="CK1497">
        <f t="shared" si="468"/>
        <v>0</v>
      </c>
      <c r="CL1497">
        <f t="shared" si="469"/>
        <v>0</v>
      </c>
      <c r="CM1497">
        <f t="shared" si="471"/>
        <v>0</v>
      </c>
      <c r="CN1497">
        <f t="shared" si="470"/>
        <v>0</v>
      </c>
      <c r="CO1497">
        <f t="shared" si="454"/>
        <v>0</v>
      </c>
    </row>
    <row r="1498" spans="1:93" hidden="1" x14ac:dyDescent="0.25">
      <c r="A1498" s="4">
        <v>2021</v>
      </c>
      <c r="B1498" s="315">
        <v>44361</v>
      </c>
      <c r="C1498" s="4" t="s">
        <v>66</v>
      </c>
      <c r="D1498" s="4" t="s">
        <v>1523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1527</v>
      </c>
      <c r="M1498" s="5">
        <v>1666</v>
      </c>
      <c r="N1498" s="5" t="s">
        <v>170</v>
      </c>
      <c r="O1498" s="6" t="s">
        <v>81</v>
      </c>
      <c r="P1498" s="6" t="s">
        <v>1503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+VLOOKUP(G1498,Liste!$A$7:$G$69,3,FALSE)</f>
        <v>Chêne sessile</v>
      </c>
      <c r="BI1498" s="96" t="str">
        <f>+VLOOKUP(H1498,Liste!$B$7:$G$69,5,FALSE)</f>
        <v>Guide chênaie atlantique</v>
      </c>
      <c r="BJ1498" s="135">
        <f t="shared" si="453"/>
        <v>88</v>
      </c>
      <c r="BK1498" s="135" t="str">
        <f t="shared" si="455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97" t="str">
        <f>+VLOOKUP(G1498,Liste!$A$7:$H$69,8,FALSE)</f>
        <v>Feuillus</v>
      </c>
      <c r="BU1498" s="297">
        <f t="shared" si="456"/>
        <v>1</v>
      </c>
      <c r="BV1498" s="299">
        <f t="shared" si="457"/>
        <v>0</v>
      </c>
      <c r="BW1498" s="318">
        <v>0</v>
      </c>
      <c r="BX1498" s="297">
        <f t="shared" si="458"/>
        <v>0.25</v>
      </c>
      <c r="BY1498">
        <f t="shared" si="459"/>
        <v>0</v>
      </c>
      <c r="BZ1498" s="303">
        <f t="shared" si="460"/>
        <v>0</v>
      </c>
      <c r="CB1498" s="298">
        <v>0.6</v>
      </c>
      <c r="CC1498" s="298">
        <v>0.4</v>
      </c>
      <c r="CD1498">
        <f t="shared" si="461"/>
        <v>0</v>
      </c>
      <c r="CE1498">
        <f t="shared" si="462"/>
        <v>0</v>
      </c>
      <c r="CF1498">
        <f t="shared" si="463"/>
        <v>0</v>
      </c>
      <c r="CG1498">
        <f t="shared" si="464"/>
        <v>0</v>
      </c>
      <c r="CH1498">
        <f t="shared" si="465"/>
        <v>0</v>
      </c>
      <c r="CI1498">
        <f t="shared" si="466"/>
        <v>0</v>
      </c>
      <c r="CJ1498">
        <f t="shared" si="467"/>
        <v>0</v>
      </c>
      <c r="CK1498">
        <f t="shared" si="468"/>
        <v>0</v>
      </c>
      <c r="CL1498">
        <f t="shared" si="469"/>
        <v>0</v>
      </c>
      <c r="CM1498">
        <f t="shared" si="471"/>
        <v>0</v>
      </c>
      <c r="CN1498">
        <f t="shared" si="470"/>
        <v>0</v>
      </c>
      <c r="CO1498">
        <f t="shared" si="454"/>
        <v>0</v>
      </c>
    </row>
    <row r="1499" spans="1:93" hidden="1" x14ac:dyDescent="0.25">
      <c r="A1499" s="4">
        <v>2021</v>
      </c>
      <c r="B1499" s="315">
        <v>44361</v>
      </c>
      <c r="C1499" s="4" t="s">
        <v>66</v>
      </c>
      <c r="D1499" s="4" t="s">
        <v>1523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1527</v>
      </c>
      <c r="M1499" s="5">
        <v>1666</v>
      </c>
      <c r="N1499" s="5" t="s">
        <v>170</v>
      </c>
      <c r="O1499" s="6" t="s">
        <v>81</v>
      </c>
      <c r="P1499" s="6" t="s">
        <v>1503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+VLOOKUP(G1499,Liste!$A$7:$G$69,3,FALSE)</f>
        <v>Chêne sessile</v>
      </c>
      <c r="BI1499" s="96" t="str">
        <f>+VLOOKUP(H1499,Liste!$B$7:$G$69,5,FALSE)</f>
        <v>Guide chênaie atlantique</v>
      </c>
      <c r="BJ1499" s="135">
        <f t="shared" si="453"/>
        <v>90</v>
      </c>
      <c r="BK1499" s="135" t="str">
        <f t="shared" si="455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97" t="str">
        <f>+VLOOKUP(G1499,Liste!$A$7:$H$69,8,FALSE)</f>
        <v>Feuillus</v>
      </c>
      <c r="BU1499" s="297">
        <f t="shared" si="456"/>
        <v>1</v>
      </c>
      <c r="BV1499" s="299">
        <f t="shared" si="457"/>
        <v>0</v>
      </c>
      <c r="BW1499" s="318">
        <v>0</v>
      </c>
      <c r="BX1499" s="297">
        <f t="shared" si="458"/>
        <v>0.25</v>
      </c>
      <c r="BY1499">
        <f t="shared" si="459"/>
        <v>0</v>
      </c>
      <c r="BZ1499" s="303">
        <f t="shared" si="460"/>
        <v>0</v>
      </c>
      <c r="CB1499" s="298">
        <v>0.6</v>
      </c>
      <c r="CC1499" s="298">
        <v>0.4</v>
      </c>
      <c r="CD1499">
        <f t="shared" si="461"/>
        <v>0</v>
      </c>
      <c r="CE1499">
        <f t="shared" si="462"/>
        <v>0</v>
      </c>
      <c r="CF1499">
        <f t="shared" si="463"/>
        <v>0</v>
      </c>
      <c r="CG1499">
        <f t="shared" si="464"/>
        <v>0</v>
      </c>
      <c r="CH1499">
        <f t="shared" si="465"/>
        <v>0</v>
      </c>
      <c r="CI1499">
        <f t="shared" si="466"/>
        <v>0</v>
      </c>
      <c r="CJ1499">
        <f t="shared" si="467"/>
        <v>0</v>
      </c>
      <c r="CK1499">
        <f t="shared" si="468"/>
        <v>0</v>
      </c>
      <c r="CL1499">
        <f t="shared" si="469"/>
        <v>0</v>
      </c>
      <c r="CM1499">
        <f t="shared" si="471"/>
        <v>0</v>
      </c>
      <c r="CN1499">
        <f t="shared" si="470"/>
        <v>0</v>
      </c>
      <c r="CO1499">
        <f t="shared" si="454"/>
        <v>0</v>
      </c>
    </row>
    <row r="1500" spans="1:93" hidden="1" x14ac:dyDescent="0.25">
      <c r="A1500" s="4">
        <v>2021</v>
      </c>
      <c r="B1500" s="315">
        <v>44361</v>
      </c>
      <c r="C1500" s="4" t="s">
        <v>66</v>
      </c>
      <c r="D1500" s="4" t="s">
        <v>1523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1527</v>
      </c>
      <c r="M1500" s="5">
        <v>1666</v>
      </c>
      <c r="N1500" s="5" t="s">
        <v>170</v>
      </c>
      <c r="O1500" s="6" t="s">
        <v>81</v>
      </c>
      <c r="P1500" s="6" t="s">
        <v>1503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+VLOOKUP(G1500,Liste!$A$7:$G$69,3,FALSE)</f>
        <v>Chêne sessile</v>
      </c>
      <c r="BI1500" s="96" t="str">
        <f>+VLOOKUP(H1500,Liste!$B$7:$G$69,5,FALSE)</f>
        <v>Guide chênaie atlantique</v>
      </c>
      <c r="BJ1500" s="135">
        <f t="shared" si="453"/>
        <v>90</v>
      </c>
      <c r="BK1500" s="135" t="str">
        <f t="shared" si="455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97" t="str">
        <f>+VLOOKUP(G1500,Liste!$A$7:$H$69,8,FALSE)</f>
        <v>Feuillus</v>
      </c>
      <c r="BU1500" s="297">
        <f t="shared" si="456"/>
        <v>1</v>
      </c>
      <c r="BV1500" s="299">
        <f t="shared" si="457"/>
        <v>0</v>
      </c>
      <c r="BW1500" s="318">
        <v>0</v>
      </c>
      <c r="BX1500" s="297">
        <f t="shared" si="458"/>
        <v>0.25</v>
      </c>
      <c r="BY1500">
        <f t="shared" si="459"/>
        <v>0</v>
      </c>
      <c r="BZ1500" s="303">
        <f t="shared" si="460"/>
        <v>0</v>
      </c>
      <c r="CB1500" s="298">
        <v>0.6</v>
      </c>
      <c r="CC1500" s="298">
        <v>0.4</v>
      </c>
      <c r="CD1500">
        <f t="shared" si="461"/>
        <v>0</v>
      </c>
      <c r="CE1500">
        <f t="shared" si="462"/>
        <v>0</v>
      </c>
      <c r="CF1500">
        <f t="shared" si="463"/>
        <v>0</v>
      </c>
      <c r="CG1500">
        <f t="shared" si="464"/>
        <v>0</v>
      </c>
      <c r="CH1500">
        <f t="shared" si="465"/>
        <v>0</v>
      </c>
      <c r="CI1500">
        <f t="shared" si="466"/>
        <v>0</v>
      </c>
      <c r="CJ1500">
        <f t="shared" si="467"/>
        <v>0</v>
      </c>
      <c r="CK1500">
        <f t="shared" si="468"/>
        <v>0</v>
      </c>
      <c r="CL1500">
        <f t="shared" si="469"/>
        <v>0</v>
      </c>
      <c r="CM1500">
        <f t="shared" si="471"/>
        <v>0</v>
      </c>
      <c r="CN1500">
        <f t="shared" si="470"/>
        <v>0</v>
      </c>
      <c r="CO1500">
        <f t="shared" si="454"/>
        <v>0</v>
      </c>
    </row>
    <row r="1501" spans="1:93" hidden="1" x14ac:dyDescent="0.25">
      <c r="A1501" s="4">
        <v>2021</v>
      </c>
      <c r="B1501" s="315">
        <v>44361</v>
      </c>
      <c r="C1501" s="4" t="s">
        <v>66</v>
      </c>
      <c r="D1501" s="4" t="s">
        <v>1523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1527</v>
      </c>
      <c r="M1501" s="5">
        <v>1666</v>
      </c>
      <c r="N1501" s="5" t="s">
        <v>170</v>
      </c>
      <c r="O1501" s="6" t="s">
        <v>81</v>
      </c>
      <c r="P1501" s="6" t="s">
        <v>1503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+VLOOKUP(G1501,Liste!$A$7:$G$69,3,FALSE)</f>
        <v>Chêne sessile</v>
      </c>
      <c r="BI1501" s="96" t="str">
        <f>+VLOOKUP(H1501,Liste!$B$7:$G$69,5,FALSE)</f>
        <v>Guide chênaie atlantique</v>
      </c>
      <c r="BJ1501" s="135">
        <f t="shared" si="453"/>
        <v>93</v>
      </c>
      <c r="BK1501" s="135" t="str">
        <f t="shared" si="455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97" t="str">
        <f>+VLOOKUP(G1501,Liste!$A$7:$H$69,8,FALSE)</f>
        <v>Feuillus</v>
      </c>
      <c r="BU1501" s="297">
        <f t="shared" si="456"/>
        <v>1</v>
      </c>
      <c r="BV1501" s="299">
        <f t="shared" si="457"/>
        <v>0</v>
      </c>
      <c r="BW1501" s="318">
        <v>0</v>
      </c>
      <c r="BX1501" s="297">
        <f t="shared" si="458"/>
        <v>0.25</v>
      </c>
      <c r="BY1501">
        <f t="shared" si="459"/>
        <v>0</v>
      </c>
      <c r="BZ1501" s="303">
        <f t="shared" si="460"/>
        <v>0</v>
      </c>
      <c r="CB1501" s="298">
        <v>0.6</v>
      </c>
      <c r="CC1501" s="298">
        <v>0.4</v>
      </c>
      <c r="CD1501">
        <f t="shared" si="461"/>
        <v>0</v>
      </c>
      <c r="CE1501">
        <f t="shared" si="462"/>
        <v>0</v>
      </c>
      <c r="CF1501">
        <f t="shared" si="463"/>
        <v>0</v>
      </c>
      <c r="CG1501">
        <f t="shared" si="464"/>
        <v>0</v>
      </c>
      <c r="CH1501">
        <f t="shared" si="465"/>
        <v>0</v>
      </c>
      <c r="CI1501">
        <f t="shared" si="466"/>
        <v>0</v>
      </c>
      <c r="CJ1501">
        <f t="shared" si="467"/>
        <v>0</v>
      </c>
      <c r="CK1501">
        <f t="shared" si="468"/>
        <v>0</v>
      </c>
      <c r="CL1501">
        <f t="shared" si="469"/>
        <v>0</v>
      </c>
      <c r="CM1501">
        <f t="shared" si="471"/>
        <v>0</v>
      </c>
      <c r="CN1501">
        <f t="shared" si="470"/>
        <v>0</v>
      </c>
      <c r="CO1501">
        <f t="shared" si="454"/>
        <v>0</v>
      </c>
    </row>
    <row r="1502" spans="1:93" hidden="1" x14ac:dyDescent="0.25">
      <c r="A1502" s="4">
        <v>2021</v>
      </c>
      <c r="B1502" s="315">
        <v>44361</v>
      </c>
      <c r="C1502" s="4" t="s">
        <v>66</v>
      </c>
      <c r="D1502" s="4" t="s">
        <v>1523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1527</v>
      </c>
      <c r="M1502" s="5">
        <v>1666</v>
      </c>
      <c r="N1502" s="5" t="s">
        <v>170</v>
      </c>
      <c r="O1502" s="6" t="s">
        <v>81</v>
      </c>
      <c r="P1502" s="6" t="s">
        <v>1503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+VLOOKUP(G1502,Liste!$A$7:$G$69,3,FALSE)</f>
        <v>Chêne sessile</v>
      </c>
      <c r="BI1502" s="96" t="str">
        <f>+VLOOKUP(H1502,Liste!$B$7:$G$69,5,FALSE)</f>
        <v>Guide chênaie atlantique</v>
      </c>
      <c r="BJ1502" s="135">
        <f t="shared" si="453"/>
        <v>96</v>
      </c>
      <c r="BK1502" s="135" t="str">
        <f t="shared" si="455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97" t="str">
        <f>+VLOOKUP(G1502,Liste!$A$7:$H$69,8,FALSE)</f>
        <v>Feuillus</v>
      </c>
      <c r="BU1502" s="297">
        <f t="shared" si="456"/>
        <v>1</v>
      </c>
      <c r="BV1502" s="299">
        <f t="shared" si="457"/>
        <v>0</v>
      </c>
      <c r="BW1502" s="318">
        <v>0</v>
      </c>
      <c r="BX1502" s="297">
        <f t="shared" si="458"/>
        <v>0.25</v>
      </c>
      <c r="BY1502">
        <f t="shared" si="459"/>
        <v>0</v>
      </c>
      <c r="BZ1502" s="303">
        <f t="shared" si="460"/>
        <v>0</v>
      </c>
      <c r="CB1502" s="298">
        <v>0.6</v>
      </c>
      <c r="CC1502" s="298">
        <v>0.4</v>
      </c>
      <c r="CD1502">
        <f t="shared" si="461"/>
        <v>0</v>
      </c>
      <c r="CE1502">
        <f t="shared" si="462"/>
        <v>0</v>
      </c>
      <c r="CF1502">
        <f t="shared" si="463"/>
        <v>0</v>
      </c>
      <c r="CG1502">
        <f t="shared" si="464"/>
        <v>0</v>
      </c>
      <c r="CH1502">
        <f t="shared" si="465"/>
        <v>0</v>
      </c>
      <c r="CI1502">
        <f t="shared" si="466"/>
        <v>0</v>
      </c>
      <c r="CJ1502">
        <f t="shared" si="467"/>
        <v>0</v>
      </c>
      <c r="CK1502">
        <f t="shared" si="468"/>
        <v>0</v>
      </c>
      <c r="CL1502">
        <f t="shared" si="469"/>
        <v>0</v>
      </c>
      <c r="CM1502">
        <f t="shared" si="471"/>
        <v>0</v>
      </c>
      <c r="CN1502">
        <f t="shared" si="470"/>
        <v>0</v>
      </c>
      <c r="CO1502">
        <f t="shared" si="454"/>
        <v>0</v>
      </c>
    </row>
    <row r="1503" spans="1:93" hidden="1" x14ac:dyDescent="0.25">
      <c r="A1503" s="4">
        <v>2021</v>
      </c>
      <c r="B1503" s="315">
        <v>44361</v>
      </c>
      <c r="C1503" s="4" t="s">
        <v>66</v>
      </c>
      <c r="D1503" s="4" t="s">
        <v>1523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1527</v>
      </c>
      <c r="M1503" s="5">
        <v>1666</v>
      </c>
      <c r="N1503" s="5" t="s">
        <v>170</v>
      </c>
      <c r="O1503" s="6" t="s">
        <v>81</v>
      </c>
      <c r="P1503" s="6" t="s">
        <v>1503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+VLOOKUP(G1503,Liste!$A$7:$G$69,3,FALSE)</f>
        <v>Chêne sessile</v>
      </c>
      <c r="BI1503" s="96" t="str">
        <f>+VLOOKUP(H1503,Liste!$B$7:$G$69,5,FALSE)</f>
        <v>Guide chênaie atlantique</v>
      </c>
      <c r="BJ1503" s="135">
        <f t="shared" si="453"/>
        <v>100</v>
      </c>
      <c r="BK1503" s="135" t="str">
        <f t="shared" si="455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97" t="str">
        <f>+VLOOKUP(G1503,Liste!$A$7:$H$69,8,FALSE)</f>
        <v>Feuillus</v>
      </c>
      <c r="BU1503" s="297">
        <f t="shared" si="456"/>
        <v>1</v>
      </c>
      <c r="BV1503" s="299">
        <f t="shared" si="457"/>
        <v>0</v>
      </c>
      <c r="BW1503" s="318">
        <v>0</v>
      </c>
      <c r="BX1503" s="297">
        <f t="shared" si="458"/>
        <v>0.25</v>
      </c>
      <c r="BY1503">
        <f t="shared" si="459"/>
        <v>0</v>
      </c>
      <c r="BZ1503" s="303">
        <f t="shared" si="460"/>
        <v>0</v>
      </c>
      <c r="CB1503" s="298">
        <v>0.6</v>
      </c>
      <c r="CC1503" s="298">
        <v>0.4</v>
      </c>
      <c r="CD1503">
        <f t="shared" si="461"/>
        <v>0</v>
      </c>
      <c r="CE1503">
        <f t="shared" si="462"/>
        <v>0</v>
      </c>
      <c r="CF1503">
        <f t="shared" si="463"/>
        <v>0</v>
      </c>
      <c r="CG1503">
        <f t="shared" si="464"/>
        <v>0</v>
      </c>
      <c r="CH1503">
        <f t="shared" si="465"/>
        <v>0</v>
      </c>
      <c r="CI1503">
        <f t="shared" si="466"/>
        <v>0</v>
      </c>
      <c r="CJ1503">
        <f t="shared" si="467"/>
        <v>0</v>
      </c>
      <c r="CK1503">
        <f t="shared" si="468"/>
        <v>0</v>
      </c>
      <c r="CL1503">
        <f t="shared" si="469"/>
        <v>0</v>
      </c>
      <c r="CM1503">
        <f t="shared" si="471"/>
        <v>0</v>
      </c>
      <c r="CN1503">
        <f t="shared" si="470"/>
        <v>0</v>
      </c>
      <c r="CO1503">
        <f t="shared" si="454"/>
        <v>0</v>
      </c>
    </row>
    <row r="1504" spans="1:93" hidden="1" x14ac:dyDescent="0.25">
      <c r="A1504" s="4">
        <v>2021</v>
      </c>
      <c r="B1504" s="315">
        <v>44361</v>
      </c>
      <c r="C1504" s="4" t="s">
        <v>66</v>
      </c>
      <c r="D1504" s="4" t="s">
        <v>1523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1527</v>
      </c>
      <c r="M1504" s="5">
        <v>1666</v>
      </c>
      <c r="N1504" s="5" t="s">
        <v>170</v>
      </c>
      <c r="O1504" s="6" t="s">
        <v>81</v>
      </c>
      <c r="P1504" s="6" t="s">
        <v>1503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+VLOOKUP(G1504,Liste!$A$7:$G$69,3,FALSE)</f>
        <v>Chêne sessile</v>
      </c>
      <c r="BI1504" s="96" t="str">
        <f>+VLOOKUP(H1504,Liste!$B$7:$G$69,5,FALSE)</f>
        <v>Guide chênaie atlantique</v>
      </c>
      <c r="BJ1504" s="135">
        <f t="shared" si="453"/>
        <v>100</v>
      </c>
      <c r="BK1504" s="135" t="str">
        <f t="shared" si="455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97" t="str">
        <f>+VLOOKUP(G1504,Liste!$A$7:$H$69,8,FALSE)</f>
        <v>Feuillus</v>
      </c>
      <c r="BU1504" s="297">
        <f t="shared" si="456"/>
        <v>1</v>
      </c>
      <c r="BV1504" s="299">
        <f t="shared" si="457"/>
        <v>0</v>
      </c>
      <c r="BW1504" s="318">
        <v>0</v>
      </c>
      <c r="BX1504" s="297">
        <f t="shared" si="458"/>
        <v>0.25</v>
      </c>
      <c r="BY1504">
        <f t="shared" si="459"/>
        <v>0</v>
      </c>
      <c r="BZ1504" s="303">
        <f t="shared" si="460"/>
        <v>0</v>
      </c>
      <c r="CB1504" s="298">
        <v>0.6</v>
      </c>
      <c r="CC1504" s="298">
        <v>0.4</v>
      </c>
      <c r="CD1504">
        <f t="shared" si="461"/>
        <v>0</v>
      </c>
      <c r="CE1504">
        <f t="shared" si="462"/>
        <v>0</v>
      </c>
      <c r="CF1504">
        <f t="shared" si="463"/>
        <v>0</v>
      </c>
      <c r="CG1504">
        <f t="shared" si="464"/>
        <v>0</v>
      </c>
      <c r="CH1504">
        <f t="shared" si="465"/>
        <v>0</v>
      </c>
      <c r="CI1504">
        <f t="shared" si="466"/>
        <v>0</v>
      </c>
      <c r="CJ1504">
        <f t="shared" si="467"/>
        <v>0</v>
      </c>
      <c r="CK1504">
        <f t="shared" si="468"/>
        <v>0</v>
      </c>
      <c r="CL1504">
        <f t="shared" si="469"/>
        <v>0</v>
      </c>
      <c r="CM1504">
        <f t="shared" si="471"/>
        <v>0</v>
      </c>
      <c r="CN1504">
        <f t="shared" si="470"/>
        <v>0</v>
      </c>
      <c r="CO1504">
        <f t="shared" si="454"/>
        <v>0</v>
      </c>
    </row>
    <row r="1505" spans="1:93" hidden="1" x14ac:dyDescent="0.25">
      <c r="A1505" s="4">
        <v>2021</v>
      </c>
      <c r="B1505" s="315">
        <v>44361</v>
      </c>
      <c r="C1505" s="4" t="s">
        <v>66</v>
      </c>
      <c r="D1505" s="4" t="s">
        <v>1523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1527</v>
      </c>
      <c r="M1505" s="5">
        <v>1666</v>
      </c>
      <c r="N1505" s="5" t="s">
        <v>170</v>
      </c>
      <c r="O1505" s="6" t="s">
        <v>81</v>
      </c>
      <c r="P1505" s="6" t="s">
        <v>1503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+VLOOKUP(G1505,Liste!$A$7:$G$69,3,FALSE)</f>
        <v>Chêne sessile</v>
      </c>
      <c r="BI1505" s="96" t="str">
        <f>+VLOOKUP(H1505,Liste!$B$7:$G$69,5,FALSE)</f>
        <v>Guide chênaie atlantique</v>
      </c>
      <c r="BJ1505" s="135">
        <f t="shared" si="453"/>
        <v>103</v>
      </c>
      <c r="BK1505" s="135" t="str">
        <f t="shared" si="455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97" t="str">
        <f>+VLOOKUP(G1505,Liste!$A$7:$H$69,8,FALSE)</f>
        <v>Feuillus</v>
      </c>
      <c r="BU1505" s="297">
        <f t="shared" si="456"/>
        <v>1</v>
      </c>
      <c r="BV1505" s="299">
        <f t="shared" si="457"/>
        <v>0</v>
      </c>
      <c r="BW1505" s="318">
        <v>0</v>
      </c>
      <c r="BX1505" s="297">
        <f t="shared" si="458"/>
        <v>0.25</v>
      </c>
      <c r="BY1505">
        <f t="shared" si="459"/>
        <v>0</v>
      </c>
      <c r="BZ1505" s="303">
        <f t="shared" si="460"/>
        <v>0</v>
      </c>
      <c r="CB1505" s="298">
        <v>0.6</v>
      </c>
      <c r="CC1505" s="298">
        <v>0.4</v>
      </c>
      <c r="CD1505">
        <f t="shared" si="461"/>
        <v>0</v>
      </c>
      <c r="CE1505">
        <f t="shared" si="462"/>
        <v>0</v>
      </c>
      <c r="CF1505">
        <f t="shared" si="463"/>
        <v>0</v>
      </c>
      <c r="CG1505">
        <f t="shared" si="464"/>
        <v>0</v>
      </c>
      <c r="CH1505">
        <f t="shared" si="465"/>
        <v>0</v>
      </c>
      <c r="CI1505">
        <f t="shared" si="466"/>
        <v>0</v>
      </c>
      <c r="CJ1505">
        <f t="shared" si="467"/>
        <v>0</v>
      </c>
      <c r="CK1505">
        <f t="shared" si="468"/>
        <v>0</v>
      </c>
      <c r="CL1505">
        <f t="shared" si="469"/>
        <v>0</v>
      </c>
      <c r="CM1505">
        <f t="shared" si="471"/>
        <v>0</v>
      </c>
      <c r="CN1505">
        <f t="shared" si="470"/>
        <v>0</v>
      </c>
      <c r="CO1505">
        <f t="shared" si="454"/>
        <v>0</v>
      </c>
    </row>
    <row r="1506" spans="1:93" hidden="1" x14ac:dyDescent="0.25">
      <c r="A1506" s="4">
        <v>2021</v>
      </c>
      <c r="B1506" s="315">
        <v>44361</v>
      </c>
      <c r="C1506" s="4" t="s">
        <v>66</v>
      </c>
      <c r="D1506" s="4" t="s">
        <v>1523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1527</v>
      </c>
      <c r="M1506" s="5">
        <v>1666</v>
      </c>
      <c r="N1506" s="5" t="s">
        <v>170</v>
      </c>
      <c r="O1506" s="6" t="s">
        <v>81</v>
      </c>
      <c r="P1506" s="6" t="s">
        <v>1503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+VLOOKUP(G1506,Liste!$A$7:$G$69,3,FALSE)</f>
        <v>Chêne sessile</v>
      </c>
      <c r="BI1506" s="96" t="str">
        <f>+VLOOKUP(H1506,Liste!$B$7:$G$69,5,FALSE)</f>
        <v>Guide chênaie atlantique</v>
      </c>
      <c r="BJ1506" s="135">
        <f t="shared" si="453"/>
        <v>106</v>
      </c>
      <c r="BK1506" s="135" t="str">
        <f t="shared" si="455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97" t="str">
        <f>+VLOOKUP(G1506,Liste!$A$7:$H$69,8,FALSE)</f>
        <v>Feuillus</v>
      </c>
      <c r="BU1506" s="297">
        <f t="shared" si="456"/>
        <v>1</v>
      </c>
      <c r="BV1506" s="299">
        <f t="shared" si="457"/>
        <v>0</v>
      </c>
      <c r="BW1506" s="318">
        <v>0</v>
      </c>
      <c r="BX1506" s="297">
        <f t="shared" si="458"/>
        <v>0.25</v>
      </c>
      <c r="BY1506">
        <f t="shared" si="459"/>
        <v>0</v>
      </c>
      <c r="BZ1506" s="303">
        <f t="shared" si="460"/>
        <v>0</v>
      </c>
      <c r="CB1506" s="298">
        <v>0.6</v>
      </c>
      <c r="CC1506" s="298">
        <v>0.4</v>
      </c>
      <c r="CD1506">
        <f t="shared" si="461"/>
        <v>0</v>
      </c>
      <c r="CE1506">
        <f t="shared" si="462"/>
        <v>0</v>
      </c>
      <c r="CF1506">
        <f t="shared" si="463"/>
        <v>0</v>
      </c>
      <c r="CG1506">
        <f t="shared" si="464"/>
        <v>0</v>
      </c>
      <c r="CH1506">
        <f t="shared" si="465"/>
        <v>0</v>
      </c>
      <c r="CI1506">
        <f t="shared" si="466"/>
        <v>0</v>
      </c>
      <c r="CJ1506">
        <f t="shared" si="467"/>
        <v>0</v>
      </c>
      <c r="CK1506">
        <f t="shared" si="468"/>
        <v>0</v>
      </c>
      <c r="CL1506">
        <f t="shared" si="469"/>
        <v>0</v>
      </c>
      <c r="CM1506">
        <f t="shared" si="471"/>
        <v>0</v>
      </c>
      <c r="CN1506">
        <f t="shared" si="470"/>
        <v>0</v>
      </c>
      <c r="CO1506">
        <f t="shared" si="454"/>
        <v>0</v>
      </c>
    </row>
    <row r="1507" spans="1:93" hidden="1" x14ac:dyDescent="0.25">
      <c r="A1507" s="4">
        <v>2021</v>
      </c>
      <c r="B1507" s="315">
        <v>44361</v>
      </c>
      <c r="C1507" s="4" t="s">
        <v>66</v>
      </c>
      <c r="D1507" s="4" t="s">
        <v>1523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1527</v>
      </c>
      <c r="M1507" s="5">
        <v>1666</v>
      </c>
      <c r="N1507" s="5" t="s">
        <v>170</v>
      </c>
      <c r="O1507" s="6" t="s">
        <v>81</v>
      </c>
      <c r="P1507" s="6" t="s">
        <v>1503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+VLOOKUP(G1507,Liste!$A$7:$G$69,3,FALSE)</f>
        <v>Chêne sessile</v>
      </c>
      <c r="BI1507" s="96" t="str">
        <f>+VLOOKUP(H1507,Liste!$B$7:$G$69,5,FALSE)</f>
        <v>Guide chênaie atlantique</v>
      </c>
      <c r="BJ1507" s="135">
        <f t="shared" si="453"/>
        <v>110</v>
      </c>
      <c r="BK1507" s="135" t="str">
        <f t="shared" si="455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97" t="str">
        <f>+VLOOKUP(G1507,Liste!$A$7:$H$69,8,FALSE)</f>
        <v>Feuillus</v>
      </c>
      <c r="BU1507" s="297">
        <f t="shared" si="456"/>
        <v>1</v>
      </c>
      <c r="BV1507" s="299">
        <f t="shared" si="457"/>
        <v>0</v>
      </c>
      <c r="BW1507" s="318">
        <v>0</v>
      </c>
      <c r="BX1507" s="297">
        <f t="shared" si="458"/>
        <v>0.25</v>
      </c>
      <c r="BY1507">
        <f t="shared" si="459"/>
        <v>0</v>
      </c>
      <c r="BZ1507" s="303">
        <f t="shared" si="460"/>
        <v>0</v>
      </c>
      <c r="CB1507" s="298">
        <v>0.6</v>
      </c>
      <c r="CC1507" s="298">
        <v>0.4</v>
      </c>
      <c r="CD1507">
        <f t="shared" si="461"/>
        <v>0</v>
      </c>
      <c r="CE1507">
        <f t="shared" si="462"/>
        <v>0</v>
      </c>
      <c r="CF1507">
        <f t="shared" si="463"/>
        <v>0</v>
      </c>
      <c r="CG1507">
        <f t="shared" si="464"/>
        <v>0</v>
      </c>
      <c r="CH1507">
        <f t="shared" si="465"/>
        <v>0</v>
      </c>
      <c r="CI1507">
        <f t="shared" si="466"/>
        <v>0</v>
      </c>
      <c r="CJ1507">
        <f t="shared" si="467"/>
        <v>0</v>
      </c>
      <c r="CK1507">
        <f t="shared" si="468"/>
        <v>0</v>
      </c>
      <c r="CL1507">
        <f t="shared" si="469"/>
        <v>0</v>
      </c>
      <c r="CM1507">
        <f t="shared" si="471"/>
        <v>0</v>
      </c>
      <c r="CN1507">
        <f t="shared" si="470"/>
        <v>0</v>
      </c>
      <c r="CO1507">
        <f t="shared" si="454"/>
        <v>0</v>
      </c>
    </row>
    <row r="1508" spans="1:93" hidden="1" x14ac:dyDescent="0.25">
      <c r="A1508" s="4">
        <v>2021</v>
      </c>
      <c r="B1508" s="315">
        <v>44361</v>
      </c>
      <c r="C1508" s="4" t="s">
        <v>66</v>
      </c>
      <c r="D1508" s="4" t="s">
        <v>1523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1527</v>
      </c>
      <c r="M1508" s="5">
        <v>1666</v>
      </c>
      <c r="N1508" s="5" t="s">
        <v>170</v>
      </c>
      <c r="O1508" s="6" t="s">
        <v>81</v>
      </c>
      <c r="P1508" s="6" t="s">
        <v>1503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+VLOOKUP(G1508,Liste!$A$7:$G$69,3,FALSE)</f>
        <v>Chêne sessile</v>
      </c>
      <c r="BI1508" s="96" t="str">
        <f>+VLOOKUP(H1508,Liste!$B$7:$G$69,5,FALSE)</f>
        <v>Guide chênaie atlantique</v>
      </c>
      <c r="BJ1508" s="135">
        <f t="shared" si="453"/>
        <v>110</v>
      </c>
      <c r="BK1508" s="135" t="str">
        <f t="shared" si="455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97" t="str">
        <f>+VLOOKUP(G1508,Liste!$A$7:$H$69,8,FALSE)</f>
        <v>Feuillus</v>
      </c>
      <c r="BU1508" s="297">
        <f t="shared" si="456"/>
        <v>1</v>
      </c>
      <c r="BV1508" s="299">
        <f t="shared" si="457"/>
        <v>0</v>
      </c>
      <c r="BW1508" s="318">
        <v>0</v>
      </c>
      <c r="BX1508" s="297">
        <f t="shared" si="458"/>
        <v>0.25</v>
      </c>
      <c r="BY1508">
        <f t="shared" si="459"/>
        <v>0</v>
      </c>
      <c r="BZ1508" s="303">
        <f t="shared" si="460"/>
        <v>0</v>
      </c>
      <c r="CB1508" s="298">
        <v>0.6</v>
      </c>
      <c r="CC1508" s="298">
        <v>0.4</v>
      </c>
      <c r="CD1508">
        <f t="shared" si="461"/>
        <v>0</v>
      </c>
      <c r="CE1508">
        <f t="shared" si="462"/>
        <v>0</v>
      </c>
      <c r="CF1508">
        <f t="shared" si="463"/>
        <v>0</v>
      </c>
      <c r="CG1508">
        <f t="shared" si="464"/>
        <v>0</v>
      </c>
      <c r="CH1508">
        <f t="shared" si="465"/>
        <v>0</v>
      </c>
      <c r="CI1508">
        <f t="shared" si="466"/>
        <v>0</v>
      </c>
      <c r="CJ1508">
        <f t="shared" si="467"/>
        <v>0</v>
      </c>
      <c r="CK1508">
        <f t="shared" si="468"/>
        <v>0</v>
      </c>
      <c r="CL1508">
        <f t="shared" si="469"/>
        <v>0</v>
      </c>
      <c r="CM1508">
        <f t="shared" si="471"/>
        <v>0</v>
      </c>
      <c r="CN1508">
        <f t="shared" si="470"/>
        <v>0</v>
      </c>
      <c r="CO1508">
        <f t="shared" si="454"/>
        <v>0</v>
      </c>
    </row>
    <row r="1509" spans="1:93" hidden="1" x14ac:dyDescent="0.25">
      <c r="A1509" s="4">
        <v>2021</v>
      </c>
      <c r="B1509" s="315">
        <v>44361</v>
      </c>
      <c r="C1509" s="4" t="s">
        <v>66</v>
      </c>
      <c r="D1509" s="4" t="s">
        <v>1523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1527</v>
      </c>
      <c r="M1509" s="5">
        <v>1666</v>
      </c>
      <c r="N1509" s="5" t="s">
        <v>170</v>
      </c>
      <c r="O1509" s="6" t="s">
        <v>81</v>
      </c>
      <c r="P1509" s="6" t="s">
        <v>1503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+VLOOKUP(G1509,Liste!$A$7:$G$69,3,FALSE)</f>
        <v>Chêne sessile</v>
      </c>
      <c r="BI1509" s="96" t="str">
        <f>+VLOOKUP(H1509,Liste!$B$7:$G$69,5,FALSE)</f>
        <v>Guide chênaie atlantique</v>
      </c>
      <c r="BJ1509" s="135">
        <f t="shared" si="453"/>
        <v>113</v>
      </c>
      <c r="BK1509" s="135" t="str">
        <f t="shared" si="455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97" t="str">
        <f>+VLOOKUP(G1509,Liste!$A$7:$H$69,8,FALSE)</f>
        <v>Feuillus</v>
      </c>
      <c r="BU1509" s="297">
        <f t="shared" si="456"/>
        <v>1</v>
      </c>
      <c r="BV1509" s="299">
        <f t="shared" si="457"/>
        <v>0</v>
      </c>
      <c r="BW1509" s="318">
        <v>0</v>
      </c>
      <c r="BX1509" s="297">
        <f t="shared" si="458"/>
        <v>0.25</v>
      </c>
      <c r="BY1509">
        <f t="shared" si="459"/>
        <v>0</v>
      </c>
      <c r="BZ1509" s="303">
        <f t="shared" si="460"/>
        <v>0</v>
      </c>
      <c r="CB1509" s="298">
        <v>0.6</v>
      </c>
      <c r="CC1509" s="298">
        <v>0.4</v>
      </c>
      <c r="CD1509">
        <f t="shared" si="461"/>
        <v>0</v>
      </c>
      <c r="CE1509">
        <f t="shared" si="462"/>
        <v>0</v>
      </c>
      <c r="CF1509">
        <f t="shared" si="463"/>
        <v>0</v>
      </c>
      <c r="CG1509">
        <f t="shared" si="464"/>
        <v>0</v>
      </c>
      <c r="CH1509">
        <f t="shared" si="465"/>
        <v>0</v>
      </c>
      <c r="CI1509">
        <f t="shared" si="466"/>
        <v>0</v>
      </c>
      <c r="CJ1509">
        <f t="shared" si="467"/>
        <v>0</v>
      </c>
      <c r="CK1509">
        <f t="shared" si="468"/>
        <v>0</v>
      </c>
      <c r="CL1509">
        <f t="shared" si="469"/>
        <v>0</v>
      </c>
      <c r="CM1509">
        <f t="shared" si="471"/>
        <v>0</v>
      </c>
      <c r="CN1509">
        <f t="shared" si="470"/>
        <v>0</v>
      </c>
      <c r="CO1509">
        <f t="shared" si="454"/>
        <v>0</v>
      </c>
    </row>
    <row r="1510" spans="1:93" hidden="1" x14ac:dyDescent="0.25">
      <c r="A1510" s="4">
        <v>2021</v>
      </c>
      <c r="B1510" s="315">
        <v>44361</v>
      </c>
      <c r="C1510" s="4" t="s">
        <v>66</v>
      </c>
      <c r="D1510" s="4" t="s">
        <v>1523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1527</v>
      </c>
      <c r="M1510" s="5">
        <v>1666</v>
      </c>
      <c r="N1510" s="5" t="s">
        <v>170</v>
      </c>
      <c r="O1510" s="6" t="s">
        <v>81</v>
      </c>
      <c r="P1510" s="6" t="s">
        <v>1503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+VLOOKUP(G1510,Liste!$A$7:$G$69,3,FALSE)</f>
        <v>Chêne sessile</v>
      </c>
      <c r="BI1510" s="96" t="str">
        <f>+VLOOKUP(H1510,Liste!$B$7:$G$69,5,FALSE)</f>
        <v>Guide chênaie atlantique</v>
      </c>
      <c r="BJ1510" s="135">
        <f t="shared" si="453"/>
        <v>116</v>
      </c>
      <c r="BK1510" s="135" t="str">
        <f t="shared" si="455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97" t="str">
        <f>+VLOOKUP(G1510,Liste!$A$7:$H$69,8,FALSE)</f>
        <v>Feuillus</v>
      </c>
      <c r="BU1510" s="297">
        <f t="shared" si="456"/>
        <v>1</v>
      </c>
      <c r="BV1510" s="299">
        <f t="shared" si="457"/>
        <v>0</v>
      </c>
      <c r="BW1510" s="318">
        <v>0</v>
      </c>
      <c r="BX1510" s="297">
        <f t="shared" si="458"/>
        <v>0.25</v>
      </c>
      <c r="BY1510">
        <f t="shared" si="459"/>
        <v>0</v>
      </c>
      <c r="BZ1510" s="303">
        <f t="shared" si="460"/>
        <v>0</v>
      </c>
      <c r="CB1510" s="298">
        <v>0.6</v>
      </c>
      <c r="CC1510" s="298">
        <v>0.4</v>
      </c>
      <c r="CD1510">
        <f t="shared" si="461"/>
        <v>0</v>
      </c>
      <c r="CE1510">
        <f t="shared" si="462"/>
        <v>0</v>
      </c>
      <c r="CF1510">
        <f t="shared" si="463"/>
        <v>0</v>
      </c>
      <c r="CG1510">
        <f t="shared" si="464"/>
        <v>0</v>
      </c>
      <c r="CH1510">
        <f t="shared" si="465"/>
        <v>0</v>
      </c>
      <c r="CI1510">
        <f t="shared" si="466"/>
        <v>0</v>
      </c>
      <c r="CJ1510">
        <f t="shared" si="467"/>
        <v>0</v>
      </c>
      <c r="CK1510">
        <f t="shared" si="468"/>
        <v>0</v>
      </c>
      <c r="CL1510">
        <f t="shared" si="469"/>
        <v>0</v>
      </c>
      <c r="CM1510">
        <f t="shared" si="471"/>
        <v>0</v>
      </c>
      <c r="CN1510">
        <f t="shared" si="470"/>
        <v>0</v>
      </c>
      <c r="CO1510">
        <f t="shared" si="454"/>
        <v>0</v>
      </c>
    </row>
    <row r="1511" spans="1:93" hidden="1" x14ac:dyDescent="0.25">
      <c r="A1511" s="4">
        <v>2021</v>
      </c>
      <c r="B1511" s="315">
        <v>44361</v>
      </c>
      <c r="C1511" s="4" t="s">
        <v>66</v>
      </c>
      <c r="D1511" s="4" t="s">
        <v>1523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1527</v>
      </c>
      <c r="M1511" s="5">
        <v>1666</v>
      </c>
      <c r="N1511" s="5" t="s">
        <v>170</v>
      </c>
      <c r="O1511" s="6" t="s">
        <v>81</v>
      </c>
      <c r="P1511" s="6" t="s">
        <v>1503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+VLOOKUP(G1511,Liste!$A$7:$G$69,3,FALSE)</f>
        <v>Chêne sessile</v>
      </c>
      <c r="BI1511" s="96" t="str">
        <f>+VLOOKUP(H1511,Liste!$B$7:$G$69,5,FALSE)</f>
        <v>Guide chênaie atlantique</v>
      </c>
      <c r="BJ1511" s="135">
        <f t="shared" si="453"/>
        <v>120</v>
      </c>
      <c r="BK1511" s="135" t="str">
        <f t="shared" si="455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97" t="str">
        <f>+VLOOKUP(G1511,Liste!$A$7:$H$69,8,FALSE)</f>
        <v>Feuillus</v>
      </c>
      <c r="BU1511" s="297">
        <f t="shared" si="456"/>
        <v>1</v>
      </c>
      <c r="BV1511" s="299">
        <f t="shared" si="457"/>
        <v>0</v>
      </c>
      <c r="BW1511" s="318">
        <v>0</v>
      </c>
      <c r="BX1511" s="297">
        <f t="shared" si="458"/>
        <v>0.25</v>
      </c>
      <c r="BY1511">
        <f t="shared" si="459"/>
        <v>0</v>
      </c>
      <c r="BZ1511" s="303">
        <f t="shared" si="460"/>
        <v>0</v>
      </c>
      <c r="CB1511" s="298">
        <v>0.6</v>
      </c>
      <c r="CC1511" s="298">
        <v>0.4</v>
      </c>
      <c r="CD1511">
        <f t="shared" si="461"/>
        <v>0</v>
      </c>
      <c r="CE1511">
        <f t="shared" si="462"/>
        <v>0</v>
      </c>
      <c r="CF1511">
        <f t="shared" si="463"/>
        <v>0</v>
      </c>
      <c r="CG1511">
        <f t="shared" si="464"/>
        <v>0</v>
      </c>
      <c r="CH1511">
        <f t="shared" si="465"/>
        <v>0</v>
      </c>
      <c r="CI1511">
        <f t="shared" si="466"/>
        <v>0</v>
      </c>
      <c r="CJ1511">
        <f t="shared" si="467"/>
        <v>0</v>
      </c>
      <c r="CK1511">
        <f t="shared" si="468"/>
        <v>0</v>
      </c>
      <c r="CL1511">
        <f t="shared" si="469"/>
        <v>0</v>
      </c>
      <c r="CM1511">
        <f t="shared" si="471"/>
        <v>0</v>
      </c>
      <c r="CN1511">
        <f t="shared" si="470"/>
        <v>0</v>
      </c>
      <c r="CO1511">
        <f t="shared" si="454"/>
        <v>0</v>
      </c>
    </row>
    <row r="1512" spans="1:93" hidden="1" x14ac:dyDescent="0.25">
      <c r="A1512" s="4">
        <v>2021</v>
      </c>
      <c r="B1512" s="315">
        <v>44361</v>
      </c>
      <c r="C1512" s="4" t="s">
        <v>66</v>
      </c>
      <c r="D1512" s="4" t="s">
        <v>1523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1527</v>
      </c>
      <c r="M1512" s="5">
        <v>1666</v>
      </c>
      <c r="N1512" s="5" t="s">
        <v>170</v>
      </c>
      <c r="O1512" s="6" t="s">
        <v>81</v>
      </c>
      <c r="P1512" s="6" t="s">
        <v>1503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+VLOOKUP(G1512,Liste!$A$7:$G$69,3,FALSE)</f>
        <v>Chêne sessile</v>
      </c>
      <c r="BI1512" s="96" t="str">
        <f>+VLOOKUP(H1512,Liste!$B$7:$G$69,5,FALSE)</f>
        <v>Guide chênaie atlantique</v>
      </c>
      <c r="BJ1512" s="135">
        <f t="shared" si="453"/>
        <v>120</v>
      </c>
      <c r="BK1512" s="135" t="str">
        <f t="shared" si="455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97" t="str">
        <f>+VLOOKUP(G1512,Liste!$A$7:$H$69,8,FALSE)</f>
        <v>Feuillus</v>
      </c>
      <c r="BU1512" s="297">
        <f t="shared" si="456"/>
        <v>1</v>
      </c>
      <c r="BV1512" s="299">
        <f t="shared" si="457"/>
        <v>0</v>
      </c>
      <c r="BW1512" s="318">
        <v>0</v>
      </c>
      <c r="BX1512" s="297">
        <f t="shared" si="458"/>
        <v>0.25</v>
      </c>
      <c r="BY1512">
        <f t="shared" si="459"/>
        <v>0</v>
      </c>
      <c r="BZ1512" s="303">
        <f t="shared" si="460"/>
        <v>0</v>
      </c>
      <c r="CB1512" s="298">
        <v>0.6</v>
      </c>
      <c r="CC1512" s="298">
        <v>0.4</v>
      </c>
      <c r="CD1512">
        <f t="shared" si="461"/>
        <v>0</v>
      </c>
      <c r="CE1512">
        <f t="shared" si="462"/>
        <v>0</v>
      </c>
      <c r="CF1512">
        <f t="shared" si="463"/>
        <v>0</v>
      </c>
      <c r="CG1512">
        <f t="shared" si="464"/>
        <v>0</v>
      </c>
      <c r="CH1512">
        <f t="shared" si="465"/>
        <v>0</v>
      </c>
      <c r="CI1512">
        <f t="shared" si="466"/>
        <v>0</v>
      </c>
      <c r="CJ1512">
        <f t="shared" si="467"/>
        <v>0</v>
      </c>
      <c r="CK1512">
        <f t="shared" si="468"/>
        <v>0</v>
      </c>
      <c r="CL1512">
        <f t="shared" si="469"/>
        <v>0</v>
      </c>
      <c r="CM1512">
        <f t="shared" si="471"/>
        <v>0</v>
      </c>
      <c r="CN1512">
        <f t="shared" si="470"/>
        <v>0</v>
      </c>
      <c r="CO1512">
        <f t="shared" si="454"/>
        <v>0</v>
      </c>
    </row>
    <row r="1513" spans="1:93" hidden="1" x14ac:dyDescent="0.25">
      <c r="A1513" s="4">
        <v>2021</v>
      </c>
      <c r="B1513" s="315">
        <v>44361</v>
      </c>
      <c r="C1513" s="4" t="s">
        <v>66</v>
      </c>
      <c r="D1513" s="4" t="s">
        <v>1523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1527</v>
      </c>
      <c r="M1513" s="5">
        <v>1666</v>
      </c>
      <c r="N1513" s="5" t="s">
        <v>170</v>
      </c>
      <c r="O1513" s="6" t="s">
        <v>81</v>
      </c>
      <c r="P1513" s="6" t="s">
        <v>1503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+VLOOKUP(G1513,Liste!$A$7:$G$69,3,FALSE)</f>
        <v>Chêne sessile</v>
      </c>
      <c r="BI1513" s="96" t="str">
        <f>+VLOOKUP(H1513,Liste!$B$7:$G$69,5,FALSE)</f>
        <v>Guide chênaie atlantique</v>
      </c>
      <c r="BJ1513" s="135">
        <f t="shared" si="453"/>
        <v>123</v>
      </c>
      <c r="BK1513" s="135" t="str">
        <f t="shared" si="455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97" t="str">
        <f>+VLOOKUP(G1513,Liste!$A$7:$H$69,8,FALSE)</f>
        <v>Feuillus</v>
      </c>
      <c r="BU1513" s="297">
        <f t="shared" si="456"/>
        <v>1</v>
      </c>
      <c r="BV1513" s="299">
        <f t="shared" si="457"/>
        <v>0</v>
      </c>
      <c r="BW1513" s="318">
        <v>0</v>
      </c>
      <c r="BX1513" s="297">
        <f t="shared" si="458"/>
        <v>0.25</v>
      </c>
      <c r="BY1513">
        <f t="shared" si="459"/>
        <v>0</v>
      </c>
      <c r="BZ1513" s="303">
        <f t="shared" si="460"/>
        <v>0</v>
      </c>
      <c r="CB1513" s="298">
        <v>0.6</v>
      </c>
      <c r="CC1513" s="298">
        <v>0.4</v>
      </c>
      <c r="CD1513">
        <f t="shared" si="461"/>
        <v>0</v>
      </c>
      <c r="CE1513">
        <f t="shared" si="462"/>
        <v>0</v>
      </c>
      <c r="CF1513">
        <f t="shared" si="463"/>
        <v>0</v>
      </c>
      <c r="CG1513">
        <f t="shared" si="464"/>
        <v>0</v>
      </c>
      <c r="CH1513">
        <f t="shared" si="465"/>
        <v>0</v>
      </c>
      <c r="CI1513">
        <f t="shared" si="466"/>
        <v>0</v>
      </c>
      <c r="CJ1513">
        <f t="shared" si="467"/>
        <v>0</v>
      </c>
      <c r="CK1513">
        <f t="shared" si="468"/>
        <v>0</v>
      </c>
      <c r="CL1513">
        <f t="shared" si="469"/>
        <v>0</v>
      </c>
      <c r="CM1513">
        <f t="shared" si="471"/>
        <v>0</v>
      </c>
      <c r="CN1513">
        <f t="shared" si="470"/>
        <v>0</v>
      </c>
      <c r="CO1513">
        <f t="shared" si="454"/>
        <v>0</v>
      </c>
    </row>
    <row r="1514" spans="1:93" hidden="1" x14ac:dyDescent="0.25">
      <c r="A1514" s="4">
        <v>2021</v>
      </c>
      <c r="B1514" s="315">
        <v>44361</v>
      </c>
      <c r="C1514" s="4" t="s">
        <v>66</v>
      </c>
      <c r="D1514" s="4" t="s">
        <v>1523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1527</v>
      </c>
      <c r="M1514" s="5">
        <v>1666</v>
      </c>
      <c r="N1514" s="5" t="s">
        <v>170</v>
      </c>
      <c r="O1514" s="6" t="s">
        <v>81</v>
      </c>
      <c r="P1514" s="6" t="s">
        <v>1503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+VLOOKUP(G1514,Liste!$A$7:$G$69,3,FALSE)</f>
        <v>Chêne sessile</v>
      </c>
      <c r="BI1514" s="96" t="str">
        <f>+VLOOKUP(H1514,Liste!$B$7:$G$69,5,FALSE)</f>
        <v>Guide chênaie atlantique</v>
      </c>
      <c r="BJ1514" s="135">
        <f t="shared" si="453"/>
        <v>126</v>
      </c>
      <c r="BK1514" s="135" t="str">
        <f t="shared" si="455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97" t="str">
        <f>+VLOOKUP(G1514,Liste!$A$7:$H$69,8,FALSE)</f>
        <v>Feuillus</v>
      </c>
      <c r="BU1514" s="297">
        <f t="shared" si="456"/>
        <v>1</v>
      </c>
      <c r="BV1514" s="299">
        <f t="shared" si="457"/>
        <v>0</v>
      </c>
      <c r="BW1514" s="318">
        <v>0</v>
      </c>
      <c r="BX1514" s="297">
        <f t="shared" si="458"/>
        <v>0.25</v>
      </c>
      <c r="BY1514">
        <f t="shared" si="459"/>
        <v>0</v>
      </c>
      <c r="BZ1514" s="303">
        <f t="shared" si="460"/>
        <v>0</v>
      </c>
      <c r="CB1514" s="298">
        <v>0.6</v>
      </c>
      <c r="CC1514" s="298">
        <v>0.4</v>
      </c>
      <c r="CD1514">
        <f t="shared" si="461"/>
        <v>0</v>
      </c>
      <c r="CE1514">
        <f t="shared" si="462"/>
        <v>0</v>
      </c>
      <c r="CF1514">
        <f t="shared" si="463"/>
        <v>0</v>
      </c>
      <c r="CG1514">
        <f t="shared" si="464"/>
        <v>0</v>
      </c>
      <c r="CH1514">
        <f t="shared" si="465"/>
        <v>0</v>
      </c>
      <c r="CI1514">
        <f t="shared" si="466"/>
        <v>0</v>
      </c>
      <c r="CJ1514">
        <f t="shared" si="467"/>
        <v>0</v>
      </c>
      <c r="CK1514">
        <f t="shared" si="468"/>
        <v>0</v>
      </c>
      <c r="CL1514">
        <f t="shared" si="469"/>
        <v>0</v>
      </c>
      <c r="CM1514">
        <f t="shared" si="471"/>
        <v>0</v>
      </c>
      <c r="CN1514">
        <f t="shared" si="470"/>
        <v>0</v>
      </c>
      <c r="CO1514">
        <f t="shared" si="454"/>
        <v>0</v>
      </c>
    </row>
    <row r="1515" spans="1:93" hidden="1" x14ac:dyDescent="0.25">
      <c r="A1515" s="4">
        <v>2021</v>
      </c>
      <c r="B1515" s="315">
        <v>44361</v>
      </c>
      <c r="C1515" s="4" t="s">
        <v>66</v>
      </c>
      <c r="D1515" s="4" t="s">
        <v>1523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1527</v>
      </c>
      <c r="M1515" s="5">
        <v>1666</v>
      </c>
      <c r="N1515" s="5" t="s">
        <v>170</v>
      </c>
      <c r="O1515" s="6" t="s">
        <v>81</v>
      </c>
      <c r="P1515" s="6" t="s">
        <v>1503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+VLOOKUP(G1515,Liste!$A$7:$G$69,3,FALSE)</f>
        <v>Chêne sessile</v>
      </c>
      <c r="BI1515" s="96" t="str">
        <f>+VLOOKUP(H1515,Liste!$B$7:$G$69,5,FALSE)</f>
        <v>Guide chênaie atlantique</v>
      </c>
      <c r="BJ1515" s="135">
        <f t="shared" si="453"/>
        <v>130</v>
      </c>
      <c r="BK1515" s="135" t="str">
        <f t="shared" si="455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97" t="str">
        <f>+VLOOKUP(G1515,Liste!$A$7:$H$69,8,FALSE)</f>
        <v>Feuillus</v>
      </c>
      <c r="BU1515" s="297">
        <f t="shared" si="456"/>
        <v>1</v>
      </c>
      <c r="BV1515" s="299">
        <f t="shared" si="457"/>
        <v>0</v>
      </c>
      <c r="BW1515" s="318">
        <v>0</v>
      </c>
      <c r="BX1515" s="297">
        <f t="shared" si="458"/>
        <v>0.25</v>
      </c>
      <c r="BY1515">
        <f t="shared" si="459"/>
        <v>0</v>
      </c>
      <c r="BZ1515" s="303">
        <f t="shared" si="460"/>
        <v>0</v>
      </c>
      <c r="CB1515" s="298">
        <v>0.6</v>
      </c>
      <c r="CC1515" s="298">
        <v>0.4</v>
      </c>
      <c r="CD1515">
        <f t="shared" si="461"/>
        <v>0</v>
      </c>
      <c r="CE1515">
        <f t="shared" si="462"/>
        <v>0</v>
      </c>
      <c r="CF1515">
        <f t="shared" si="463"/>
        <v>0</v>
      </c>
      <c r="CG1515">
        <f t="shared" si="464"/>
        <v>0</v>
      </c>
      <c r="CH1515">
        <f t="shared" si="465"/>
        <v>0</v>
      </c>
      <c r="CI1515">
        <f t="shared" si="466"/>
        <v>0</v>
      </c>
      <c r="CJ1515">
        <f t="shared" si="467"/>
        <v>0</v>
      </c>
      <c r="CK1515">
        <f t="shared" si="468"/>
        <v>0</v>
      </c>
      <c r="CL1515">
        <f t="shared" si="469"/>
        <v>0</v>
      </c>
      <c r="CM1515">
        <f t="shared" si="471"/>
        <v>0</v>
      </c>
      <c r="CN1515">
        <f t="shared" si="470"/>
        <v>0</v>
      </c>
      <c r="CO1515">
        <f t="shared" si="454"/>
        <v>0</v>
      </c>
    </row>
    <row r="1516" spans="1:93" hidden="1" x14ac:dyDescent="0.25">
      <c r="A1516" s="4">
        <v>2021</v>
      </c>
      <c r="B1516" s="315">
        <v>44361</v>
      </c>
      <c r="C1516" s="4" t="s">
        <v>66</v>
      </c>
      <c r="D1516" s="4" t="s">
        <v>1523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1527</v>
      </c>
      <c r="M1516" s="5">
        <v>1666</v>
      </c>
      <c r="N1516" s="5" t="s">
        <v>170</v>
      </c>
      <c r="O1516" s="6" t="s">
        <v>81</v>
      </c>
      <c r="P1516" s="6" t="s">
        <v>1503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+VLOOKUP(G1516,Liste!$A$7:$G$69,3,FALSE)</f>
        <v>Chêne sessile</v>
      </c>
      <c r="BI1516" s="96" t="str">
        <f>+VLOOKUP(H1516,Liste!$B$7:$G$69,5,FALSE)</f>
        <v>Guide chênaie atlantique</v>
      </c>
      <c r="BJ1516" s="135">
        <f t="shared" si="453"/>
        <v>130</v>
      </c>
      <c r="BK1516" s="135" t="str">
        <f t="shared" si="455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97" t="str">
        <f>+VLOOKUP(G1516,Liste!$A$7:$H$69,8,FALSE)</f>
        <v>Feuillus</v>
      </c>
      <c r="BU1516" s="297">
        <f t="shared" si="456"/>
        <v>1</v>
      </c>
      <c r="BV1516" s="299">
        <f t="shared" si="457"/>
        <v>0</v>
      </c>
      <c r="BW1516" s="318">
        <v>0</v>
      </c>
      <c r="BX1516" s="297">
        <f t="shared" si="458"/>
        <v>0.25</v>
      </c>
      <c r="BY1516">
        <f t="shared" si="459"/>
        <v>0</v>
      </c>
      <c r="BZ1516" s="303">
        <f t="shared" si="460"/>
        <v>0</v>
      </c>
      <c r="CB1516" s="298">
        <v>0.6</v>
      </c>
      <c r="CC1516" s="298">
        <v>0.4</v>
      </c>
      <c r="CD1516">
        <f t="shared" si="461"/>
        <v>0</v>
      </c>
      <c r="CE1516">
        <f t="shared" si="462"/>
        <v>0</v>
      </c>
      <c r="CF1516">
        <f t="shared" si="463"/>
        <v>0</v>
      </c>
      <c r="CG1516">
        <f t="shared" si="464"/>
        <v>0</v>
      </c>
      <c r="CH1516">
        <f t="shared" si="465"/>
        <v>0</v>
      </c>
      <c r="CI1516">
        <f t="shared" si="466"/>
        <v>0</v>
      </c>
      <c r="CJ1516">
        <f t="shared" si="467"/>
        <v>0</v>
      </c>
      <c r="CK1516">
        <f t="shared" si="468"/>
        <v>0</v>
      </c>
      <c r="CL1516">
        <f t="shared" si="469"/>
        <v>0</v>
      </c>
      <c r="CM1516">
        <f t="shared" si="471"/>
        <v>0</v>
      </c>
      <c r="CN1516">
        <f t="shared" si="470"/>
        <v>0</v>
      </c>
      <c r="CO1516">
        <f t="shared" si="454"/>
        <v>0</v>
      </c>
    </row>
    <row r="1517" spans="1:93" hidden="1" x14ac:dyDescent="0.25">
      <c r="A1517" s="4">
        <v>2021</v>
      </c>
      <c r="B1517" s="315">
        <v>44361</v>
      </c>
      <c r="C1517" s="4" t="s">
        <v>66</v>
      </c>
      <c r="D1517" s="4" t="s">
        <v>1523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1527</v>
      </c>
      <c r="M1517" s="5">
        <v>1666</v>
      </c>
      <c r="N1517" s="5" t="s">
        <v>170</v>
      </c>
      <c r="O1517" s="6" t="s">
        <v>81</v>
      </c>
      <c r="P1517" s="6" t="s">
        <v>1503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+VLOOKUP(G1517,Liste!$A$7:$G$69,3,FALSE)</f>
        <v>Chêne sessile</v>
      </c>
      <c r="BI1517" s="96" t="str">
        <f>+VLOOKUP(H1517,Liste!$B$7:$G$69,5,FALSE)</f>
        <v>Guide chênaie atlantique</v>
      </c>
      <c r="BJ1517" s="135">
        <f t="shared" si="453"/>
        <v>133</v>
      </c>
      <c r="BK1517" s="135" t="str">
        <f t="shared" si="455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97" t="str">
        <f>+VLOOKUP(G1517,Liste!$A$7:$H$69,8,FALSE)</f>
        <v>Feuillus</v>
      </c>
      <c r="BU1517" s="297">
        <f t="shared" si="456"/>
        <v>1</v>
      </c>
      <c r="BV1517" s="299">
        <f t="shared" si="457"/>
        <v>0</v>
      </c>
      <c r="BW1517" s="318">
        <v>0</v>
      </c>
      <c r="BX1517" s="297">
        <f t="shared" si="458"/>
        <v>0.25</v>
      </c>
      <c r="BY1517">
        <f t="shared" si="459"/>
        <v>0</v>
      </c>
      <c r="BZ1517" s="303">
        <f t="shared" si="460"/>
        <v>0</v>
      </c>
      <c r="CB1517" s="298">
        <v>0.6</v>
      </c>
      <c r="CC1517" s="298">
        <v>0.4</v>
      </c>
      <c r="CD1517">
        <f t="shared" si="461"/>
        <v>0</v>
      </c>
      <c r="CE1517">
        <f t="shared" si="462"/>
        <v>0</v>
      </c>
      <c r="CF1517">
        <f t="shared" si="463"/>
        <v>0</v>
      </c>
      <c r="CG1517">
        <f t="shared" si="464"/>
        <v>0</v>
      </c>
      <c r="CH1517">
        <f t="shared" si="465"/>
        <v>0</v>
      </c>
      <c r="CI1517">
        <f t="shared" si="466"/>
        <v>0</v>
      </c>
      <c r="CJ1517">
        <f t="shared" si="467"/>
        <v>0</v>
      </c>
      <c r="CK1517">
        <f t="shared" si="468"/>
        <v>0</v>
      </c>
      <c r="CL1517">
        <f t="shared" si="469"/>
        <v>0</v>
      </c>
      <c r="CM1517">
        <f t="shared" si="471"/>
        <v>0</v>
      </c>
      <c r="CN1517">
        <f t="shared" si="470"/>
        <v>0</v>
      </c>
      <c r="CO1517">
        <f t="shared" si="454"/>
        <v>0</v>
      </c>
    </row>
    <row r="1518" spans="1:93" hidden="1" x14ac:dyDescent="0.25">
      <c r="A1518" s="4">
        <v>2021</v>
      </c>
      <c r="B1518" s="315">
        <v>44361</v>
      </c>
      <c r="C1518" s="4" t="s">
        <v>66</v>
      </c>
      <c r="D1518" s="4" t="s">
        <v>1523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1527</v>
      </c>
      <c r="M1518" s="5">
        <v>1666</v>
      </c>
      <c r="N1518" s="5" t="s">
        <v>170</v>
      </c>
      <c r="O1518" s="6" t="s">
        <v>81</v>
      </c>
      <c r="P1518" s="6" t="s">
        <v>1503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+VLOOKUP(G1518,Liste!$A$7:$G$69,3,FALSE)</f>
        <v>Chêne sessile</v>
      </c>
      <c r="BI1518" s="96" t="str">
        <f>+VLOOKUP(H1518,Liste!$B$7:$G$69,5,FALSE)</f>
        <v>Guide chênaie atlantique</v>
      </c>
      <c r="BJ1518" s="135">
        <f t="shared" si="453"/>
        <v>136</v>
      </c>
      <c r="BK1518" s="135" t="str">
        <f t="shared" si="455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97" t="str">
        <f>+VLOOKUP(G1518,Liste!$A$7:$H$69,8,FALSE)</f>
        <v>Feuillus</v>
      </c>
      <c r="BU1518" s="297">
        <f t="shared" si="456"/>
        <v>1</v>
      </c>
      <c r="BV1518" s="299">
        <f t="shared" si="457"/>
        <v>0</v>
      </c>
      <c r="BW1518" s="318">
        <v>0</v>
      </c>
      <c r="BX1518" s="297">
        <f t="shared" si="458"/>
        <v>0.25</v>
      </c>
      <c r="BY1518">
        <f t="shared" si="459"/>
        <v>0</v>
      </c>
      <c r="BZ1518" s="303">
        <f t="shared" si="460"/>
        <v>0</v>
      </c>
      <c r="CB1518" s="298">
        <v>0.6</v>
      </c>
      <c r="CC1518" s="298">
        <v>0.4</v>
      </c>
      <c r="CD1518">
        <f t="shared" si="461"/>
        <v>0</v>
      </c>
      <c r="CE1518">
        <f t="shared" si="462"/>
        <v>0</v>
      </c>
      <c r="CF1518">
        <f t="shared" si="463"/>
        <v>0</v>
      </c>
      <c r="CG1518">
        <f t="shared" si="464"/>
        <v>0</v>
      </c>
      <c r="CH1518">
        <f t="shared" si="465"/>
        <v>0</v>
      </c>
      <c r="CI1518">
        <f t="shared" si="466"/>
        <v>0</v>
      </c>
      <c r="CJ1518">
        <f t="shared" si="467"/>
        <v>0</v>
      </c>
      <c r="CK1518">
        <f t="shared" si="468"/>
        <v>0</v>
      </c>
      <c r="CL1518">
        <f t="shared" si="469"/>
        <v>0</v>
      </c>
      <c r="CM1518">
        <f t="shared" si="471"/>
        <v>0</v>
      </c>
      <c r="CN1518">
        <f t="shared" si="470"/>
        <v>0</v>
      </c>
      <c r="CO1518">
        <f t="shared" si="454"/>
        <v>0</v>
      </c>
    </row>
    <row r="1519" spans="1:93" hidden="1" x14ac:dyDescent="0.25">
      <c r="A1519" s="4">
        <v>2021</v>
      </c>
      <c r="B1519" s="315">
        <v>44361</v>
      </c>
      <c r="C1519" s="4" t="s">
        <v>66</v>
      </c>
      <c r="D1519" s="4" t="s">
        <v>1523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1527</v>
      </c>
      <c r="M1519" s="5">
        <v>1666</v>
      </c>
      <c r="N1519" s="5" t="s">
        <v>170</v>
      </c>
      <c r="O1519" s="6" t="s">
        <v>81</v>
      </c>
      <c r="P1519" s="6" t="s">
        <v>1503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+VLOOKUP(G1519,Liste!$A$7:$G$69,3,FALSE)</f>
        <v>Chêne sessile</v>
      </c>
      <c r="BI1519" s="96" t="str">
        <f>+VLOOKUP(H1519,Liste!$B$7:$G$69,5,FALSE)</f>
        <v>Guide chênaie atlantique</v>
      </c>
      <c r="BJ1519" s="135">
        <f t="shared" si="453"/>
        <v>140</v>
      </c>
      <c r="BK1519" s="135" t="str">
        <f t="shared" si="455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97" t="str">
        <f>+VLOOKUP(G1519,Liste!$A$7:$H$69,8,FALSE)</f>
        <v>Feuillus</v>
      </c>
      <c r="BU1519" s="297">
        <f t="shared" si="456"/>
        <v>1</v>
      </c>
      <c r="BV1519" s="299">
        <f t="shared" si="457"/>
        <v>0</v>
      </c>
      <c r="BW1519" s="318">
        <v>0</v>
      </c>
      <c r="BX1519" s="297">
        <f t="shared" si="458"/>
        <v>0.25</v>
      </c>
      <c r="BY1519">
        <f t="shared" si="459"/>
        <v>0</v>
      </c>
      <c r="BZ1519" s="303">
        <f t="shared" si="460"/>
        <v>0</v>
      </c>
      <c r="CB1519" s="298">
        <v>0.6</v>
      </c>
      <c r="CC1519" s="298">
        <v>0.4</v>
      </c>
      <c r="CD1519">
        <f t="shared" si="461"/>
        <v>0</v>
      </c>
      <c r="CE1519">
        <f t="shared" si="462"/>
        <v>0</v>
      </c>
      <c r="CF1519">
        <f t="shared" si="463"/>
        <v>0</v>
      </c>
      <c r="CG1519">
        <f t="shared" si="464"/>
        <v>0</v>
      </c>
      <c r="CH1519">
        <f t="shared" si="465"/>
        <v>0</v>
      </c>
      <c r="CI1519">
        <f t="shared" si="466"/>
        <v>0</v>
      </c>
      <c r="CJ1519">
        <f t="shared" si="467"/>
        <v>0</v>
      </c>
      <c r="CK1519">
        <f t="shared" si="468"/>
        <v>0</v>
      </c>
      <c r="CL1519">
        <f t="shared" si="469"/>
        <v>0</v>
      </c>
      <c r="CM1519">
        <f t="shared" si="471"/>
        <v>0</v>
      </c>
      <c r="CN1519">
        <f t="shared" si="470"/>
        <v>0</v>
      </c>
      <c r="CO1519">
        <f t="shared" si="454"/>
        <v>0</v>
      </c>
    </row>
    <row r="1520" spans="1:93" hidden="1" x14ac:dyDescent="0.25">
      <c r="A1520" s="4">
        <v>2021</v>
      </c>
      <c r="B1520" s="315">
        <v>44361</v>
      </c>
      <c r="C1520" s="4" t="s">
        <v>66</v>
      </c>
      <c r="D1520" s="4" t="s">
        <v>1523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1527</v>
      </c>
      <c r="M1520" s="5">
        <v>1666</v>
      </c>
      <c r="N1520" s="5" t="s">
        <v>170</v>
      </c>
      <c r="O1520" s="6" t="s">
        <v>81</v>
      </c>
      <c r="P1520" s="6" t="s">
        <v>1503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+VLOOKUP(G1520,Liste!$A$7:$G$69,3,FALSE)</f>
        <v>Chêne sessile</v>
      </c>
      <c r="BI1520" s="96" t="str">
        <f>+VLOOKUP(H1520,Liste!$B$7:$G$69,5,FALSE)</f>
        <v>Guide chênaie atlantique</v>
      </c>
      <c r="BJ1520" s="135">
        <f t="shared" si="453"/>
        <v>140</v>
      </c>
      <c r="BK1520" s="135" t="str">
        <f t="shared" si="455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97" t="str">
        <f>+VLOOKUP(G1520,Liste!$A$7:$H$69,8,FALSE)</f>
        <v>Feuillus</v>
      </c>
      <c r="BU1520" s="297">
        <f t="shared" si="456"/>
        <v>1</v>
      </c>
      <c r="BV1520" s="299">
        <f t="shared" si="457"/>
        <v>0</v>
      </c>
      <c r="BW1520" s="318">
        <v>0</v>
      </c>
      <c r="BX1520" s="297">
        <f t="shared" si="458"/>
        <v>0.25</v>
      </c>
      <c r="BY1520">
        <f t="shared" si="459"/>
        <v>0</v>
      </c>
      <c r="BZ1520" s="303">
        <f t="shared" si="460"/>
        <v>0</v>
      </c>
      <c r="CB1520" s="298">
        <v>0.6</v>
      </c>
      <c r="CC1520" s="298">
        <v>0.4</v>
      </c>
      <c r="CD1520">
        <f t="shared" si="461"/>
        <v>0</v>
      </c>
      <c r="CE1520">
        <f t="shared" si="462"/>
        <v>0</v>
      </c>
      <c r="CF1520">
        <f t="shared" si="463"/>
        <v>0</v>
      </c>
      <c r="CG1520">
        <f t="shared" si="464"/>
        <v>0</v>
      </c>
      <c r="CH1520">
        <f t="shared" si="465"/>
        <v>0</v>
      </c>
      <c r="CI1520">
        <f t="shared" si="466"/>
        <v>0</v>
      </c>
      <c r="CJ1520">
        <f t="shared" si="467"/>
        <v>0</v>
      </c>
      <c r="CK1520">
        <f t="shared" si="468"/>
        <v>0</v>
      </c>
      <c r="CL1520">
        <f t="shared" si="469"/>
        <v>0</v>
      </c>
      <c r="CM1520">
        <f t="shared" si="471"/>
        <v>0</v>
      </c>
      <c r="CN1520">
        <f t="shared" si="470"/>
        <v>0</v>
      </c>
      <c r="CO1520">
        <f t="shared" si="454"/>
        <v>0</v>
      </c>
    </row>
    <row r="1521" spans="1:93" hidden="1" x14ac:dyDescent="0.25">
      <c r="A1521" s="4">
        <v>2021</v>
      </c>
      <c r="B1521" s="315">
        <v>44361</v>
      </c>
      <c r="C1521" s="4" t="s">
        <v>66</v>
      </c>
      <c r="D1521" s="4" t="s">
        <v>1523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1527</v>
      </c>
      <c r="M1521" s="5">
        <v>1666</v>
      </c>
      <c r="N1521" s="5" t="s">
        <v>170</v>
      </c>
      <c r="O1521" s="6" t="s">
        <v>81</v>
      </c>
      <c r="P1521" s="6" t="s">
        <v>1503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+VLOOKUP(G1521,Liste!$A$7:$G$69,3,FALSE)</f>
        <v>Chêne sessile</v>
      </c>
      <c r="BI1521" s="96" t="str">
        <f>+VLOOKUP(H1521,Liste!$B$7:$G$69,5,FALSE)</f>
        <v>Guide chênaie atlantique</v>
      </c>
      <c r="BJ1521" s="135">
        <f t="shared" si="453"/>
        <v>143</v>
      </c>
      <c r="BK1521" s="135" t="str">
        <f t="shared" si="455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97" t="str">
        <f>+VLOOKUP(G1521,Liste!$A$7:$H$69,8,FALSE)</f>
        <v>Feuillus</v>
      </c>
      <c r="BU1521" s="297">
        <f t="shared" si="456"/>
        <v>1</v>
      </c>
      <c r="BV1521" s="299">
        <f t="shared" si="457"/>
        <v>0</v>
      </c>
      <c r="BW1521" s="318">
        <v>0</v>
      </c>
      <c r="BX1521" s="297">
        <f t="shared" si="458"/>
        <v>0.25</v>
      </c>
      <c r="BY1521">
        <f t="shared" si="459"/>
        <v>0</v>
      </c>
      <c r="BZ1521" s="303">
        <f t="shared" si="460"/>
        <v>0</v>
      </c>
      <c r="CB1521" s="298">
        <v>0.6</v>
      </c>
      <c r="CC1521" s="298">
        <v>0.4</v>
      </c>
      <c r="CD1521">
        <f t="shared" si="461"/>
        <v>0</v>
      </c>
      <c r="CE1521">
        <f t="shared" si="462"/>
        <v>0</v>
      </c>
      <c r="CF1521">
        <f t="shared" si="463"/>
        <v>0</v>
      </c>
      <c r="CG1521">
        <f t="shared" si="464"/>
        <v>0</v>
      </c>
      <c r="CH1521">
        <f t="shared" si="465"/>
        <v>0</v>
      </c>
      <c r="CI1521">
        <f t="shared" si="466"/>
        <v>0</v>
      </c>
      <c r="CJ1521">
        <f t="shared" si="467"/>
        <v>0</v>
      </c>
      <c r="CK1521">
        <f t="shared" si="468"/>
        <v>0</v>
      </c>
      <c r="CL1521">
        <f t="shared" si="469"/>
        <v>0</v>
      </c>
      <c r="CM1521">
        <f t="shared" si="471"/>
        <v>0</v>
      </c>
      <c r="CN1521">
        <f t="shared" si="470"/>
        <v>0</v>
      </c>
      <c r="CO1521">
        <f t="shared" si="454"/>
        <v>0</v>
      </c>
    </row>
    <row r="1522" spans="1:93" hidden="1" x14ac:dyDescent="0.25">
      <c r="A1522" s="4">
        <v>2021</v>
      </c>
      <c r="B1522" s="315">
        <v>44361</v>
      </c>
      <c r="C1522" s="4" t="s">
        <v>66</v>
      </c>
      <c r="D1522" s="4" t="s">
        <v>1523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1527</v>
      </c>
      <c r="M1522" s="5">
        <v>1666</v>
      </c>
      <c r="N1522" s="5" t="s">
        <v>170</v>
      </c>
      <c r="O1522" s="6" t="s">
        <v>81</v>
      </c>
      <c r="P1522" s="6" t="s">
        <v>1503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+VLOOKUP(G1522,Liste!$A$7:$G$69,3,FALSE)</f>
        <v>Chêne sessile</v>
      </c>
      <c r="BI1522" s="96" t="str">
        <f>+VLOOKUP(H1522,Liste!$B$7:$G$69,5,FALSE)</f>
        <v>Guide chênaie atlantique</v>
      </c>
      <c r="BJ1522" s="135">
        <f t="shared" si="453"/>
        <v>146</v>
      </c>
      <c r="BK1522" s="135" t="str">
        <f t="shared" si="455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97" t="str">
        <f>+VLOOKUP(G1522,Liste!$A$7:$H$69,8,FALSE)</f>
        <v>Feuillus</v>
      </c>
      <c r="BU1522" s="297">
        <f t="shared" si="456"/>
        <v>1</v>
      </c>
      <c r="BV1522" s="299">
        <f t="shared" si="457"/>
        <v>0</v>
      </c>
      <c r="BW1522" s="318">
        <v>0</v>
      </c>
      <c r="BX1522" s="297">
        <f t="shared" si="458"/>
        <v>0.25</v>
      </c>
      <c r="BY1522">
        <f t="shared" si="459"/>
        <v>0</v>
      </c>
      <c r="BZ1522" s="303">
        <f t="shared" si="460"/>
        <v>0</v>
      </c>
      <c r="CB1522" s="298">
        <v>0.6</v>
      </c>
      <c r="CC1522" s="298">
        <v>0.4</v>
      </c>
      <c r="CD1522">
        <f t="shared" si="461"/>
        <v>0</v>
      </c>
      <c r="CE1522">
        <f t="shared" si="462"/>
        <v>0</v>
      </c>
      <c r="CF1522">
        <f t="shared" si="463"/>
        <v>0</v>
      </c>
      <c r="CG1522">
        <f t="shared" si="464"/>
        <v>0</v>
      </c>
      <c r="CH1522">
        <f t="shared" si="465"/>
        <v>0</v>
      </c>
      <c r="CI1522">
        <f t="shared" si="466"/>
        <v>0</v>
      </c>
      <c r="CJ1522">
        <f t="shared" si="467"/>
        <v>0</v>
      </c>
      <c r="CK1522">
        <f t="shared" si="468"/>
        <v>0</v>
      </c>
      <c r="CL1522">
        <f t="shared" si="469"/>
        <v>0</v>
      </c>
      <c r="CM1522">
        <f t="shared" si="471"/>
        <v>0</v>
      </c>
      <c r="CN1522">
        <f t="shared" si="470"/>
        <v>0</v>
      </c>
      <c r="CO1522">
        <f t="shared" si="454"/>
        <v>0</v>
      </c>
    </row>
    <row r="1523" spans="1:93" hidden="1" x14ac:dyDescent="0.25">
      <c r="A1523" s="4">
        <v>2021</v>
      </c>
      <c r="B1523" s="315">
        <v>44361</v>
      </c>
      <c r="C1523" s="4" t="s">
        <v>66</v>
      </c>
      <c r="D1523" s="4" t="s">
        <v>1523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1527</v>
      </c>
      <c r="M1523" s="5">
        <v>1666</v>
      </c>
      <c r="N1523" s="5" t="s">
        <v>170</v>
      </c>
      <c r="O1523" s="6" t="s">
        <v>81</v>
      </c>
      <c r="P1523" s="6" t="s">
        <v>1503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+VLOOKUP(G1523,Liste!$A$7:$G$69,3,FALSE)</f>
        <v>Chêne sessile</v>
      </c>
      <c r="BI1523" s="96" t="str">
        <f>+VLOOKUP(H1523,Liste!$B$7:$G$69,5,FALSE)</f>
        <v>Guide chênaie atlantique</v>
      </c>
      <c r="BJ1523" s="135">
        <f t="shared" si="453"/>
        <v>150</v>
      </c>
      <c r="BK1523" s="135" t="str">
        <f t="shared" si="455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97" t="str">
        <f>+VLOOKUP(G1523,Liste!$A$7:$H$69,8,FALSE)</f>
        <v>Feuillus</v>
      </c>
      <c r="BU1523" s="297">
        <f t="shared" si="456"/>
        <v>1</v>
      </c>
      <c r="BV1523" s="299">
        <f t="shared" si="457"/>
        <v>0</v>
      </c>
      <c r="BW1523" s="318">
        <v>0</v>
      </c>
      <c r="BX1523" s="297">
        <f t="shared" si="458"/>
        <v>0.25</v>
      </c>
      <c r="BY1523">
        <f t="shared" si="459"/>
        <v>0</v>
      </c>
      <c r="BZ1523" s="303">
        <f t="shared" si="460"/>
        <v>0</v>
      </c>
      <c r="CB1523" s="298">
        <v>0.6</v>
      </c>
      <c r="CC1523" s="298">
        <v>0.4</v>
      </c>
      <c r="CD1523">
        <f t="shared" si="461"/>
        <v>0</v>
      </c>
      <c r="CE1523">
        <f t="shared" si="462"/>
        <v>0</v>
      </c>
      <c r="CF1523">
        <f t="shared" si="463"/>
        <v>0</v>
      </c>
      <c r="CG1523">
        <f t="shared" si="464"/>
        <v>0</v>
      </c>
      <c r="CH1523">
        <f t="shared" si="465"/>
        <v>0</v>
      </c>
      <c r="CI1523">
        <f t="shared" si="466"/>
        <v>0</v>
      </c>
      <c r="CJ1523">
        <f t="shared" si="467"/>
        <v>0</v>
      </c>
      <c r="CK1523">
        <f t="shared" si="468"/>
        <v>0</v>
      </c>
      <c r="CL1523">
        <f t="shared" si="469"/>
        <v>0</v>
      </c>
      <c r="CM1523">
        <f t="shared" si="471"/>
        <v>0</v>
      </c>
      <c r="CN1523">
        <f t="shared" si="470"/>
        <v>0</v>
      </c>
      <c r="CO1523">
        <f t="shared" si="454"/>
        <v>0</v>
      </c>
    </row>
    <row r="1524" spans="1:93" hidden="1" x14ac:dyDescent="0.25">
      <c r="A1524" s="4">
        <v>2021</v>
      </c>
      <c r="B1524" s="315">
        <v>44361</v>
      </c>
      <c r="C1524" s="4" t="s">
        <v>66</v>
      </c>
      <c r="D1524" s="4" t="s">
        <v>1523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1527</v>
      </c>
      <c r="M1524" s="5">
        <v>1666</v>
      </c>
      <c r="N1524" s="5" t="s">
        <v>170</v>
      </c>
      <c r="O1524" s="6" t="s">
        <v>81</v>
      </c>
      <c r="P1524" s="6" t="s">
        <v>1503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+VLOOKUP(G1524,Liste!$A$7:$G$69,3,FALSE)</f>
        <v>Chêne sessile</v>
      </c>
      <c r="BI1524" s="96" t="str">
        <f>+VLOOKUP(H1524,Liste!$B$7:$G$69,5,FALSE)</f>
        <v>Guide chênaie atlantique</v>
      </c>
      <c r="BJ1524" s="135">
        <f t="shared" si="453"/>
        <v>150</v>
      </c>
      <c r="BK1524" s="135" t="str">
        <f t="shared" si="455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97" t="str">
        <f>+VLOOKUP(G1524,Liste!$A$7:$H$69,8,FALSE)</f>
        <v>Feuillus</v>
      </c>
      <c r="BU1524" s="297">
        <f t="shared" si="456"/>
        <v>1</v>
      </c>
      <c r="BV1524" s="299">
        <f t="shared" si="457"/>
        <v>0</v>
      </c>
      <c r="BW1524" s="318">
        <v>0</v>
      </c>
      <c r="BX1524" s="297">
        <f t="shared" si="458"/>
        <v>0.25</v>
      </c>
      <c r="BY1524">
        <f t="shared" si="459"/>
        <v>0</v>
      </c>
      <c r="BZ1524" s="303">
        <f t="shared" si="460"/>
        <v>0</v>
      </c>
      <c r="CB1524" s="298">
        <v>0.6</v>
      </c>
      <c r="CC1524" s="298">
        <v>0.4</v>
      </c>
      <c r="CD1524">
        <f t="shared" si="461"/>
        <v>0</v>
      </c>
      <c r="CE1524">
        <f t="shared" si="462"/>
        <v>0</v>
      </c>
      <c r="CF1524">
        <f t="shared" si="463"/>
        <v>0</v>
      </c>
      <c r="CG1524">
        <f t="shared" si="464"/>
        <v>0</v>
      </c>
      <c r="CH1524">
        <f t="shared" si="465"/>
        <v>0</v>
      </c>
      <c r="CI1524">
        <f t="shared" si="466"/>
        <v>0</v>
      </c>
      <c r="CJ1524">
        <f t="shared" si="467"/>
        <v>0</v>
      </c>
      <c r="CK1524">
        <f t="shared" si="468"/>
        <v>0</v>
      </c>
      <c r="CL1524">
        <f t="shared" si="469"/>
        <v>0</v>
      </c>
      <c r="CM1524">
        <f t="shared" si="471"/>
        <v>0</v>
      </c>
      <c r="CN1524">
        <f t="shared" si="470"/>
        <v>0</v>
      </c>
      <c r="CO1524">
        <f t="shared" si="454"/>
        <v>0</v>
      </c>
    </row>
    <row r="1525" spans="1:93" hidden="1" x14ac:dyDescent="0.25">
      <c r="A1525" s="4">
        <v>2021</v>
      </c>
      <c r="B1525" s="315">
        <v>44361</v>
      </c>
      <c r="C1525" s="4" t="s">
        <v>66</v>
      </c>
      <c r="D1525" s="4" t="s">
        <v>1523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1527</v>
      </c>
      <c r="M1525" s="5">
        <v>1666</v>
      </c>
      <c r="N1525" s="5" t="s">
        <v>170</v>
      </c>
      <c r="O1525" s="6" t="s">
        <v>81</v>
      </c>
      <c r="P1525" s="6" t="s">
        <v>1503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+VLOOKUP(G1525,Liste!$A$7:$G$69,3,FALSE)</f>
        <v>Chêne sessile</v>
      </c>
      <c r="BI1525" s="96" t="str">
        <f>+VLOOKUP(H1525,Liste!$B$7:$G$69,5,FALSE)</f>
        <v>Guide chênaie atlantique</v>
      </c>
      <c r="BJ1525" s="135">
        <f t="shared" si="453"/>
        <v>153</v>
      </c>
      <c r="BK1525" s="135" t="str">
        <f t="shared" si="455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97" t="str">
        <f>+VLOOKUP(G1525,Liste!$A$7:$H$69,8,FALSE)</f>
        <v>Feuillus</v>
      </c>
      <c r="BU1525" s="297">
        <f t="shared" si="456"/>
        <v>1</v>
      </c>
      <c r="BV1525" s="299">
        <f t="shared" si="457"/>
        <v>0</v>
      </c>
      <c r="BW1525" s="318">
        <v>0</v>
      </c>
      <c r="BX1525" s="297">
        <f t="shared" si="458"/>
        <v>0.25</v>
      </c>
      <c r="BY1525">
        <f t="shared" si="459"/>
        <v>0</v>
      </c>
      <c r="BZ1525" s="303">
        <f t="shared" si="460"/>
        <v>0</v>
      </c>
      <c r="CB1525" s="298">
        <v>0.6</v>
      </c>
      <c r="CC1525" s="298">
        <v>0.4</v>
      </c>
      <c r="CD1525">
        <f t="shared" si="461"/>
        <v>0</v>
      </c>
      <c r="CE1525">
        <f t="shared" si="462"/>
        <v>0</v>
      </c>
      <c r="CF1525">
        <f t="shared" si="463"/>
        <v>0</v>
      </c>
      <c r="CG1525">
        <f t="shared" si="464"/>
        <v>0</v>
      </c>
      <c r="CH1525">
        <f t="shared" si="465"/>
        <v>0</v>
      </c>
      <c r="CI1525">
        <f t="shared" si="466"/>
        <v>0</v>
      </c>
      <c r="CJ1525">
        <f t="shared" si="467"/>
        <v>0</v>
      </c>
      <c r="CK1525">
        <f t="shared" si="468"/>
        <v>0</v>
      </c>
      <c r="CL1525">
        <f t="shared" si="469"/>
        <v>0</v>
      </c>
      <c r="CM1525">
        <f t="shared" si="471"/>
        <v>0</v>
      </c>
      <c r="CN1525">
        <f t="shared" si="470"/>
        <v>0</v>
      </c>
      <c r="CO1525">
        <f t="shared" si="454"/>
        <v>0</v>
      </c>
    </row>
    <row r="1526" spans="1:93" hidden="1" x14ac:dyDescent="0.25">
      <c r="A1526" s="4">
        <v>2021</v>
      </c>
      <c r="B1526" s="315">
        <v>44361</v>
      </c>
      <c r="C1526" s="4" t="s">
        <v>66</v>
      </c>
      <c r="D1526" s="4" t="s">
        <v>1523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1527</v>
      </c>
      <c r="M1526" s="5">
        <v>1666</v>
      </c>
      <c r="N1526" s="5" t="s">
        <v>170</v>
      </c>
      <c r="O1526" s="6" t="s">
        <v>81</v>
      </c>
      <c r="P1526" s="6" t="s">
        <v>1503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+VLOOKUP(G1526,Liste!$A$7:$G$69,3,FALSE)</f>
        <v>Chêne sessile</v>
      </c>
      <c r="BI1526" s="96" t="str">
        <f>+VLOOKUP(H1526,Liste!$B$7:$G$69,5,FALSE)</f>
        <v>Guide chênaie atlantique</v>
      </c>
      <c r="BJ1526" s="135">
        <f t="shared" si="453"/>
        <v>153</v>
      </c>
      <c r="BK1526" s="135" t="str">
        <f t="shared" si="455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97" t="str">
        <f>+VLOOKUP(G1526,Liste!$A$7:$H$69,8,FALSE)</f>
        <v>Feuillus</v>
      </c>
      <c r="BU1526" s="297">
        <f t="shared" si="456"/>
        <v>1</v>
      </c>
      <c r="BV1526" s="299">
        <f t="shared" si="457"/>
        <v>0</v>
      </c>
      <c r="BW1526" s="318">
        <v>0</v>
      </c>
      <c r="BX1526" s="297">
        <f t="shared" si="458"/>
        <v>0.25</v>
      </c>
      <c r="BY1526">
        <f t="shared" si="459"/>
        <v>0</v>
      </c>
      <c r="BZ1526" s="303">
        <f t="shared" si="460"/>
        <v>0</v>
      </c>
      <c r="CB1526" s="298">
        <v>0.6</v>
      </c>
      <c r="CC1526" s="298">
        <v>0.4</v>
      </c>
      <c r="CD1526">
        <f t="shared" si="461"/>
        <v>0</v>
      </c>
      <c r="CE1526">
        <f t="shared" si="462"/>
        <v>0</v>
      </c>
      <c r="CF1526">
        <f t="shared" si="463"/>
        <v>0</v>
      </c>
      <c r="CG1526">
        <f t="shared" si="464"/>
        <v>0</v>
      </c>
      <c r="CH1526">
        <f t="shared" si="465"/>
        <v>0</v>
      </c>
      <c r="CI1526">
        <f t="shared" si="466"/>
        <v>0</v>
      </c>
      <c r="CJ1526">
        <f t="shared" si="467"/>
        <v>0</v>
      </c>
      <c r="CK1526">
        <f t="shared" si="468"/>
        <v>0</v>
      </c>
      <c r="CL1526">
        <f t="shared" si="469"/>
        <v>0</v>
      </c>
      <c r="CM1526">
        <f t="shared" si="471"/>
        <v>0</v>
      </c>
      <c r="CN1526">
        <f t="shared" si="470"/>
        <v>0</v>
      </c>
      <c r="CO1526">
        <f t="shared" si="454"/>
        <v>0</v>
      </c>
    </row>
    <row r="1527" spans="1:93" hidden="1" x14ac:dyDescent="0.25">
      <c r="A1527" s="4">
        <v>2021</v>
      </c>
      <c r="B1527" s="315">
        <v>44361</v>
      </c>
      <c r="C1527" s="4" t="s">
        <v>66</v>
      </c>
      <c r="D1527" s="4" t="s">
        <v>1523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1527</v>
      </c>
      <c r="M1527" s="5">
        <v>1666</v>
      </c>
      <c r="N1527" s="5" t="s">
        <v>170</v>
      </c>
      <c r="O1527" s="6" t="s">
        <v>81</v>
      </c>
      <c r="P1527" s="6" t="s">
        <v>1503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+VLOOKUP(G1527,Liste!$A$7:$G$69,3,FALSE)</f>
        <v>Chêne sessile</v>
      </c>
      <c r="BI1527" s="96" t="str">
        <f>+VLOOKUP(H1527,Liste!$B$7:$G$69,5,FALSE)</f>
        <v>Guide chênaie atlantique</v>
      </c>
      <c r="BJ1527" s="135">
        <f t="shared" si="453"/>
        <v>156</v>
      </c>
      <c r="BK1527" s="135" t="str">
        <f t="shared" si="455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97" t="str">
        <f>+VLOOKUP(G1527,Liste!$A$7:$H$69,8,FALSE)</f>
        <v>Feuillus</v>
      </c>
      <c r="BU1527" s="297">
        <f t="shared" si="456"/>
        <v>1</v>
      </c>
      <c r="BV1527" s="299">
        <f t="shared" si="457"/>
        <v>0</v>
      </c>
      <c r="BW1527" s="318">
        <v>0</v>
      </c>
      <c r="BX1527" s="297">
        <f t="shared" si="458"/>
        <v>0.25</v>
      </c>
      <c r="BY1527">
        <f t="shared" si="459"/>
        <v>0</v>
      </c>
      <c r="BZ1527" s="303">
        <f t="shared" si="460"/>
        <v>0</v>
      </c>
      <c r="CB1527" s="298">
        <v>0.6</v>
      </c>
      <c r="CC1527" s="298">
        <v>0.4</v>
      </c>
      <c r="CD1527">
        <f t="shared" si="461"/>
        <v>0</v>
      </c>
      <c r="CE1527">
        <f t="shared" si="462"/>
        <v>0</v>
      </c>
      <c r="CF1527">
        <f t="shared" si="463"/>
        <v>0</v>
      </c>
      <c r="CG1527">
        <f t="shared" si="464"/>
        <v>0</v>
      </c>
      <c r="CH1527">
        <f t="shared" si="465"/>
        <v>0</v>
      </c>
      <c r="CI1527">
        <f t="shared" si="466"/>
        <v>0</v>
      </c>
      <c r="CJ1527">
        <f t="shared" si="467"/>
        <v>0</v>
      </c>
      <c r="CK1527">
        <f t="shared" si="468"/>
        <v>0</v>
      </c>
      <c r="CL1527">
        <f t="shared" si="469"/>
        <v>0</v>
      </c>
      <c r="CM1527">
        <f t="shared" si="471"/>
        <v>0</v>
      </c>
      <c r="CN1527">
        <f t="shared" si="470"/>
        <v>0</v>
      </c>
      <c r="CO1527">
        <f t="shared" si="454"/>
        <v>0</v>
      </c>
    </row>
    <row r="1528" spans="1:93" hidden="1" x14ac:dyDescent="0.25">
      <c r="A1528" s="4">
        <v>2021</v>
      </c>
      <c r="B1528" s="315">
        <v>44361</v>
      </c>
      <c r="C1528" s="4" t="s">
        <v>66</v>
      </c>
      <c r="D1528" s="4" t="s">
        <v>1523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1527</v>
      </c>
      <c r="M1528" s="5">
        <v>1666</v>
      </c>
      <c r="N1528" s="5" t="s">
        <v>170</v>
      </c>
      <c r="O1528" s="6" t="s">
        <v>81</v>
      </c>
      <c r="P1528" s="6" t="s">
        <v>1503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+VLOOKUP(G1528,Liste!$A$7:$G$69,3,FALSE)</f>
        <v>Chêne sessile</v>
      </c>
      <c r="BI1528" s="96" t="str">
        <f>+VLOOKUP(H1528,Liste!$B$7:$G$69,5,FALSE)</f>
        <v>Guide chênaie atlantique</v>
      </c>
      <c r="BJ1528" s="135">
        <f t="shared" si="453"/>
        <v>156</v>
      </c>
      <c r="BK1528" s="135" t="str">
        <f t="shared" si="455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97" t="str">
        <f>+VLOOKUP(G1528,Liste!$A$7:$H$69,8,FALSE)</f>
        <v>Feuillus</v>
      </c>
      <c r="BU1528" s="297">
        <f t="shared" si="456"/>
        <v>1</v>
      </c>
      <c r="BV1528" s="299">
        <f t="shared" si="457"/>
        <v>0</v>
      </c>
      <c r="BW1528" s="318">
        <v>0</v>
      </c>
      <c r="BX1528" s="297">
        <f t="shared" si="458"/>
        <v>0.25</v>
      </c>
      <c r="BY1528">
        <f t="shared" si="459"/>
        <v>0</v>
      </c>
      <c r="BZ1528" s="303">
        <f t="shared" si="460"/>
        <v>0</v>
      </c>
      <c r="CB1528" s="298">
        <v>0.6</v>
      </c>
      <c r="CC1528" s="298">
        <v>0.4</v>
      </c>
      <c r="CD1528">
        <f t="shared" si="461"/>
        <v>0</v>
      </c>
      <c r="CE1528">
        <f t="shared" si="462"/>
        <v>0</v>
      </c>
      <c r="CF1528">
        <f t="shared" si="463"/>
        <v>0</v>
      </c>
      <c r="CG1528">
        <f t="shared" si="464"/>
        <v>0</v>
      </c>
      <c r="CH1528">
        <f t="shared" si="465"/>
        <v>0</v>
      </c>
      <c r="CI1528">
        <f t="shared" si="466"/>
        <v>0</v>
      </c>
      <c r="CJ1528">
        <f t="shared" si="467"/>
        <v>0</v>
      </c>
      <c r="CK1528">
        <f t="shared" si="468"/>
        <v>0</v>
      </c>
      <c r="CL1528">
        <f t="shared" si="469"/>
        <v>0</v>
      </c>
      <c r="CM1528">
        <f t="shared" si="471"/>
        <v>0</v>
      </c>
      <c r="CN1528">
        <f t="shared" si="470"/>
        <v>0</v>
      </c>
      <c r="CO1528">
        <f t="shared" si="454"/>
        <v>0</v>
      </c>
    </row>
    <row r="1529" spans="1:93" hidden="1" x14ac:dyDescent="0.25">
      <c r="A1529" s="4">
        <v>2021</v>
      </c>
      <c r="B1529" s="315">
        <v>44361</v>
      </c>
      <c r="C1529" s="4" t="s">
        <v>66</v>
      </c>
      <c r="D1529" s="4" t="s">
        <v>1523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1527</v>
      </c>
      <c r="M1529" s="5">
        <v>1666</v>
      </c>
      <c r="N1529" s="5" t="s">
        <v>170</v>
      </c>
      <c r="O1529" s="6" t="s">
        <v>81</v>
      </c>
      <c r="P1529" s="6" t="s">
        <v>1503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+VLOOKUP(G1529,Liste!$A$7:$G$69,3,FALSE)</f>
        <v>Chêne sessile</v>
      </c>
      <c r="BI1529" s="96" t="str">
        <f>+VLOOKUP(H1529,Liste!$B$7:$G$69,5,FALSE)</f>
        <v>Guide chênaie atlantique</v>
      </c>
      <c r="BJ1529" s="135">
        <f t="shared" si="453"/>
        <v>159</v>
      </c>
      <c r="BK1529" s="135" t="str">
        <f t="shared" si="455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97" t="str">
        <f>+VLOOKUP(G1529,Liste!$A$7:$H$69,8,FALSE)</f>
        <v>Feuillus</v>
      </c>
      <c r="BU1529" s="297">
        <f t="shared" si="456"/>
        <v>1</v>
      </c>
      <c r="BV1529" s="299">
        <f t="shared" si="457"/>
        <v>0</v>
      </c>
      <c r="BW1529" s="318">
        <v>0</v>
      </c>
      <c r="BX1529" s="297">
        <f t="shared" si="458"/>
        <v>0.25</v>
      </c>
      <c r="BY1529">
        <f t="shared" si="459"/>
        <v>0</v>
      </c>
      <c r="BZ1529" s="303">
        <f t="shared" si="460"/>
        <v>0</v>
      </c>
      <c r="CB1529" s="298">
        <v>0.6</v>
      </c>
      <c r="CC1529" s="298">
        <v>0.4</v>
      </c>
      <c r="CD1529">
        <f t="shared" si="461"/>
        <v>0</v>
      </c>
      <c r="CE1529">
        <f t="shared" si="462"/>
        <v>0</v>
      </c>
      <c r="CF1529">
        <f t="shared" si="463"/>
        <v>0</v>
      </c>
      <c r="CG1529">
        <f t="shared" si="464"/>
        <v>0</v>
      </c>
      <c r="CH1529">
        <f t="shared" si="465"/>
        <v>0</v>
      </c>
      <c r="CI1529">
        <f t="shared" si="466"/>
        <v>0</v>
      </c>
      <c r="CJ1529">
        <f t="shared" si="467"/>
        <v>0</v>
      </c>
      <c r="CK1529">
        <f t="shared" si="468"/>
        <v>0</v>
      </c>
      <c r="CL1529">
        <f t="shared" si="469"/>
        <v>0</v>
      </c>
      <c r="CM1529">
        <f t="shared" si="471"/>
        <v>0</v>
      </c>
      <c r="CN1529">
        <f t="shared" si="470"/>
        <v>0</v>
      </c>
      <c r="CO1529">
        <f t="shared" si="454"/>
        <v>0</v>
      </c>
    </row>
    <row r="1530" spans="1:93" hidden="1" x14ac:dyDescent="0.25">
      <c r="A1530" s="4">
        <v>2021</v>
      </c>
      <c r="B1530" s="315">
        <v>44361</v>
      </c>
      <c r="C1530" s="4" t="s">
        <v>66</v>
      </c>
      <c r="D1530" s="4" t="s">
        <v>1523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1527</v>
      </c>
      <c r="M1530" s="5">
        <v>1666</v>
      </c>
      <c r="N1530" s="5" t="s">
        <v>170</v>
      </c>
      <c r="O1530" s="6" t="s">
        <v>81</v>
      </c>
      <c r="P1530" s="6" t="s">
        <v>1503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+VLOOKUP(G1530,Liste!$A$7:$G$69,3,FALSE)</f>
        <v>Chêne sessile</v>
      </c>
      <c r="BI1530" s="96" t="str">
        <f>+VLOOKUP(H1530,Liste!$B$7:$G$69,5,FALSE)</f>
        <v>Guide chênaie atlantique</v>
      </c>
      <c r="BJ1530" s="135">
        <f t="shared" si="453"/>
        <v>159</v>
      </c>
      <c r="BK1530" s="135" t="str">
        <f t="shared" si="455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97" t="str">
        <f>+VLOOKUP(G1530,Liste!$A$7:$H$69,8,FALSE)</f>
        <v>Feuillus</v>
      </c>
      <c r="BU1530" s="297">
        <f t="shared" si="456"/>
        <v>1</v>
      </c>
      <c r="BV1530" s="299">
        <f t="shared" si="457"/>
        <v>0</v>
      </c>
      <c r="BW1530" s="318">
        <v>0</v>
      </c>
      <c r="BX1530" s="297">
        <f t="shared" si="458"/>
        <v>0.25</v>
      </c>
      <c r="BY1530">
        <f t="shared" si="459"/>
        <v>0</v>
      </c>
      <c r="BZ1530" s="303">
        <f t="shared" si="460"/>
        <v>0</v>
      </c>
      <c r="CB1530" s="298">
        <v>0.6</v>
      </c>
      <c r="CC1530" s="298">
        <v>0.4</v>
      </c>
      <c r="CD1530">
        <f t="shared" si="461"/>
        <v>0</v>
      </c>
      <c r="CE1530">
        <f t="shared" si="462"/>
        <v>0</v>
      </c>
      <c r="CF1530">
        <f t="shared" si="463"/>
        <v>0</v>
      </c>
      <c r="CG1530">
        <f t="shared" si="464"/>
        <v>0</v>
      </c>
      <c r="CH1530">
        <f t="shared" si="465"/>
        <v>0</v>
      </c>
      <c r="CI1530">
        <f t="shared" si="466"/>
        <v>0</v>
      </c>
      <c r="CJ1530">
        <f t="shared" si="467"/>
        <v>0</v>
      </c>
      <c r="CK1530">
        <f t="shared" si="468"/>
        <v>0</v>
      </c>
      <c r="CL1530">
        <f t="shared" si="469"/>
        <v>0</v>
      </c>
      <c r="CM1530">
        <f t="shared" si="471"/>
        <v>0</v>
      </c>
      <c r="CN1530">
        <f t="shared" si="470"/>
        <v>0</v>
      </c>
      <c r="CO1530">
        <f t="shared" si="454"/>
        <v>0</v>
      </c>
    </row>
    <row r="1531" spans="1:93" hidden="1" x14ac:dyDescent="0.25">
      <c r="A1531" s="4">
        <v>2021</v>
      </c>
      <c r="B1531" s="315">
        <v>44361</v>
      </c>
      <c r="C1531" s="4" t="s">
        <v>66</v>
      </c>
      <c r="D1531" s="4" t="s">
        <v>1523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1503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+VLOOKUP(G1531,Liste!$A$7:$G$69,3,FALSE)</f>
        <v>Chêne sessile</v>
      </c>
      <c r="BI1531" s="96" t="str">
        <f>+VLOOKUP(H1531,Liste!$B$7:$G$69,5,FALSE)</f>
        <v>Guide chênaie atlantique</v>
      </c>
      <c r="BJ1531" s="135">
        <f t="shared" si="453"/>
        <v>30</v>
      </c>
      <c r="BK1531" s="135" t="str">
        <f t="shared" si="455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97" t="str">
        <f>+VLOOKUP(G1531,Liste!$A$7:$H$69,8,FALSE)</f>
        <v>Feuillus</v>
      </c>
      <c r="BU1531" s="297">
        <f t="shared" si="456"/>
        <v>1</v>
      </c>
      <c r="BV1531" s="299">
        <f t="shared" si="457"/>
        <v>0</v>
      </c>
      <c r="BW1531" s="318">
        <v>0</v>
      </c>
      <c r="BX1531" s="297">
        <f t="shared" si="458"/>
        <v>0.25</v>
      </c>
      <c r="BY1531">
        <f t="shared" si="459"/>
        <v>0</v>
      </c>
      <c r="BZ1531" s="303">
        <f t="shared" si="460"/>
        <v>0</v>
      </c>
      <c r="CB1531" s="298">
        <v>0.6</v>
      </c>
      <c r="CC1531" s="298">
        <v>0.4</v>
      </c>
      <c r="CD1531">
        <f t="shared" si="461"/>
        <v>0</v>
      </c>
      <c r="CE1531">
        <f t="shared" si="462"/>
        <v>0</v>
      </c>
      <c r="CF1531">
        <f t="shared" si="463"/>
        <v>0</v>
      </c>
      <c r="CG1531">
        <f t="shared" si="464"/>
        <v>0</v>
      </c>
      <c r="CH1531">
        <f t="shared" si="465"/>
        <v>0</v>
      </c>
      <c r="CI1531">
        <f t="shared" si="466"/>
        <v>0</v>
      </c>
      <c r="CJ1531">
        <f t="shared" si="467"/>
        <v>0</v>
      </c>
      <c r="CK1531">
        <f t="shared" si="468"/>
        <v>0</v>
      </c>
      <c r="CL1531">
        <f t="shared" si="469"/>
        <v>0</v>
      </c>
      <c r="CM1531">
        <f t="shared" si="471"/>
        <v>0</v>
      </c>
      <c r="CN1531">
        <f t="shared" si="470"/>
        <v>0</v>
      </c>
      <c r="CO1531">
        <f t="shared" si="454"/>
        <v>0</v>
      </c>
    </row>
    <row r="1532" spans="1:93" hidden="1" x14ac:dyDescent="0.25">
      <c r="A1532" s="4">
        <v>2021</v>
      </c>
      <c r="B1532" s="315">
        <v>44361</v>
      </c>
      <c r="C1532" s="4" t="s">
        <v>66</v>
      </c>
      <c r="D1532" s="4" t="s">
        <v>1523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1503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+VLOOKUP(G1532,Liste!$A$7:$G$69,3,FALSE)</f>
        <v>Chêne sessile</v>
      </c>
      <c r="BI1532" s="96" t="str">
        <f>+VLOOKUP(H1532,Liste!$B$7:$G$69,5,FALSE)</f>
        <v>Guide chênaie atlantique</v>
      </c>
      <c r="BJ1532" s="135">
        <f t="shared" si="453"/>
        <v>42</v>
      </c>
      <c r="BK1532" s="135" t="str">
        <f t="shared" si="455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97" t="str">
        <f>+VLOOKUP(G1532,Liste!$A$7:$H$69,8,FALSE)</f>
        <v>Feuillus</v>
      </c>
      <c r="BU1532" s="297">
        <f t="shared" si="456"/>
        <v>1</v>
      </c>
      <c r="BV1532" s="299">
        <f t="shared" si="457"/>
        <v>0</v>
      </c>
      <c r="BW1532" s="318">
        <v>0</v>
      </c>
      <c r="BX1532" s="297">
        <f t="shared" si="458"/>
        <v>0.25</v>
      </c>
      <c r="BY1532">
        <f t="shared" si="459"/>
        <v>0</v>
      </c>
      <c r="BZ1532" s="303">
        <f t="shared" si="460"/>
        <v>0</v>
      </c>
      <c r="CB1532" s="298">
        <v>0.6</v>
      </c>
      <c r="CC1532" s="298">
        <v>0.4</v>
      </c>
      <c r="CD1532">
        <f t="shared" si="461"/>
        <v>0</v>
      </c>
      <c r="CE1532">
        <f t="shared" si="462"/>
        <v>0</v>
      </c>
      <c r="CF1532">
        <f t="shared" si="463"/>
        <v>0</v>
      </c>
      <c r="CG1532">
        <f t="shared" si="464"/>
        <v>0</v>
      </c>
      <c r="CH1532">
        <f t="shared" si="465"/>
        <v>0</v>
      </c>
      <c r="CI1532">
        <f t="shared" si="466"/>
        <v>0</v>
      </c>
      <c r="CJ1532">
        <f t="shared" si="467"/>
        <v>0</v>
      </c>
      <c r="CK1532">
        <f t="shared" si="468"/>
        <v>0</v>
      </c>
      <c r="CL1532">
        <f t="shared" si="469"/>
        <v>0</v>
      </c>
      <c r="CM1532">
        <f t="shared" si="471"/>
        <v>0</v>
      </c>
      <c r="CN1532">
        <f t="shared" si="470"/>
        <v>0</v>
      </c>
      <c r="CO1532">
        <f t="shared" si="454"/>
        <v>0</v>
      </c>
    </row>
    <row r="1533" spans="1:93" hidden="1" x14ac:dyDescent="0.25">
      <c r="A1533" s="4">
        <v>2021</v>
      </c>
      <c r="B1533" s="315">
        <v>44361</v>
      </c>
      <c r="C1533" s="4" t="s">
        <v>66</v>
      </c>
      <c r="D1533" s="4" t="s">
        <v>1523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1503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+VLOOKUP(G1533,Liste!$A$7:$G$69,3,FALSE)</f>
        <v>Chêne sessile</v>
      </c>
      <c r="BI1533" s="96" t="str">
        <f>+VLOOKUP(H1533,Liste!$B$7:$G$69,5,FALSE)</f>
        <v>Guide chênaie atlantique</v>
      </c>
      <c r="BJ1533" s="135">
        <f t="shared" si="453"/>
        <v>42</v>
      </c>
      <c r="BK1533" s="135" t="str">
        <f t="shared" si="455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97" t="str">
        <f>+VLOOKUP(G1533,Liste!$A$7:$H$69,8,FALSE)</f>
        <v>Feuillus</v>
      </c>
      <c r="BU1533" s="297">
        <f t="shared" si="456"/>
        <v>1</v>
      </c>
      <c r="BV1533" s="299">
        <f t="shared" si="457"/>
        <v>0</v>
      </c>
      <c r="BW1533" s="318">
        <v>0</v>
      </c>
      <c r="BX1533" s="297">
        <f t="shared" si="458"/>
        <v>0.25</v>
      </c>
      <c r="BY1533">
        <f t="shared" si="459"/>
        <v>0</v>
      </c>
      <c r="BZ1533" s="303">
        <f t="shared" si="460"/>
        <v>0</v>
      </c>
      <c r="CB1533" s="298">
        <v>0.6</v>
      </c>
      <c r="CC1533" s="298">
        <v>0.4</v>
      </c>
      <c r="CD1533">
        <f t="shared" si="461"/>
        <v>0</v>
      </c>
      <c r="CE1533">
        <f t="shared" si="462"/>
        <v>0</v>
      </c>
      <c r="CF1533">
        <f t="shared" si="463"/>
        <v>0</v>
      </c>
      <c r="CG1533">
        <f t="shared" si="464"/>
        <v>0</v>
      </c>
      <c r="CH1533">
        <f t="shared" si="465"/>
        <v>0</v>
      </c>
      <c r="CI1533">
        <f t="shared" si="466"/>
        <v>0</v>
      </c>
      <c r="CJ1533">
        <f t="shared" si="467"/>
        <v>0</v>
      </c>
      <c r="CK1533">
        <f t="shared" si="468"/>
        <v>0</v>
      </c>
      <c r="CL1533">
        <f t="shared" si="469"/>
        <v>0</v>
      </c>
      <c r="CM1533">
        <f t="shared" si="471"/>
        <v>0</v>
      </c>
      <c r="CN1533">
        <f t="shared" si="470"/>
        <v>0</v>
      </c>
      <c r="CO1533">
        <f t="shared" si="454"/>
        <v>0</v>
      </c>
    </row>
    <row r="1534" spans="1:93" hidden="1" x14ac:dyDescent="0.25">
      <c r="A1534" s="4">
        <v>2021</v>
      </c>
      <c r="B1534" s="315">
        <v>44361</v>
      </c>
      <c r="C1534" s="4" t="s">
        <v>66</v>
      </c>
      <c r="D1534" s="4" t="s">
        <v>1523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1503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+VLOOKUP(G1534,Liste!$A$7:$G$69,3,FALSE)</f>
        <v>Chêne sessile</v>
      </c>
      <c r="BI1534" s="96" t="str">
        <f>+VLOOKUP(H1534,Liste!$B$7:$G$69,5,FALSE)</f>
        <v>Guide chênaie atlantique</v>
      </c>
      <c r="BJ1534" s="135">
        <f t="shared" si="453"/>
        <v>45</v>
      </c>
      <c r="BK1534" s="135" t="str">
        <f t="shared" si="455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97" t="str">
        <f>+VLOOKUP(G1534,Liste!$A$7:$H$69,8,FALSE)</f>
        <v>Feuillus</v>
      </c>
      <c r="BU1534" s="297">
        <f t="shared" si="456"/>
        <v>1</v>
      </c>
      <c r="BV1534" s="299">
        <f t="shared" si="457"/>
        <v>0</v>
      </c>
      <c r="BW1534" s="318">
        <v>0</v>
      </c>
      <c r="BX1534" s="297">
        <f t="shared" si="458"/>
        <v>0.25</v>
      </c>
      <c r="BY1534">
        <f t="shared" si="459"/>
        <v>0</v>
      </c>
      <c r="BZ1534" s="303">
        <f t="shared" si="460"/>
        <v>0</v>
      </c>
      <c r="CB1534" s="298">
        <v>0.6</v>
      </c>
      <c r="CC1534" s="298">
        <v>0.4</v>
      </c>
      <c r="CD1534">
        <f t="shared" si="461"/>
        <v>0</v>
      </c>
      <c r="CE1534">
        <f t="shared" si="462"/>
        <v>0</v>
      </c>
      <c r="CF1534">
        <f t="shared" si="463"/>
        <v>0</v>
      </c>
      <c r="CG1534">
        <f t="shared" si="464"/>
        <v>0</v>
      </c>
      <c r="CH1534">
        <f t="shared" si="465"/>
        <v>0</v>
      </c>
      <c r="CI1534">
        <f t="shared" si="466"/>
        <v>0</v>
      </c>
      <c r="CJ1534">
        <f t="shared" si="467"/>
        <v>0</v>
      </c>
      <c r="CK1534">
        <f t="shared" si="468"/>
        <v>0</v>
      </c>
      <c r="CL1534">
        <f t="shared" si="469"/>
        <v>0</v>
      </c>
      <c r="CM1534">
        <f t="shared" si="471"/>
        <v>0</v>
      </c>
      <c r="CN1534">
        <f t="shared" si="470"/>
        <v>0</v>
      </c>
      <c r="CO1534">
        <f t="shared" si="454"/>
        <v>0</v>
      </c>
    </row>
    <row r="1535" spans="1:93" hidden="1" x14ac:dyDescent="0.25">
      <c r="A1535" s="4">
        <v>2021</v>
      </c>
      <c r="B1535" s="315">
        <v>44361</v>
      </c>
      <c r="C1535" s="4" t="s">
        <v>66</v>
      </c>
      <c r="D1535" s="4" t="s">
        <v>1523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1503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+VLOOKUP(G1535,Liste!$A$7:$G$69,3,FALSE)</f>
        <v>Chêne sessile</v>
      </c>
      <c r="BI1535" s="96" t="str">
        <f>+VLOOKUP(H1535,Liste!$B$7:$G$69,5,FALSE)</f>
        <v>Guide chênaie atlantique</v>
      </c>
      <c r="BJ1535" s="135">
        <f t="shared" si="453"/>
        <v>48</v>
      </c>
      <c r="BK1535" s="135" t="str">
        <f t="shared" si="455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97" t="str">
        <f>+VLOOKUP(G1535,Liste!$A$7:$H$69,8,FALSE)</f>
        <v>Feuillus</v>
      </c>
      <c r="BU1535" s="297">
        <f t="shared" si="456"/>
        <v>1</v>
      </c>
      <c r="BV1535" s="299">
        <f t="shared" si="457"/>
        <v>0</v>
      </c>
      <c r="BW1535" s="318">
        <v>0</v>
      </c>
      <c r="BX1535" s="297">
        <f t="shared" si="458"/>
        <v>0.25</v>
      </c>
      <c r="BY1535">
        <f t="shared" si="459"/>
        <v>0</v>
      </c>
      <c r="BZ1535" s="303">
        <f t="shared" si="460"/>
        <v>0</v>
      </c>
      <c r="CB1535" s="298">
        <v>0.6</v>
      </c>
      <c r="CC1535" s="298">
        <v>0.4</v>
      </c>
      <c r="CD1535">
        <f t="shared" si="461"/>
        <v>0</v>
      </c>
      <c r="CE1535">
        <f t="shared" si="462"/>
        <v>0</v>
      </c>
      <c r="CF1535">
        <f t="shared" si="463"/>
        <v>0</v>
      </c>
      <c r="CG1535">
        <f t="shared" si="464"/>
        <v>0</v>
      </c>
      <c r="CH1535">
        <f t="shared" si="465"/>
        <v>0</v>
      </c>
      <c r="CI1535">
        <f t="shared" si="466"/>
        <v>0</v>
      </c>
      <c r="CJ1535">
        <f t="shared" si="467"/>
        <v>0</v>
      </c>
      <c r="CK1535">
        <f t="shared" si="468"/>
        <v>0</v>
      </c>
      <c r="CL1535">
        <f t="shared" si="469"/>
        <v>0</v>
      </c>
      <c r="CM1535">
        <f t="shared" si="471"/>
        <v>0</v>
      </c>
      <c r="CN1535">
        <f t="shared" si="470"/>
        <v>0</v>
      </c>
      <c r="CO1535">
        <f t="shared" si="454"/>
        <v>0</v>
      </c>
    </row>
    <row r="1536" spans="1:93" hidden="1" x14ac:dyDescent="0.25">
      <c r="A1536" s="4">
        <v>2021</v>
      </c>
      <c r="B1536" s="315">
        <v>44361</v>
      </c>
      <c r="C1536" s="4" t="s">
        <v>66</v>
      </c>
      <c r="D1536" s="4" t="s">
        <v>1523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1503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+VLOOKUP(G1536,Liste!$A$7:$G$69,3,FALSE)</f>
        <v>Chêne sessile</v>
      </c>
      <c r="BI1536" s="96" t="str">
        <f>+VLOOKUP(H1536,Liste!$B$7:$G$69,5,FALSE)</f>
        <v>Guide chênaie atlantique</v>
      </c>
      <c r="BJ1536" s="135">
        <f t="shared" si="453"/>
        <v>50</v>
      </c>
      <c r="BK1536" s="135" t="str">
        <f t="shared" si="455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97" t="str">
        <f>+VLOOKUP(G1536,Liste!$A$7:$H$69,8,FALSE)</f>
        <v>Feuillus</v>
      </c>
      <c r="BU1536" s="297">
        <f t="shared" si="456"/>
        <v>1</v>
      </c>
      <c r="BV1536" s="299">
        <f t="shared" si="457"/>
        <v>0</v>
      </c>
      <c r="BW1536" s="318">
        <v>0</v>
      </c>
      <c r="BX1536" s="297">
        <f t="shared" si="458"/>
        <v>0.25</v>
      </c>
      <c r="BY1536">
        <f t="shared" si="459"/>
        <v>0</v>
      </c>
      <c r="BZ1536" s="303">
        <f t="shared" si="460"/>
        <v>0</v>
      </c>
      <c r="CB1536" s="298">
        <v>0.6</v>
      </c>
      <c r="CC1536" s="298">
        <v>0.4</v>
      </c>
      <c r="CD1536">
        <f t="shared" si="461"/>
        <v>0</v>
      </c>
      <c r="CE1536">
        <f t="shared" si="462"/>
        <v>0</v>
      </c>
      <c r="CF1536">
        <f t="shared" si="463"/>
        <v>0</v>
      </c>
      <c r="CG1536">
        <f t="shared" si="464"/>
        <v>0</v>
      </c>
      <c r="CH1536">
        <f t="shared" si="465"/>
        <v>0</v>
      </c>
      <c r="CI1536">
        <f t="shared" si="466"/>
        <v>0</v>
      </c>
      <c r="CJ1536">
        <f t="shared" si="467"/>
        <v>0</v>
      </c>
      <c r="CK1536">
        <f t="shared" si="468"/>
        <v>0</v>
      </c>
      <c r="CL1536">
        <f t="shared" si="469"/>
        <v>0</v>
      </c>
      <c r="CM1536">
        <f t="shared" si="471"/>
        <v>0</v>
      </c>
      <c r="CN1536">
        <f t="shared" si="470"/>
        <v>0</v>
      </c>
      <c r="CO1536">
        <f t="shared" si="454"/>
        <v>0</v>
      </c>
    </row>
    <row r="1537" spans="1:93" hidden="1" x14ac:dyDescent="0.25">
      <c r="A1537" s="4">
        <v>2021</v>
      </c>
      <c r="B1537" s="315">
        <v>44361</v>
      </c>
      <c r="C1537" s="4" t="s">
        <v>66</v>
      </c>
      <c r="D1537" s="4" t="s">
        <v>1523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1503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+VLOOKUP(G1537,Liste!$A$7:$G$69,3,FALSE)</f>
        <v>Chêne sessile</v>
      </c>
      <c r="BI1537" s="96" t="str">
        <f>+VLOOKUP(H1537,Liste!$B$7:$G$69,5,FALSE)</f>
        <v>Guide chênaie atlantique</v>
      </c>
      <c r="BJ1537" s="135">
        <f t="shared" si="453"/>
        <v>50</v>
      </c>
      <c r="BK1537" s="135" t="str">
        <f t="shared" si="455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97" t="str">
        <f>+VLOOKUP(G1537,Liste!$A$7:$H$69,8,FALSE)</f>
        <v>Feuillus</v>
      </c>
      <c r="BU1537" s="297">
        <f t="shared" si="456"/>
        <v>1</v>
      </c>
      <c r="BV1537" s="299">
        <f t="shared" si="457"/>
        <v>0</v>
      </c>
      <c r="BW1537" s="318">
        <v>0</v>
      </c>
      <c r="BX1537" s="297">
        <f t="shared" si="458"/>
        <v>0.25</v>
      </c>
      <c r="BY1537">
        <f t="shared" si="459"/>
        <v>0</v>
      </c>
      <c r="BZ1537" s="303">
        <f t="shared" si="460"/>
        <v>0</v>
      </c>
      <c r="CB1537" s="298">
        <v>0.6</v>
      </c>
      <c r="CC1537" s="298">
        <v>0.4</v>
      </c>
      <c r="CD1537">
        <f t="shared" si="461"/>
        <v>0</v>
      </c>
      <c r="CE1537">
        <f t="shared" si="462"/>
        <v>0</v>
      </c>
      <c r="CF1537">
        <f t="shared" si="463"/>
        <v>0</v>
      </c>
      <c r="CG1537">
        <f t="shared" si="464"/>
        <v>0</v>
      </c>
      <c r="CH1537">
        <f t="shared" si="465"/>
        <v>0</v>
      </c>
      <c r="CI1537">
        <f t="shared" si="466"/>
        <v>0</v>
      </c>
      <c r="CJ1537">
        <f t="shared" si="467"/>
        <v>0</v>
      </c>
      <c r="CK1537">
        <f t="shared" si="468"/>
        <v>0</v>
      </c>
      <c r="CL1537">
        <f t="shared" si="469"/>
        <v>0</v>
      </c>
      <c r="CM1537">
        <f t="shared" si="471"/>
        <v>0</v>
      </c>
      <c r="CN1537">
        <f t="shared" si="470"/>
        <v>0</v>
      </c>
      <c r="CO1537">
        <f t="shared" si="454"/>
        <v>0</v>
      </c>
    </row>
    <row r="1538" spans="1:93" hidden="1" x14ac:dyDescent="0.25">
      <c r="A1538" s="4">
        <v>2021</v>
      </c>
      <c r="B1538" s="315">
        <v>44361</v>
      </c>
      <c r="C1538" s="4" t="s">
        <v>66</v>
      </c>
      <c r="D1538" s="4" t="s">
        <v>1523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1503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+VLOOKUP(G1538,Liste!$A$7:$G$69,3,FALSE)</f>
        <v>Chêne sessile</v>
      </c>
      <c r="BI1538" s="96" t="str">
        <f>+VLOOKUP(H1538,Liste!$B$7:$G$69,5,FALSE)</f>
        <v>Guide chênaie atlantique</v>
      </c>
      <c r="BJ1538" s="135">
        <f t="shared" si="453"/>
        <v>53</v>
      </c>
      <c r="BK1538" s="135" t="str">
        <f t="shared" si="455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97" t="str">
        <f>+VLOOKUP(G1538,Liste!$A$7:$H$69,8,FALSE)</f>
        <v>Feuillus</v>
      </c>
      <c r="BU1538" s="297">
        <f t="shared" si="456"/>
        <v>1</v>
      </c>
      <c r="BV1538" s="299">
        <f t="shared" si="457"/>
        <v>0</v>
      </c>
      <c r="BW1538" s="318">
        <v>0</v>
      </c>
      <c r="BX1538" s="297">
        <f t="shared" si="458"/>
        <v>0.25</v>
      </c>
      <c r="BY1538">
        <f t="shared" si="459"/>
        <v>0</v>
      </c>
      <c r="BZ1538" s="303">
        <f t="shared" si="460"/>
        <v>0</v>
      </c>
      <c r="CB1538" s="298">
        <v>0.6</v>
      </c>
      <c r="CC1538" s="298">
        <v>0.4</v>
      </c>
      <c r="CD1538">
        <f t="shared" si="461"/>
        <v>0</v>
      </c>
      <c r="CE1538">
        <f t="shared" si="462"/>
        <v>0</v>
      </c>
      <c r="CF1538">
        <f t="shared" si="463"/>
        <v>0</v>
      </c>
      <c r="CG1538">
        <f t="shared" si="464"/>
        <v>0</v>
      </c>
      <c r="CH1538">
        <f t="shared" si="465"/>
        <v>0</v>
      </c>
      <c r="CI1538">
        <f t="shared" si="466"/>
        <v>0</v>
      </c>
      <c r="CJ1538">
        <f t="shared" si="467"/>
        <v>0</v>
      </c>
      <c r="CK1538">
        <f t="shared" si="468"/>
        <v>0</v>
      </c>
      <c r="CL1538">
        <f t="shared" si="469"/>
        <v>0</v>
      </c>
      <c r="CM1538">
        <f t="shared" si="471"/>
        <v>0</v>
      </c>
      <c r="CN1538">
        <f t="shared" si="470"/>
        <v>0</v>
      </c>
      <c r="CO1538">
        <f t="shared" si="454"/>
        <v>0</v>
      </c>
    </row>
    <row r="1539" spans="1:93" hidden="1" x14ac:dyDescent="0.25">
      <c r="A1539" s="4">
        <v>2021</v>
      </c>
      <c r="B1539" s="315">
        <v>44361</v>
      </c>
      <c r="C1539" s="4" t="s">
        <v>66</v>
      </c>
      <c r="D1539" s="4" t="s">
        <v>1523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1503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+VLOOKUP(G1539,Liste!$A$7:$G$69,3,FALSE)</f>
        <v>Chêne sessile</v>
      </c>
      <c r="BI1539" s="96" t="str">
        <f>+VLOOKUP(H1539,Liste!$B$7:$G$69,5,FALSE)</f>
        <v>Guide chênaie atlantique</v>
      </c>
      <c r="BJ1539" s="135">
        <f t="shared" ref="BJ1539:BJ1602" si="472">+AC1539</f>
        <v>56</v>
      </c>
      <c r="BK1539" s="135" t="str">
        <f t="shared" si="455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97" t="str">
        <f>+VLOOKUP(G1539,Liste!$A$7:$H$69,8,FALSE)</f>
        <v>Feuillus</v>
      </c>
      <c r="BU1539" s="297">
        <f t="shared" si="456"/>
        <v>1</v>
      </c>
      <c r="BV1539" s="299">
        <f t="shared" si="457"/>
        <v>0</v>
      </c>
      <c r="BW1539" s="318">
        <v>0</v>
      </c>
      <c r="BX1539" s="297">
        <f t="shared" si="458"/>
        <v>0.25</v>
      </c>
      <c r="BY1539">
        <f t="shared" si="459"/>
        <v>0</v>
      </c>
      <c r="BZ1539" s="303">
        <f t="shared" si="460"/>
        <v>0</v>
      </c>
      <c r="CB1539" s="298">
        <v>0.6</v>
      </c>
      <c r="CC1539" s="298">
        <v>0.4</v>
      </c>
      <c r="CD1539">
        <f t="shared" si="461"/>
        <v>0</v>
      </c>
      <c r="CE1539">
        <f t="shared" si="462"/>
        <v>0</v>
      </c>
      <c r="CF1539">
        <f t="shared" si="463"/>
        <v>0</v>
      </c>
      <c r="CG1539">
        <f t="shared" si="464"/>
        <v>0</v>
      </c>
      <c r="CH1539">
        <f t="shared" si="465"/>
        <v>0</v>
      </c>
      <c r="CI1539">
        <f t="shared" si="466"/>
        <v>0</v>
      </c>
      <c r="CJ1539">
        <f t="shared" si="467"/>
        <v>0</v>
      </c>
      <c r="CK1539">
        <f t="shared" si="468"/>
        <v>0</v>
      </c>
      <c r="CL1539">
        <f t="shared" si="469"/>
        <v>0</v>
      </c>
      <c r="CM1539">
        <f t="shared" si="471"/>
        <v>0</v>
      </c>
      <c r="CN1539">
        <f t="shared" si="470"/>
        <v>0</v>
      </c>
      <c r="CO1539">
        <f t="shared" ref="CO1539:CO1602" si="473">+IF(BJ1539=30,CN1539/30,0)</f>
        <v>0</v>
      </c>
    </row>
    <row r="1540" spans="1:93" hidden="1" x14ac:dyDescent="0.25">
      <c r="A1540" s="4">
        <v>2021</v>
      </c>
      <c r="B1540" s="315">
        <v>44361</v>
      </c>
      <c r="C1540" s="4" t="s">
        <v>66</v>
      </c>
      <c r="D1540" s="4" t="s">
        <v>1523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1503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+VLOOKUP(G1540,Liste!$A$7:$G$69,3,FALSE)</f>
        <v>Chêne sessile</v>
      </c>
      <c r="BI1540" s="96" t="str">
        <f>+VLOOKUP(H1540,Liste!$B$7:$G$69,5,FALSE)</f>
        <v>Guide chênaie atlantique</v>
      </c>
      <c r="BJ1540" s="135">
        <f t="shared" si="472"/>
        <v>58</v>
      </c>
      <c r="BK1540" s="135" t="str">
        <f t="shared" ref="BK1540:BK1603" si="474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97" t="str">
        <f>+VLOOKUP(G1540,Liste!$A$7:$H$69,8,FALSE)</f>
        <v>Feuillus</v>
      </c>
      <c r="BU1540" s="297">
        <f t="shared" ref="BU1540:BU1603" si="475">IF(BT1540="Résineux",0%,100%)</f>
        <v>1</v>
      </c>
      <c r="BV1540" s="299">
        <f t="shared" ref="BV1540:BV1603" si="476">+IF(BT1540="Résineux",100%,0%)</f>
        <v>0</v>
      </c>
      <c r="BW1540" s="318">
        <v>0</v>
      </c>
      <c r="BX1540" s="297">
        <f t="shared" ref="BX1540:BX1603" si="477">+IF(BV1540&lt;&gt;0,0.43,0.25)</f>
        <v>0.25</v>
      </c>
      <c r="BY1540">
        <f t="shared" ref="BY1540:BY1603" si="478">+IF(BJ1540&lt;=30,AV1540*BX1540,0)</f>
        <v>0</v>
      </c>
      <c r="BZ1540" s="303">
        <f t="shared" ref="BZ1540:BZ1603" si="479">+IF(BJ1540&gt;=31,0,BY1540+BZ1539)</f>
        <v>0</v>
      </c>
      <c r="CB1540" s="298">
        <v>0.6</v>
      </c>
      <c r="CC1540" s="298">
        <v>0.4</v>
      </c>
      <c r="CD1540">
        <f t="shared" ref="CD1540:CD1603" si="480">+IF(BJ1540&lt;=31,AV1540*CA1540*0.5,0)</f>
        <v>0</v>
      </c>
      <c r="CE1540">
        <f t="shared" ref="CE1540:CE1603" si="481">IF(BJ1540&lt;=31,AV1540*CB1540,0)</f>
        <v>0</v>
      </c>
      <c r="CF1540">
        <f t="shared" ref="CF1540:CF1603" si="482">IF(BJ1540&lt;=31,AV1540*CC1540,0)</f>
        <v>0</v>
      </c>
      <c r="CG1540">
        <f t="shared" ref="CG1540:CG1603" si="483">CD1540*44/12*0.475*BF1540</f>
        <v>0</v>
      </c>
      <c r="CH1540">
        <f t="shared" ref="CH1540:CH1603" si="484">CE1540*44/12*0.475*BF1540</f>
        <v>0</v>
      </c>
      <c r="CI1540">
        <f t="shared" ref="CI1540:CI1603" si="485">CF1540*44/12*0.475*BF1540</f>
        <v>0</v>
      </c>
      <c r="CJ1540">
        <f t="shared" ref="CJ1540:CJ1603" si="486">+IF(BJ1540&lt;=31,CJ1539*EXP(-$CJ$1)+CG1539*(1-EXP(-$CJ$1))/$CJ$1,0)</f>
        <v>0</v>
      </c>
      <c r="CK1540">
        <f t="shared" ref="CK1540:CK1603" si="487">+IF(BJ1540&lt;=31,CK1539*EXP(-$CK$1)+CH1539*(1-EXP(-$CK$1))/$CK$1,0)</f>
        <v>0</v>
      </c>
      <c r="CL1540">
        <f t="shared" ref="CL1540:CL1603" si="488">+IF(BJ1540&lt;=31,CL1539*EXP(-$CL$1)+CI1539*(1-EXP(-$CL$1))/$CL$1,0)</f>
        <v>0</v>
      </c>
      <c r="CM1540">
        <f t="shared" si="471"/>
        <v>0</v>
      </c>
      <c r="CN1540">
        <f t="shared" ref="CN1540:CN1603" si="489">+IF(BJ1540&lt;=31,CM1540+CN1539,0)</f>
        <v>0</v>
      </c>
      <c r="CO1540">
        <f t="shared" si="473"/>
        <v>0</v>
      </c>
    </row>
    <row r="1541" spans="1:93" hidden="1" x14ac:dyDescent="0.25">
      <c r="A1541" s="4">
        <v>2021</v>
      </c>
      <c r="B1541" s="315">
        <v>44361</v>
      </c>
      <c r="C1541" s="4" t="s">
        <v>66</v>
      </c>
      <c r="D1541" s="4" t="s">
        <v>1523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1503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+VLOOKUP(G1541,Liste!$A$7:$G$69,3,FALSE)</f>
        <v>Chêne sessile</v>
      </c>
      <c r="BI1541" s="96" t="str">
        <f>+VLOOKUP(H1541,Liste!$B$7:$G$69,5,FALSE)</f>
        <v>Guide chênaie atlantique</v>
      </c>
      <c r="BJ1541" s="135">
        <f t="shared" si="472"/>
        <v>58</v>
      </c>
      <c r="BK1541" s="135" t="str">
        <f t="shared" si="474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97" t="str">
        <f>+VLOOKUP(G1541,Liste!$A$7:$H$69,8,FALSE)</f>
        <v>Feuillus</v>
      </c>
      <c r="BU1541" s="297">
        <f t="shared" si="475"/>
        <v>1</v>
      </c>
      <c r="BV1541" s="299">
        <f t="shared" si="476"/>
        <v>0</v>
      </c>
      <c r="BW1541" s="318">
        <v>0</v>
      </c>
      <c r="BX1541" s="297">
        <f t="shared" si="477"/>
        <v>0.25</v>
      </c>
      <c r="BY1541">
        <f t="shared" si="478"/>
        <v>0</v>
      </c>
      <c r="BZ1541" s="303">
        <f t="shared" si="479"/>
        <v>0</v>
      </c>
      <c r="CB1541" s="298">
        <v>0.6</v>
      </c>
      <c r="CC1541" s="298">
        <v>0.4</v>
      </c>
      <c r="CD1541">
        <f t="shared" si="480"/>
        <v>0</v>
      </c>
      <c r="CE1541">
        <f t="shared" si="481"/>
        <v>0</v>
      </c>
      <c r="CF1541">
        <f t="shared" si="482"/>
        <v>0</v>
      </c>
      <c r="CG1541">
        <f t="shared" si="483"/>
        <v>0</v>
      </c>
      <c r="CH1541">
        <f t="shared" si="484"/>
        <v>0</v>
      </c>
      <c r="CI1541">
        <f t="shared" si="485"/>
        <v>0</v>
      </c>
      <c r="CJ1541">
        <f t="shared" si="486"/>
        <v>0</v>
      </c>
      <c r="CK1541">
        <f t="shared" si="487"/>
        <v>0</v>
      </c>
      <c r="CL1541">
        <f t="shared" si="488"/>
        <v>0</v>
      </c>
      <c r="CM1541">
        <f t="shared" ref="CM1541:CM1604" si="490">+CJ1541+CK1541+CL1541</f>
        <v>0</v>
      </c>
      <c r="CN1541">
        <f t="shared" si="489"/>
        <v>0</v>
      </c>
      <c r="CO1541">
        <f t="shared" si="473"/>
        <v>0</v>
      </c>
    </row>
    <row r="1542" spans="1:93" hidden="1" x14ac:dyDescent="0.25">
      <c r="A1542" s="4">
        <v>2021</v>
      </c>
      <c r="B1542" s="315">
        <v>44361</v>
      </c>
      <c r="C1542" s="4" t="s">
        <v>66</v>
      </c>
      <c r="D1542" s="4" t="s">
        <v>1523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1503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+VLOOKUP(G1542,Liste!$A$7:$G$69,3,FALSE)</f>
        <v>Chêne sessile</v>
      </c>
      <c r="BI1542" s="96" t="str">
        <f>+VLOOKUP(H1542,Liste!$B$7:$G$69,5,FALSE)</f>
        <v>Guide chênaie atlantique</v>
      </c>
      <c r="BJ1542" s="135">
        <f t="shared" si="472"/>
        <v>61</v>
      </c>
      <c r="BK1542" s="135" t="str">
        <f t="shared" si="474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97" t="str">
        <f>+VLOOKUP(G1542,Liste!$A$7:$H$69,8,FALSE)</f>
        <v>Feuillus</v>
      </c>
      <c r="BU1542" s="297">
        <f t="shared" si="475"/>
        <v>1</v>
      </c>
      <c r="BV1542" s="299">
        <f t="shared" si="476"/>
        <v>0</v>
      </c>
      <c r="BW1542" s="318">
        <v>0</v>
      </c>
      <c r="BX1542" s="297">
        <f t="shared" si="477"/>
        <v>0.25</v>
      </c>
      <c r="BY1542">
        <f t="shared" si="478"/>
        <v>0</v>
      </c>
      <c r="BZ1542" s="303">
        <f t="shared" si="479"/>
        <v>0</v>
      </c>
      <c r="CB1542" s="298">
        <v>0.6</v>
      </c>
      <c r="CC1542" s="298">
        <v>0.4</v>
      </c>
      <c r="CD1542">
        <f t="shared" si="480"/>
        <v>0</v>
      </c>
      <c r="CE1542">
        <f t="shared" si="481"/>
        <v>0</v>
      </c>
      <c r="CF1542">
        <f t="shared" si="482"/>
        <v>0</v>
      </c>
      <c r="CG1542">
        <f t="shared" si="483"/>
        <v>0</v>
      </c>
      <c r="CH1542">
        <f t="shared" si="484"/>
        <v>0</v>
      </c>
      <c r="CI1542">
        <f t="shared" si="485"/>
        <v>0</v>
      </c>
      <c r="CJ1542">
        <f t="shared" si="486"/>
        <v>0</v>
      </c>
      <c r="CK1542">
        <f t="shared" si="487"/>
        <v>0</v>
      </c>
      <c r="CL1542">
        <f t="shared" si="488"/>
        <v>0</v>
      </c>
      <c r="CM1542">
        <f t="shared" si="490"/>
        <v>0</v>
      </c>
      <c r="CN1542">
        <f t="shared" si="489"/>
        <v>0</v>
      </c>
      <c r="CO1542">
        <f t="shared" si="473"/>
        <v>0</v>
      </c>
    </row>
    <row r="1543" spans="1:93" hidden="1" x14ac:dyDescent="0.25">
      <c r="A1543" s="4">
        <v>2021</v>
      </c>
      <c r="B1543" s="315">
        <v>44361</v>
      </c>
      <c r="C1543" s="4" t="s">
        <v>66</v>
      </c>
      <c r="D1543" s="4" t="s">
        <v>1523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1503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+VLOOKUP(G1543,Liste!$A$7:$G$69,3,FALSE)</f>
        <v>Chêne sessile</v>
      </c>
      <c r="BI1543" s="96" t="str">
        <f>+VLOOKUP(H1543,Liste!$B$7:$G$69,5,FALSE)</f>
        <v>Guide chênaie atlantique</v>
      </c>
      <c r="BJ1543" s="135">
        <f t="shared" si="472"/>
        <v>64</v>
      </c>
      <c r="BK1543" s="135" t="str">
        <f t="shared" si="474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97" t="str">
        <f>+VLOOKUP(G1543,Liste!$A$7:$H$69,8,FALSE)</f>
        <v>Feuillus</v>
      </c>
      <c r="BU1543" s="297">
        <f t="shared" si="475"/>
        <v>1</v>
      </c>
      <c r="BV1543" s="299">
        <f t="shared" si="476"/>
        <v>0</v>
      </c>
      <c r="BW1543" s="318">
        <v>0</v>
      </c>
      <c r="BX1543" s="297">
        <f t="shared" si="477"/>
        <v>0.25</v>
      </c>
      <c r="BY1543">
        <f t="shared" si="478"/>
        <v>0</v>
      </c>
      <c r="BZ1543" s="303">
        <f t="shared" si="479"/>
        <v>0</v>
      </c>
      <c r="CB1543" s="298">
        <v>0.6</v>
      </c>
      <c r="CC1543" s="298">
        <v>0.4</v>
      </c>
      <c r="CD1543">
        <f t="shared" si="480"/>
        <v>0</v>
      </c>
      <c r="CE1543">
        <f t="shared" si="481"/>
        <v>0</v>
      </c>
      <c r="CF1543">
        <f t="shared" si="482"/>
        <v>0</v>
      </c>
      <c r="CG1543">
        <f t="shared" si="483"/>
        <v>0</v>
      </c>
      <c r="CH1543">
        <f t="shared" si="484"/>
        <v>0</v>
      </c>
      <c r="CI1543">
        <f t="shared" si="485"/>
        <v>0</v>
      </c>
      <c r="CJ1543">
        <f t="shared" si="486"/>
        <v>0</v>
      </c>
      <c r="CK1543">
        <f t="shared" si="487"/>
        <v>0</v>
      </c>
      <c r="CL1543">
        <f t="shared" si="488"/>
        <v>0</v>
      </c>
      <c r="CM1543">
        <f t="shared" si="490"/>
        <v>0</v>
      </c>
      <c r="CN1543">
        <f t="shared" si="489"/>
        <v>0</v>
      </c>
      <c r="CO1543">
        <f t="shared" si="473"/>
        <v>0</v>
      </c>
    </row>
    <row r="1544" spans="1:93" hidden="1" x14ac:dyDescent="0.25">
      <c r="A1544" s="4">
        <v>2021</v>
      </c>
      <c r="B1544" s="315">
        <v>44361</v>
      </c>
      <c r="C1544" s="4" t="s">
        <v>66</v>
      </c>
      <c r="D1544" s="4" t="s">
        <v>1523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1503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+VLOOKUP(G1544,Liste!$A$7:$G$69,3,FALSE)</f>
        <v>Chêne sessile</v>
      </c>
      <c r="BI1544" s="96" t="str">
        <f>+VLOOKUP(H1544,Liste!$B$7:$G$69,5,FALSE)</f>
        <v>Guide chênaie atlantique</v>
      </c>
      <c r="BJ1544" s="135">
        <f t="shared" si="472"/>
        <v>66</v>
      </c>
      <c r="BK1544" s="135" t="str">
        <f t="shared" si="474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97" t="str">
        <f>+VLOOKUP(G1544,Liste!$A$7:$H$69,8,FALSE)</f>
        <v>Feuillus</v>
      </c>
      <c r="BU1544" s="297">
        <f t="shared" si="475"/>
        <v>1</v>
      </c>
      <c r="BV1544" s="299">
        <f t="shared" si="476"/>
        <v>0</v>
      </c>
      <c r="BW1544" s="318">
        <v>0</v>
      </c>
      <c r="BX1544" s="297">
        <f t="shared" si="477"/>
        <v>0.25</v>
      </c>
      <c r="BY1544">
        <f t="shared" si="478"/>
        <v>0</v>
      </c>
      <c r="BZ1544" s="303">
        <f t="shared" si="479"/>
        <v>0</v>
      </c>
      <c r="CB1544" s="298">
        <v>0.6</v>
      </c>
      <c r="CC1544" s="298">
        <v>0.4</v>
      </c>
      <c r="CD1544">
        <f t="shared" si="480"/>
        <v>0</v>
      </c>
      <c r="CE1544">
        <f t="shared" si="481"/>
        <v>0</v>
      </c>
      <c r="CF1544">
        <f t="shared" si="482"/>
        <v>0</v>
      </c>
      <c r="CG1544">
        <f t="shared" si="483"/>
        <v>0</v>
      </c>
      <c r="CH1544">
        <f t="shared" si="484"/>
        <v>0</v>
      </c>
      <c r="CI1544">
        <f t="shared" si="485"/>
        <v>0</v>
      </c>
      <c r="CJ1544">
        <f t="shared" si="486"/>
        <v>0</v>
      </c>
      <c r="CK1544">
        <f t="shared" si="487"/>
        <v>0</v>
      </c>
      <c r="CL1544">
        <f t="shared" si="488"/>
        <v>0</v>
      </c>
      <c r="CM1544">
        <f t="shared" si="490"/>
        <v>0</v>
      </c>
      <c r="CN1544">
        <f t="shared" si="489"/>
        <v>0</v>
      </c>
      <c r="CO1544">
        <f t="shared" si="473"/>
        <v>0</v>
      </c>
    </row>
    <row r="1545" spans="1:93" hidden="1" x14ac:dyDescent="0.25">
      <c r="A1545" s="4">
        <v>2021</v>
      </c>
      <c r="B1545" s="315">
        <v>44361</v>
      </c>
      <c r="C1545" s="4" t="s">
        <v>66</v>
      </c>
      <c r="D1545" s="4" t="s">
        <v>1523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1503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+VLOOKUP(G1545,Liste!$A$7:$G$69,3,FALSE)</f>
        <v>Chêne sessile</v>
      </c>
      <c r="BI1545" s="96" t="str">
        <f>+VLOOKUP(H1545,Liste!$B$7:$G$69,5,FALSE)</f>
        <v>Guide chênaie atlantique</v>
      </c>
      <c r="BJ1545" s="135">
        <f t="shared" si="472"/>
        <v>66</v>
      </c>
      <c r="BK1545" s="135" t="str">
        <f t="shared" si="474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97" t="str">
        <f>+VLOOKUP(G1545,Liste!$A$7:$H$69,8,FALSE)</f>
        <v>Feuillus</v>
      </c>
      <c r="BU1545" s="297">
        <f t="shared" si="475"/>
        <v>1</v>
      </c>
      <c r="BV1545" s="299">
        <f t="shared" si="476"/>
        <v>0</v>
      </c>
      <c r="BW1545" s="318">
        <v>0</v>
      </c>
      <c r="BX1545" s="297">
        <f t="shared" si="477"/>
        <v>0.25</v>
      </c>
      <c r="BY1545">
        <f t="shared" si="478"/>
        <v>0</v>
      </c>
      <c r="BZ1545" s="303">
        <f t="shared" si="479"/>
        <v>0</v>
      </c>
      <c r="CB1545" s="298">
        <v>0.6</v>
      </c>
      <c r="CC1545" s="298">
        <v>0.4</v>
      </c>
      <c r="CD1545">
        <f t="shared" si="480"/>
        <v>0</v>
      </c>
      <c r="CE1545">
        <f t="shared" si="481"/>
        <v>0</v>
      </c>
      <c r="CF1545">
        <f t="shared" si="482"/>
        <v>0</v>
      </c>
      <c r="CG1545">
        <f t="shared" si="483"/>
        <v>0</v>
      </c>
      <c r="CH1545">
        <f t="shared" si="484"/>
        <v>0</v>
      </c>
      <c r="CI1545">
        <f t="shared" si="485"/>
        <v>0</v>
      </c>
      <c r="CJ1545">
        <f t="shared" si="486"/>
        <v>0</v>
      </c>
      <c r="CK1545">
        <f t="shared" si="487"/>
        <v>0</v>
      </c>
      <c r="CL1545">
        <f t="shared" si="488"/>
        <v>0</v>
      </c>
      <c r="CM1545">
        <f t="shared" si="490"/>
        <v>0</v>
      </c>
      <c r="CN1545">
        <f t="shared" si="489"/>
        <v>0</v>
      </c>
      <c r="CO1545">
        <f t="shared" si="473"/>
        <v>0</v>
      </c>
    </row>
    <row r="1546" spans="1:93" hidden="1" x14ac:dyDescent="0.25">
      <c r="A1546" s="4">
        <v>2021</v>
      </c>
      <c r="B1546" s="315">
        <v>44361</v>
      </c>
      <c r="C1546" s="4" t="s">
        <v>66</v>
      </c>
      <c r="D1546" s="4" t="s">
        <v>1523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1503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+VLOOKUP(G1546,Liste!$A$7:$G$69,3,FALSE)</f>
        <v>Chêne sessile</v>
      </c>
      <c r="BI1546" s="96" t="str">
        <f>+VLOOKUP(H1546,Liste!$B$7:$G$69,5,FALSE)</f>
        <v>Guide chênaie atlantique</v>
      </c>
      <c r="BJ1546" s="135">
        <f t="shared" si="472"/>
        <v>69</v>
      </c>
      <c r="BK1546" s="135" t="str">
        <f t="shared" si="474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97" t="str">
        <f>+VLOOKUP(G1546,Liste!$A$7:$H$69,8,FALSE)</f>
        <v>Feuillus</v>
      </c>
      <c r="BU1546" s="297">
        <f t="shared" si="475"/>
        <v>1</v>
      </c>
      <c r="BV1546" s="299">
        <f t="shared" si="476"/>
        <v>0</v>
      </c>
      <c r="BW1546" s="318">
        <v>0</v>
      </c>
      <c r="BX1546" s="297">
        <f t="shared" si="477"/>
        <v>0.25</v>
      </c>
      <c r="BY1546">
        <f t="shared" si="478"/>
        <v>0</v>
      </c>
      <c r="BZ1546" s="303">
        <f t="shared" si="479"/>
        <v>0</v>
      </c>
      <c r="CB1546" s="298">
        <v>0.6</v>
      </c>
      <c r="CC1546" s="298">
        <v>0.4</v>
      </c>
      <c r="CD1546">
        <f t="shared" si="480"/>
        <v>0</v>
      </c>
      <c r="CE1546">
        <f t="shared" si="481"/>
        <v>0</v>
      </c>
      <c r="CF1546">
        <f t="shared" si="482"/>
        <v>0</v>
      </c>
      <c r="CG1546">
        <f t="shared" si="483"/>
        <v>0</v>
      </c>
      <c r="CH1546">
        <f t="shared" si="484"/>
        <v>0</v>
      </c>
      <c r="CI1546">
        <f t="shared" si="485"/>
        <v>0</v>
      </c>
      <c r="CJ1546">
        <f t="shared" si="486"/>
        <v>0</v>
      </c>
      <c r="CK1546">
        <f t="shared" si="487"/>
        <v>0</v>
      </c>
      <c r="CL1546">
        <f t="shared" si="488"/>
        <v>0</v>
      </c>
      <c r="CM1546">
        <f t="shared" si="490"/>
        <v>0</v>
      </c>
      <c r="CN1546">
        <f t="shared" si="489"/>
        <v>0</v>
      </c>
      <c r="CO1546">
        <f t="shared" si="473"/>
        <v>0</v>
      </c>
    </row>
    <row r="1547" spans="1:93" hidden="1" x14ac:dyDescent="0.25">
      <c r="A1547" s="4">
        <v>2021</v>
      </c>
      <c r="B1547" s="315">
        <v>44361</v>
      </c>
      <c r="C1547" s="4" t="s">
        <v>66</v>
      </c>
      <c r="D1547" s="4" t="s">
        <v>1523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1503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+VLOOKUP(G1547,Liste!$A$7:$G$69,3,FALSE)</f>
        <v>Chêne sessile</v>
      </c>
      <c r="BI1547" s="96" t="str">
        <f>+VLOOKUP(H1547,Liste!$B$7:$G$69,5,FALSE)</f>
        <v>Guide chênaie atlantique</v>
      </c>
      <c r="BJ1547" s="135">
        <f t="shared" si="472"/>
        <v>72</v>
      </c>
      <c r="BK1547" s="135" t="str">
        <f t="shared" si="474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97" t="str">
        <f>+VLOOKUP(G1547,Liste!$A$7:$H$69,8,FALSE)</f>
        <v>Feuillus</v>
      </c>
      <c r="BU1547" s="297">
        <f t="shared" si="475"/>
        <v>1</v>
      </c>
      <c r="BV1547" s="299">
        <f t="shared" si="476"/>
        <v>0</v>
      </c>
      <c r="BW1547" s="318">
        <v>0</v>
      </c>
      <c r="BX1547" s="297">
        <f t="shared" si="477"/>
        <v>0.25</v>
      </c>
      <c r="BY1547">
        <f t="shared" si="478"/>
        <v>0</v>
      </c>
      <c r="BZ1547" s="303">
        <f t="shared" si="479"/>
        <v>0</v>
      </c>
      <c r="CB1547" s="298">
        <v>0.6</v>
      </c>
      <c r="CC1547" s="298">
        <v>0.4</v>
      </c>
      <c r="CD1547">
        <f t="shared" si="480"/>
        <v>0</v>
      </c>
      <c r="CE1547">
        <f t="shared" si="481"/>
        <v>0</v>
      </c>
      <c r="CF1547">
        <f t="shared" si="482"/>
        <v>0</v>
      </c>
      <c r="CG1547">
        <f t="shared" si="483"/>
        <v>0</v>
      </c>
      <c r="CH1547">
        <f t="shared" si="484"/>
        <v>0</v>
      </c>
      <c r="CI1547">
        <f t="shared" si="485"/>
        <v>0</v>
      </c>
      <c r="CJ1547">
        <f t="shared" si="486"/>
        <v>0</v>
      </c>
      <c r="CK1547">
        <f t="shared" si="487"/>
        <v>0</v>
      </c>
      <c r="CL1547">
        <f t="shared" si="488"/>
        <v>0</v>
      </c>
      <c r="CM1547">
        <f t="shared" si="490"/>
        <v>0</v>
      </c>
      <c r="CN1547">
        <f t="shared" si="489"/>
        <v>0</v>
      </c>
      <c r="CO1547">
        <f t="shared" si="473"/>
        <v>0</v>
      </c>
    </row>
    <row r="1548" spans="1:93" hidden="1" x14ac:dyDescent="0.25">
      <c r="A1548" s="4">
        <v>2021</v>
      </c>
      <c r="B1548" s="315">
        <v>44361</v>
      </c>
      <c r="C1548" s="4" t="s">
        <v>66</v>
      </c>
      <c r="D1548" s="4" t="s">
        <v>1523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1503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+VLOOKUP(G1548,Liste!$A$7:$G$69,3,FALSE)</f>
        <v>Chêne sessile</v>
      </c>
      <c r="BI1548" s="96" t="str">
        <f>+VLOOKUP(H1548,Liste!$B$7:$G$69,5,FALSE)</f>
        <v>Guide chênaie atlantique</v>
      </c>
      <c r="BJ1548" s="135">
        <f t="shared" si="472"/>
        <v>74</v>
      </c>
      <c r="BK1548" s="135" t="str">
        <f t="shared" si="474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97" t="str">
        <f>+VLOOKUP(G1548,Liste!$A$7:$H$69,8,FALSE)</f>
        <v>Feuillus</v>
      </c>
      <c r="BU1548" s="297">
        <f t="shared" si="475"/>
        <v>1</v>
      </c>
      <c r="BV1548" s="299">
        <f t="shared" si="476"/>
        <v>0</v>
      </c>
      <c r="BW1548" s="318">
        <v>0</v>
      </c>
      <c r="BX1548" s="297">
        <f t="shared" si="477"/>
        <v>0.25</v>
      </c>
      <c r="BY1548">
        <f t="shared" si="478"/>
        <v>0</v>
      </c>
      <c r="BZ1548" s="303">
        <f t="shared" si="479"/>
        <v>0</v>
      </c>
      <c r="CB1548" s="298">
        <v>0.6</v>
      </c>
      <c r="CC1548" s="298">
        <v>0.4</v>
      </c>
      <c r="CD1548">
        <f t="shared" si="480"/>
        <v>0</v>
      </c>
      <c r="CE1548">
        <f t="shared" si="481"/>
        <v>0</v>
      </c>
      <c r="CF1548">
        <f t="shared" si="482"/>
        <v>0</v>
      </c>
      <c r="CG1548">
        <f t="shared" si="483"/>
        <v>0</v>
      </c>
      <c r="CH1548">
        <f t="shared" si="484"/>
        <v>0</v>
      </c>
      <c r="CI1548">
        <f t="shared" si="485"/>
        <v>0</v>
      </c>
      <c r="CJ1548">
        <f t="shared" si="486"/>
        <v>0</v>
      </c>
      <c r="CK1548">
        <f t="shared" si="487"/>
        <v>0</v>
      </c>
      <c r="CL1548">
        <f t="shared" si="488"/>
        <v>0</v>
      </c>
      <c r="CM1548">
        <f t="shared" si="490"/>
        <v>0</v>
      </c>
      <c r="CN1548">
        <f t="shared" si="489"/>
        <v>0</v>
      </c>
      <c r="CO1548">
        <f t="shared" si="473"/>
        <v>0</v>
      </c>
    </row>
    <row r="1549" spans="1:93" hidden="1" x14ac:dyDescent="0.25">
      <c r="A1549" s="4">
        <v>2021</v>
      </c>
      <c r="B1549" s="315">
        <v>44361</v>
      </c>
      <c r="C1549" s="4" t="s">
        <v>66</v>
      </c>
      <c r="D1549" s="4" t="s">
        <v>1523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1503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+VLOOKUP(G1549,Liste!$A$7:$G$69,3,FALSE)</f>
        <v>Chêne sessile</v>
      </c>
      <c r="BI1549" s="96" t="str">
        <f>+VLOOKUP(H1549,Liste!$B$7:$G$69,5,FALSE)</f>
        <v>Guide chênaie atlantique</v>
      </c>
      <c r="BJ1549" s="135">
        <f t="shared" si="472"/>
        <v>74</v>
      </c>
      <c r="BK1549" s="135" t="str">
        <f t="shared" si="474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97" t="str">
        <f>+VLOOKUP(G1549,Liste!$A$7:$H$69,8,FALSE)</f>
        <v>Feuillus</v>
      </c>
      <c r="BU1549" s="297">
        <f t="shared" si="475"/>
        <v>1</v>
      </c>
      <c r="BV1549" s="299">
        <f t="shared" si="476"/>
        <v>0</v>
      </c>
      <c r="BW1549" s="318">
        <v>0</v>
      </c>
      <c r="BX1549" s="297">
        <f t="shared" si="477"/>
        <v>0.25</v>
      </c>
      <c r="BY1549">
        <f t="shared" si="478"/>
        <v>0</v>
      </c>
      <c r="BZ1549" s="303">
        <f t="shared" si="479"/>
        <v>0</v>
      </c>
      <c r="CB1549" s="298">
        <v>0.6</v>
      </c>
      <c r="CC1549" s="298">
        <v>0.4</v>
      </c>
      <c r="CD1549">
        <f t="shared" si="480"/>
        <v>0</v>
      </c>
      <c r="CE1549">
        <f t="shared" si="481"/>
        <v>0</v>
      </c>
      <c r="CF1549">
        <f t="shared" si="482"/>
        <v>0</v>
      </c>
      <c r="CG1549">
        <f t="shared" si="483"/>
        <v>0</v>
      </c>
      <c r="CH1549">
        <f t="shared" si="484"/>
        <v>0</v>
      </c>
      <c r="CI1549">
        <f t="shared" si="485"/>
        <v>0</v>
      </c>
      <c r="CJ1549">
        <f t="shared" si="486"/>
        <v>0</v>
      </c>
      <c r="CK1549">
        <f t="shared" si="487"/>
        <v>0</v>
      </c>
      <c r="CL1549">
        <f t="shared" si="488"/>
        <v>0</v>
      </c>
      <c r="CM1549">
        <f t="shared" si="490"/>
        <v>0</v>
      </c>
      <c r="CN1549">
        <f t="shared" si="489"/>
        <v>0</v>
      </c>
      <c r="CO1549">
        <f t="shared" si="473"/>
        <v>0</v>
      </c>
    </row>
    <row r="1550" spans="1:93" hidden="1" x14ac:dyDescent="0.25">
      <c r="A1550" s="4">
        <v>2021</v>
      </c>
      <c r="B1550" s="315">
        <v>44361</v>
      </c>
      <c r="C1550" s="4" t="s">
        <v>66</v>
      </c>
      <c r="D1550" s="4" t="s">
        <v>1523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1503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+VLOOKUP(G1550,Liste!$A$7:$G$69,3,FALSE)</f>
        <v>Chêne sessile</v>
      </c>
      <c r="BI1550" s="96" t="str">
        <f>+VLOOKUP(H1550,Liste!$B$7:$G$69,5,FALSE)</f>
        <v>Guide chênaie atlantique</v>
      </c>
      <c r="BJ1550" s="135">
        <f t="shared" si="472"/>
        <v>77</v>
      </c>
      <c r="BK1550" s="135" t="str">
        <f t="shared" si="474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97" t="str">
        <f>+VLOOKUP(G1550,Liste!$A$7:$H$69,8,FALSE)</f>
        <v>Feuillus</v>
      </c>
      <c r="BU1550" s="297">
        <f t="shared" si="475"/>
        <v>1</v>
      </c>
      <c r="BV1550" s="299">
        <f t="shared" si="476"/>
        <v>0</v>
      </c>
      <c r="BW1550" s="318">
        <v>0</v>
      </c>
      <c r="BX1550" s="297">
        <f t="shared" si="477"/>
        <v>0.25</v>
      </c>
      <c r="BY1550">
        <f t="shared" si="478"/>
        <v>0</v>
      </c>
      <c r="BZ1550" s="303">
        <f t="shared" si="479"/>
        <v>0</v>
      </c>
      <c r="CB1550" s="298">
        <v>0.6</v>
      </c>
      <c r="CC1550" s="298">
        <v>0.4</v>
      </c>
      <c r="CD1550">
        <f t="shared" si="480"/>
        <v>0</v>
      </c>
      <c r="CE1550">
        <f t="shared" si="481"/>
        <v>0</v>
      </c>
      <c r="CF1550">
        <f t="shared" si="482"/>
        <v>0</v>
      </c>
      <c r="CG1550">
        <f t="shared" si="483"/>
        <v>0</v>
      </c>
      <c r="CH1550">
        <f t="shared" si="484"/>
        <v>0</v>
      </c>
      <c r="CI1550">
        <f t="shared" si="485"/>
        <v>0</v>
      </c>
      <c r="CJ1550">
        <f t="shared" si="486"/>
        <v>0</v>
      </c>
      <c r="CK1550">
        <f t="shared" si="487"/>
        <v>0</v>
      </c>
      <c r="CL1550">
        <f t="shared" si="488"/>
        <v>0</v>
      </c>
      <c r="CM1550">
        <f t="shared" si="490"/>
        <v>0</v>
      </c>
      <c r="CN1550">
        <f t="shared" si="489"/>
        <v>0</v>
      </c>
      <c r="CO1550">
        <f t="shared" si="473"/>
        <v>0</v>
      </c>
    </row>
    <row r="1551" spans="1:93" hidden="1" x14ac:dyDescent="0.25">
      <c r="A1551" s="4">
        <v>2021</v>
      </c>
      <c r="B1551" s="315">
        <v>44361</v>
      </c>
      <c r="C1551" s="4" t="s">
        <v>66</v>
      </c>
      <c r="D1551" s="4" t="s">
        <v>1523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1503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+VLOOKUP(G1551,Liste!$A$7:$G$69,3,FALSE)</f>
        <v>Chêne sessile</v>
      </c>
      <c r="BI1551" s="96" t="str">
        <f>+VLOOKUP(H1551,Liste!$B$7:$G$69,5,FALSE)</f>
        <v>Guide chênaie atlantique</v>
      </c>
      <c r="BJ1551" s="135">
        <f t="shared" si="472"/>
        <v>80</v>
      </c>
      <c r="BK1551" s="135" t="str">
        <f t="shared" si="474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97" t="str">
        <f>+VLOOKUP(G1551,Liste!$A$7:$H$69,8,FALSE)</f>
        <v>Feuillus</v>
      </c>
      <c r="BU1551" s="297">
        <f t="shared" si="475"/>
        <v>1</v>
      </c>
      <c r="BV1551" s="299">
        <f t="shared" si="476"/>
        <v>0</v>
      </c>
      <c r="BW1551" s="318">
        <v>0</v>
      </c>
      <c r="BX1551" s="297">
        <f t="shared" si="477"/>
        <v>0.25</v>
      </c>
      <c r="BY1551">
        <f t="shared" si="478"/>
        <v>0</v>
      </c>
      <c r="BZ1551" s="303">
        <f t="shared" si="479"/>
        <v>0</v>
      </c>
      <c r="CB1551" s="298">
        <v>0.6</v>
      </c>
      <c r="CC1551" s="298">
        <v>0.4</v>
      </c>
      <c r="CD1551">
        <f t="shared" si="480"/>
        <v>0</v>
      </c>
      <c r="CE1551">
        <f t="shared" si="481"/>
        <v>0</v>
      </c>
      <c r="CF1551">
        <f t="shared" si="482"/>
        <v>0</v>
      </c>
      <c r="CG1551">
        <f t="shared" si="483"/>
        <v>0</v>
      </c>
      <c r="CH1551">
        <f t="shared" si="484"/>
        <v>0</v>
      </c>
      <c r="CI1551">
        <f t="shared" si="485"/>
        <v>0</v>
      </c>
      <c r="CJ1551">
        <f t="shared" si="486"/>
        <v>0</v>
      </c>
      <c r="CK1551">
        <f t="shared" si="487"/>
        <v>0</v>
      </c>
      <c r="CL1551">
        <f t="shared" si="488"/>
        <v>0</v>
      </c>
      <c r="CM1551">
        <f t="shared" si="490"/>
        <v>0</v>
      </c>
      <c r="CN1551">
        <f t="shared" si="489"/>
        <v>0</v>
      </c>
      <c r="CO1551">
        <f t="shared" si="473"/>
        <v>0</v>
      </c>
    </row>
    <row r="1552" spans="1:93" hidden="1" x14ac:dyDescent="0.25">
      <c r="A1552" s="4">
        <v>2021</v>
      </c>
      <c r="B1552" s="315">
        <v>44361</v>
      </c>
      <c r="C1552" s="4" t="s">
        <v>66</v>
      </c>
      <c r="D1552" s="4" t="s">
        <v>1523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1503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+VLOOKUP(G1552,Liste!$A$7:$G$69,3,FALSE)</f>
        <v>Chêne sessile</v>
      </c>
      <c r="BI1552" s="96" t="str">
        <f>+VLOOKUP(H1552,Liste!$B$7:$G$69,5,FALSE)</f>
        <v>Guide chênaie atlantique</v>
      </c>
      <c r="BJ1552" s="135">
        <f t="shared" si="472"/>
        <v>84</v>
      </c>
      <c r="BK1552" s="135" t="str">
        <f t="shared" si="474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97" t="str">
        <f>+VLOOKUP(G1552,Liste!$A$7:$H$69,8,FALSE)</f>
        <v>Feuillus</v>
      </c>
      <c r="BU1552" s="297">
        <f t="shared" si="475"/>
        <v>1</v>
      </c>
      <c r="BV1552" s="299">
        <f t="shared" si="476"/>
        <v>0</v>
      </c>
      <c r="BW1552" s="318">
        <v>0</v>
      </c>
      <c r="BX1552" s="297">
        <f t="shared" si="477"/>
        <v>0.25</v>
      </c>
      <c r="BY1552">
        <f t="shared" si="478"/>
        <v>0</v>
      </c>
      <c r="BZ1552" s="303">
        <f t="shared" si="479"/>
        <v>0</v>
      </c>
      <c r="CB1552" s="298">
        <v>0.6</v>
      </c>
      <c r="CC1552" s="298">
        <v>0.4</v>
      </c>
      <c r="CD1552">
        <f t="shared" si="480"/>
        <v>0</v>
      </c>
      <c r="CE1552">
        <f t="shared" si="481"/>
        <v>0</v>
      </c>
      <c r="CF1552">
        <f t="shared" si="482"/>
        <v>0</v>
      </c>
      <c r="CG1552">
        <f t="shared" si="483"/>
        <v>0</v>
      </c>
      <c r="CH1552">
        <f t="shared" si="484"/>
        <v>0</v>
      </c>
      <c r="CI1552">
        <f t="shared" si="485"/>
        <v>0</v>
      </c>
      <c r="CJ1552">
        <f t="shared" si="486"/>
        <v>0</v>
      </c>
      <c r="CK1552">
        <f t="shared" si="487"/>
        <v>0</v>
      </c>
      <c r="CL1552">
        <f t="shared" si="488"/>
        <v>0</v>
      </c>
      <c r="CM1552">
        <f t="shared" si="490"/>
        <v>0</v>
      </c>
      <c r="CN1552">
        <f t="shared" si="489"/>
        <v>0</v>
      </c>
      <c r="CO1552">
        <f t="shared" si="473"/>
        <v>0</v>
      </c>
    </row>
    <row r="1553" spans="1:93" hidden="1" x14ac:dyDescent="0.25">
      <c r="A1553" s="4">
        <v>2021</v>
      </c>
      <c r="B1553" s="315">
        <v>44361</v>
      </c>
      <c r="C1553" s="4" t="s">
        <v>66</v>
      </c>
      <c r="D1553" s="4" t="s">
        <v>1523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1503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+VLOOKUP(G1553,Liste!$A$7:$G$69,3,FALSE)</f>
        <v>Chêne sessile</v>
      </c>
      <c r="BI1553" s="96" t="str">
        <f>+VLOOKUP(H1553,Liste!$B$7:$G$69,5,FALSE)</f>
        <v>Guide chênaie atlantique</v>
      </c>
      <c r="BJ1553" s="135">
        <f t="shared" si="472"/>
        <v>84</v>
      </c>
      <c r="BK1553" s="135" t="str">
        <f t="shared" si="474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97" t="str">
        <f>+VLOOKUP(G1553,Liste!$A$7:$H$69,8,FALSE)</f>
        <v>Feuillus</v>
      </c>
      <c r="BU1553" s="297">
        <f t="shared" si="475"/>
        <v>1</v>
      </c>
      <c r="BV1553" s="299">
        <f t="shared" si="476"/>
        <v>0</v>
      </c>
      <c r="BW1553" s="318">
        <v>0</v>
      </c>
      <c r="BX1553" s="297">
        <f t="shared" si="477"/>
        <v>0.25</v>
      </c>
      <c r="BY1553">
        <f t="shared" si="478"/>
        <v>0</v>
      </c>
      <c r="BZ1553" s="303">
        <f t="shared" si="479"/>
        <v>0</v>
      </c>
      <c r="CB1553" s="298">
        <v>0.6</v>
      </c>
      <c r="CC1553" s="298">
        <v>0.4</v>
      </c>
      <c r="CD1553">
        <f t="shared" si="480"/>
        <v>0</v>
      </c>
      <c r="CE1553">
        <f t="shared" si="481"/>
        <v>0</v>
      </c>
      <c r="CF1553">
        <f t="shared" si="482"/>
        <v>0</v>
      </c>
      <c r="CG1553">
        <f t="shared" si="483"/>
        <v>0</v>
      </c>
      <c r="CH1553">
        <f t="shared" si="484"/>
        <v>0</v>
      </c>
      <c r="CI1553">
        <f t="shared" si="485"/>
        <v>0</v>
      </c>
      <c r="CJ1553">
        <f t="shared" si="486"/>
        <v>0</v>
      </c>
      <c r="CK1553">
        <f t="shared" si="487"/>
        <v>0</v>
      </c>
      <c r="CL1553">
        <f t="shared" si="488"/>
        <v>0</v>
      </c>
      <c r="CM1553">
        <f t="shared" si="490"/>
        <v>0</v>
      </c>
      <c r="CN1553">
        <f t="shared" si="489"/>
        <v>0</v>
      </c>
      <c r="CO1553">
        <f t="shared" si="473"/>
        <v>0</v>
      </c>
    </row>
    <row r="1554" spans="1:93" hidden="1" x14ac:dyDescent="0.25">
      <c r="A1554" s="4">
        <v>2021</v>
      </c>
      <c r="B1554" s="315">
        <v>44361</v>
      </c>
      <c r="C1554" s="4" t="s">
        <v>66</v>
      </c>
      <c r="D1554" s="4" t="s">
        <v>1523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1503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+VLOOKUP(G1554,Liste!$A$7:$G$69,3,FALSE)</f>
        <v>Chêne sessile</v>
      </c>
      <c r="BI1554" s="96" t="str">
        <f>+VLOOKUP(H1554,Liste!$B$7:$G$69,5,FALSE)</f>
        <v>Guide chênaie atlantique</v>
      </c>
      <c r="BJ1554" s="135">
        <f t="shared" si="472"/>
        <v>87</v>
      </c>
      <c r="BK1554" s="135" t="str">
        <f t="shared" si="474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97" t="str">
        <f>+VLOOKUP(G1554,Liste!$A$7:$H$69,8,FALSE)</f>
        <v>Feuillus</v>
      </c>
      <c r="BU1554" s="297">
        <f t="shared" si="475"/>
        <v>1</v>
      </c>
      <c r="BV1554" s="299">
        <f t="shared" si="476"/>
        <v>0</v>
      </c>
      <c r="BW1554" s="318">
        <v>0</v>
      </c>
      <c r="BX1554" s="297">
        <f t="shared" si="477"/>
        <v>0.25</v>
      </c>
      <c r="BY1554">
        <f t="shared" si="478"/>
        <v>0</v>
      </c>
      <c r="BZ1554" s="303">
        <f t="shared" si="479"/>
        <v>0</v>
      </c>
      <c r="CB1554" s="298">
        <v>0.6</v>
      </c>
      <c r="CC1554" s="298">
        <v>0.4</v>
      </c>
      <c r="CD1554">
        <f t="shared" si="480"/>
        <v>0</v>
      </c>
      <c r="CE1554">
        <f t="shared" si="481"/>
        <v>0</v>
      </c>
      <c r="CF1554">
        <f t="shared" si="482"/>
        <v>0</v>
      </c>
      <c r="CG1554">
        <f t="shared" si="483"/>
        <v>0</v>
      </c>
      <c r="CH1554">
        <f t="shared" si="484"/>
        <v>0</v>
      </c>
      <c r="CI1554">
        <f t="shared" si="485"/>
        <v>0</v>
      </c>
      <c r="CJ1554">
        <f t="shared" si="486"/>
        <v>0</v>
      </c>
      <c r="CK1554">
        <f t="shared" si="487"/>
        <v>0</v>
      </c>
      <c r="CL1554">
        <f t="shared" si="488"/>
        <v>0</v>
      </c>
      <c r="CM1554">
        <f t="shared" si="490"/>
        <v>0</v>
      </c>
      <c r="CN1554">
        <f t="shared" si="489"/>
        <v>0</v>
      </c>
      <c r="CO1554">
        <f t="shared" si="473"/>
        <v>0</v>
      </c>
    </row>
    <row r="1555" spans="1:93" hidden="1" x14ac:dyDescent="0.25">
      <c r="A1555" s="4">
        <v>2021</v>
      </c>
      <c r="B1555" s="315">
        <v>44361</v>
      </c>
      <c r="C1555" s="4" t="s">
        <v>66</v>
      </c>
      <c r="D1555" s="4" t="s">
        <v>1523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1503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+VLOOKUP(G1555,Liste!$A$7:$G$69,3,FALSE)</f>
        <v>Chêne sessile</v>
      </c>
      <c r="BI1555" s="96" t="str">
        <f>+VLOOKUP(H1555,Liste!$B$7:$G$69,5,FALSE)</f>
        <v>Guide chênaie atlantique</v>
      </c>
      <c r="BJ1555" s="135">
        <f t="shared" si="472"/>
        <v>90</v>
      </c>
      <c r="BK1555" s="135" t="str">
        <f t="shared" si="474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97" t="str">
        <f>+VLOOKUP(G1555,Liste!$A$7:$H$69,8,FALSE)</f>
        <v>Feuillus</v>
      </c>
      <c r="BU1555" s="297">
        <f t="shared" si="475"/>
        <v>1</v>
      </c>
      <c r="BV1555" s="299">
        <f t="shared" si="476"/>
        <v>0</v>
      </c>
      <c r="BW1555" s="318">
        <v>0</v>
      </c>
      <c r="BX1555" s="297">
        <f t="shared" si="477"/>
        <v>0.25</v>
      </c>
      <c r="BY1555">
        <f t="shared" si="478"/>
        <v>0</v>
      </c>
      <c r="BZ1555" s="303">
        <f t="shared" si="479"/>
        <v>0</v>
      </c>
      <c r="CB1555" s="298">
        <v>0.6</v>
      </c>
      <c r="CC1555" s="298">
        <v>0.4</v>
      </c>
      <c r="CD1555">
        <f t="shared" si="480"/>
        <v>0</v>
      </c>
      <c r="CE1555">
        <f t="shared" si="481"/>
        <v>0</v>
      </c>
      <c r="CF1555">
        <f t="shared" si="482"/>
        <v>0</v>
      </c>
      <c r="CG1555">
        <f t="shared" si="483"/>
        <v>0</v>
      </c>
      <c r="CH1555">
        <f t="shared" si="484"/>
        <v>0</v>
      </c>
      <c r="CI1555">
        <f t="shared" si="485"/>
        <v>0</v>
      </c>
      <c r="CJ1555">
        <f t="shared" si="486"/>
        <v>0</v>
      </c>
      <c r="CK1555">
        <f t="shared" si="487"/>
        <v>0</v>
      </c>
      <c r="CL1555">
        <f t="shared" si="488"/>
        <v>0</v>
      </c>
      <c r="CM1555">
        <f t="shared" si="490"/>
        <v>0</v>
      </c>
      <c r="CN1555">
        <f t="shared" si="489"/>
        <v>0</v>
      </c>
      <c r="CO1555">
        <f t="shared" si="473"/>
        <v>0</v>
      </c>
    </row>
    <row r="1556" spans="1:93" hidden="1" x14ac:dyDescent="0.25">
      <c r="A1556" s="4">
        <v>2021</v>
      </c>
      <c r="B1556" s="315">
        <v>44361</v>
      </c>
      <c r="C1556" s="4" t="s">
        <v>66</v>
      </c>
      <c r="D1556" s="4" t="s">
        <v>1523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1503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+VLOOKUP(G1556,Liste!$A$7:$G$69,3,FALSE)</f>
        <v>Chêne sessile</v>
      </c>
      <c r="BI1556" s="96" t="str">
        <f>+VLOOKUP(H1556,Liste!$B$7:$G$69,5,FALSE)</f>
        <v>Guide chênaie atlantique</v>
      </c>
      <c r="BJ1556" s="135">
        <f t="shared" si="472"/>
        <v>94</v>
      </c>
      <c r="BK1556" s="135" t="str">
        <f t="shared" si="474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97" t="str">
        <f>+VLOOKUP(G1556,Liste!$A$7:$H$69,8,FALSE)</f>
        <v>Feuillus</v>
      </c>
      <c r="BU1556" s="297">
        <f t="shared" si="475"/>
        <v>1</v>
      </c>
      <c r="BV1556" s="299">
        <f t="shared" si="476"/>
        <v>0</v>
      </c>
      <c r="BW1556" s="318">
        <v>0</v>
      </c>
      <c r="BX1556" s="297">
        <f t="shared" si="477"/>
        <v>0.25</v>
      </c>
      <c r="BY1556">
        <f t="shared" si="478"/>
        <v>0</v>
      </c>
      <c r="BZ1556" s="303">
        <f t="shared" si="479"/>
        <v>0</v>
      </c>
      <c r="CB1556" s="298">
        <v>0.6</v>
      </c>
      <c r="CC1556" s="298">
        <v>0.4</v>
      </c>
      <c r="CD1556">
        <f t="shared" si="480"/>
        <v>0</v>
      </c>
      <c r="CE1556">
        <f t="shared" si="481"/>
        <v>0</v>
      </c>
      <c r="CF1556">
        <f t="shared" si="482"/>
        <v>0</v>
      </c>
      <c r="CG1556">
        <f t="shared" si="483"/>
        <v>0</v>
      </c>
      <c r="CH1556">
        <f t="shared" si="484"/>
        <v>0</v>
      </c>
      <c r="CI1556">
        <f t="shared" si="485"/>
        <v>0</v>
      </c>
      <c r="CJ1556">
        <f t="shared" si="486"/>
        <v>0</v>
      </c>
      <c r="CK1556">
        <f t="shared" si="487"/>
        <v>0</v>
      </c>
      <c r="CL1556">
        <f t="shared" si="488"/>
        <v>0</v>
      </c>
      <c r="CM1556">
        <f t="shared" si="490"/>
        <v>0</v>
      </c>
      <c r="CN1556">
        <f t="shared" si="489"/>
        <v>0</v>
      </c>
      <c r="CO1556">
        <f t="shared" si="473"/>
        <v>0</v>
      </c>
    </row>
    <row r="1557" spans="1:93" hidden="1" x14ac:dyDescent="0.25">
      <c r="A1557" s="4">
        <v>2021</v>
      </c>
      <c r="B1557" s="315">
        <v>44361</v>
      </c>
      <c r="C1557" s="4" t="s">
        <v>66</v>
      </c>
      <c r="D1557" s="4" t="s">
        <v>1523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1503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+VLOOKUP(G1557,Liste!$A$7:$G$69,3,FALSE)</f>
        <v>Chêne sessile</v>
      </c>
      <c r="BI1557" s="96" t="str">
        <f>+VLOOKUP(H1557,Liste!$B$7:$G$69,5,FALSE)</f>
        <v>Guide chênaie atlantique</v>
      </c>
      <c r="BJ1557" s="135">
        <f t="shared" si="472"/>
        <v>94</v>
      </c>
      <c r="BK1557" s="135" t="str">
        <f t="shared" si="474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97" t="str">
        <f>+VLOOKUP(G1557,Liste!$A$7:$H$69,8,FALSE)</f>
        <v>Feuillus</v>
      </c>
      <c r="BU1557" s="297">
        <f t="shared" si="475"/>
        <v>1</v>
      </c>
      <c r="BV1557" s="299">
        <f t="shared" si="476"/>
        <v>0</v>
      </c>
      <c r="BW1557" s="318">
        <v>0</v>
      </c>
      <c r="BX1557" s="297">
        <f t="shared" si="477"/>
        <v>0.25</v>
      </c>
      <c r="BY1557">
        <f t="shared" si="478"/>
        <v>0</v>
      </c>
      <c r="BZ1557" s="303">
        <f t="shared" si="479"/>
        <v>0</v>
      </c>
      <c r="CB1557" s="298">
        <v>0.6</v>
      </c>
      <c r="CC1557" s="298">
        <v>0.4</v>
      </c>
      <c r="CD1557">
        <f t="shared" si="480"/>
        <v>0</v>
      </c>
      <c r="CE1557">
        <f t="shared" si="481"/>
        <v>0</v>
      </c>
      <c r="CF1557">
        <f t="shared" si="482"/>
        <v>0</v>
      </c>
      <c r="CG1557">
        <f t="shared" si="483"/>
        <v>0</v>
      </c>
      <c r="CH1557">
        <f t="shared" si="484"/>
        <v>0</v>
      </c>
      <c r="CI1557">
        <f t="shared" si="485"/>
        <v>0</v>
      </c>
      <c r="CJ1557">
        <f t="shared" si="486"/>
        <v>0</v>
      </c>
      <c r="CK1557">
        <f t="shared" si="487"/>
        <v>0</v>
      </c>
      <c r="CL1557">
        <f t="shared" si="488"/>
        <v>0</v>
      </c>
      <c r="CM1557">
        <f t="shared" si="490"/>
        <v>0</v>
      </c>
      <c r="CN1557">
        <f t="shared" si="489"/>
        <v>0</v>
      </c>
      <c r="CO1557">
        <f t="shared" si="473"/>
        <v>0</v>
      </c>
    </row>
    <row r="1558" spans="1:93" hidden="1" x14ac:dyDescent="0.25">
      <c r="A1558" s="4">
        <v>2021</v>
      </c>
      <c r="B1558" s="315">
        <v>44361</v>
      </c>
      <c r="C1558" s="4" t="s">
        <v>66</v>
      </c>
      <c r="D1558" s="4" t="s">
        <v>1523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1503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+VLOOKUP(G1558,Liste!$A$7:$G$69,3,FALSE)</f>
        <v>Chêne sessile</v>
      </c>
      <c r="BI1558" s="96" t="str">
        <f>+VLOOKUP(H1558,Liste!$B$7:$G$69,5,FALSE)</f>
        <v>Guide chênaie atlantique</v>
      </c>
      <c r="BJ1558" s="135">
        <f t="shared" si="472"/>
        <v>97</v>
      </c>
      <c r="BK1558" s="135" t="str">
        <f t="shared" si="474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97" t="str">
        <f>+VLOOKUP(G1558,Liste!$A$7:$H$69,8,FALSE)</f>
        <v>Feuillus</v>
      </c>
      <c r="BU1558" s="297">
        <f t="shared" si="475"/>
        <v>1</v>
      </c>
      <c r="BV1558" s="299">
        <f t="shared" si="476"/>
        <v>0</v>
      </c>
      <c r="BW1558" s="318">
        <v>0</v>
      </c>
      <c r="BX1558" s="297">
        <f t="shared" si="477"/>
        <v>0.25</v>
      </c>
      <c r="BY1558">
        <f t="shared" si="478"/>
        <v>0</v>
      </c>
      <c r="BZ1558" s="303">
        <f t="shared" si="479"/>
        <v>0</v>
      </c>
      <c r="CB1558" s="298">
        <v>0.6</v>
      </c>
      <c r="CC1558" s="298">
        <v>0.4</v>
      </c>
      <c r="CD1558">
        <f t="shared" si="480"/>
        <v>0</v>
      </c>
      <c r="CE1558">
        <f t="shared" si="481"/>
        <v>0</v>
      </c>
      <c r="CF1558">
        <f t="shared" si="482"/>
        <v>0</v>
      </c>
      <c r="CG1558">
        <f t="shared" si="483"/>
        <v>0</v>
      </c>
      <c r="CH1558">
        <f t="shared" si="484"/>
        <v>0</v>
      </c>
      <c r="CI1558">
        <f t="shared" si="485"/>
        <v>0</v>
      </c>
      <c r="CJ1558">
        <f t="shared" si="486"/>
        <v>0</v>
      </c>
      <c r="CK1558">
        <f t="shared" si="487"/>
        <v>0</v>
      </c>
      <c r="CL1558">
        <f t="shared" si="488"/>
        <v>0</v>
      </c>
      <c r="CM1558">
        <f t="shared" si="490"/>
        <v>0</v>
      </c>
      <c r="CN1558">
        <f t="shared" si="489"/>
        <v>0</v>
      </c>
      <c r="CO1558">
        <f t="shared" si="473"/>
        <v>0</v>
      </c>
    </row>
    <row r="1559" spans="1:93" hidden="1" x14ac:dyDescent="0.25">
      <c r="A1559" s="4">
        <v>2021</v>
      </c>
      <c r="B1559" s="315">
        <v>44361</v>
      </c>
      <c r="C1559" s="4" t="s">
        <v>66</v>
      </c>
      <c r="D1559" s="4" t="s">
        <v>1523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1503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+VLOOKUP(G1559,Liste!$A$7:$G$69,3,FALSE)</f>
        <v>Chêne sessile</v>
      </c>
      <c r="BI1559" s="96" t="str">
        <f>+VLOOKUP(H1559,Liste!$B$7:$G$69,5,FALSE)</f>
        <v>Guide chênaie atlantique</v>
      </c>
      <c r="BJ1559" s="135">
        <f t="shared" si="472"/>
        <v>100</v>
      </c>
      <c r="BK1559" s="135" t="str">
        <f t="shared" si="474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97" t="str">
        <f>+VLOOKUP(G1559,Liste!$A$7:$H$69,8,FALSE)</f>
        <v>Feuillus</v>
      </c>
      <c r="BU1559" s="297">
        <f t="shared" si="475"/>
        <v>1</v>
      </c>
      <c r="BV1559" s="299">
        <f t="shared" si="476"/>
        <v>0</v>
      </c>
      <c r="BW1559" s="318">
        <v>0</v>
      </c>
      <c r="BX1559" s="297">
        <f t="shared" si="477"/>
        <v>0.25</v>
      </c>
      <c r="BY1559">
        <f t="shared" si="478"/>
        <v>0</v>
      </c>
      <c r="BZ1559" s="303">
        <f t="shared" si="479"/>
        <v>0</v>
      </c>
      <c r="CB1559" s="298">
        <v>0.6</v>
      </c>
      <c r="CC1559" s="298">
        <v>0.4</v>
      </c>
      <c r="CD1559">
        <f t="shared" si="480"/>
        <v>0</v>
      </c>
      <c r="CE1559">
        <f t="shared" si="481"/>
        <v>0</v>
      </c>
      <c r="CF1559">
        <f t="shared" si="482"/>
        <v>0</v>
      </c>
      <c r="CG1559">
        <f t="shared" si="483"/>
        <v>0</v>
      </c>
      <c r="CH1559">
        <f t="shared" si="484"/>
        <v>0</v>
      </c>
      <c r="CI1559">
        <f t="shared" si="485"/>
        <v>0</v>
      </c>
      <c r="CJ1559">
        <f t="shared" si="486"/>
        <v>0</v>
      </c>
      <c r="CK1559">
        <f t="shared" si="487"/>
        <v>0</v>
      </c>
      <c r="CL1559">
        <f t="shared" si="488"/>
        <v>0</v>
      </c>
      <c r="CM1559">
        <f t="shared" si="490"/>
        <v>0</v>
      </c>
      <c r="CN1559">
        <f t="shared" si="489"/>
        <v>0</v>
      </c>
      <c r="CO1559">
        <f t="shared" si="473"/>
        <v>0</v>
      </c>
    </row>
    <row r="1560" spans="1:93" hidden="1" x14ac:dyDescent="0.25">
      <c r="A1560" s="4">
        <v>2021</v>
      </c>
      <c r="B1560" s="315">
        <v>44361</v>
      </c>
      <c r="C1560" s="4" t="s">
        <v>66</v>
      </c>
      <c r="D1560" s="4" t="s">
        <v>1523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1503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+VLOOKUP(G1560,Liste!$A$7:$G$69,3,FALSE)</f>
        <v>Chêne sessile</v>
      </c>
      <c r="BI1560" s="96" t="str">
        <f>+VLOOKUP(H1560,Liste!$B$7:$G$69,5,FALSE)</f>
        <v>Guide chênaie atlantique</v>
      </c>
      <c r="BJ1560" s="135">
        <f t="shared" si="472"/>
        <v>104</v>
      </c>
      <c r="BK1560" s="135" t="str">
        <f t="shared" si="474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97" t="str">
        <f>+VLOOKUP(G1560,Liste!$A$7:$H$69,8,FALSE)</f>
        <v>Feuillus</v>
      </c>
      <c r="BU1560" s="297">
        <f t="shared" si="475"/>
        <v>1</v>
      </c>
      <c r="BV1560" s="299">
        <f t="shared" si="476"/>
        <v>0</v>
      </c>
      <c r="BW1560" s="318">
        <v>0</v>
      </c>
      <c r="BX1560" s="297">
        <f t="shared" si="477"/>
        <v>0.25</v>
      </c>
      <c r="BY1560">
        <f t="shared" si="478"/>
        <v>0</v>
      </c>
      <c r="BZ1560" s="303">
        <f t="shared" si="479"/>
        <v>0</v>
      </c>
      <c r="CB1560" s="298">
        <v>0.6</v>
      </c>
      <c r="CC1560" s="298">
        <v>0.4</v>
      </c>
      <c r="CD1560">
        <f t="shared" si="480"/>
        <v>0</v>
      </c>
      <c r="CE1560">
        <f t="shared" si="481"/>
        <v>0</v>
      </c>
      <c r="CF1560">
        <f t="shared" si="482"/>
        <v>0</v>
      </c>
      <c r="CG1560">
        <f t="shared" si="483"/>
        <v>0</v>
      </c>
      <c r="CH1560">
        <f t="shared" si="484"/>
        <v>0</v>
      </c>
      <c r="CI1560">
        <f t="shared" si="485"/>
        <v>0</v>
      </c>
      <c r="CJ1560">
        <f t="shared" si="486"/>
        <v>0</v>
      </c>
      <c r="CK1560">
        <f t="shared" si="487"/>
        <v>0</v>
      </c>
      <c r="CL1560">
        <f t="shared" si="488"/>
        <v>0</v>
      </c>
      <c r="CM1560">
        <f t="shared" si="490"/>
        <v>0</v>
      </c>
      <c r="CN1560">
        <f t="shared" si="489"/>
        <v>0</v>
      </c>
      <c r="CO1560">
        <f t="shared" si="473"/>
        <v>0</v>
      </c>
    </row>
    <row r="1561" spans="1:93" hidden="1" x14ac:dyDescent="0.25">
      <c r="A1561" s="4">
        <v>2021</v>
      </c>
      <c r="B1561" s="315">
        <v>44361</v>
      </c>
      <c r="C1561" s="4" t="s">
        <v>66</v>
      </c>
      <c r="D1561" s="4" t="s">
        <v>1523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1503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+VLOOKUP(G1561,Liste!$A$7:$G$69,3,FALSE)</f>
        <v>Chêne sessile</v>
      </c>
      <c r="BI1561" s="96" t="str">
        <f>+VLOOKUP(H1561,Liste!$B$7:$G$69,5,FALSE)</f>
        <v>Guide chênaie atlantique</v>
      </c>
      <c r="BJ1561" s="135">
        <f t="shared" si="472"/>
        <v>104</v>
      </c>
      <c r="BK1561" s="135" t="str">
        <f t="shared" si="474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97" t="str">
        <f>+VLOOKUP(G1561,Liste!$A$7:$H$69,8,FALSE)</f>
        <v>Feuillus</v>
      </c>
      <c r="BU1561" s="297">
        <f t="shared" si="475"/>
        <v>1</v>
      </c>
      <c r="BV1561" s="299">
        <f t="shared" si="476"/>
        <v>0</v>
      </c>
      <c r="BW1561" s="318">
        <v>0</v>
      </c>
      <c r="BX1561" s="297">
        <f t="shared" si="477"/>
        <v>0.25</v>
      </c>
      <c r="BY1561">
        <f t="shared" si="478"/>
        <v>0</v>
      </c>
      <c r="BZ1561" s="303">
        <f t="shared" si="479"/>
        <v>0</v>
      </c>
      <c r="CB1561" s="298">
        <v>0.6</v>
      </c>
      <c r="CC1561" s="298">
        <v>0.4</v>
      </c>
      <c r="CD1561">
        <f t="shared" si="480"/>
        <v>0</v>
      </c>
      <c r="CE1561">
        <f t="shared" si="481"/>
        <v>0</v>
      </c>
      <c r="CF1561">
        <f t="shared" si="482"/>
        <v>0</v>
      </c>
      <c r="CG1561">
        <f t="shared" si="483"/>
        <v>0</v>
      </c>
      <c r="CH1561">
        <f t="shared" si="484"/>
        <v>0</v>
      </c>
      <c r="CI1561">
        <f t="shared" si="485"/>
        <v>0</v>
      </c>
      <c r="CJ1561">
        <f t="shared" si="486"/>
        <v>0</v>
      </c>
      <c r="CK1561">
        <f t="shared" si="487"/>
        <v>0</v>
      </c>
      <c r="CL1561">
        <f t="shared" si="488"/>
        <v>0</v>
      </c>
      <c r="CM1561">
        <f t="shared" si="490"/>
        <v>0</v>
      </c>
      <c r="CN1561">
        <f t="shared" si="489"/>
        <v>0</v>
      </c>
      <c r="CO1561">
        <f t="shared" si="473"/>
        <v>0</v>
      </c>
    </row>
    <row r="1562" spans="1:93" hidden="1" x14ac:dyDescent="0.25">
      <c r="A1562" s="4">
        <v>2021</v>
      </c>
      <c r="B1562" s="315">
        <v>44361</v>
      </c>
      <c r="C1562" s="4" t="s">
        <v>66</v>
      </c>
      <c r="D1562" s="4" t="s">
        <v>1523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1503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+VLOOKUP(G1562,Liste!$A$7:$G$69,3,FALSE)</f>
        <v>Chêne sessile</v>
      </c>
      <c r="BI1562" s="96" t="str">
        <f>+VLOOKUP(H1562,Liste!$B$7:$G$69,5,FALSE)</f>
        <v>Guide chênaie atlantique</v>
      </c>
      <c r="BJ1562" s="135">
        <f t="shared" si="472"/>
        <v>107</v>
      </c>
      <c r="BK1562" s="135" t="str">
        <f t="shared" si="474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97" t="str">
        <f>+VLOOKUP(G1562,Liste!$A$7:$H$69,8,FALSE)</f>
        <v>Feuillus</v>
      </c>
      <c r="BU1562" s="297">
        <f t="shared" si="475"/>
        <v>1</v>
      </c>
      <c r="BV1562" s="299">
        <f t="shared" si="476"/>
        <v>0</v>
      </c>
      <c r="BW1562" s="318">
        <v>0</v>
      </c>
      <c r="BX1562" s="297">
        <f t="shared" si="477"/>
        <v>0.25</v>
      </c>
      <c r="BY1562">
        <f t="shared" si="478"/>
        <v>0</v>
      </c>
      <c r="BZ1562" s="303">
        <f t="shared" si="479"/>
        <v>0</v>
      </c>
      <c r="CB1562" s="298">
        <v>0.6</v>
      </c>
      <c r="CC1562" s="298">
        <v>0.4</v>
      </c>
      <c r="CD1562">
        <f t="shared" si="480"/>
        <v>0</v>
      </c>
      <c r="CE1562">
        <f t="shared" si="481"/>
        <v>0</v>
      </c>
      <c r="CF1562">
        <f t="shared" si="482"/>
        <v>0</v>
      </c>
      <c r="CG1562">
        <f t="shared" si="483"/>
        <v>0</v>
      </c>
      <c r="CH1562">
        <f t="shared" si="484"/>
        <v>0</v>
      </c>
      <c r="CI1562">
        <f t="shared" si="485"/>
        <v>0</v>
      </c>
      <c r="CJ1562">
        <f t="shared" si="486"/>
        <v>0</v>
      </c>
      <c r="CK1562">
        <f t="shared" si="487"/>
        <v>0</v>
      </c>
      <c r="CL1562">
        <f t="shared" si="488"/>
        <v>0</v>
      </c>
      <c r="CM1562">
        <f t="shared" si="490"/>
        <v>0</v>
      </c>
      <c r="CN1562">
        <f t="shared" si="489"/>
        <v>0</v>
      </c>
      <c r="CO1562">
        <f t="shared" si="473"/>
        <v>0</v>
      </c>
    </row>
    <row r="1563" spans="1:93" hidden="1" x14ac:dyDescent="0.25">
      <c r="A1563" s="4">
        <v>2021</v>
      </c>
      <c r="B1563" s="315">
        <v>44361</v>
      </c>
      <c r="C1563" s="4" t="s">
        <v>66</v>
      </c>
      <c r="D1563" s="4" t="s">
        <v>1523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1503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+VLOOKUP(G1563,Liste!$A$7:$G$69,3,FALSE)</f>
        <v>Chêne sessile</v>
      </c>
      <c r="BI1563" s="96" t="str">
        <f>+VLOOKUP(H1563,Liste!$B$7:$G$69,5,FALSE)</f>
        <v>Guide chênaie atlantique</v>
      </c>
      <c r="BJ1563" s="135">
        <f t="shared" si="472"/>
        <v>110</v>
      </c>
      <c r="BK1563" s="135" t="str">
        <f t="shared" si="474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97" t="str">
        <f>+VLOOKUP(G1563,Liste!$A$7:$H$69,8,FALSE)</f>
        <v>Feuillus</v>
      </c>
      <c r="BU1563" s="297">
        <f t="shared" si="475"/>
        <v>1</v>
      </c>
      <c r="BV1563" s="299">
        <f t="shared" si="476"/>
        <v>0</v>
      </c>
      <c r="BW1563" s="318">
        <v>0</v>
      </c>
      <c r="BX1563" s="297">
        <f t="shared" si="477"/>
        <v>0.25</v>
      </c>
      <c r="BY1563">
        <f t="shared" si="478"/>
        <v>0</v>
      </c>
      <c r="BZ1563" s="303">
        <f t="shared" si="479"/>
        <v>0</v>
      </c>
      <c r="CB1563" s="298">
        <v>0.6</v>
      </c>
      <c r="CC1563" s="298">
        <v>0.4</v>
      </c>
      <c r="CD1563">
        <f t="shared" si="480"/>
        <v>0</v>
      </c>
      <c r="CE1563">
        <f t="shared" si="481"/>
        <v>0</v>
      </c>
      <c r="CF1563">
        <f t="shared" si="482"/>
        <v>0</v>
      </c>
      <c r="CG1563">
        <f t="shared" si="483"/>
        <v>0</v>
      </c>
      <c r="CH1563">
        <f t="shared" si="484"/>
        <v>0</v>
      </c>
      <c r="CI1563">
        <f t="shared" si="485"/>
        <v>0</v>
      </c>
      <c r="CJ1563">
        <f t="shared" si="486"/>
        <v>0</v>
      </c>
      <c r="CK1563">
        <f t="shared" si="487"/>
        <v>0</v>
      </c>
      <c r="CL1563">
        <f t="shared" si="488"/>
        <v>0</v>
      </c>
      <c r="CM1563">
        <f t="shared" si="490"/>
        <v>0</v>
      </c>
      <c r="CN1563">
        <f t="shared" si="489"/>
        <v>0</v>
      </c>
      <c r="CO1563">
        <f t="shared" si="473"/>
        <v>0</v>
      </c>
    </row>
    <row r="1564" spans="1:93" hidden="1" x14ac:dyDescent="0.25">
      <c r="A1564" s="4">
        <v>2021</v>
      </c>
      <c r="B1564" s="315">
        <v>44361</v>
      </c>
      <c r="C1564" s="4" t="s">
        <v>66</v>
      </c>
      <c r="D1564" s="4" t="s">
        <v>1523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1503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+VLOOKUP(G1564,Liste!$A$7:$G$69,3,FALSE)</f>
        <v>Chêne sessile</v>
      </c>
      <c r="BI1564" s="96" t="str">
        <f>+VLOOKUP(H1564,Liste!$B$7:$G$69,5,FALSE)</f>
        <v>Guide chênaie atlantique</v>
      </c>
      <c r="BJ1564" s="135">
        <f t="shared" si="472"/>
        <v>114</v>
      </c>
      <c r="BK1564" s="135" t="str">
        <f t="shared" si="474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97" t="str">
        <f>+VLOOKUP(G1564,Liste!$A$7:$H$69,8,FALSE)</f>
        <v>Feuillus</v>
      </c>
      <c r="BU1564" s="297">
        <f t="shared" si="475"/>
        <v>1</v>
      </c>
      <c r="BV1564" s="299">
        <f t="shared" si="476"/>
        <v>0</v>
      </c>
      <c r="BW1564" s="318">
        <v>0</v>
      </c>
      <c r="BX1564" s="297">
        <f t="shared" si="477"/>
        <v>0.25</v>
      </c>
      <c r="BY1564">
        <f t="shared" si="478"/>
        <v>0</v>
      </c>
      <c r="BZ1564" s="303">
        <f t="shared" si="479"/>
        <v>0</v>
      </c>
      <c r="CB1564" s="298">
        <v>0.6</v>
      </c>
      <c r="CC1564" s="298">
        <v>0.4</v>
      </c>
      <c r="CD1564">
        <f t="shared" si="480"/>
        <v>0</v>
      </c>
      <c r="CE1564">
        <f t="shared" si="481"/>
        <v>0</v>
      </c>
      <c r="CF1564">
        <f t="shared" si="482"/>
        <v>0</v>
      </c>
      <c r="CG1564">
        <f t="shared" si="483"/>
        <v>0</v>
      </c>
      <c r="CH1564">
        <f t="shared" si="484"/>
        <v>0</v>
      </c>
      <c r="CI1564">
        <f t="shared" si="485"/>
        <v>0</v>
      </c>
      <c r="CJ1564">
        <f t="shared" si="486"/>
        <v>0</v>
      </c>
      <c r="CK1564">
        <f t="shared" si="487"/>
        <v>0</v>
      </c>
      <c r="CL1564">
        <f t="shared" si="488"/>
        <v>0</v>
      </c>
      <c r="CM1564">
        <f t="shared" si="490"/>
        <v>0</v>
      </c>
      <c r="CN1564">
        <f t="shared" si="489"/>
        <v>0</v>
      </c>
      <c r="CO1564">
        <f t="shared" si="473"/>
        <v>0</v>
      </c>
    </row>
    <row r="1565" spans="1:93" hidden="1" x14ac:dyDescent="0.25">
      <c r="A1565" s="4">
        <v>2021</v>
      </c>
      <c r="B1565" s="315">
        <v>44361</v>
      </c>
      <c r="C1565" s="4" t="s">
        <v>66</v>
      </c>
      <c r="D1565" s="4" t="s">
        <v>1523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1503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+VLOOKUP(G1565,Liste!$A$7:$G$69,3,FALSE)</f>
        <v>Chêne sessile</v>
      </c>
      <c r="BI1565" s="96" t="str">
        <f>+VLOOKUP(H1565,Liste!$B$7:$G$69,5,FALSE)</f>
        <v>Guide chênaie atlantique</v>
      </c>
      <c r="BJ1565" s="135">
        <f t="shared" si="472"/>
        <v>114</v>
      </c>
      <c r="BK1565" s="135" t="str">
        <f t="shared" si="474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97" t="str">
        <f>+VLOOKUP(G1565,Liste!$A$7:$H$69,8,FALSE)</f>
        <v>Feuillus</v>
      </c>
      <c r="BU1565" s="297">
        <f t="shared" si="475"/>
        <v>1</v>
      </c>
      <c r="BV1565" s="299">
        <f t="shared" si="476"/>
        <v>0</v>
      </c>
      <c r="BW1565" s="318">
        <v>0</v>
      </c>
      <c r="BX1565" s="297">
        <f t="shared" si="477"/>
        <v>0.25</v>
      </c>
      <c r="BY1565">
        <f t="shared" si="478"/>
        <v>0</v>
      </c>
      <c r="BZ1565" s="303">
        <f t="shared" si="479"/>
        <v>0</v>
      </c>
      <c r="CB1565" s="298">
        <v>0.6</v>
      </c>
      <c r="CC1565" s="298">
        <v>0.4</v>
      </c>
      <c r="CD1565">
        <f t="shared" si="480"/>
        <v>0</v>
      </c>
      <c r="CE1565">
        <f t="shared" si="481"/>
        <v>0</v>
      </c>
      <c r="CF1565">
        <f t="shared" si="482"/>
        <v>0</v>
      </c>
      <c r="CG1565">
        <f t="shared" si="483"/>
        <v>0</v>
      </c>
      <c r="CH1565">
        <f t="shared" si="484"/>
        <v>0</v>
      </c>
      <c r="CI1565">
        <f t="shared" si="485"/>
        <v>0</v>
      </c>
      <c r="CJ1565">
        <f t="shared" si="486"/>
        <v>0</v>
      </c>
      <c r="CK1565">
        <f t="shared" si="487"/>
        <v>0</v>
      </c>
      <c r="CL1565">
        <f t="shared" si="488"/>
        <v>0</v>
      </c>
      <c r="CM1565">
        <f t="shared" si="490"/>
        <v>0</v>
      </c>
      <c r="CN1565">
        <f t="shared" si="489"/>
        <v>0</v>
      </c>
      <c r="CO1565">
        <f t="shared" si="473"/>
        <v>0</v>
      </c>
    </row>
    <row r="1566" spans="1:93" hidden="1" x14ac:dyDescent="0.25">
      <c r="A1566" s="4">
        <v>2021</v>
      </c>
      <c r="B1566" s="315">
        <v>44361</v>
      </c>
      <c r="C1566" s="4" t="s">
        <v>66</v>
      </c>
      <c r="D1566" s="4" t="s">
        <v>1523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1503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+VLOOKUP(G1566,Liste!$A$7:$G$69,3,FALSE)</f>
        <v>Chêne sessile</v>
      </c>
      <c r="BI1566" s="96" t="str">
        <f>+VLOOKUP(H1566,Liste!$B$7:$G$69,5,FALSE)</f>
        <v>Guide chênaie atlantique</v>
      </c>
      <c r="BJ1566" s="135">
        <f t="shared" si="472"/>
        <v>117</v>
      </c>
      <c r="BK1566" s="135" t="str">
        <f t="shared" si="474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97" t="str">
        <f>+VLOOKUP(G1566,Liste!$A$7:$H$69,8,FALSE)</f>
        <v>Feuillus</v>
      </c>
      <c r="BU1566" s="297">
        <f t="shared" si="475"/>
        <v>1</v>
      </c>
      <c r="BV1566" s="299">
        <f t="shared" si="476"/>
        <v>0</v>
      </c>
      <c r="BW1566" s="318">
        <v>0</v>
      </c>
      <c r="BX1566" s="297">
        <f t="shared" si="477"/>
        <v>0.25</v>
      </c>
      <c r="BY1566">
        <f t="shared" si="478"/>
        <v>0</v>
      </c>
      <c r="BZ1566" s="303">
        <f t="shared" si="479"/>
        <v>0</v>
      </c>
      <c r="CB1566" s="298">
        <v>0.6</v>
      </c>
      <c r="CC1566" s="298">
        <v>0.4</v>
      </c>
      <c r="CD1566">
        <f t="shared" si="480"/>
        <v>0</v>
      </c>
      <c r="CE1566">
        <f t="shared" si="481"/>
        <v>0</v>
      </c>
      <c r="CF1566">
        <f t="shared" si="482"/>
        <v>0</v>
      </c>
      <c r="CG1566">
        <f t="shared" si="483"/>
        <v>0</v>
      </c>
      <c r="CH1566">
        <f t="shared" si="484"/>
        <v>0</v>
      </c>
      <c r="CI1566">
        <f t="shared" si="485"/>
        <v>0</v>
      </c>
      <c r="CJ1566">
        <f t="shared" si="486"/>
        <v>0</v>
      </c>
      <c r="CK1566">
        <f t="shared" si="487"/>
        <v>0</v>
      </c>
      <c r="CL1566">
        <f t="shared" si="488"/>
        <v>0</v>
      </c>
      <c r="CM1566">
        <f t="shared" si="490"/>
        <v>0</v>
      </c>
      <c r="CN1566">
        <f t="shared" si="489"/>
        <v>0</v>
      </c>
      <c r="CO1566">
        <f t="shared" si="473"/>
        <v>0</v>
      </c>
    </row>
    <row r="1567" spans="1:93" hidden="1" x14ac:dyDescent="0.25">
      <c r="A1567" s="4">
        <v>2021</v>
      </c>
      <c r="B1567" s="315">
        <v>44361</v>
      </c>
      <c r="C1567" s="4" t="s">
        <v>66</v>
      </c>
      <c r="D1567" s="4" t="s">
        <v>1523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1503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+VLOOKUP(G1567,Liste!$A$7:$G$69,3,FALSE)</f>
        <v>Chêne sessile</v>
      </c>
      <c r="BI1567" s="96" t="str">
        <f>+VLOOKUP(H1567,Liste!$B$7:$G$69,5,FALSE)</f>
        <v>Guide chênaie atlantique</v>
      </c>
      <c r="BJ1567" s="135">
        <f t="shared" si="472"/>
        <v>120</v>
      </c>
      <c r="BK1567" s="135" t="str">
        <f t="shared" si="474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97" t="str">
        <f>+VLOOKUP(G1567,Liste!$A$7:$H$69,8,FALSE)</f>
        <v>Feuillus</v>
      </c>
      <c r="BU1567" s="297">
        <f t="shared" si="475"/>
        <v>1</v>
      </c>
      <c r="BV1567" s="299">
        <f t="shared" si="476"/>
        <v>0</v>
      </c>
      <c r="BW1567" s="318">
        <v>0</v>
      </c>
      <c r="BX1567" s="297">
        <f t="shared" si="477"/>
        <v>0.25</v>
      </c>
      <c r="BY1567">
        <f t="shared" si="478"/>
        <v>0</v>
      </c>
      <c r="BZ1567" s="303">
        <f t="shared" si="479"/>
        <v>0</v>
      </c>
      <c r="CB1567" s="298">
        <v>0.6</v>
      </c>
      <c r="CC1567" s="298">
        <v>0.4</v>
      </c>
      <c r="CD1567">
        <f t="shared" si="480"/>
        <v>0</v>
      </c>
      <c r="CE1567">
        <f t="shared" si="481"/>
        <v>0</v>
      </c>
      <c r="CF1567">
        <f t="shared" si="482"/>
        <v>0</v>
      </c>
      <c r="CG1567">
        <f t="shared" si="483"/>
        <v>0</v>
      </c>
      <c r="CH1567">
        <f t="shared" si="484"/>
        <v>0</v>
      </c>
      <c r="CI1567">
        <f t="shared" si="485"/>
        <v>0</v>
      </c>
      <c r="CJ1567">
        <f t="shared" si="486"/>
        <v>0</v>
      </c>
      <c r="CK1567">
        <f t="shared" si="487"/>
        <v>0</v>
      </c>
      <c r="CL1567">
        <f t="shared" si="488"/>
        <v>0</v>
      </c>
      <c r="CM1567">
        <f t="shared" si="490"/>
        <v>0</v>
      </c>
      <c r="CN1567">
        <f t="shared" si="489"/>
        <v>0</v>
      </c>
      <c r="CO1567">
        <f t="shared" si="473"/>
        <v>0</v>
      </c>
    </row>
    <row r="1568" spans="1:93" hidden="1" x14ac:dyDescent="0.25">
      <c r="A1568" s="4">
        <v>2021</v>
      </c>
      <c r="B1568" s="315">
        <v>44361</v>
      </c>
      <c r="C1568" s="4" t="s">
        <v>66</v>
      </c>
      <c r="D1568" s="4" t="s">
        <v>1523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1503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+VLOOKUP(G1568,Liste!$A$7:$G$69,3,FALSE)</f>
        <v>Chêne sessile</v>
      </c>
      <c r="BI1568" s="96" t="str">
        <f>+VLOOKUP(H1568,Liste!$B$7:$G$69,5,FALSE)</f>
        <v>Guide chênaie atlantique</v>
      </c>
      <c r="BJ1568" s="135">
        <f t="shared" si="472"/>
        <v>124</v>
      </c>
      <c r="BK1568" s="135" t="str">
        <f t="shared" si="474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97" t="str">
        <f>+VLOOKUP(G1568,Liste!$A$7:$H$69,8,FALSE)</f>
        <v>Feuillus</v>
      </c>
      <c r="BU1568" s="297">
        <f t="shared" si="475"/>
        <v>1</v>
      </c>
      <c r="BV1568" s="299">
        <f t="shared" si="476"/>
        <v>0</v>
      </c>
      <c r="BW1568" s="318">
        <v>0</v>
      </c>
      <c r="BX1568" s="297">
        <f t="shared" si="477"/>
        <v>0.25</v>
      </c>
      <c r="BY1568">
        <f t="shared" si="478"/>
        <v>0</v>
      </c>
      <c r="BZ1568" s="303">
        <f t="shared" si="479"/>
        <v>0</v>
      </c>
      <c r="CB1568" s="298">
        <v>0.6</v>
      </c>
      <c r="CC1568" s="298">
        <v>0.4</v>
      </c>
      <c r="CD1568">
        <f t="shared" si="480"/>
        <v>0</v>
      </c>
      <c r="CE1568">
        <f t="shared" si="481"/>
        <v>0</v>
      </c>
      <c r="CF1568">
        <f t="shared" si="482"/>
        <v>0</v>
      </c>
      <c r="CG1568">
        <f t="shared" si="483"/>
        <v>0</v>
      </c>
      <c r="CH1568">
        <f t="shared" si="484"/>
        <v>0</v>
      </c>
      <c r="CI1568">
        <f t="shared" si="485"/>
        <v>0</v>
      </c>
      <c r="CJ1568">
        <f t="shared" si="486"/>
        <v>0</v>
      </c>
      <c r="CK1568">
        <f t="shared" si="487"/>
        <v>0</v>
      </c>
      <c r="CL1568">
        <f t="shared" si="488"/>
        <v>0</v>
      </c>
      <c r="CM1568">
        <f t="shared" si="490"/>
        <v>0</v>
      </c>
      <c r="CN1568">
        <f t="shared" si="489"/>
        <v>0</v>
      </c>
      <c r="CO1568">
        <f t="shared" si="473"/>
        <v>0</v>
      </c>
    </row>
    <row r="1569" spans="1:93" hidden="1" x14ac:dyDescent="0.25">
      <c r="A1569" s="4">
        <v>2021</v>
      </c>
      <c r="B1569" s="315">
        <v>44361</v>
      </c>
      <c r="C1569" s="4" t="s">
        <v>66</v>
      </c>
      <c r="D1569" s="4" t="s">
        <v>1523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1503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+VLOOKUP(G1569,Liste!$A$7:$G$69,3,FALSE)</f>
        <v>Chêne sessile</v>
      </c>
      <c r="BI1569" s="96" t="str">
        <f>+VLOOKUP(H1569,Liste!$B$7:$G$69,5,FALSE)</f>
        <v>Guide chênaie atlantique</v>
      </c>
      <c r="BJ1569" s="135">
        <f t="shared" si="472"/>
        <v>124</v>
      </c>
      <c r="BK1569" s="135" t="str">
        <f t="shared" si="474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97" t="str">
        <f>+VLOOKUP(G1569,Liste!$A$7:$H$69,8,FALSE)</f>
        <v>Feuillus</v>
      </c>
      <c r="BU1569" s="297">
        <f t="shared" si="475"/>
        <v>1</v>
      </c>
      <c r="BV1569" s="299">
        <f t="shared" si="476"/>
        <v>0</v>
      </c>
      <c r="BW1569" s="318">
        <v>0</v>
      </c>
      <c r="BX1569" s="297">
        <f t="shared" si="477"/>
        <v>0.25</v>
      </c>
      <c r="BY1569">
        <f t="shared" si="478"/>
        <v>0</v>
      </c>
      <c r="BZ1569" s="303">
        <f t="shared" si="479"/>
        <v>0</v>
      </c>
      <c r="CB1569" s="298">
        <v>0.6</v>
      </c>
      <c r="CC1569" s="298">
        <v>0.4</v>
      </c>
      <c r="CD1569">
        <f t="shared" si="480"/>
        <v>0</v>
      </c>
      <c r="CE1569">
        <f t="shared" si="481"/>
        <v>0</v>
      </c>
      <c r="CF1569">
        <f t="shared" si="482"/>
        <v>0</v>
      </c>
      <c r="CG1569">
        <f t="shared" si="483"/>
        <v>0</v>
      </c>
      <c r="CH1569">
        <f t="shared" si="484"/>
        <v>0</v>
      </c>
      <c r="CI1569">
        <f t="shared" si="485"/>
        <v>0</v>
      </c>
      <c r="CJ1569">
        <f t="shared" si="486"/>
        <v>0</v>
      </c>
      <c r="CK1569">
        <f t="shared" si="487"/>
        <v>0</v>
      </c>
      <c r="CL1569">
        <f t="shared" si="488"/>
        <v>0</v>
      </c>
      <c r="CM1569">
        <f t="shared" si="490"/>
        <v>0</v>
      </c>
      <c r="CN1569">
        <f t="shared" si="489"/>
        <v>0</v>
      </c>
      <c r="CO1569">
        <f t="shared" si="473"/>
        <v>0</v>
      </c>
    </row>
    <row r="1570" spans="1:93" hidden="1" x14ac:dyDescent="0.25">
      <c r="A1570" s="4">
        <v>2021</v>
      </c>
      <c r="B1570" s="315">
        <v>44361</v>
      </c>
      <c r="C1570" s="4" t="s">
        <v>66</v>
      </c>
      <c r="D1570" s="4" t="s">
        <v>1523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1503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+VLOOKUP(G1570,Liste!$A$7:$G$69,3,FALSE)</f>
        <v>Chêne sessile</v>
      </c>
      <c r="BI1570" s="96" t="str">
        <f>+VLOOKUP(H1570,Liste!$B$7:$G$69,5,FALSE)</f>
        <v>Guide chênaie atlantique</v>
      </c>
      <c r="BJ1570" s="135">
        <f t="shared" si="472"/>
        <v>127</v>
      </c>
      <c r="BK1570" s="135" t="str">
        <f t="shared" si="474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97" t="str">
        <f>+VLOOKUP(G1570,Liste!$A$7:$H$69,8,FALSE)</f>
        <v>Feuillus</v>
      </c>
      <c r="BU1570" s="297">
        <f t="shared" si="475"/>
        <v>1</v>
      </c>
      <c r="BV1570" s="299">
        <f t="shared" si="476"/>
        <v>0</v>
      </c>
      <c r="BW1570" s="318">
        <v>0</v>
      </c>
      <c r="BX1570" s="297">
        <f t="shared" si="477"/>
        <v>0.25</v>
      </c>
      <c r="BY1570">
        <f t="shared" si="478"/>
        <v>0</v>
      </c>
      <c r="BZ1570" s="303">
        <f t="shared" si="479"/>
        <v>0</v>
      </c>
      <c r="CB1570" s="298">
        <v>0.6</v>
      </c>
      <c r="CC1570" s="298">
        <v>0.4</v>
      </c>
      <c r="CD1570">
        <f t="shared" si="480"/>
        <v>0</v>
      </c>
      <c r="CE1570">
        <f t="shared" si="481"/>
        <v>0</v>
      </c>
      <c r="CF1570">
        <f t="shared" si="482"/>
        <v>0</v>
      </c>
      <c r="CG1570">
        <f t="shared" si="483"/>
        <v>0</v>
      </c>
      <c r="CH1570">
        <f t="shared" si="484"/>
        <v>0</v>
      </c>
      <c r="CI1570">
        <f t="shared" si="485"/>
        <v>0</v>
      </c>
      <c r="CJ1570">
        <f t="shared" si="486"/>
        <v>0</v>
      </c>
      <c r="CK1570">
        <f t="shared" si="487"/>
        <v>0</v>
      </c>
      <c r="CL1570">
        <f t="shared" si="488"/>
        <v>0</v>
      </c>
      <c r="CM1570">
        <f t="shared" si="490"/>
        <v>0</v>
      </c>
      <c r="CN1570">
        <f t="shared" si="489"/>
        <v>0</v>
      </c>
      <c r="CO1570">
        <f t="shared" si="473"/>
        <v>0</v>
      </c>
    </row>
    <row r="1571" spans="1:93" hidden="1" x14ac:dyDescent="0.25">
      <c r="A1571" s="4">
        <v>2021</v>
      </c>
      <c r="B1571" s="315">
        <v>44361</v>
      </c>
      <c r="C1571" s="4" t="s">
        <v>66</v>
      </c>
      <c r="D1571" s="4" t="s">
        <v>1523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1503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+VLOOKUP(G1571,Liste!$A$7:$G$69,3,FALSE)</f>
        <v>Chêne sessile</v>
      </c>
      <c r="BI1571" s="96" t="str">
        <f>+VLOOKUP(H1571,Liste!$B$7:$G$69,5,FALSE)</f>
        <v>Guide chênaie atlantique</v>
      </c>
      <c r="BJ1571" s="135">
        <f t="shared" si="472"/>
        <v>130</v>
      </c>
      <c r="BK1571" s="135" t="str">
        <f t="shared" si="474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97" t="str">
        <f>+VLOOKUP(G1571,Liste!$A$7:$H$69,8,FALSE)</f>
        <v>Feuillus</v>
      </c>
      <c r="BU1571" s="297">
        <f t="shared" si="475"/>
        <v>1</v>
      </c>
      <c r="BV1571" s="299">
        <f t="shared" si="476"/>
        <v>0</v>
      </c>
      <c r="BW1571" s="318">
        <v>0</v>
      </c>
      <c r="BX1571" s="297">
        <f t="shared" si="477"/>
        <v>0.25</v>
      </c>
      <c r="BY1571">
        <f t="shared" si="478"/>
        <v>0</v>
      </c>
      <c r="BZ1571" s="303">
        <f t="shared" si="479"/>
        <v>0</v>
      </c>
      <c r="CB1571" s="298">
        <v>0.6</v>
      </c>
      <c r="CC1571" s="298">
        <v>0.4</v>
      </c>
      <c r="CD1571">
        <f t="shared" si="480"/>
        <v>0</v>
      </c>
      <c r="CE1571">
        <f t="shared" si="481"/>
        <v>0</v>
      </c>
      <c r="CF1571">
        <f t="shared" si="482"/>
        <v>0</v>
      </c>
      <c r="CG1571">
        <f t="shared" si="483"/>
        <v>0</v>
      </c>
      <c r="CH1571">
        <f t="shared" si="484"/>
        <v>0</v>
      </c>
      <c r="CI1571">
        <f t="shared" si="485"/>
        <v>0</v>
      </c>
      <c r="CJ1571">
        <f t="shared" si="486"/>
        <v>0</v>
      </c>
      <c r="CK1571">
        <f t="shared" si="487"/>
        <v>0</v>
      </c>
      <c r="CL1571">
        <f t="shared" si="488"/>
        <v>0</v>
      </c>
      <c r="CM1571">
        <f t="shared" si="490"/>
        <v>0</v>
      </c>
      <c r="CN1571">
        <f t="shared" si="489"/>
        <v>0</v>
      </c>
      <c r="CO1571">
        <f t="shared" si="473"/>
        <v>0</v>
      </c>
    </row>
    <row r="1572" spans="1:93" hidden="1" x14ac:dyDescent="0.25">
      <c r="A1572" s="4">
        <v>2021</v>
      </c>
      <c r="B1572" s="315">
        <v>44361</v>
      </c>
      <c r="C1572" s="4" t="s">
        <v>66</v>
      </c>
      <c r="D1572" s="4" t="s">
        <v>1523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1503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+VLOOKUP(G1572,Liste!$A$7:$G$69,3,FALSE)</f>
        <v>Chêne sessile</v>
      </c>
      <c r="BI1572" s="96" t="str">
        <f>+VLOOKUP(H1572,Liste!$B$7:$G$69,5,FALSE)</f>
        <v>Guide chênaie atlantique</v>
      </c>
      <c r="BJ1572" s="135">
        <f t="shared" si="472"/>
        <v>134</v>
      </c>
      <c r="BK1572" s="135" t="str">
        <f t="shared" si="474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97" t="str">
        <f>+VLOOKUP(G1572,Liste!$A$7:$H$69,8,FALSE)</f>
        <v>Feuillus</v>
      </c>
      <c r="BU1572" s="297">
        <f t="shared" si="475"/>
        <v>1</v>
      </c>
      <c r="BV1572" s="299">
        <f t="shared" si="476"/>
        <v>0</v>
      </c>
      <c r="BW1572" s="318">
        <v>0</v>
      </c>
      <c r="BX1572" s="297">
        <f t="shared" si="477"/>
        <v>0.25</v>
      </c>
      <c r="BY1572">
        <f t="shared" si="478"/>
        <v>0</v>
      </c>
      <c r="BZ1572" s="303">
        <f t="shared" si="479"/>
        <v>0</v>
      </c>
      <c r="CB1572" s="298">
        <v>0.6</v>
      </c>
      <c r="CC1572" s="298">
        <v>0.4</v>
      </c>
      <c r="CD1572">
        <f t="shared" si="480"/>
        <v>0</v>
      </c>
      <c r="CE1572">
        <f t="shared" si="481"/>
        <v>0</v>
      </c>
      <c r="CF1572">
        <f t="shared" si="482"/>
        <v>0</v>
      </c>
      <c r="CG1572">
        <f t="shared" si="483"/>
        <v>0</v>
      </c>
      <c r="CH1572">
        <f t="shared" si="484"/>
        <v>0</v>
      </c>
      <c r="CI1572">
        <f t="shared" si="485"/>
        <v>0</v>
      </c>
      <c r="CJ1572">
        <f t="shared" si="486"/>
        <v>0</v>
      </c>
      <c r="CK1572">
        <f t="shared" si="487"/>
        <v>0</v>
      </c>
      <c r="CL1572">
        <f t="shared" si="488"/>
        <v>0</v>
      </c>
      <c r="CM1572">
        <f t="shared" si="490"/>
        <v>0</v>
      </c>
      <c r="CN1572">
        <f t="shared" si="489"/>
        <v>0</v>
      </c>
      <c r="CO1572">
        <f t="shared" si="473"/>
        <v>0</v>
      </c>
    </row>
    <row r="1573" spans="1:93" hidden="1" x14ac:dyDescent="0.25">
      <c r="A1573" s="4">
        <v>2021</v>
      </c>
      <c r="B1573" s="315">
        <v>44361</v>
      </c>
      <c r="C1573" s="4" t="s">
        <v>66</v>
      </c>
      <c r="D1573" s="4" t="s">
        <v>1523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1503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+VLOOKUP(G1573,Liste!$A$7:$G$69,3,FALSE)</f>
        <v>Chêne sessile</v>
      </c>
      <c r="BI1573" s="96" t="str">
        <f>+VLOOKUP(H1573,Liste!$B$7:$G$69,5,FALSE)</f>
        <v>Guide chênaie atlantique</v>
      </c>
      <c r="BJ1573" s="135">
        <f t="shared" si="472"/>
        <v>134</v>
      </c>
      <c r="BK1573" s="135" t="str">
        <f t="shared" si="474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97" t="str">
        <f>+VLOOKUP(G1573,Liste!$A$7:$H$69,8,FALSE)</f>
        <v>Feuillus</v>
      </c>
      <c r="BU1573" s="297">
        <f t="shared" si="475"/>
        <v>1</v>
      </c>
      <c r="BV1573" s="299">
        <f t="shared" si="476"/>
        <v>0</v>
      </c>
      <c r="BW1573" s="318">
        <v>0</v>
      </c>
      <c r="BX1573" s="297">
        <f t="shared" si="477"/>
        <v>0.25</v>
      </c>
      <c r="BY1573">
        <f t="shared" si="478"/>
        <v>0</v>
      </c>
      <c r="BZ1573" s="303">
        <f t="shared" si="479"/>
        <v>0</v>
      </c>
      <c r="CB1573" s="298">
        <v>0.6</v>
      </c>
      <c r="CC1573" s="298">
        <v>0.4</v>
      </c>
      <c r="CD1573">
        <f t="shared" si="480"/>
        <v>0</v>
      </c>
      <c r="CE1573">
        <f t="shared" si="481"/>
        <v>0</v>
      </c>
      <c r="CF1573">
        <f t="shared" si="482"/>
        <v>0</v>
      </c>
      <c r="CG1573">
        <f t="shared" si="483"/>
        <v>0</v>
      </c>
      <c r="CH1573">
        <f t="shared" si="484"/>
        <v>0</v>
      </c>
      <c r="CI1573">
        <f t="shared" si="485"/>
        <v>0</v>
      </c>
      <c r="CJ1573">
        <f t="shared" si="486"/>
        <v>0</v>
      </c>
      <c r="CK1573">
        <f t="shared" si="487"/>
        <v>0</v>
      </c>
      <c r="CL1573">
        <f t="shared" si="488"/>
        <v>0</v>
      </c>
      <c r="CM1573">
        <f t="shared" si="490"/>
        <v>0</v>
      </c>
      <c r="CN1573">
        <f t="shared" si="489"/>
        <v>0</v>
      </c>
      <c r="CO1573">
        <f t="shared" si="473"/>
        <v>0</v>
      </c>
    </row>
    <row r="1574" spans="1:93" hidden="1" x14ac:dyDescent="0.25">
      <c r="A1574" s="4">
        <v>2021</v>
      </c>
      <c r="B1574" s="315">
        <v>44361</v>
      </c>
      <c r="C1574" s="4" t="s">
        <v>66</v>
      </c>
      <c r="D1574" s="4" t="s">
        <v>1523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1503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+VLOOKUP(G1574,Liste!$A$7:$G$69,3,FALSE)</f>
        <v>Chêne sessile</v>
      </c>
      <c r="BI1574" s="96" t="str">
        <f>+VLOOKUP(H1574,Liste!$B$7:$G$69,5,FALSE)</f>
        <v>Guide chênaie atlantique</v>
      </c>
      <c r="BJ1574" s="135">
        <f t="shared" si="472"/>
        <v>137</v>
      </c>
      <c r="BK1574" s="135" t="str">
        <f t="shared" si="474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97" t="str">
        <f>+VLOOKUP(G1574,Liste!$A$7:$H$69,8,FALSE)</f>
        <v>Feuillus</v>
      </c>
      <c r="BU1574" s="297">
        <f t="shared" si="475"/>
        <v>1</v>
      </c>
      <c r="BV1574" s="299">
        <f t="shared" si="476"/>
        <v>0</v>
      </c>
      <c r="BW1574" s="318">
        <v>0</v>
      </c>
      <c r="BX1574" s="297">
        <f t="shared" si="477"/>
        <v>0.25</v>
      </c>
      <c r="BY1574">
        <f t="shared" si="478"/>
        <v>0</v>
      </c>
      <c r="BZ1574" s="303">
        <f t="shared" si="479"/>
        <v>0</v>
      </c>
      <c r="CB1574" s="298">
        <v>0.6</v>
      </c>
      <c r="CC1574" s="298">
        <v>0.4</v>
      </c>
      <c r="CD1574">
        <f t="shared" si="480"/>
        <v>0</v>
      </c>
      <c r="CE1574">
        <f t="shared" si="481"/>
        <v>0</v>
      </c>
      <c r="CF1574">
        <f t="shared" si="482"/>
        <v>0</v>
      </c>
      <c r="CG1574">
        <f t="shared" si="483"/>
        <v>0</v>
      </c>
      <c r="CH1574">
        <f t="shared" si="484"/>
        <v>0</v>
      </c>
      <c r="CI1574">
        <f t="shared" si="485"/>
        <v>0</v>
      </c>
      <c r="CJ1574">
        <f t="shared" si="486"/>
        <v>0</v>
      </c>
      <c r="CK1574">
        <f t="shared" si="487"/>
        <v>0</v>
      </c>
      <c r="CL1574">
        <f t="shared" si="488"/>
        <v>0</v>
      </c>
      <c r="CM1574">
        <f t="shared" si="490"/>
        <v>0</v>
      </c>
      <c r="CN1574">
        <f t="shared" si="489"/>
        <v>0</v>
      </c>
      <c r="CO1574">
        <f t="shared" si="473"/>
        <v>0</v>
      </c>
    </row>
    <row r="1575" spans="1:93" hidden="1" x14ac:dyDescent="0.25">
      <c r="A1575" s="4">
        <v>2021</v>
      </c>
      <c r="B1575" s="315">
        <v>44361</v>
      </c>
      <c r="C1575" s="4" t="s">
        <v>66</v>
      </c>
      <c r="D1575" s="4" t="s">
        <v>1523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1503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+VLOOKUP(G1575,Liste!$A$7:$G$69,3,FALSE)</f>
        <v>Chêne sessile</v>
      </c>
      <c r="BI1575" s="96" t="str">
        <f>+VLOOKUP(H1575,Liste!$B$7:$G$69,5,FALSE)</f>
        <v>Guide chênaie atlantique</v>
      </c>
      <c r="BJ1575" s="135">
        <f t="shared" si="472"/>
        <v>140</v>
      </c>
      <c r="BK1575" s="135" t="str">
        <f t="shared" si="474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97" t="str">
        <f>+VLOOKUP(G1575,Liste!$A$7:$H$69,8,FALSE)</f>
        <v>Feuillus</v>
      </c>
      <c r="BU1575" s="297">
        <f t="shared" si="475"/>
        <v>1</v>
      </c>
      <c r="BV1575" s="299">
        <f t="shared" si="476"/>
        <v>0</v>
      </c>
      <c r="BW1575" s="318">
        <v>0</v>
      </c>
      <c r="BX1575" s="297">
        <f t="shared" si="477"/>
        <v>0.25</v>
      </c>
      <c r="BY1575">
        <f t="shared" si="478"/>
        <v>0</v>
      </c>
      <c r="BZ1575" s="303">
        <f t="shared" si="479"/>
        <v>0</v>
      </c>
      <c r="CB1575" s="298">
        <v>0.6</v>
      </c>
      <c r="CC1575" s="298">
        <v>0.4</v>
      </c>
      <c r="CD1575">
        <f t="shared" si="480"/>
        <v>0</v>
      </c>
      <c r="CE1575">
        <f t="shared" si="481"/>
        <v>0</v>
      </c>
      <c r="CF1575">
        <f t="shared" si="482"/>
        <v>0</v>
      </c>
      <c r="CG1575">
        <f t="shared" si="483"/>
        <v>0</v>
      </c>
      <c r="CH1575">
        <f t="shared" si="484"/>
        <v>0</v>
      </c>
      <c r="CI1575">
        <f t="shared" si="485"/>
        <v>0</v>
      </c>
      <c r="CJ1575">
        <f t="shared" si="486"/>
        <v>0</v>
      </c>
      <c r="CK1575">
        <f t="shared" si="487"/>
        <v>0</v>
      </c>
      <c r="CL1575">
        <f t="shared" si="488"/>
        <v>0</v>
      </c>
      <c r="CM1575">
        <f t="shared" si="490"/>
        <v>0</v>
      </c>
      <c r="CN1575">
        <f t="shared" si="489"/>
        <v>0</v>
      </c>
      <c r="CO1575">
        <f t="shared" si="473"/>
        <v>0</v>
      </c>
    </row>
    <row r="1576" spans="1:93" hidden="1" x14ac:dyDescent="0.25">
      <c r="A1576" s="4">
        <v>2021</v>
      </c>
      <c r="B1576" s="315">
        <v>44361</v>
      </c>
      <c r="C1576" s="4" t="s">
        <v>66</v>
      </c>
      <c r="D1576" s="4" t="s">
        <v>1523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1503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+VLOOKUP(G1576,Liste!$A$7:$G$69,3,FALSE)</f>
        <v>Chêne sessile</v>
      </c>
      <c r="BI1576" s="96" t="str">
        <f>+VLOOKUP(H1576,Liste!$B$7:$G$69,5,FALSE)</f>
        <v>Guide chênaie atlantique</v>
      </c>
      <c r="BJ1576" s="135">
        <f t="shared" si="472"/>
        <v>144</v>
      </c>
      <c r="BK1576" s="135" t="str">
        <f t="shared" si="474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97" t="str">
        <f>+VLOOKUP(G1576,Liste!$A$7:$H$69,8,FALSE)</f>
        <v>Feuillus</v>
      </c>
      <c r="BU1576" s="297">
        <f t="shared" si="475"/>
        <v>1</v>
      </c>
      <c r="BV1576" s="299">
        <f t="shared" si="476"/>
        <v>0</v>
      </c>
      <c r="BW1576" s="318">
        <v>0</v>
      </c>
      <c r="BX1576" s="297">
        <f t="shared" si="477"/>
        <v>0.25</v>
      </c>
      <c r="BY1576">
        <f t="shared" si="478"/>
        <v>0</v>
      </c>
      <c r="BZ1576" s="303">
        <f t="shared" si="479"/>
        <v>0</v>
      </c>
      <c r="CB1576" s="298">
        <v>0.6</v>
      </c>
      <c r="CC1576" s="298">
        <v>0.4</v>
      </c>
      <c r="CD1576">
        <f t="shared" si="480"/>
        <v>0</v>
      </c>
      <c r="CE1576">
        <f t="shared" si="481"/>
        <v>0</v>
      </c>
      <c r="CF1576">
        <f t="shared" si="482"/>
        <v>0</v>
      </c>
      <c r="CG1576">
        <f t="shared" si="483"/>
        <v>0</v>
      </c>
      <c r="CH1576">
        <f t="shared" si="484"/>
        <v>0</v>
      </c>
      <c r="CI1576">
        <f t="shared" si="485"/>
        <v>0</v>
      </c>
      <c r="CJ1576">
        <f t="shared" si="486"/>
        <v>0</v>
      </c>
      <c r="CK1576">
        <f t="shared" si="487"/>
        <v>0</v>
      </c>
      <c r="CL1576">
        <f t="shared" si="488"/>
        <v>0</v>
      </c>
      <c r="CM1576">
        <f t="shared" si="490"/>
        <v>0</v>
      </c>
      <c r="CN1576">
        <f t="shared" si="489"/>
        <v>0</v>
      </c>
      <c r="CO1576">
        <f t="shared" si="473"/>
        <v>0</v>
      </c>
    </row>
    <row r="1577" spans="1:93" hidden="1" x14ac:dyDescent="0.25">
      <c r="A1577" s="4">
        <v>2021</v>
      </c>
      <c r="B1577" s="315">
        <v>44361</v>
      </c>
      <c r="C1577" s="4" t="s">
        <v>66</v>
      </c>
      <c r="D1577" s="4" t="s">
        <v>1523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1503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+VLOOKUP(G1577,Liste!$A$7:$G$69,3,FALSE)</f>
        <v>Chêne sessile</v>
      </c>
      <c r="BI1577" s="96" t="str">
        <f>+VLOOKUP(H1577,Liste!$B$7:$G$69,5,FALSE)</f>
        <v>Guide chênaie atlantique</v>
      </c>
      <c r="BJ1577" s="135">
        <f t="shared" si="472"/>
        <v>144</v>
      </c>
      <c r="BK1577" s="135" t="str">
        <f t="shared" si="474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97" t="str">
        <f>+VLOOKUP(G1577,Liste!$A$7:$H$69,8,FALSE)</f>
        <v>Feuillus</v>
      </c>
      <c r="BU1577" s="297">
        <f t="shared" si="475"/>
        <v>1</v>
      </c>
      <c r="BV1577" s="299">
        <f t="shared" si="476"/>
        <v>0</v>
      </c>
      <c r="BW1577" s="318">
        <v>0</v>
      </c>
      <c r="BX1577" s="297">
        <f t="shared" si="477"/>
        <v>0.25</v>
      </c>
      <c r="BY1577">
        <f t="shared" si="478"/>
        <v>0</v>
      </c>
      <c r="BZ1577" s="303">
        <f t="shared" si="479"/>
        <v>0</v>
      </c>
      <c r="CB1577" s="298">
        <v>0.6</v>
      </c>
      <c r="CC1577" s="298">
        <v>0.4</v>
      </c>
      <c r="CD1577">
        <f t="shared" si="480"/>
        <v>0</v>
      </c>
      <c r="CE1577">
        <f t="shared" si="481"/>
        <v>0</v>
      </c>
      <c r="CF1577">
        <f t="shared" si="482"/>
        <v>0</v>
      </c>
      <c r="CG1577">
        <f t="shared" si="483"/>
        <v>0</v>
      </c>
      <c r="CH1577">
        <f t="shared" si="484"/>
        <v>0</v>
      </c>
      <c r="CI1577">
        <f t="shared" si="485"/>
        <v>0</v>
      </c>
      <c r="CJ1577">
        <f t="shared" si="486"/>
        <v>0</v>
      </c>
      <c r="CK1577">
        <f t="shared" si="487"/>
        <v>0</v>
      </c>
      <c r="CL1577">
        <f t="shared" si="488"/>
        <v>0</v>
      </c>
      <c r="CM1577">
        <f t="shared" si="490"/>
        <v>0</v>
      </c>
      <c r="CN1577">
        <f t="shared" si="489"/>
        <v>0</v>
      </c>
      <c r="CO1577">
        <f t="shared" si="473"/>
        <v>0</v>
      </c>
    </row>
    <row r="1578" spans="1:93" hidden="1" x14ac:dyDescent="0.25">
      <c r="A1578" s="4">
        <v>2021</v>
      </c>
      <c r="B1578" s="315">
        <v>44361</v>
      </c>
      <c r="C1578" s="4" t="s">
        <v>66</v>
      </c>
      <c r="D1578" s="4" t="s">
        <v>1523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1503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+VLOOKUP(G1578,Liste!$A$7:$G$69,3,FALSE)</f>
        <v>Chêne sessile</v>
      </c>
      <c r="BI1578" s="96" t="str">
        <f>+VLOOKUP(H1578,Liste!$B$7:$G$69,5,FALSE)</f>
        <v>Guide chênaie atlantique</v>
      </c>
      <c r="BJ1578" s="135">
        <f t="shared" si="472"/>
        <v>147</v>
      </c>
      <c r="BK1578" s="135" t="str">
        <f t="shared" si="474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97" t="str">
        <f>+VLOOKUP(G1578,Liste!$A$7:$H$69,8,FALSE)</f>
        <v>Feuillus</v>
      </c>
      <c r="BU1578" s="297">
        <f t="shared" si="475"/>
        <v>1</v>
      </c>
      <c r="BV1578" s="299">
        <f t="shared" si="476"/>
        <v>0</v>
      </c>
      <c r="BW1578" s="318">
        <v>0</v>
      </c>
      <c r="BX1578" s="297">
        <f t="shared" si="477"/>
        <v>0.25</v>
      </c>
      <c r="BY1578">
        <f t="shared" si="478"/>
        <v>0</v>
      </c>
      <c r="BZ1578" s="303">
        <f t="shared" si="479"/>
        <v>0</v>
      </c>
      <c r="CB1578" s="298">
        <v>0.6</v>
      </c>
      <c r="CC1578" s="298">
        <v>0.4</v>
      </c>
      <c r="CD1578">
        <f t="shared" si="480"/>
        <v>0</v>
      </c>
      <c r="CE1578">
        <f t="shared" si="481"/>
        <v>0</v>
      </c>
      <c r="CF1578">
        <f t="shared" si="482"/>
        <v>0</v>
      </c>
      <c r="CG1578">
        <f t="shared" si="483"/>
        <v>0</v>
      </c>
      <c r="CH1578">
        <f t="shared" si="484"/>
        <v>0</v>
      </c>
      <c r="CI1578">
        <f t="shared" si="485"/>
        <v>0</v>
      </c>
      <c r="CJ1578">
        <f t="shared" si="486"/>
        <v>0</v>
      </c>
      <c r="CK1578">
        <f t="shared" si="487"/>
        <v>0</v>
      </c>
      <c r="CL1578">
        <f t="shared" si="488"/>
        <v>0</v>
      </c>
      <c r="CM1578">
        <f t="shared" si="490"/>
        <v>0</v>
      </c>
      <c r="CN1578">
        <f t="shared" si="489"/>
        <v>0</v>
      </c>
      <c r="CO1578">
        <f t="shared" si="473"/>
        <v>0</v>
      </c>
    </row>
    <row r="1579" spans="1:93" hidden="1" x14ac:dyDescent="0.25">
      <c r="A1579" s="4">
        <v>2021</v>
      </c>
      <c r="B1579" s="315">
        <v>44361</v>
      </c>
      <c r="C1579" s="4" t="s">
        <v>66</v>
      </c>
      <c r="D1579" s="4" t="s">
        <v>1523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1503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+VLOOKUP(G1579,Liste!$A$7:$G$69,3,FALSE)</f>
        <v>Chêne sessile</v>
      </c>
      <c r="BI1579" s="96" t="str">
        <f>+VLOOKUP(H1579,Liste!$B$7:$G$69,5,FALSE)</f>
        <v>Guide chênaie atlantique</v>
      </c>
      <c r="BJ1579" s="135">
        <f t="shared" si="472"/>
        <v>150</v>
      </c>
      <c r="BK1579" s="135" t="str">
        <f t="shared" si="474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97" t="str">
        <f>+VLOOKUP(G1579,Liste!$A$7:$H$69,8,FALSE)</f>
        <v>Feuillus</v>
      </c>
      <c r="BU1579" s="297">
        <f t="shared" si="475"/>
        <v>1</v>
      </c>
      <c r="BV1579" s="299">
        <f t="shared" si="476"/>
        <v>0</v>
      </c>
      <c r="BW1579" s="318">
        <v>0</v>
      </c>
      <c r="BX1579" s="297">
        <f t="shared" si="477"/>
        <v>0.25</v>
      </c>
      <c r="BY1579">
        <f t="shared" si="478"/>
        <v>0</v>
      </c>
      <c r="BZ1579" s="303">
        <f t="shared" si="479"/>
        <v>0</v>
      </c>
      <c r="CB1579" s="298">
        <v>0.6</v>
      </c>
      <c r="CC1579" s="298">
        <v>0.4</v>
      </c>
      <c r="CD1579">
        <f t="shared" si="480"/>
        <v>0</v>
      </c>
      <c r="CE1579">
        <f t="shared" si="481"/>
        <v>0</v>
      </c>
      <c r="CF1579">
        <f t="shared" si="482"/>
        <v>0</v>
      </c>
      <c r="CG1579">
        <f t="shared" si="483"/>
        <v>0</v>
      </c>
      <c r="CH1579">
        <f t="shared" si="484"/>
        <v>0</v>
      </c>
      <c r="CI1579">
        <f t="shared" si="485"/>
        <v>0</v>
      </c>
      <c r="CJ1579">
        <f t="shared" si="486"/>
        <v>0</v>
      </c>
      <c r="CK1579">
        <f t="shared" si="487"/>
        <v>0</v>
      </c>
      <c r="CL1579">
        <f t="shared" si="488"/>
        <v>0</v>
      </c>
      <c r="CM1579">
        <f t="shared" si="490"/>
        <v>0</v>
      </c>
      <c r="CN1579">
        <f t="shared" si="489"/>
        <v>0</v>
      </c>
      <c r="CO1579">
        <f t="shared" si="473"/>
        <v>0</v>
      </c>
    </row>
    <row r="1580" spans="1:93" hidden="1" x14ac:dyDescent="0.25">
      <c r="A1580" s="4">
        <v>2021</v>
      </c>
      <c r="B1580" s="315">
        <v>44361</v>
      </c>
      <c r="C1580" s="4" t="s">
        <v>66</v>
      </c>
      <c r="D1580" s="4" t="s">
        <v>1523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1503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+VLOOKUP(G1580,Liste!$A$7:$G$69,3,FALSE)</f>
        <v>Chêne sessile</v>
      </c>
      <c r="BI1580" s="96" t="str">
        <f>+VLOOKUP(H1580,Liste!$B$7:$G$69,5,FALSE)</f>
        <v>Guide chênaie atlantique</v>
      </c>
      <c r="BJ1580" s="135">
        <f t="shared" si="472"/>
        <v>154</v>
      </c>
      <c r="BK1580" s="135" t="str">
        <f t="shared" si="474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97" t="str">
        <f>+VLOOKUP(G1580,Liste!$A$7:$H$69,8,FALSE)</f>
        <v>Feuillus</v>
      </c>
      <c r="BU1580" s="297">
        <f t="shared" si="475"/>
        <v>1</v>
      </c>
      <c r="BV1580" s="299">
        <f t="shared" si="476"/>
        <v>0</v>
      </c>
      <c r="BW1580" s="318">
        <v>0</v>
      </c>
      <c r="BX1580" s="297">
        <f t="shared" si="477"/>
        <v>0.25</v>
      </c>
      <c r="BY1580">
        <f t="shared" si="478"/>
        <v>0</v>
      </c>
      <c r="BZ1580" s="303">
        <f t="shared" si="479"/>
        <v>0</v>
      </c>
      <c r="CB1580" s="298">
        <v>0.6</v>
      </c>
      <c r="CC1580" s="298">
        <v>0.4</v>
      </c>
      <c r="CD1580">
        <f t="shared" si="480"/>
        <v>0</v>
      </c>
      <c r="CE1580">
        <f t="shared" si="481"/>
        <v>0</v>
      </c>
      <c r="CF1580">
        <f t="shared" si="482"/>
        <v>0</v>
      </c>
      <c r="CG1580">
        <f t="shared" si="483"/>
        <v>0</v>
      </c>
      <c r="CH1580">
        <f t="shared" si="484"/>
        <v>0</v>
      </c>
      <c r="CI1580">
        <f t="shared" si="485"/>
        <v>0</v>
      </c>
      <c r="CJ1580">
        <f t="shared" si="486"/>
        <v>0</v>
      </c>
      <c r="CK1580">
        <f t="shared" si="487"/>
        <v>0</v>
      </c>
      <c r="CL1580">
        <f t="shared" si="488"/>
        <v>0</v>
      </c>
      <c r="CM1580">
        <f t="shared" si="490"/>
        <v>0</v>
      </c>
      <c r="CN1580">
        <f t="shared" si="489"/>
        <v>0</v>
      </c>
      <c r="CO1580">
        <f t="shared" si="473"/>
        <v>0</v>
      </c>
    </row>
    <row r="1581" spans="1:93" hidden="1" x14ac:dyDescent="0.25">
      <c r="A1581" s="4">
        <v>2021</v>
      </c>
      <c r="B1581" s="315">
        <v>44361</v>
      </c>
      <c r="C1581" s="4" t="s">
        <v>66</v>
      </c>
      <c r="D1581" s="4" t="s">
        <v>1523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1503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+VLOOKUP(G1581,Liste!$A$7:$G$69,3,FALSE)</f>
        <v>Chêne sessile</v>
      </c>
      <c r="BI1581" s="96" t="str">
        <f>+VLOOKUP(H1581,Liste!$B$7:$G$69,5,FALSE)</f>
        <v>Guide chênaie atlantique</v>
      </c>
      <c r="BJ1581" s="135">
        <f t="shared" si="472"/>
        <v>154</v>
      </c>
      <c r="BK1581" s="135" t="str">
        <f t="shared" si="474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97" t="str">
        <f>+VLOOKUP(G1581,Liste!$A$7:$H$69,8,FALSE)</f>
        <v>Feuillus</v>
      </c>
      <c r="BU1581" s="297">
        <f t="shared" si="475"/>
        <v>1</v>
      </c>
      <c r="BV1581" s="299">
        <f t="shared" si="476"/>
        <v>0</v>
      </c>
      <c r="BW1581" s="318">
        <v>0</v>
      </c>
      <c r="BX1581" s="297">
        <f t="shared" si="477"/>
        <v>0.25</v>
      </c>
      <c r="BY1581">
        <f t="shared" si="478"/>
        <v>0</v>
      </c>
      <c r="BZ1581" s="303">
        <f t="shared" si="479"/>
        <v>0</v>
      </c>
      <c r="CB1581" s="298">
        <v>0.6</v>
      </c>
      <c r="CC1581" s="298">
        <v>0.4</v>
      </c>
      <c r="CD1581">
        <f t="shared" si="480"/>
        <v>0</v>
      </c>
      <c r="CE1581">
        <f t="shared" si="481"/>
        <v>0</v>
      </c>
      <c r="CF1581">
        <f t="shared" si="482"/>
        <v>0</v>
      </c>
      <c r="CG1581">
        <f t="shared" si="483"/>
        <v>0</v>
      </c>
      <c r="CH1581">
        <f t="shared" si="484"/>
        <v>0</v>
      </c>
      <c r="CI1581">
        <f t="shared" si="485"/>
        <v>0</v>
      </c>
      <c r="CJ1581">
        <f t="shared" si="486"/>
        <v>0</v>
      </c>
      <c r="CK1581">
        <f t="shared" si="487"/>
        <v>0</v>
      </c>
      <c r="CL1581">
        <f t="shared" si="488"/>
        <v>0</v>
      </c>
      <c r="CM1581">
        <f t="shared" si="490"/>
        <v>0</v>
      </c>
      <c r="CN1581">
        <f t="shared" si="489"/>
        <v>0</v>
      </c>
      <c r="CO1581">
        <f t="shared" si="473"/>
        <v>0</v>
      </c>
    </row>
    <row r="1582" spans="1:93" hidden="1" x14ac:dyDescent="0.25">
      <c r="A1582" s="4">
        <v>2021</v>
      </c>
      <c r="B1582" s="315">
        <v>44361</v>
      </c>
      <c r="C1582" s="4" t="s">
        <v>66</v>
      </c>
      <c r="D1582" s="4" t="s">
        <v>1523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1503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+VLOOKUP(G1582,Liste!$A$7:$G$69,3,FALSE)</f>
        <v>Chêne sessile</v>
      </c>
      <c r="BI1582" s="96" t="str">
        <f>+VLOOKUP(H1582,Liste!$B$7:$G$69,5,FALSE)</f>
        <v>Guide chênaie atlantique</v>
      </c>
      <c r="BJ1582" s="135">
        <f t="shared" si="472"/>
        <v>157</v>
      </c>
      <c r="BK1582" s="135" t="str">
        <f t="shared" si="474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97" t="str">
        <f>+VLOOKUP(G1582,Liste!$A$7:$H$69,8,FALSE)</f>
        <v>Feuillus</v>
      </c>
      <c r="BU1582" s="297">
        <f t="shared" si="475"/>
        <v>1</v>
      </c>
      <c r="BV1582" s="299">
        <f t="shared" si="476"/>
        <v>0</v>
      </c>
      <c r="BW1582" s="318">
        <v>0</v>
      </c>
      <c r="BX1582" s="297">
        <f t="shared" si="477"/>
        <v>0.25</v>
      </c>
      <c r="BY1582">
        <f t="shared" si="478"/>
        <v>0</v>
      </c>
      <c r="BZ1582" s="303">
        <f t="shared" si="479"/>
        <v>0</v>
      </c>
      <c r="CB1582" s="298">
        <v>0.6</v>
      </c>
      <c r="CC1582" s="298">
        <v>0.4</v>
      </c>
      <c r="CD1582">
        <f t="shared" si="480"/>
        <v>0</v>
      </c>
      <c r="CE1582">
        <f t="shared" si="481"/>
        <v>0</v>
      </c>
      <c r="CF1582">
        <f t="shared" si="482"/>
        <v>0</v>
      </c>
      <c r="CG1582">
        <f t="shared" si="483"/>
        <v>0</v>
      </c>
      <c r="CH1582">
        <f t="shared" si="484"/>
        <v>0</v>
      </c>
      <c r="CI1582">
        <f t="shared" si="485"/>
        <v>0</v>
      </c>
      <c r="CJ1582">
        <f t="shared" si="486"/>
        <v>0</v>
      </c>
      <c r="CK1582">
        <f t="shared" si="487"/>
        <v>0</v>
      </c>
      <c r="CL1582">
        <f t="shared" si="488"/>
        <v>0</v>
      </c>
      <c r="CM1582">
        <f t="shared" si="490"/>
        <v>0</v>
      </c>
      <c r="CN1582">
        <f t="shared" si="489"/>
        <v>0</v>
      </c>
      <c r="CO1582">
        <f t="shared" si="473"/>
        <v>0</v>
      </c>
    </row>
    <row r="1583" spans="1:93" hidden="1" x14ac:dyDescent="0.25">
      <c r="A1583" s="4">
        <v>2021</v>
      </c>
      <c r="B1583" s="315">
        <v>44361</v>
      </c>
      <c r="C1583" s="4" t="s">
        <v>66</v>
      </c>
      <c r="D1583" s="4" t="s">
        <v>1523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1503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+VLOOKUP(G1583,Liste!$A$7:$G$69,3,FALSE)</f>
        <v>Chêne sessile</v>
      </c>
      <c r="BI1583" s="96" t="str">
        <f>+VLOOKUP(H1583,Liste!$B$7:$G$69,5,FALSE)</f>
        <v>Guide chênaie atlantique</v>
      </c>
      <c r="BJ1583" s="135">
        <f t="shared" si="472"/>
        <v>160</v>
      </c>
      <c r="BK1583" s="135" t="str">
        <f t="shared" si="474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97" t="str">
        <f>+VLOOKUP(G1583,Liste!$A$7:$H$69,8,FALSE)</f>
        <v>Feuillus</v>
      </c>
      <c r="BU1583" s="297">
        <f t="shared" si="475"/>
        <v>1</v>
      </c>
      <c r="BV1583" s="299">
        <f t="shared" si="476"/>
        <v>0</v>
      </c>
      <c r="BW1583" s="318">
        <v>0</v>
      </c>
      <c r="BX1583" s="297">
        <f t="shared" si="477"/>
        <v>0.25</v>
      </c>
      <c r="BY1583">
        <f t="shared" si="478"/>
        <v>0</v>
      </c>
      <c r="BZ1583" s="303">
        <f t="shared" si="479"/>
        <v>0</v>
      </c>
      <c r="CB1583" s="298">
        <v>0.6</v>
      </c>
      <c r="CC1583" s="298">
        <v>0.4</v>
      </c>
      <c r="CD1583">
        <f t="shared" si="480"/>
        <v>0</v>
      </c>
      <c r="CE1583">
        <f t="shared" si="481"/>
        <v>0</v>
      </c>
      <c r="CF1583">
        <f t="shared" si="482"/>
        <v>0</v>
      </c>
      <c r="CG1583">
        <f t="shared" si="483"/>
        <v>0</v>
      </c>
      <c r="CH1583">
        <f t="shared" si="484"/>
        <v>0</v>
      </c>
      <c r="CI1583">
        <f t="shared" si="485"/>
        <v>0</v>
      </c>
      <c r="CJ1583">
        <f t="shared" si="486"/>
        <v>0</v>
      </c>
      <c r="CK1583">
        <f t="shared" si="487"/>
        <v>0</v>
      </c>
      <c r="CL1583">
        <f t="shared" si="488"/>
        <v>0</v>
      </c>
      <c r="CM1583">
        <f t="shared" si="490"/>
        <v>0</v>
      </c>
      <c r="CN1583">
        <f t="shared" si="489"/>
        <v>0</v>
      </c>
      <c r="CO1583">
        <f t="shared" si="473"/>
        <v>0</v>
      </c>
    </row>
    <row r="1584" spans="1:93" hidden="1" x14ac:dyDescent="0.25">
      <c r="A1584" s="4">
        <v>2021</v>
      </c>
      <c r="B1584" s="315">
        <v>44361</v>
      </c>
      <c r="C1584" s="4" t="s">
        <v>66</v>
      </c>
      <c r="D1584" s="4" t="s">
        <v>1523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1503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+VLOOKUP(G1584,Liste!$A$7:$G$69,3,FALSE)</f>
        <v>Chêne sessile</v>
      </c>
      <c r="BI1584" s="96" t="str">
        <f>+VLOOKUP(H1584,Liste!$B$7:$G$69,5,FALSE)</f>
        <v>Guide chênaie atlantique</v>
      </c>
      <c r="BJ1584" s="135">
        <f t="shared" si="472"/>
        <v>164</v>
      </c>
      <c r="BK1584" s="135" t="str">
        <f t="shared" si="474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97" t="str">
        <f>+VLOOKUP(G1584,Liste!$A$7:$H$69,8,FALSE)</f>
        <v>Feuillus</v>
      </c>
      <c r="BU1584" s="297">
        <f t="shared" si="475"/>
        <v>1</v>
      </c>
      <c r="BV1584" s="299">
        <f t="shared" si="476"/>
        <v>0</v>
      </c>
      <c r="BW1584" s="318">
        <v>0</v>
      </c>
      <c r="BX1584" s="297">
        <f t="shared" si="477"/>
        <v>0.25</v>
      </c>
      <c r="BY1584">
        <f t="shared" si="478"/>
        <v>0</v>
      </c>
      <c r="BZ1584" s="303">
        <f t="shared" si="479"/>
        <v>0</v>
      </c>
      <c r="CB1584" s="298">
        <v>0.6</v>
      </c>
      <c r="CC1584" s="298">
        <v>0.4</v>
      </c>
      <c r="CD1584">
        <f t="shared" si="480"/>
        <v>0</v>
      </c>
      <c r="CE1584">
        <f t="shared" si="481"/>
        <v>0</v>
      </c>
      <c r="CF1584">
        <f t="shared" si="482"/>
        <v>0</v>
      </c>
      <c r="CG1584">
        <f t="shared" si="483"/>
        <v>0</v>
      </c>
      <c r="CH1584">
        <f t="shared" si="484"/>
        <v>0</v>
      </c>
      <c r="CI1584">
        <f t="shared" si="485"/>
        <v>0</v>
      </c>
      <c r="CJ1584">
        <f t="shared" si="486"/>
        <v>0</v>
      </c>
      <c r="CK1584">
        <f t="shared" si="487"/>
        <v>0</v>
      </c>
      <c r="CL1584">
        <f t="shared" si="488"/>
        <v>0</v>
      </c>
      <c r="CM1584">
        <f t="shared" si="490"/>
        <v>0</v>
      </c>
      <c r="CN1584">
        <f t="shared" si="489"/>
        <v>0</v>
      </c>
      <c r="CO1584">
        <f t="shared" si="473"/>
        <v>0</v>
      </c>
    </row>
    <row r="1585" spans="1:93" hidden="1" x14ac:dyDescent="0.25">
      <c r="A1585" s="4">
        <v>2021</v>
      </c>
      <c r="B1585" s="315">
        <v>44361</v>
      </c>
      <c r="C1585" s="4" t="s">
        <v>66</v>
      </c>
      <c r="D1585" s="4" t="s">
        <v>1523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1503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+VLOOKUP(G1585,Liste!$A$7:$G$69,3,FALSE)</f>
        <v>Chêne sessile</v>
      </c>
      <c r="BI1585" s="96" t="str">
        <f>+VLOOKUP(H1585,Liste!$B$7:$G$69,5,FALSE)</f>
        <v>Guide chênaie atlantique</v>
      </c>
      <c r="BJ1585" s="135">
        <f t="shared" si="472"/>
        <v>164</v>
      </c>
      <c r="BK1585" s="135" t="str">
        <f t="shared" si="474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97" t="str">
        <f>+VLOOKUP(G1585,Liste!$A$7:$H$69,8,FALSE)</f>
        <v>Feuillus</v>
      </c>
      <c r="BU1585" s="297">
        <f t="shared" si="475"/>
        <v>1</v>
      </c>
      <c r="BV1585" s="299">
        <f t="shared" si="476"/>
        <v>0</v>
      </c>
      <c r="BW1585" s="318">
        <v>0</v>
      </c>
      <c r="BX1585" s="297">
        <f t="shared" si="477"/>
        <v>0.25</v>
      </c>
      <c r="BY1585">
        <f t="shared" si="478"/>
        <v>0</v>
      </c>
      <c r="BZ1585" s="303">
        <f t="shared" si="479"/>
        <v>0</v>
      </c>
      <c r="CB1585" s="298">
        <v>0.6</v>
      </c>
      <c r="CC1585" s="298">
        <v>0.4</v>
      </c>
      <c r="CD1585">
        <f t="shared" si="480"/>
        <v>0</v>
      </c>
      <c r="CE1585">
        <f t="shared" si="481"/>
        <v>0</v>
      </c>
      <c r="CF1585">
        <f t="shared" si="482"/>
        <v>0</v>
      </c>
      <c r="CG1585">
        <f t="shared" si="483"/>
        <v>0</v>
      </c>
      <c r="CH1585">
        <f t="shared" si="484"/>
        <v>0</v>
      </c>
      <c r="CI1585">
        <f t="shared" si="485"/>
        <v>0</v>
      </c>
      <c r="CJ1585">
        <f t="shared" si="486"/>
        <v>0</v>
      </c>
      <c r="CK1585">
        <f t="shared" si="487"/>
        <v>0</v>
      </c>
      <c r="CL1585">
        <f t="shared" si="488"/>
        <v>0</v>
      </c>
      <c r="CM1585">
        <f t="shared" si="490"/>
        <v>0</v>
      </c>
      <c r="CN1585">
        <f t="shared" si="489"/>
        <v>0</v>
      </c>
      <c r="CO1585">
        <f t="shared" si="473"/>
        <v>0</v>
      </c>
    </row>
    <row r="1586" spans="1:93" hidden="1" x14ac:dyDescent="0.25">
      <c r="A1586" s="4">
        <v>2021</v>
      </c>
      <c r="B1586" s="315">
        <v>44361</v>
      </c>
      <c r="C1586" s="4" t="s">
        <v>66</v>
      </c>
      <c r="D1586" s="4" t="s">
        <v>1523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1503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+VLOOKUP(G1586,Liste!$A$7:$G$69,3,FALSE)</f>
        <v>Chêne sessile</v>
      </c>
      <c r="BI1586" s="96" t="str">
        <f>+VLOOKUP(H1586,Liste!$B$7:$G$69,5,FALSE)</f>
        <v>Guide chênaie atlantique</v>
      </c>
      <c r="BJ1586" s="135">
        <f t="shared" si="472"/>
        <v>167</v>
      </c>
      <c r="BK1586" s="135" t="str">
        <f t="shared" si="474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97" t="str">
        <f>+VLOOKUP(G1586,Liste!$A$7:$H$69,8,FALSE)</f>
        <v>Feuillus</v>
      </c>
      <c r="BU1586" s="297">
        <f t="shared" si="475"/>
        <v>1</v>
      </c>
      <c r="BV1586" s="299">
        <f t="shared" si="476"/>
        <v>0</v>
      </c>
      <c r="BW1586" s="318">
        <v>0</v>
      </c>
      <c r="BX1586" s="297">
        <f t="shared" si="477"/>
        <v>0.25</v>
      </c>
      <c r="BY1586">
        <f t="shared" si="478"/>
        <v>0</v>
      </c>
      <c r="BZ1586" s="303">
        <f t="shared" si="479"/>
        <v>0</v>
      </c>
      <c r="CB1586" s="298">
        <v>0.6</v>
      </c>
      <c r="CC1586" s="298">
        <v>0.4</v>
      </c>
      <c r="CD1586">
        <f t="shared" si="480"/>
        <v>0</v>
      </c>
      <c r="CE1586">
        <f t="shared" si="481"/>
        <v>0</v>
      </c>
      <c r="CF1586">
        <f t="shared" si="482"/>
        <v>0</v>
      </c>
      <c r="CG1586">
        <f t="shared" si="483"/>
        <v>0</v>
      </c>
      <c r="CH1586">
        <f t="shared" si="484"/>
        <v>0</v>
      </c>
      <c r="CI1586">
        <f t="shared" si="485"/>
        <v>0</v>
      </c>
      <c r="CJ1586">
        <f t="shared" si="486"/>
        <v>0</v>
      </c>
      <c r="CK1586">
        <f t="shared" si="487"/>
        <v>0</v>
      </c>
      <c r="CL1586">
        <f t="shared" si="488"/>
        <v>0</v>
      </c>
      <c r="CM1586">
        <f t="shared" si="490"/>
        <v>0</v>
      </c>
      <c r="CN1586">
        <f t="shared" si="489"/>
        <v>0</v>
      </c>
      <c r="CO1586">
        <f t="shared" si="473"/>
        <v>0</v>
      </c>
    </row>
    <row r="1587" spans="1:93" hidden="1" x14ac:dyDescent="0.25">
      <c r="A1587" s="4">
        <v>2021</v>
      </c>
      <c r="B1587" s="315">
        <v>44361</v>
      </c>
      <c r="C1587" s="4" t="s">
        <v>66</v>
      </c>
      <c r="D1587" s="4" t="s">
        <v>1523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1503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+VLOOKUP(G1587,Liste!$A$7:$G$69,3,FALSE)</f>
        <v>Chêne sessile</v>
      </c>
      <c r="BI1587" s="96" t="str">
        <f>+VLOOKUP(H1587,Liste!$B$7:$G$69,5,FALSE)</f>
        <v>Guide chênaie atlantique</v>
      </c>
      <c r="BJ1587" s="135">
        <f t="shared" si="472"/>
        <v>170</v>
      </c>
      <c r="BK1587" s="135" t="str">
        <f t="shared" si="474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97" t="str">
        <f>+VLOOKUP(G1587,Liste!$A$7:$H$69,8,FALSE)</f>
        <v>Feuillus</v>
      </c>
      <c r="BU1587" s="297">
        <f t="shared" si="475"/>
        <v>1</v>
      </c>
      <c r="BV1587" s="299">
        <f t="shared" si="476"/>
        <v>0</v>
      </c>
      <c r="BW1587" s="318">
        <v>0</v>
      </c>
      <c r="BX1587" s="297">
        <f t="shared" si="477"/>
        <v>0.25</v>
      </c>
      <c r="BY1587">
        <f t="shared" si="478"/>
        <v>0</v>
      </c>
      <c r="BZ1587" s="303">
        <f t="shared" si="479"/>
        <v>0</v>
      </c>
      <c r="CB1587" s="298">
        <v>0.6</v>
      </c>
      <c r="CC1587" s="298">
        <v>0.4</v>
      </c>
      <c r="CD1587">
        <f t="shared" si="480"/>
        <v>0</v>
      </c>
      <c r="CE1587">
        <f t="shared" si="481"/>
        <v>0</v>
      </c>
      <c r="CF1587">
        <f t="shared" si="482"/>
        <v>0</v>
      </c>
      <c r="CG1587">
        <f t="shared" si="483"/>
        <v>0</v>
      </c>
      <c r="CH1587">
        <f t="shared" si="484"/>
        <v>0</v>
      </c>
      <c r="CI1587">
        <f t="shared" si="485"/>
        <v>0</v>
      </c>
      <c r="CJ1587">
        <f t="shared" si="486"/>
        <v>0</v>
      </c>
      <c r="CK1587">
        <f t="shared" si="487"/>
        <v>0</v>
      </c>
      <c r="CL1587">
        <f t="shared" si="488"/>
        <v>0</v>
      </c>
      <c r="CM1587">
        <f t="shared" si="490"/>
        <v>0</v>
      </c>
      <c r="CN1587">
        <f t="shared" si="489"/>
        <v>0</v>
      </c>
      <c r="CO1587">
        <f t="shared" si="473"/>
        <v>0</v>
      </c>
    </row>
    <row r="1588" spans="1:93" hidden="1" x14ac:dyDescent="0.25">
      <c r="A1588" s="4">
        <v>2021</v>
      </c>
      <c r="B1588" s="315">
        <v>44361</v>
      </c>
      <c r="C1588" s="4" t="s">
        <v>66</v>
      </c>
      <c r="D1588" s="4" t="s">
        <v>1523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1503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+VLOOKUP(G1588,Liste!$A$7:$G$69,3,FALSE)</f>
        <v>Chêne sessile</v>
      </c>
      <c r="BI1588" s="96" t="str">
        <f>+VLOOKUP(H1588,Liste!$B$7:$G$69,5,FALSE)</f>
        <v>Guide chênaie atlantique</v>
      </c>
      <c r="BJ1588" s="135">
        <f t="shared" si="472"/>
        <v>174</v>
      </c>
      <c r="BK1588" s="135" t="str">
        <f t="shared" si="474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97" t="str">
        <f>+VLOOKUP(G1588,Liste!$A$7:$H$69,8,FALSE)</f>
        <v>Feuillus</v>
      </c>
      <c r="BU1588" s="297">
        <f t="shared" si="475"/>
        <v>1</v>
      </c>
      <c r="BV1588" s="299">
        <f t="shared" si="476"/>
        <v>0</v>
      </c>
      <c r="BW1588" s="318">
        <v>0</v>
      </c>
      <c r="BX1588" s="297">
        <f t="shared" si="477"/>
        <v>0.25</v>
      </c>
      <c r="BY1588">
        <f t="shared" si="478"/>
        <v>0</v>
      </c>
      <c r="BZ1588" s="303">
        <f t="shared" si="479"/>
        <v>0</v>
      </c>
      <c r="CB1588" s="298">
        <v>0.6</v>
      </c>
      <c r="CC1588" s="298">
        <v>0.4</v>
      </c>
      <c r="CD1588">
        <f t="shared" si="480"/>
        <v>0</v>
      </c>
      <c r="CE1588">
        <f t="shared" si="481"/>
        <v>0</v>
      </c>
      <c r="CF1588">
        <f t="shared" si="482"/>
        <v>0</v>
      </c>
      <c r="CG1588">
        <f t="shared" si="483"/>
        <v>0</v>
      </c>
      <c r="CH1588">
        <f t="shared" si="484"/>
        <v>0</v>
      </c>
      <c r="CI1588">
        <f t="shared" si="485"/>
        <v>0</v>
      </c>
      <c r="CJ1588">
        <f t="shared" si="486"/>
        <v>0</v>
      </c>
      <c r="CK1588">
        <f t="shared" si="487"/>
        <v>0</v>
      </c>
      <c r="CL1588">
        <f t="shared" si="488"/>
        <v>0</v>
      </c>
      <c r="CM1588">
        <f t="shared" si="490"/>
        <v>0</v>
      </c>
      <c r="CN1588">
        <f t="shared" si="489"/>
        <v>0</v>
      </c>
      <c r="CO1588">
        <f t="shared" si="473"/>
        <v>0</v>
      </c>
    </row>
    <row r="1589" spans="1:93" hidden="1" x14ac:dyDescent="0.25">
      <c r="A1589" s="4">
        <v>2021</v>
      </c>
      <c r="B1589" s="315">
        <v>44361</v>
      </c>
      <c r="C1589" s="4" t="s">
        <v>66</v>
      </c>
      <c r="D1589" s="4" t="s">
        <v>1523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1503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+VLOOKUP(G1589,Liste!$A$7:$G$69,3,FALSE)</f>
        <v>Chêne sessile</v>
      </c>
      <c r="BI1589" s="96" t="str">
        <f>+VLOOKUP(H1589,Liste!$B$7:$G$69,5,FALSE)</f>
        <v>Guide chênaie atlantique</v>
      </c>
      <c r="BJ1589" s="135">
        <f t="shared" si="472"/>
        <v>174</v>
      </c>
      <c r="BK1589" s="135" t="str">
        <f t="shared" si="474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97" t="str">
        <f>+VLOOKUP(G1589,Liste!$A$7:$H$69,8,FALSE)</f>
        <v>Feuillus</v>
      </c>
      <c r="BU1589" s="297">
        <f t="shared" si="475"/>
        <v>1</v>
      </c>
      <c r="BV1589" s="299">
        <f t="shared" si="476"/>
        <v>0</v>
      </c>
      <c r="BW1589" s="318">
        <v>0</v>
      </c>
      <c r="BX1589" s="297">
        <f t="shared" si="477"/>
        <v>0.25</v>
      </c>
      <c r="BY1589">
        <f t="shared" si="478"/>
        <v>0</v>
      </c>
      <c r="BZ1589" s="303">
        <f t="shared" si="479"/>
        <v>0</v>
      </c>
      <c r="CB1589" s="298">
        <v>0.6</v>
      </c>
      <c r="CC1589" s="298">
        <v>0.4</v>
      </c>
      <c r="CD1589">
        <f t="shared" si="480"/>
        <v>0</v>
      </c>
      <c r="CE1589">
        <f t="shared" si="481"/>
        <v>0</v>
      </c>
      <c r="CF1589">
        <f t="shared" si="482"/>
        <v>0</v>
      </c>
      <c r="CG1589">
        <f t="shared" si="483"/>
        <v>0</v>
      </c>
      <c r="CH1589">
        <f t="shared" si="484"/>
        <v>0</v>
      </c>
      <c r="CI1589">
        <f t="shared" si="485"/>
        <v>0</v>
      </c>
      <c r="CJ1589">
        <f t="shared" si="486"/>
        <v>0</v>
      </c>
      <c r="CK1589">
        <f t="shared" si="487"/>
        <v>0</v>
      </c>
      <c r="CL1589">
        <f t="shared" si="488"/>
        <v>0</v>
      </c>
      <c r="CM1589">
        <f t="shared" si="490"/>
        <v>0</v>
      </c>
      <c r="CN1589">
        <f t="shared" si="489"/>
        <v>0</v>
      </c>
      <c r="CO1589">
        <f t="shared" si="473"/>
        <v>0</v>
      </c>
    </row>
    <row r="1590" spans="1:93" hidden="1" x14ac:dyDescent="0.25">
      <c r="A1590" s="4">
        <v>2021</v>
      </c>
      <c r="B1590" s="315">
        <v>44361</v>
      </c>
      <c r="C1590" s="4" t="s">
        <v>66</v>
      </c>
      <c r="D1590" s="4" t="s">
        <v>1523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1503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+VLOOKUP(G1590,Liste!$A$7:$G$69,3,FALSE)</f>
        <v>Chêne sessile</v>
      </c>
      <c r="BI1590" s="96" t="str">
        <f>+VLOOKUP(H1590,Liste!$B$7:$G$69,5,FALSE)</f>
        <v>Guide chênaie atlantique</v>
      </c>
      <c r="BJ1590" s="135">
        <f t="shared" si="472"/>
        <v>177</v>
      </c>
      <c r="BK1590" s="135" t="str">
        <f t="shared" si="474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97" t="str">
        <f>+VLOOKUP(G1590,Liste!$A$7:$H$69,8,FALSE)</f>
        <v>Feuillus</v>
      </c>
      <c r="BU1590" s="297">
        <f t="shared" si="475"/>
        <v>1</v>
      </c>
      <c r="BV1590" s="299">
        <f t="shared" si="476"/>
        <v>0</v>
      </c>
      <c r="BW1590" s="318">
        <v>0</v>
      </c>
      <c r="BX1590" s="297">
        <f t="shared" si="477"/>
        <v>0.25</v>
      </c>
      <c r="BY1590">
        <f t="shared" si="478"/>
        <v>0</v>
      </c>
      <c r="BZ1590" s="303">
        <f t="shared" si="479"/>
        <v>0</v>
      </c>
      <c r="CB1590" s="298">
        <v>0.6</v>
      </c>
      <c r="CC1590" s="298">
        <v>0.4</v>
      </c>
      <c r="CD1590">
        <f t="shared" si="480"/>
        <v>0</v>
      </c>
      <c r="CE1590">
        <f t="shared" si="481"/>
        <v>0</v>
      </c>
      <c r="CF1590">
        <f t="shared" si="482"/>
        <v>0</v>
      </c>
      <c r="CG1590">
        <f t="shared" si="483"/>
        <v>0</v>
      </c>
      <c r="CH1590">
        <f t="shared" si="484"/>
        <v>0</v>
      </c>
      <c r="CI1590">
        <f t="shared" si="485"/>
        <v>0</v>
      </c>
      <c r="CJ1590">
        <f t="shared" si="486"/>
        <v>0</v>
      </c>
      <c r="CK1590">
        <f t="shared" si="487"/>
        <v>0</v>
      </c>
      <c r="CL1590">
        <f t="shared" si="488"/>
        <v>0</v>
      </c>
      <c r="CM1590">
        <f t="shared" si="490"/>
        <v>0</v>
      </c>
      <c r="CN1590">
        <f t="shared" si="489"/>
        <v>0</v>
      </c>
      <c r="CO1590">
        <f t="shared" si="473"/>
        <v>0</v>
      </c>
    </row>
    <row r="1591" spans="1:93" hidden="1" x14ac:dyDescent="0.25">
      <c r="A1591" s="4">
        <v>2021</v>
      </c>
      <c r="B1591" s="315">
        <v>44361</v>
      </c>
      <c r="C1591" s="4" t="s">
        <v>66</v>
      </c>
      <c r="D1591" s="4" t="s">
        <v>1523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1503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+VLOOKUP(G1591,Liste!$A$7:$G$69,3,FALSE)</f>
        <v>Chêne sessile</v>
      </c>
      <c r="BI1591" s="96" t="str">
        <f>+VLOOKUP(H1591,Liste!$B$7:$G$69,5,FALSE)</f>
        <v>Guide chênaie atlantique</v>
      </c>
      <c r="BJ1591" s="135">
        <f t="shared" si="472"/>
        <v>177</v>
      </c>
      <c r="BK1591" s="135" t="str">
        <f t="shared" si="474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97" t="str">
        <f>+VLOOKUP(G1591,Liste!$A$7:$H$69,8,FALSE)</f>
        <v>Feuillus</v>
      </c>
      <c r="BU1591" s="297">
        <f t="shared" si="475"/>
        <v>1</v>
      </c>
      <c r="BV1591" s="299">
        <f t="shared" si="476"/>
        <v>0</v>
      </c>
      <c r="BW1591" s="318">
        <v>0</v>
      </c>
      <c r="BX1591" s="297">
        <f t="shared" si="477"/>
        <v>0.25</v>
      </c>
      <c r="BY1591">
        <f t="shared" si="478"/>
        <v>0</v>
      </c>
      <c r="BZ1591" s="303">
        <f t="shared" si="479"/>
        <v>0</v>
      </c>
      <c r="CB1591" s="298">
        <v>0.6</v>
      </c>
      <c r="CC1591" s="298">
        <v>0.4</v>
      </c>
      <c r="CD1591">
        <f t="shared" si="480"/>
        <v>0</v>
      </c>
      <c r="CE1591">
        <f t="shared" si="481"/>
        <v>0</v>
      </c>
      <c r="CF1591">
        <f t="shared" si="482"/>
        <v>0</v>
      </c>
      <c r="CG1591">
        <f t="shared" si="483"/>
        <v>0</v>
      </c>
      <c r="CH1591">
        <f t="shared" si="484"/>
        <v>0</v>
      </c>
      <c r="CI1591">
        <f t="shared" si="485"/>
        <v>0</v>
      </c>
      <c r="CJ1591">
        <f t="shared" si="486"/>
        <v>0</v>
      </c>
      <c r="CK1591">
        <f t="shared" si="487"/>
        <v>0</v>
      </c>
      <c r="CL1591">
        <f t="shared" si="488"/>
        <v>0</v>
      </c>
      <c r="CM1591">
        <f t="shared" si="490"/>
        <v>0</v>
      </c>
      <c r="CN1591">
        <f t="shared" si="489"/>
        <v>0</v>
      </c>
      <c r="CO1591">
        <f t="shared" si="473"/>
        <v>0</v>
      </c>
    </row>
    <row r="1592" spans="1:93" hidden="1" x14ac:dyDescent="0.25">
      <c r="A1592" s="4">
        <v>2021</v>
      </c>
      <c r="B1592" s="315">
        <v>44361</v>
      </c>
      <c r="C1592" s="4" t="s">
        <v>66</v>
      </c>
      <c r="D1592" s="4" t="s">
        <v>1523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1503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+VLOOKUP(G1592,Liste!$A$7:$G$69,3,FALSE)</f>
        <v>Chêne sessile</v>
      </c>
      <c r="BI1592" s="96" t="str">
        <f>+VLOOKUP(H1592,Liste!$B$7:$G$69,5,FALSE)</f>
        <v>Guide chênaie atlantique</v>
      </c>
      <c r="BJ1592" s="135">
        <f t="shared" si="472"/>
        <v>180</v>
      </c>
      <c r="BK1592" s="135" t="str">
        <f t="shared" si="474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97" t="str">
        <f>+VLOOKUP(G1592,Liste!$A$7:$H$69,8,FALSE)</f>
        <v>Feuillus</v>
      </c>
      <c r="BU1592" s="297">
        <f t="shared" si="475"/>
        <v>1</v>
      </c>
      <c r="BV1592" s="299">
        <f t="shared" si="476"/>
        <v>0</v>
      </c>
      <c r="BW1592" s="318">
        <v>0</v>
      </c>
      <c r="BX1592" s="297">
        <f t="shared" si="477"/>
        <v>0.25</v>
      </c>
      <c r="BY1592">
        <f t="shared" si="478"/>
        <v>0</v>
      </c>
      <c r="BZ1592" s="303">
        <f t="shared" si="479"/>
        <v>0</v>
      </c>
      <c r="CB1592" s="298">
        <v>0.6</v>
      </c>
      <c r="CC1592" s="298">
        <v>0.4</v>
      </c>
      <c r="CD1592">
        <f t="shared" si="480"/>
        <v>0</v>
      </c>
      <c r="CE1592">
        <f t="shared" si="481"/>
        <v>0</v>
      </c>
      <c r="CF1592">
        <f t="shared" si="482"/>
        <v>0</v>
      </c>
      <c r="CG1592">
        <f t="shared" si="483"/>
        <v>0</v>
      </c>
      <c r="CH1592">
        <f t="shared" si="484"/>
        <v>0</v>
      </c>
      <c r="CI1592">
        <f t="shared" si="485"/>
        <v>0</v>
      </c>
      <c r="CJ1592">
        <f t="shared" si="486"/>
        <v>0</v>
      </c>
      <c r="CK1592">
        <f t="shared" si="487"/>
        <v>0</v>
      </c>
      <c r="CL1592">
        <f t="shared" si="488"/>
        <v>0</v>
      </c>
      <c r="CM1592">
        <f t="shared" si="490"/>
        <v>0</v>
      </c>
      <c r="CN1592">
        <f t="shared" si="489"/>
        <v>0</v>
      </c>
      <c r="CO1592">
        <f t="shared" si="473"/>
        <v>0</v>
      </c>
    </row>
    <row r="1593" spans="1:93" hidden="1" x14ac:dyDescent="0.25">
      <c r="A1593" s="4">
        <v>2021</v>
      </c>
      <c r="B1593" s="315">
        <v>44361</v>
      </c>
      <c r="C1593" s="4" t="s">
        <v>66</v>
      </c>
      <c r="D1593" s="4" t="s">
        <v>1523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1503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+VLOOKUP(G1593,Liste!$A$7:$G$69,3,FALSE)</f>
        <v>Chêne sessile</v>
      </c>
      <c r="BI1593" s="96" t="str">
        <f>+VLOOKUP(H1593,Liste!$B$7:$G$69,5,FALSE)</f>
        <v>Guide chênaie atlantique</v>
      </c>
      <c r="BJ1593" s="135">
        <f t="shared" si="472"/>
        <v>180</v>
      </c>
      <c r="BK1593" s="135" t="str">
        <f t="shared" si="474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97" t="str">
        <f>+VLOOKUP(G1593,Liste!$A$7:$H$69,8,FALSE)</f>
        <v>Feuillus</v>
      </c>
      <c r="BU1593" s="297">
        <f t="shared" si="475"/>
        <v>1</v>
      </c>
      <c r="BV1593" s="299">
        <f t="shared" si="476"/>
        <v>0</v>
      </c>
      <c r="BW1593" s="318">
        <v>0</v>
      </c>
      <c r="BX1593" s="297">
        <f t="shared" si="477"/>
        <v>0.25</v>
      </c>
      <c r="BY1593">
        <f t="shared" si="478"/>
        <v>0</v>
      </c>
      <c r="BZ1593" s="303">
        <f t="shared" si="479"/>
        <v>0</v>
      </c>
      <c r="CB1593" s="298">
        <v>0.6</v>
      </c>
      <c r="CC1593" s="298">
        <v>0.4</v>
      </c>
      <c r="CD1593">
        <f t="shared" si="480"/>
        <v>0</v>
      </c>
      <c r="CE1593">
        <f t="shared" si="481"/>
        <v>0</v>
      </c>
      <c r="CF1593">
        <f t="shared" si="482"/>
        <v>0</v>
      </c>
      <c r="CG1593">
        <f t="shared" si="483"/>
        <v>0</v>
      </c>
      <c r="CH1593">
        <f t="shared" si="484"/>
        <v>0</v>
      </c>
      <c r="CI1593">
        <f t="shared" si="485"/>
        <v>0</v>
      </c>
      <c r="CJ1593">
        <f t="shared" si="486"/>
        <v>0</v>
      </c>
      <c r="CK1593">
        <f t="shared" si="487"/>
        <v>0</v>
      </c>
      <c r="CL1593">
        <f t="shared" si="488"/>
        <v>0</v>
      </c>
      <c r="CM1593">
        <f t="shared" si="490"/>
        <v>0</v>
      </c>
      <c r="CN1593">
        <f t="shared" si="489"/>
        <v>0</v>
      </c>
      <c r="CO1593">
        <f t="shared" si="473"/>
        <v>0</v>
      </c>
    </row>
    <row r="1594" spans="1:93" hidden="1" x14ac:dyDescent="0.25">
      <c r="A1594" s="4">
        <v>2021</v>
      </c>
      <c r="B1594" s="315">
        <v>44361</v>
      </c>
      <c r="C1594" s="4" t="s">
        <v>66</v>
      </c>
      <c r="D1594" s="4" t="s">
        <v>1523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1503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+VLOOKUP(G1594,Liste!$A$7:$G$69,3,FALSE)</f>
        <v>Chêne sessile</v>
      </c>
      <c r="BI1594" s="96" t="str">
        <f>+VLOOKUP(H1594,Liste!$B$7:$G$69,5,FALSE)</f>
        <v>Guide chênaie atlantique</v>
      </c>
      <c r="BJ1594" s="135">
        <f t="shared" si="472"/>
        <v>183</v>
      </c>
      <c r="BK1594" s="135" t="str">
        <f t="shared" si="474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97" t="str">
        <f>+VLOOKUP(G1594,Liste!$A$7:$H$69,8,FALSE)</f>
        <v>Feuillus</v>
      </c>
      <c r="BU1594" s="297">
        <f t="shared" si="475"/>
        <v>1</v>
      </c>
      <c r="BV1594" s="299">
        <f t="shared" si="476"/>
        <v>0</v>
      </c>
      <c r="BW1594" s="318">
        <v>0</v>
      </c>
      <c r="BX1594" s="297">
        <f t="shared" si="477"/>
        <v>0.25</v>
      </c>
      <c r="BY1594">
        <f t="shared" si="478"/>
        <v>0</v>
      </c>
      <c r="BZ1594" s="303">
        <f t="shared" si="479"/>
        <v>0</v>
      </c>
      <c r="CB1594" s="298">
        <v>0.6</v>
      </c>
      <c r="CC1594" s="298">
        <v>0.4</v>
      </c>
      <c r="CD1594">
        <f t="shared" si="480"/>
        <v>0</v>
      </c>
      <c r="CE1594">
        <f t="shared" si="481"/>
        <v>0</v>
      </c>
      <c r="CF1594">
        <f t="shared" si="482"/>
        <v>0</v>
      </c>
      <c r="CG1594">
        <f t="shared" si="483"/>
        <v>0</v>
      </c>
      <c r="CH1594">
        <f t="shared" si="484"/>
        <v>0</v>
      </c>
      <c r="CI1594">
        <f t="shared" si="485"/>
        <v>0</v>
      </c>
      <c r="CJ1594">
        <f t="shared" si="486"/>
        <v>0</v>
      </c>
      <c r="CK1594">
        <f t="shared" si="487"/>
        <v>0</v>
      </c>
      <c r="CL1594">
        <f t="shared" si="488"/>
        <v>0</v>
      </c>
      <c r="CM1594">
        <f t="shared" si="490"/>
        <v>0</v>
      </c>
      <c r="CN1594">
        <f t="shared" si="489"/>
        <v>0</v>
      </c>
      <c r="CO1594">
        <f t="shared" si="473"/>
        <v>0</v>
      </c>
    </row>
    <row r="1595" spans="1:93" hidden="1" x14ac:dyDescent="0.25">
      <c r="A1595" s="4">
        <v>2021</v>
      </c>
      <c r="B1595" s="315">
        <v>44361</v>
      </c>
      <c r="C1595" s="4" t="s">
        <v>66</v>
      </c>
      <c r="D1595" s="4" t="s">
        <v>1523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1503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+VLOOKUP(G1595,Liste!$A$7:$G$69,3,FALSE)</f>
        <v>Chêne sessile</v>
      </c>
      <c r="BI1595" s="96" t="str">
        <f>+VLOOKUP(H1595,Liste!$B$7:$G$69,5,FALSE)</f>
        <v>Guide chênaie atlantique</v>
      </c>
      <c r="BJ1595" s="135">
        <f t="shared" si="472"/>
        <v>183</v>
      </c>
      <c r="BK1595" s="135" t="str">
        <f t="shared" si="474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97" t="str">
        <f>+VLOOKUP(G1595,Liste!$A$7:$H$69,8,FALSE)</f>
        <v>Feuillus</v>
      </c>
      <c r="BU1595" s="297">
        <f t="shared" si="475"/>
        <v>1</v>
      </c>
      <c r="BV1595" s="299">
        <f t="shared" si="476"/>
        <v>0</v>
      </c>
      <c r="BW1595" s="318">
        <v>0</v>
      </c>
      <c r="BX1595" s="297">
        <f t="shared" si="477"/>
        <v>0.25</v>
      </c>
      <c r="BY1595">
        <f t="shared" si="478"/>
        <v>0</v>
      </c>
      <c r="BZ1595" s="303">
        <f t="shared" si="479"/>
        <v>0</v>
      </c>
      <c r="CB1595" s="298">
        <v>0.6</v>
      </c>
      <c r="CC1595" s="298">
        <v>0.4</v>
      </c>
      <c r="CD1595">
        <f t="shared" si="480"/>
        <v>0</v>
      </c>
      <c r="CE1595">
        <f t="shared" si="481"/>
        <v>0</v>
      </c>
      <c r="CF1595">
        <f t="shared" si="482"/>
        <v>0</v>
      </c>
      <c r="CG1595">
        <f t="shared" si="483"/>
        <v>0</v>
      </c>
      <c r="CH1595">
        <f t="shared" si="484"/>
        <v>0</v>
      </c>
      <c r="CI1595">
        <f t="shared" si="485"/>
        <v>0</v>
      </c>
      <c r="CJ1595">
        <f t="shared" si="486"/>
        <v>0</v>
      </c>
      <c r="CK1595">
        <f t="shared" si="487"/>
        <v>0</v>
      </c>
      <c r="CL1595">
        <f t="shared" si="488"/>
        <v>0</v>
      </c>
      <c r="CM1595">
        <f t="shared" si="490"/>
        <v>0</v>
      </c>
      <c r="CN1595">
        <f t="shared" si="489"/>
        <v>0</v>
      </c>
      <c r="CO1595">
        <f t="shared" si="473"/>
        <v>0</v>
      </c>
    </row>
    <row r="1596" spans="1:93" hidden="1" x14ac:dyDescent="0.25">
      <c r="A1596" s="4">
        <v>2021</v>
      </c>
      <c r="B1596" s="315">
        <v>44372</v>
      </c>
      <c r="C1596" s="4" t="s">
        <v>1522</v>
      </c>
      <c r="D1596" s="4" t="s">
        <v>1523</v>
      </c>
      <c r="F1596" s="4" t="s">
        <v>90</v>
      </c>
      <c r="G1596" s="5" t="s">
        <v>1512</v>
      </c>
      <c r="H1596" s="5" t="s">
        <v>1525</v>
      </c>
      <c r="I1596" s="5" t="s">
        <v>18</v>
      </c>
      <c r="J1596" s="5" t="s">
        <v>10</v>
      </c>
      <c r="K1596" s="5">
        <v>12</v>
      </c>
      <c r="L1596" s="5" t="s">
        <v>1526</v>
      </c>
      <c r="M1596" s="5">
        <v>1100</v>
      </c>
      <c r="N1596" s="5" t="s">
        <v>170</v>
      </c>
      <c r="O1596" s="6" t="s">
        <v>81</v>
      </c>
      <c r="P1596" s="6" t="s">
        <v>1528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6" t="str">
        <f>+VLOOKUP(G1596,Liste!$A$7:$G$69,3,FALSE)</f>
        <v>Pin d'Alep</v>
      </c>
      <c r="BI1596" s="96" t="str">
        <f>+VLOOKUP(H1596,Liste!$B$7:$G$69,5,FALSE)</f>
        <v>Pin d'Alep</v>
      </c>
      <c r="BJ1596" s="135">
        <f t="shared" si="472"/>
        <v>18</v>
      </c>
      <c r="BK1596" s="135" t="str">
        <f t="shared" si="474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97" t="str">
        <f>+VLOOKUP(G1596,Liste!$A$7:$H$69,8,FALSE)</f>
        <v>Résineux</v>
      </c>
      <c r="BU1596" s="297">
        <f t="shared" si="475"/>
        <v>0</v>
      </c>
      <c r="BV1596" s="299">
        <f t="shared" si="476"/>
        <v>1</v>
      </c>
      <c r="BW1596" s="318">
        <v>0</v>
      </c>
      <c r="BX1596" s="297">
        <f t="shared" si="477"/>
        <v>0.43</v>
      </c>
      <c r="BY1596">
        <f t="shared" si="478"/>
        <v>0</v>
      </c>
      <c r="BZ1596" s="303">
        <f t="shared" si="479"/>
        <v>0</v>
      </c>
      <c r="CB1596" s="298">
        <v>0.6</v>
      </c>
      <c r="CC1596" s="298">
        <v>0.4</v>
      </c>
      <c r="CD1596">
        <f t="shared" si="480"/>
        <v>0</v>
      </c>
      <c r="CE1596">
        <f t="shared" si="481"/>
        <v>0</v>
      </c>
      <c r="CF1596">
        <f t="shared" si="482"/>
        <v>0</v>
      </c>
      <c r="CG1596">
        <f t="shared" si="483"/>
        <v>0</v>
      </c>
      <c r="CH1596">
        <f t="shared" si="484"/>
        <v>0</v>
      </c>
      <c r="CI1596">
        <f t="shared" si="485"/>
        <v>0</v>
      </c>
      <c r="CJ1596">
        <f t="shared" si="486"/>
        <v>0</v>
      </c>
      <c r="CK1596">
        <f t="shared" si="487"/>
        <v>0</v>
      </c>
      <c r="CL1596">
        <f t="shared" si="488"/>
        <v>0</v>
      </c>
      <c r="CM1596">
        <f t="shared" si="490"/>
        <v>0</v>
      </c>
      <c r="CN1596">
        <f t="shared" si="489"/>
        <v>0</v>
      </c>
      <c r="CO1596">
        <f t="shared" si="473"/>
        <v>0</v>
      </c>
    </row>
    <row r="1597" spans="1:93" hidden="1" x14ac:dyDescent="0.25">
      <c r="B1597" s="315">
        <v>44372</v>
      </c>
      <c r="C1597" s="4" t="s">
        <v>1522</v>
      </c>
      <c r="D1597" s="4" t="s">
        <v>1523</v>
      </c>
      <c r="F1597" s="4" t="s">
        <v>90</v>
      </c>
      <c r="G1597" s="5" t="s">
        <v>1512</v>
      </c>
      <c r="H1597" s="5" t="s">
        <v>1525</v>
      </c>
      <c r="I1597" s="5" t="s">
        <v>18</v>
      </c>
      <c r="J1597" s="5" t="s">
        <v>10</v>
      </c>
      <c r="K1597" s="5">
        <v>12</v>
      </c>
      <c r="L1597" s="5" t="s">
        <v>1526</v>
      </c>
      <c r="M1597" s="5">
        <v>1100</v>
      </c>
      <c r="N1597" s="5" t="s">
        <v>170</v>
      </c>
      <c r="O1597" s="6" t="s">
        <v>81</v>
      </c>
      <c r="P1597" s="6" t="s">
        <v>1528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6" t="str">
        <f>+VLOOKUP(G1597,Liste!$A$7:$G$69,3,FALSE)</f>
        <v>Pin d'Alep</v>
      </c>
      <c r="BI1597" s="96" t="str">
        <f>+VLOOKUP(H1597,Liste!$B$7:$G$69,5,FALSE)</f>
        <v>Pin d'Alep</v>
      </c>
      <c r="BJ1597" s="135">
        <f t="shared" si="472"/>
        <v>19</v>
      </c>
      <c r="BK1597" s="135" t="str">
        <f t="shared" si="474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97" t="str">
        <f>+VLOOKUP(G1597,Liste!$A$7:$H$69,8,FALSE)</f>
        <v>Résineux</v>
      </c>
      <c r="BU1597" s="297">
        <f t="shared" si="475"/>
        <v>0</v>
      </c>
      <c r="BV1597" s="299">
        <f t="shared" si="476"/>
        <v>1</v>
      </c>
      <c r="BW1597" s="318">
        <v>0</v>
      </c>
      <c r="BX1597" s="297">
        <f t="shared" si="477"/>
        <v>0.43</v>
      </c>
      <c r="BY1597">
        <f>+IF(BJ1597&lt;=30,AV1597*BX1597,0)</f>
        <v>0</v>
      </c>
      <c r="BZ1597" s="303">
        <f t="shared" si="479"/>
        <v>0</v>
      </c>
      <c r="CB1597" s="298">
        <v>0.6</v>
      </c>
      <c r="CC1597" s="298">
        <v>0.4</v>
      </c>
      <c r="CD1597">
        <f t="shared" si="480"/>
        <v>0</v>
      </c>
      <c r="CE1597">
        <f t="shared" si="481"/>
        <v>0</v>
      </c>
      <c r="CF1597">
        <f t="shared" si="482"/>
        <v>0</v>
      </c>
      <c r="CG1597">
        <f t="shared" si="483"/>
        <v>0</v>
      </c>
      <c r="CH1597">
        <f t="shared" si="484"/>
        <v>0</v>
      </c>
      <c r="CI1597">
        <f t="shared" si="485"/>
        <v>0</v>
      </c>
      <c r="CJ1597">
        <f t="shared" si="486"/>
        <v>0</v>
      </c>
      <c r="CK1597">
        <f t="shared" si="487"/>
        <v>0</v>
      </c>
      <c r="CL1597">
        <f t="shared" si="488"/>
        <v>0</v>
      </c>
      <c r="CM1597">
        <f t="shared" si="490"/>
        <v>0</v>
      </c>
      <c r="CN1597">
        <f t="shared" si="489"/>
        <v>0</v>
      </c>
      <c r="CO1597">
        <f t="shared" si="473"/>
        <v>0</v>
      </c>
    </row>
    <row r="1598" spans="1:93" hidden="1" x14ac:dyDescent="0.25">
      <c r="B1598" s="315">
        <v>44372</v>
      </c>
      <c r="C1598" s="4" t="s">
        <v>1522</v>
      </c>
      <c r="D1598" s="4" t="s">
        <v>1523</v>
      </c>
      <c r="F1598" s="4" t="s">
        <v>90</v>
      </c>
      <c r="G1598" s="5" t="s">
        <v>1512</v>
      </c>
      <c r="H1598" s="5" t="s">
        <v>1525</v>
      </c>
      <c r="I1598" s="5" t="s">
        <v>18</v>
      </c>
      <c r="J1598" s="5" t="s">
        <v>10</v>
      </c>
      <c r="K1598" s="5">
        <v>12</v>
      </c>
      <c r="L1598" s="5" t="s">
        <v>1526</v>
      </c>
      <c r="M1598" s="5">
        <v>1100</v>
      </c>
      <c r="N1598" s="5" t="s">
        <v>170</v>
      </c>
      <c r="O1598" s="6" t="s">
        <v>81</v>
      </c>
      <c r="P1598" s="6" t="s">
        <v>1528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6" t="str">
        <f>+VLOOKUP(G1598,Liste!$A$7:$G$69,3,FALSE)</f>
        <v>Pin d'Alep</v>
      </c>
      <c r="BI1598" s="96" t="str">
        <f>+VLOOKUP(H1598,Liste!$B$7:$G$69,5,FALSE)</f>
        <v>Pin d'Alep</v>
      </c>
      <c r="BJ1598" s="135">
        <f t="shared" si="472"/>
        <v>20</v>
      </c>
      <c r="BK1598" s="135" t="str">
        <f t="shared" si="474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97" t="str">
        <f>+VLOOKUP(G1598,Liste!$A$7:$H$69,8,FALSE)</f>
        <v>Résineux</v>
      </c>
      <c r="BU1598" s="297">
        <f t="shared" si="475"/>
        <v>0</v>
      </c>
      <c r="BV1598" s="299">
        <f t="shared" si="476"/>
        <v>1</v>
      </c>
      <c r="BW1598" s="318">
        <v>0</v>
      </c>
      <c r="BX1598" s="297">
        <f t="shared" si="477"/>
        <v>0.43</v>
      </c>
      <c r="BY1598">
        <f t="shared" si="478"/>
        <v>0</v>
      </c>
      <c r="BZ1598" s="303">
        <f t="shared" si="479"/>
        <v>0</v>
      </c>
      <c r="CB1598" s="298">
        <v>0.6</v>
      </c>
      <c r="CC1598" s="298">
        <v>0.4</v>
      </c>
      <c r="CD1598">
        <f t="shared" si="480"/>
        <v>0</v>
      </c>
      <c r="CE1598">
        <f t="shared" si="481"/>
        <v>0</v>
      </c>
      <c r="CF1598">
        <f t="shared" si="482"/>
        <v>0</v>
      </c>
      <c r="CG1598">
        <f t="shared" si="483"/>
        <v>0</v>
      </c>
      <c r="CH1598">
        <f t="shared" si="484"/>
        <v>0</v>
      </c>
      <c r="CI1598">
        <f t="shared" si="485"/>
        <v>0</v>
      </c>
      <c r="CJ1598">
        <f t="shared" si="486"/>
        <v>0</v>
      </c>
      <c r="CK1598">
        <f t="shared" si="487"/>
        <v>0</v>
      </c>
      <c r="CL1598">
        <f t="shared" si="488"/>
        <v>0</v>
      </c>
      <c r="CM1598">
        <f t="shared" si="490"/>
        <v>0</v>
      </c>
      <c r="CN1598">
        <f t="shared" si="489"/>
        <v>0</v>
      </c>
      <c r="CO1598">
        <f t="shared" si="473"/>
        <v>0</v>
      </c>
    </row>
    <row r="1599" spans="1:93" hidden="1" x14ac:dyDescent="0.25">
      <c r="B1599" s="315">
        <v>44372</v>
      </c>
      <c r="C1599" s="4" t="s">
        <v>1522</v>
      </c>
      <c r="D1599" s="4" t="s">
        <v>1523</v>
      </c>
      <c r="F1599" s="4" t="s">
        <v>90</v>
      </c>
      <c r="G1599" s="5" t="s">
        <v>1512</v>
      </c>
      <c r="H1599" s="5" t="s">
        <v>1525</v>
      </c>
      <c r="I1599" s="5" t="s">
        <v>18</v>
      </c>
      <c r="J1599" s="5" t="s">
        <v>10</v>
      </c>
      <c r="K1599" s="5">
        <v>12</v>
      </c>
      <c r="L1599" s="5" t="s">
        <v>1526</v>
      </c>
      <c r="M1599" s="5">
        <v>1100</v>
      </c>
      <c r="N1599" s="5" t="s">
        <v>170</v>
      </c>
      <c r="O1599" s="6" t="s">
        <v>81</v>
      </c>
      <c r="P1599" s="6" t="s">
        <v>1528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6" t="str">
        <f>+VLOOKUP(G1599,Liste!$A$7:$G$69,3,FALSE)</f>
        <v>Pin d'Alep</v>
      </c>
      <c r="BI1599" s="96" t="str">
        <f>+VLOOKUP(H1599,Liste!$B$7:$G$69,5,FALSE)</f>
        <v>Pin d'Alep</v>
      </c>
      <c r="BJ1599" s="135">
        <f t="shared" si="472"/>
        <v>21</v>
      </c>
      <c r="BK1599" s="135" t="str">
        <f t="shared" si="474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97" t="str">
        <f>+VLOOKUP(G1599,Liste!$A$7:$H$69,8,FALSE)</f>
        <v>Résineux</v>
      </c>
      <c r="BU1599" s="297">
        <f t="shared" si="475"/>
        <v>0</v>
      </c>
      <c r="BV1599" s="299">
        <f t="shared" si="476"/>
        <v>1</v>
      </c>
      <c r="BW1599" s="318">
        <v>0</v>
      </c>
      <c r="BX1599" s="297">
        <f t="shared" si="477"/>
        <v>0.43</v>
      </c>
      <c r="BY1599">
        <f t="shared" si="478"/>
        <v>0</v>
      </c>
      <c r="BZ1599" s="303">
        <f t="shared" si="479"/>
        <v>0</v>
      </c>
      <c r="CB1599" s="298">
        <v>0.6</v>
      </c>
      <c r="CC1599" s="298">
        <v>0.4</v>
      </c>
      <c r="CD1599">
        <f t="shared" si="480"/>
        <v>0</v>
      </c>
      <c r="CE1599">
        <f t="shared" si="481"/>
        <v>0</v>
      </c>
      <c r="CF1599">
        <f t="shared" si="482"/>
        <v>0</v>
      </c>
      <c r="CG1599">
        <f t="shared" si="483"/>
        <v>0</v>
      </c>
      <c r="CH1599">
        <f t="shared" si="484"/>
        <v>0</v>
      </c>
      <c r="CI1599">
        <f t="shared" si="485"/>
        <v>0</v>
      </c>
      <c r="CJ1599">
        <f t="shared" si="486"/>
        <v>0</v>
      </c>
      <c r="CK1599">
        <f t="shared" si="487"/>
        <v>0</v>
      </c>
      <c r="CL1599">
        <f t="shared" si="488"/>
        <v>0</v>
      </c>
      <c r="CM1599">
        <f t="shared" si="490"/>
        <v>0</v>
      </c>
      <c r="CN1599">
        <f t="shared" si="489"/>
        <v>0</v>
      </c>
      <c r="CO1599">
        <f t="shared" si="473"/>
        <v>0</v>
      </c>
    </row>
    <row r="1600" spans="1:93" hidden="1" x14ac:dyDescent="0.25">
      <c r="B1600" s="315">
        <v>44372</v>
      </c>
      <c r="C1600" s="4" t="s">
        <v>1522</v>
      </c>
      <c r="D1600" s="4" t="s">
        <v>1523</v>
      </c>
      <c r="F1600" s="4" t="s">
        <v>90</v>
      </c>
      <c r="G1600" s="5" t="s">
        <v>1512</v>
      </c>
      <c r="H1600" s="5" t="s">
        <v>1525</v>
      </c>
      <c r="I1600" s="5" t="s">
        <v>18</v>
      </c>
      <c r="J1600" s="5" t="s">
        <v>10</v>
      </c>
      <c r="K1600" s="5">
        <v>12</v>
      </c>
      <c r="L1600" s="5" t="s">
        <v>1526</v>
      </c>
      <c r="M1600" s="5">
        <v>1100</v>
      </c>
      <c r="N1600" s="5" t="s">
        <v>170</v>
      </c>
      <c r="O1600" s="6" t="s">
        <v>81</v>
      </c>
      <c r="P1600" s="6" t="s">
        <v>1528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6" t="str">
        <f>+VLOOKUP(G1600,Liste!$A$7:$G$69,3,FALSE)</f>
        <v>Pin d'Alep</v>
      </c>
      <c r="BI1600" s="96" t="str">
        <f>+VLOOKUP(H1600,Liste!$B$7:$G$69,5,FALSE)</f>
        <v>Pin d'Alep</v>
      </c>
      <c r="BJ1600" s="135">
        <f t="shared" si="472"/>
        <v>22</v>
      </c>
      <c r="BK1600" s="135" t="str">
        <f t="shared" si="474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97" t="str">
        <f>+VLOOKUP(G1600,Liste!$A$7:$H$69,8,FALSE)</f>
        <v>Résineux</v>
      </c>
      <c r="BU1600" s="297">
        <f t="shared" si="475"/>
        <v>0</v>
      </c>
      <c r="BV1600" s="299">
        <f t="shared" si="476"/>
        <v>1</v>
      </c>
      <c r="BW1600" s="318">
        <v>0</v>
      </c>
      <c r="BX1600" s="297">
        <f t="shared" si="477"/>
        <v>0.43</v>
      </c>
      <c r="BY1600">
        <f t="shared" si="478"/>
        <v>0</v>
      </c>
      <c r="BZ1600" s="303">
        <f t="shared" si="479"/>
        <v>0</v>
      </c>
      <c r="CB1600" s="298">
        <v>0.6</v>
      </c>
      <c r="CC1600" s="298">
        <v>0.4</v>
      </c>
      <c r="CD1600">
        <f t="shared" si="480"/>
        <v>0</v>
      </c>
      <c r="CE1600">
        <f t="shared" si="481"/>
        <v>0</v>
      </c>
      <c r="CF1600">
        <f t="shared" si="482"/>
        <v>0</v>
      </c>
      <c r="CG1600">
        <f t="shared" si="483"/>
        <v>0</v>
      </c>
      <c r="CH1600">
        <f t="shared" si="484"/>
        <v>0</v>
      </c>
      <c r="CI1600">
        <f t="shared" si="485"/>
        <v>0</v>
      </c>
      <c r="CJ1600">
        <f t="shared" si="486"/>
        <v>0</v>
      </c>
      <c r="CK1600">
        <f t="shared" si="487"/>
        <v>0</v>
      </c>
      <c r="CL1600">
        <f t="shared" si="488"/>
        <v>0</v>
      </c>
      <c r="CM1600">
        <f t="shared" si="490"/>
        <v>0</v>
      </c>
      <c r="CN1600">
        <f t="shared" si="489"/>
        <v>0</v>
      </c>
      <c r="CO1600">
        <f t="shared" si="473"/>
        <v>0</v>
      </c>
    </row>
    <row r="1601" spans="2:93" hidden="1" x14ac:dyDescent="0.25">
      <c r="B1601" s="315">
        <v>44372</v>
      </c>
      <c r="C1601" s="4" t="s">
        <v>1522</v>
      </c>
      <c r="D1601" s="4" t="s">
        <v>1523</v>
      </c>
      <c r="F1601" s="4" t="s">
        <v>90</v>
      </c>
      <c r="G1601" s="5" t="s">
        <v>1512</v>
      </c>
      <c r="H1601" s="5" t="s">
        <v>1525</v>
      </c>
      <c r="I1601" s="5" t="s">
        <v>18</v>
      </c>
      <c r="J1601" s="5" t="s">
        <v>10</v>
      </c>
      <c r="K1601" s="5">
        <v>12</v>
      </c>
      <c r="L1601" s="5" t="s">
        <v>1526</v>
      </c>
      <c r="M1601" s="5">
        <v>1100</v>
      </c>
      <c r="N1601" s="5" t="s">
        <v>170</v>
      </c>
      <c r="O1601" s="6" t="s">
        <v>81</v>
      </c>
      <c r="P1601" s="6" t="s">
        <v>1528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6" t="str">
        <f>+VLOOKUP(G1601,Liste!$A$7:$G$69,3,FALSE)</f>
        <v>Pin d'Alep</v>
      </c>
      <c r="BI1601" s="96" t="str">
        <f>+VLOOKUP(H1601,Liste!$B$7:$G$69,5,FALSE)</f>
        <v>Pin d'Alep</v>
      </c>
      <c r="BJ1601" s="135">
        <f t="shared" si="472"/>
        <v>23</v>
      </c>
      <c r="BK1601" s="135" t="str">
        <f t="shared" si="474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97" t="str">
        <f>+VLOOKUP(G1601,Liste!$A$7:$H$69,8,FALSE)</f>
        <v>Résineux</v>
      </c>
      <c r="BU1601" s="297">
        <f t="shared" si="475"/>
        <v>0</v>
      </c>
      <c r="BV1601" s="299">
        <f t="shared" si="476"/>
        <v>1</v>
      </c>
      <c r="BW1601" s="318">
        <v>0</v>
      </c>
      <c r="BX1601" s="297">
        <f t="shared" si="477"/>
        <v>0.43</v>
      </c>
      <c r="BY1601">
        <f t="shared" si="478"/>
        <v>0</v>
      </c>
      <c r="BZ1601" s="303">
        <f t="shared" si="479"/>
        <v>0</v>
      </c>
      <c r="CB1601" s="298">
        <v>0.6</v>
      </c>
      <c r="CC1601" s="298">
        <v>0.4</v>
      </c>
      <c r="CD1601">
        <f t="shared" si="480"/>
        <v>0</v>
      </c>
      <c r="CE1601">
        <f t="shared" si="481"/>
        <v>0</v>
      </c>
      <c r="CF1601">
        <f t="shared" si="482"/>
        <v>0</v>
      </c>
      <c r="CG1601">
        <f t="shared" si="483"/>
        <v>0</v>
      </c>
      <c r="CH1601">
        <f t="shared" si="484"/>
        <v>0</v>
      </c>
      <c r="CI1601">
        <f t="shared" si="485"/>
        <v>0</v>
      </c>
      <c r="CJ1601">
        <f t="shared" si="486"/>
        <v>0</v>
      </c>
      <c r="CK1601">
        <f t="shared" si="487"/>
        <v>0</v>
      </c>
      <c r="CL1601">
        <f t="shared" si="488"/>
        <v>0</v>
      </c>
      <c r="CM1601">
        <f t="shared" si="490"/>
        <v>0</v>
      </c>
      <c r="CN1601">
        <f t="shared" si="489"/>
        <v>0</v>
      </c>
      <c r="CO1601">
        <f t="shared" si="473"/>
        <v>0</v>
      </c>
    </row>
    <row r="1602" spans="2:93" hidden="1" x14ac:dyDescent="0.25">
      <c r="B1602" s="315">
        <v>44372</v>
      </c>
      <c r="C1602" s="4" t="s">
        <v>1522</v>
      </c>
      <c r="D1602" s="4" t="s">
        <v>1523</v>
      </c>
      <c r="F1602" s="4" t="s">
        <v>90</v>
      </c>
      <c r="G1602" s="5" t="s">
        <v>1512</v>
      </c>
      <c r="H1602" s="5" t="s">
        <v>1525</v>
      </c>
      <c r="I1602" s="5" t="s">
        <v>18</v>
      </c>
      <c r="J1602" s="5" t="s">
        <v>10</v>
      </c>
      <c r="K1602" s="5">
        <v>12</v>
      </c>
      <c r="L1602" s="5" t="s">
        <v>1526</v>
      </c>
      <c r="M1602" s="5">
        <v>1100</v>
      </c>
      <c r="N1602" s="5" t="s">
        <v>170</v>
      </c>
      <c r="O1602" s="6" t="s">
        <v>81</v>
      </c>
      <c r="P1602" s="6" t="s">
        <v>1528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6" t="str">
        <f>+VLOOKUP(G1602,Liste!$A$7:$G$69,3,FALSE)</f>
        <v>Pin d'Alep</v>
      </c>
      <c r="BI1602" s="96" t="str">
        <f>+VLOOKUP(H1602,Liste!$B$7:$G$69,5,FALSE)</f>
        <v>Pin d'Alep</v>
      </c>
      <c r="BJ1602" s="135">
        <f t="shared" si="472"/>
        <v>24</v>
      </c>
      <c r="BK1602" s="135" t="str">
        <f t="shared" si="474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97" t="str">
        <f>+VLOOKUP(G1602,Liste!$A$7:$H$69,8,FALSE)</f>
        <v>Résineux</v>
      </c>
      <c r="BU1602" s="297">
        <f t="shared" si="475"/>
        <v>0</v>
      </c>
      <c r="BV1602" s="299">
        <f t="shared" si="476"/>
        <v>1</v>
      </c>
      <c r="BW1602" s="318">
        <v>0</v>
      </c>
      <c r="BX1602" s="297">
        <f t="shared" si="477"/>
        <v>0.43</v>
      </c>
      <c r="BY1602">
        <f t="shared" si="478"/>
        <v>0</v>
      </c>
      <c r="BZ1602" s="303">
        <f t="shared" si="479"/>
        <v>0</v>
      </c>
      <c r="CB1602" s="298">
        <v>0.6</v>
      </c>
      <c r="CC1602" s="298">
        <v>0.4</v>
      </c>
      <c r="CD1602">
        <f t="shared" si="480"/>
        <v>0</v>
      </c>
      <c r="CE1602">
        <f t="shared" si="481"/>
        <v>0</v>
      </c>
      <c r="CF1602">
        <f t="shared" si="482"/>
        <v>0</v>
      </c>
      <c r="CG1602">
        <f t="shared" si="483"/>
        <v>0</v>
      </c>
      <c r="CH1602">
        <f t="shared" si="484"/>
        <v>0</v>
      </c>
      <c r="CI1602">
        <f t="shared" si="485"/>
        <v>0</v>
      </c>
      <c r="CJ1602">
        <f t="shared" si="486"/>
        <v>0</v>
      </c>
      <c r="CK1602">
        <f t="shared" si="487"/>
        <v>0</v>
      </c>
      <c r="CL1602">
        <f t="shared" si="488"/>
        <v>0</v>
      </c>
      <c r="CM1602">
        <f t="shared" si="490"/>
        <v>0</v>
      </c>
      <c r="CN1602">
        <f t="shared" si="489"/>
        <v>0</v>
      </c>
      <c r="CO1602">
        <f t="shared" si="473"/>
        <v>0</v>
      </c>
    </row>
    <row r="1603" spans="2:93" hidden="1" x14ac:dyDescent="0.25">
      <c r="B1603" s="315">
        <v>44372</v>
      </c>
      <c r="C1603" s="4" t="s">
        <v>1522</v>
      </c>
      <c r="D1603" s="4" t="s">
        <v>1523</v>
      </c>
      <c r="F1603" s="4" t="s">
        <v>90</v>
      </c>
      <c r="G1603" s="5" t="s">
        <v>1512</v>
      </c>
      <c r="H1603" s="5" t="s">
        <v>1525</v>
      </c>
      <c r="I1603" s="5" t="s">
        <v>18</v>
      </c>
      <c r="J1603" s="5" t="s">
        <v>10</v>
      </c>
      <c r="K1603" s="5">
        <v>12</v>
      </c>
      <c r="L1603" s="5" t="s">
        <v>1526</v>
      </c>
      <c r="M1603" s="5">
        <v>1100</v>
      </c>
      <c r="N1603" s="5" t="s">
        <v>170</v>
      </c>
      <c r="O1603" s="6" t="s">
        <v>81</v>
      </c>
      <c r="P1603" s="6" t="s">
        <v>1528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6" t="str">
        <f>+VLOOKUP(G1603,Liste!$A$7:$G$69,3,FALSE)</f>
        <v>Pin d'Alep</v>
      </c>
      <c r="BI1603" s="96" t="str">
        <f>+VLOOKUP(H1603,Liste!$B$7:$G$69,5,FALSE)</f>
        <v>Pin d'Alep</v>
      </c>
      <c r="BJ1603" s="135">
        <f t="shared" ref="BJ1603:BJ1666" si="491">+AC1603</f>
        <v>25</v>
      </c>
      <c r="BK1603" s="135" t="str">
        <f t="shared" si="474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97" t="str">
        <f>+VLOOKUP(G1603,Liste!$A$7:$H$69,8,FALSE)</f>
        <v>Résineux</v>
      </c>
      <c r="BU1603" s="297">
        <f t="shared" si="475"/>
        <v>0</v>
      </c>
      <c r="BV1603" s="299">
        <f t="shared" si="476"/>
        <v>1</v>
      </c>
      <c r="BW1603" s="318">
        <v>0</v>
      </c>
      <c r="BX1603" s="297">
        <f t="shared" si="477"/>
        <v>0.43</v>
      </c>
      <c r="BY1603">
        <f t="shared" si="478"/>
        <v>0</v>
      </c>
      <c r="BZ1603" s="303">
        <f t="shared" si="479"/>
        <v>0</v>
      </c>
      <c r="CB1603" s="298">
        <v>0.6</v>
      </c>
      <c r="CC1603" s="298">
        <v>0.4</v>
      </c>
      <c r="CD1603">
        <f t="shared" si="480"/>
        <v>0</v>
      </c>
      <c r="CE1603">
        <f t="shared" si="481"/>
        <v>0</v>
      </c>
      <c r="CF1603">
        <f t="shared" si="482"/>
        <v>0</v>
      </c>
      <c r="CG1603">
        <f t="shared" si="483"/>
        <v>0</v>
      </c>
      <c r="CH1603">
        <f t="shared" si="484"/>
        <v>0</v>
      </c>
      <c r="CI1603">
        <f t="shared" si="485"/>
        <v>0</v>
      </c>
      <c r="CJ1603">
        <f t="shared" si="486"/>
        <v>0</v>
      </c>
      <c r="CK1603">
        <f t="shared" si="487"/>
        <v>0</v>
      </c>
      <c r="CL1603">
        <f t="shared" si="488"/>
        <v>0</v>
      </c>
      <c r="CM1603">
        <f t="shared" si="490"/>
        <v>0</v>
      </c>
      <c r="CN1603">
        <f t="shared" si="489"/>
        <v>0</v>
      </c>
      <c r="CO1603">
        <f t="shared" ref="CO1603:CO1666" si="492">+IF(BJ1603=30,CN1603/30,0)</f>
        <v>0</v>
      </c>
    </row>
    <row r="1604" spans="2:93" hidden="1" x14ac:dyDescent="0.25">
      <c r="B1604" s="315">
        <v>44372</v>
      </c>
      <c r="C1604" s="4" t="s">
        <v>1522</v>
      </c>
      <c r="D1604" s="4" t="s">
        <v>1523</v>
      </c>
      <c r="F1604" s="4" t="s">
        <v>90</v>
      </c>
      <c r="G1604" s="5" t="s">
        <v>1512</v>
      </c>
      <c r="H1604" s="5" t="s">
        <v>1525</v>
      </c>
      <c r="I1604" s="5" t="s">
        <v>18</v>
      </c>
      <c r="J1604" s="5" t="s">
        <v>10</v>
      </c>
      <c r="K1604" s="5">
        <v>12</v>
      </c>
      <c r="L1604" s="5" t="s">
        <v>1526</v>
      </c>
      <c r="M1604" s="5">
        <v>1100</v>
      </c>
      <c r="N1604" s="5" t="s">
        <v>170</v>
      </c>
      <c r="O1604" s="6" t="s">
        <v>81</v>
      </c>
      <c r="P1604" s="6" t="s">
        <v>1528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6" t="str">
        <f>+VLOOKUP(G1604,Liste!$A$7:$G$69,3,FALSE)</f>
        <v>Pin d'Alep</v>
      </c>
      <c r="BI1604" s="96" t="str">
        <f>+VLOOKUP(H1604,Liste!$B$7:$G$69,5,FALSE)</f>
        <v>Pin d'Alep</v>
      </c>
      <c r="BJ1604" s="135">
        <f t="shared" si="491"/>
        <v>26</v>
      </c>
      <c r="BK1604" s="135" t="str">
        <f t="shared" ref="BK1604:BK1667" si="493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97" t="str">
        <f>+VLOOKUP(G1604,Liste!$A$7:$H$69,8,FALSE)</f>
        <v>Résineux</v>
      </c>
      <c r="BU1604" s="297">
        <f t="shared" ref="BU1604:BU1667" si="494">IF(BT1604="Résineux",0%,100%)</f>
        <v>0</v>
      </c>
      <c r="BV1604" s="299">
        <f t="shared" ref="BV1604:BV1667" si="495">+IF(BT1604="Résineux",100%,0%)</f>
        <v>1</v>
      </c>
      <c r="BW1604" s="318">
        <v>0</v>
      </c>
      <c r="BX1604" s="297">
        <f t="shared" ref="BX1604:BX1667" si="496">+IF(BV1604&lt;&gt;0,0.43,0.25)</f>
        <v>0.43</v>
      </c>
      <c r="BY1604">
        <f t="shared" ref="BY1604:BY1667" si="497">+IF(BJ1604&lt;=30,AV1604*BX1604,0)</f>
        <v>0</v>
      </c>
      <c r="BZ1604" s="303">
        <f t="shared" ref="BZ1604:BZ1667" si="498">+IF(BJ1604&gt;=31,0,BY1604+BZ1603)</f>
        <v>0</v>
      </c>
      <c r="CB1604" s="298">
        <v>0.6</v>
      </c>
      <c r="CC1604" s="298">
        <v>0.4</v>
      </c>
      <c r="CD1604">
        <f t="shared" ref="CD1604:CD1667" si="499">+IF(BJ1604&lt;=31,AV1604*CA1604*0.5,0)</f>
        <v>0</v>
      </c>
      <c r="CE1604">
        <f t="shared" ref="CE1604:CE1667" si="500">IF(BJ1604&lt;=31,AV1604*CB1604,0)</f>
        <v>0</v>
      </c>
      <c r="CF1604">
        <f t="shared" ref="CF1604:CF1667" si="501">IF(BJ1604&lt;=31,AV1604*CC1604,0)</f>
        <v>0</v>
      </c>
      <c r="CG1604">
        <f t="shared" ref="CG1604:CG1667" si="502">CD1604*44/12*0.475*BF1604</f>
        <v>0</v>
      </c>
      <c r="CH1604">
        <f t="shared" ref="CH1604:CH1667" si="503">CE1604*44/12*0.475*BF1604</f>
        <v>0</v>
      </c>
      <c r="CI1604">
        <f t="shared" ref="CI1604:CI1667" si="504">CF1604*44/12*0.475*BF1604</f>
        <v>0</v>
      </c>
      <c r="CJ1604">
        <f t="shared" ref="CJ1604:CJ1667" si="505">+IF(BJ1604&lt;=31,CJ1603*EXP(-$CJ$1)+CG1603*(1-EXP(-$CJ$1))/$CJ$1,0)</f>
        <v>0</v>
      </c>
      <c r="CK1604">
        <f t="shared" ref="CK1604:CK1667" si="506">+IF(BJ1604&lt;=31,CK1603*EXP(-$CK$1)+CH1603*(1-EXP(-$CK$1))/$CK$1,0)</f>
        <v>0</v>
      </c>
      <c r="CL1604">
        <f t="shared" ref="CL1604:CL1667" si="507">+IF(BJ1604&lt;=31,CL1603*EXP(-$CL$1)+CI1603*(1-EXP(-$CL$1))/$CL$1,0)</f>
        <v>0</v>
      </c>
      <c r="CM1604">
        <f t="shared" si="490"/>
        <v>0</v>
      </c>
      <c r="CN1604">
        <f t="shared" ref="CN1604:CN1667" si="508">+IF(BJ1604&lt;=31,CM1604+CN1603,0)</f>
        <v>0</v>
      </c>
      <c r="CO1604">
        <f t="shared" si="492"/>
        <v>0</v>
      </c>
    </row>
    <row r="1605" spans="2:93" hidden="1" x14ac:dyDescent="0.25">
      <c r="B1605" s="315">
        <v>44372</v>
      </c>
      <c r="C1605" s="4" t="s">
        <v>1522</v>
      </c>
      <c r="D1605" s="4" t="s">
        <v>1523</v>
      </c>
      <c r="F1605" s="4" t="s">
        <v>90</v>
      </c>
      <c r="G1605" s="5" t="s">
        <v>1512</v>
      </c>
      <c r="H1605" s="5" t="s">
        <v>1525</v>
      </c>
      <c r="I1605" s="5" t="s">
        <v>18</v>
      </c>
      <c r="J1605" s="5" t="s">
        <v>10</v>
      </c>
      <c r="K1605" s="5">
        <v>12</v>
      </c>
      <c r="L1605" s="5" t="s">
        <v>1526</v>
      </c>
      <c r="M1605" s="5">
        <v>1100</v>
      </c>
      <c r="N1605" s="5" t="s">
        <v>170</v>
      </c>
      <c r="O1605" s="6" t="s">
        <v>81</v>
      </c>
      <c r="P1605" s="6" t="s">
        <v>1528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6" t="str">
        <f>+VLOOKUP(G1605,Liste!$A$7:$G$69,3,FALSE)</f>
        <v>Pin d'Alep</v>
      </c>
      <c r="BI1605" s="96" t="str">
        <f>+VLOOKUP(H1605,Liste!$B$7:$G$69,5,FALSE)</f>
        <v>Pin d'Alep</v>
      </c>
      <c r="BJ1605" s="135">
        <f t="shared" si="491"/>
        <v>27</v>
      </c>
      <c r="BK1605" s="135" t="str">
        <f t="shared" si="493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97" t="str">
        <f>+VLOOKUP(G1605,Liste!$A$7:$H$69,8,FALSE)</f>
        <v>Résineux</v>
      </c>
      <c r="BU1605" s="297">
        <f t="shared" si="494"/>
        <v>0</v>
      </c>
      <c r="BV1605" s="299">
        <f t="shared" si="495"/>
        <v>1</v>
      </c>
      <c r="BW1605" s="318">
        <v>0</v>
      </c>
      <c r="BX1605" s="297">
        <f t="shared" si="496"/>
        <v>0.43</v>
      </c>
      <c r="BY1605">
        <f t="shared" si="497"/>
        <v>0</v>
      </c>
      <c r="BZ1605" s="303">
        <f t="shared" si="498"/>
        <v>0</v>
      </c>
      <c r="CB1605" s="298">
        <v>0.6</v>
      </c>
      <c r="CC1605" s="298">
        <v>0.4</v>
      </c>
      <c r="CD1605">
        <f t="shared" si="499"/>
        <v>0</v>
      </c>
      <c r="CE1605">
        <f t="shared" si="500"/>
        <v>0</v>
      </c>
      <c r="CF1605">
        <f t="shared" si="501"/>
        <v>0</v>
      </c>
      <c r="CG1605">
        <f t="shared" si="502"/>
        <v>0</v>
      </c>
      <c r="CH1605">
        <f t="shared" si="503"/>
        <v>0</v>
      </c>
      <c r="CI1605">
        <f t="shared" si="504"/>
        <v>0</v>
      </c>
      <c r="CJ1605">
        <f t="shared" si="505"/>
        <v>0</v>
      </c>
      <c r="CK1605">
        <f t="shared" si="506"/>
        <v>0</v>
      </c>
      <c r="CL1605">
        <f t="shared" si="507"/>
        <v>0</v>
      </c>
      <c r="CM1605">
        <f t="shared" ref="CM1605:CM1668" si="509">+CJ1605+CK1605+CL1605</f>
        <v>0</v>
      </c>
      <c r="CN1605">
        <f t="shared" si="508"/>
        <v>0</v>
      </c>
      <c r="CO1605">
        <f t="shared" si="492"/>
        <v>0</v>
      </c>
    </row>
    <row r="1606" spans="2:93" hidden="1" x14ac:dyDescent="0.25">
      <c r="B1606" s="315">
        <v>44372</v>
      </c>
      <c r="C1606" s="4" t="s">
        <v>1522</v>
      </c>
      <c r="D1606" s="4" t="s">
        <v>1523</v>
      </c>
      <c r="F1606" s="4" t="s">
        <v>90</v>
      </c>
      <c r="G1606" s="5" t="s">
        <v>1512</v>
      </c>
      <c r="H1606" s="5" t="s">
        <v>1525</v>
      </c>
      <c r="I1606" s="5" t="s">
        <v>18</v>
      </c>
      <c r="J1606" s="5" t="s">
        <v>10</v>
      </c>
      <c r="K1606" s="5">
        <v>12</v>
      </c>
      <c r="L1606" s="5" t="s">
        <v>1526</v>
      </c>
      <c r="M1606" s="5">
        <v>1100</v>
      </c>
      <c r="N1606" s="5" t="s">
        <v>170</v>
      </c>
      <c r="O1606" s="6" t="s">
        <v>81</v>
      </c>
      <c r="P1606" s="6" t="s">
        <v>1528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6" t="str">
        <f>+VLOOKUP(G1606,Liste!$A$7:$G$69,3,FALSE)</f>
        <v>Pin d'Alep</v>
      </c>
      <c r="BI1606" s="96" t="str">
        <f>+VLOOKUP(H1606,Liste!$B$7:$G$69,5,FALSE)</f>
        <v>Pin d'Alep</v>
      </c>
      <c r="BJ1606" s="135">
        <f t="shared" si="491"/>
        <v>28</v>
      </c>
      <c r="BK1606" s="135" t="str">
        <f t="shared" si="493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97" t="str">
        <f>+VLOOKUP(G1606,Liste!$A$7:$H$69,8,FALSE)</f>
        <v>Résineux</v>
      </c>
      <c r="BU1606" s="297">
        <f t="shared" si="494"/>
        <v>0</v>
      </c>
      <c r="BV1606" s="299">
        <f t="shared" si="495"/>
        <v>1</v>
      </c>
      <c r="BW1606" s="318">
        <v>0</v>
      </c>
      <c r="BX1606" s="297">
        <f t="shared" si="496"/>
        <v>0.43</v>
      </c>
      <c r="BY1606">
        <f t="shared" si="497"/>
        <v>0</v>
      </c>
      <c r="BZ1606" s="303">
        <f t="shared" si="498"/>
        <v>0</v>
      </c>
      <c r="CB1606" s="298">
        <v>0.6</v>
      </c>
      <c r="CC1606" s="298">
        <v>0.4</v>
      </c>
      <c r="CD1606">
        <f t="shared" si="499"/>
        <v>0</v>
      </c>
      <c r="CE1606">
        <f t="shared" si="500"/>
        <v>0</v>
      </c>
      <c r="CF1606">
        <f t="shared" si="501"/>
        <v>0</v>
      </c>
      <c r="CG1606">
        <f t="shared" si="502"/>
        <v>0</v>
      </c>
      <c r="CH1606">
        <f t="shared" si="503"/>
        <v>0</v>
      </c>
      <c r="CI1606">
        <f t="shared" si="504"/>
        <v>0</v>
      </c>
      <c r="CJ1606">
        <f t="shared" si="505"/>
        <v>0</v>
      </c>
      <c r="CK1606">
        <f t="shared" si="506"/>
        <v>0</v>
      </c>
      <c r="CL1606">
        <f t="shared" si="507"/>
        <v>0</v>
      </c>
      <c r="CM1606">
        <f t="shared" si="509"/>
        <v>0</v>
      </c>
      <c r="CN1606">
        <f t="shared" si="508"/>
        <v>0</v>
      </c>
      <c r="CO1606">
        <f t="shared" si="492"/>
        <v>0</v>
      </c>
    </row>
    <row r="1607" spans="2:93" hidden="1" x14ac:dyDescent="0.25">
      <c r="B1607" s="315">
        <v>44372</v>
      </c>
      <c r="C1607" s="4" t="s">
        <v>1522</v>
      </c>
      <c r="D1607" s="4" t="s">
        <v>1523</v>
      </c>
      <c r="F1607" s="4" t="s">
        <v>90</v>
      </c>
      <c r="G1607" s="5" t="s">
        <v>1512</v>
      </c>
      <c r="H1607" s="5" t="s">
        <v>1525</v>
      </c>
      <c r="I1607" s="5" t="s">
        <v>18</v>
      </c>
      <c r="J1607" s="5" t="s">
        <v>10</v>
      </c>
      <c r="K1607" s="5">
        <v>12</v>
      </c>
      <c r="L1607" s="5" t="s">
        <v>1526</v>
      </c>
      <c r="M1607" s="5">
        <v>1100</v>
      </c>
      <c r="N1607" s="5" t="s">
        <v>170</v>
      </c>
      <c r="O1607" s="6" t="s">
        <v>81</v>
      </c>
      <c r="P1607" s="6" t="s">
        <v>1528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6" t="str">
        <f>+VLOOKUP(G1607,Liste!$A$7:$G$69,3,FALSE)</f>
        <v>Pin d'Alep</v>
      </c>
      <c r="BI1607" s="96" t="str">
        <f>+VLOOKUP(H1607,Liste!$B$7:$G$69,5,FALSE)</f>
        <v>Pin d'Alep</v>
      </c>
      <c r="BJ1607" s="135">
        <f t="shared" si="491"/>
        <v>29</v>
      </c>
      <c r="BK1607" s="135" t="str">
        <f t="shared" si="493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97" t="str">
        <f>+VLOOKUP(G1607,Liste!$A$7:$H$69,8,FALSE)</f>
        <v>Résineux</v>
      </c>
      <c r="BU1607" s="297">
        <f t="shared" si="494"/>
        <v>0</v>
      </c>
      <c r="BV1607" s="299">
        <f t="shared" si="495"/>
        <v>1</v>
      </c>
      <c r="BW1607" s="318">
        <v>0</v>
      </c>
      <c r="BX1607" s="297">
        <f t="shared" si="496"/>
        <v>0.43</v>
      </c>
      <c r="BY1607">
        <f t="shared" si="497"/>
        <v>0</v>
      </c>
      <c r="BZ1607" s="303">
        <f t="shared" si="498"/>
        <v>0</v>
      </c>
      <c r="CB1607" s="298">
        <v>0.6</v>
      </c>
      <c r="CC1607" s="298">
        <v>0.4</v>
      </c>
      <c r="CD1607">
        <f t="shared" si="499"/>
        <v>0</v>
      </c>
      <c r="CE1607">
        <f t="shared" si="500"/>
        <v>0</v>
      </c>
      <c r="CF1607">
        <f t="shared" si="501"/>
        <v>0</v>
      </c>
      <c r="CG1607">
        <f t="shared" si="502"/>
        <v>0</v>
      </c>
      <c r="CH1607">
        <f t="shared" si="503"/>
        <v>0</v>
      </c>
      <c r="CI1607">
        <f t="shared" si="504"/>
        <v>0</v>
      </c>
      <c r="CJ1607">
        <f t="shared" si="505"/>
        <v>0</v>
      </c>
      <c r="CK1607">
        <f t="shared" si="506"/>
        <v>0</v>
      </c>
      <c r="CL1607">
        <f t="shared" si="507"/>
        <v>0</v>
      </c>
      <c r="CM1607">
        <f t="shared" si="509"/>
        <v>0</v>
      </c>
      <c r="CN1607">
        <f t="shared" si="508"/>
        <v>0</v>
      </c>
      <c r="CO1607">
        <f t="shared" si="492"/>
        <v>0</v>
      </c>
    </row>
    <row r="1608" spans="2:93" hidden="1" x14ac:dyDescent="0.25">
      <c r="B1608" s="315">
        <v>44372</v>
      </c>
      <c r="C1608" s="4" t="s">
        <v>1522</v>
      </c>
      <c r="D1608" s="4" t="s">
        <v>1523</v>
      </c>
      <c r="F1608" s="4" t="s">
        <v>90</v>
      </c>
      <c r="G1608" s="5" t="s">
        <v>1512</v>
      </c>
      <c r="H1608" s="5" t="s">
        <v>1525</v>
      </c>
      <c r="I1608" s="5" t="s">
        <v>18</v>
      </c>
      <c r="J1608" s="5" t="s">
        <v>10</v>
      </c>
      <c r="K1608" s="5">
        <v>12</v>
      </c>
      <c r="L1608" s="5" t="s">
        <v>1526</v>
      </c>
      <c r="M1608" s="5">
        <v>1100</v>
      </c>
      <c r="N1608" s="5" t="s">
        <v>170</v>
      </c>
      <c r="O1608" s="6" t="s">
        <v>81</v>
      </c>
      <c r="P1608" s="6" t="s">
        <v>1528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6" t="str">
        <f>+VLOOKUP(G1608,Liste!$A$7:$G$69,3,FALSE)</f>
        <v>Pin d'Alep</v>
      </c>
      <c r="BI1608" s="96" t="str">
        <f>+VLOOKUP(H1608,Liste!$B$7:$G$69,5,FALSE)</f>
        <v>Pin d'Alep</v>
      </c>
      <c r="BJ1608" s="135">
        <f t="shared" si="491"/>
        <v>30</v>
      </c>
      <c r="BK1608" s="135" t="str">
        <f t="shared" si="493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97" t="str">
        <f>+VLOOKUP(G1608,Liste!$A$7:$H$69,8,FALSE)</f>
        <v>Résineux</v>
      </c>
      <c r="BU1608" s="297">
        <f t="shared" si="494"/>
        <v>0</v>
      </c>
      <c r="BV1608" s="299">
        <f t="shared" si="495"/>
        <v>1</v>
      </c>
      <c r="BW1608" s="318">
        <v>0</v>
      </c>
      <c r="BX1608" s="297">
        <f t="shared" si="496"/>
        <v>0.43</v>
      </c>
      <c r="BY1608">
        <f t="shared" si="497"/>
        <v>0</v>
      </c>
      <c r="BZ1608" s="303">
        <f t="shared" si="498"/>
        <v>0</v>
      </c>
      <c r="CB1608" s="298">
        <v>0.6</v>
      </c>
      <c r="CC1608" s="298">
        <v>0.4</v>
      </c>
      <c r="CD1608">
        <f t="shared" si="499"/>
        <v>0</v>
      </c>
      <c r="CE1608">
        <f t="shared" si="500"/>
        <v>0</v>
      </c>
      <c r="CF1608">
        <f t="shared" si="501"/>
        <v>0</v>
      </c>
      <c r="CG1608">
        <f t="shared" si="502"/>
        <v>0</v>
      </c>
      <c r="CH1608">
        <f t="shared" si="503"/>
        <v>0</v>
      </c>
      <c r="CI1608">
        <f t="shared" si="504"/>
        <v>0</v>
      </c>
      <c r="CJ1608">
        <f t="shared" si="505"/>
        <v>0</v>
      </c>
      <c r="CK1608">
        <f t="shared" si="506"/>
        <v>0</v>
      </c>
      <c r="CL1608">
        <f t="shared" si="507"/>
        <v>0</v>
      </c>
      <c r="CM1608">
        <f t="shared" si="509"/>
        <v>0</v>
      </c>
      <c r="CN1608">
        <f t="shared" si="508"/>
        <v>0</v>
      </c>
      <c r="CO1608">
        <f t="shared" si="492"/>
        <v>0</v>
      </c>
    </row>
    <row r="1609" spans="2:93" hidden="1" x14ac:dyDescent="0.25">
      <c r="B1609" s="315">
        <v>44372</v>
      </c>
      <c r="C1609" s="4" t="s">
        <v>1522</v>
      </c>
      <c r="D1609" s="4" t="s">
        <v>1523</v>
      </c>
      <c r="F1609" s="4" t="s">
        <v>90</v>
      </c>
      <c r="G1609" s="5" t="s">
        <v>1512</v>
      </c>
      <c r="H1609" s="5" t="s">
        <v>1525</v>
      </c>
      <c r="I1609" s="5" t="s">
        <v>18</v>
      </c>
      <c r="J1609" s="5" t="s">
        <v>10</v>
      </c>
      <c r="K1609" s="5">
        <v>12</v>
      </c>
      <c r="L1609" s="5" t="s">
        <v>1526</v>
      </c>
      <c r="M1609" s="5">
        <v>1100</v>
      </c>
      <c r="N1609" s="5" t="s">
        <v>170</v>
      </c>
      <c r="O1609" s="6" t="s">
        <v>81</v>
      </c>
      <c r="P1609" s="6" t="s">
        <v>1528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6" t="str">
        <f>+VLOOKUP(G1609,Liste!$A$7:$G$69,3,FALSE)</f>
        <v>Pin d'Alep</v>
      </c>
      <c r="BI1609" s="96" t="str">
        <f>+VLOOKUP(H1609,Liste!$B$7:$G$69,5,FALSE)</f>
        <v>Pin d'Alep</v>
      </c>
      <c r="BJ1609" s="135">
        <f t="shared" si="491"/>
        <v>31</v>
      </c>
      <c r="BK1609" s="135" t="str">
        <f t="shared" si="493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97" t="str">
        <f>+VLOOKUP(G1609,Liste!$A$7:$H$69,8,FALSE)</f>
        <v>Résineux</v>
      </c>
      <c r="BU1609" s="297">
        <f t="shared" si="494"/>
        <v>0</v>
      </c>
      <c r="BV1609" s="299">
        <f t="shared" si="495"/>
        <v>1</v>
      </c>
      <c r="BW1609" s="318">
        <v>0</v>
      </c>
      <c r="BX1609" s="297">
        <f t="shared" si="496"/>
        <v>0.43</v>
      </c>
      <c r="BY1609">
        <f t="shared" si="497"/>
        <v>0</v>
      </c>
      <c r="BZ1609" s="303">
        <f t="shared" si="498"/>
        <v>0</v>
      </c>
      <c r="CB1609" s="298">
        <v>0.6</v>
      </c>
      <c r="CC1609" s="298">
        <v>0.4</v>
      </c>
      <c r="CD1609">
        <f t="shared" si="499"/>
        <v>0</v>
      </c>
      <c r="CE1609">
        <f t="shared" si="500"/>
        <v>0</v>
      </c>
      <c r="CF1609">
        <f t="shared" si="501"/>
        <v>0</v>
      </c>
      <c r="CG1609">
        <f t="shared" si="502"/>
        <v>0</v>
      </c>
      <c r="CH1609">
        <f t="shared" si="503"/>
        <v>0</v>
      </c>
      <c r="CI1609">
        <f t="shared" si="504"/>
        <v>0</v>
      </c>
      <c r="CJ1609">
        <f t="shared" si="505"/>
        <v>0</v>
      </c>
      <c r="CK1609">
        <f t="shared" si="506"/>
        <v>0</v>
      </c>
      <c r="CL1609">
        <f t="shared" si="507"/>
        <v>0</v>
      </c>
      <c r="CM1609">
        <f t="shared" si="509"/>
        <v>0</v>
      </c>
      <c r="CN1609">
        <f t="shared" si="508"/>
        <v>0</v>
      </c>
      <c r="CO1609">
        <f t="shared" si="492"/>
        <v>0</v>
      </c>
    </row>
    <row r="1610" spans="2:93" hidden="1" x14ac:dyDescent="0.25">
      <c r="B1610" s="315">
        <v>44372</v>
      </c>
      <c r="C1610" s="4" t="s">
        <v>1522</v>
      </c>
      <c r="D1610" s="4" t="s">
        <v>1523</v>
      </c>
      <c r="F1610" s="4" t="s">
        <v>90</v>
      </c>
      <c r="G1610" s="5" t="s">
        <v>1512</v>
      </c>
      <c r="H1610" s="5" t="s">
        <v>1525</v>
      </c>
      <c r="I1610" s="5" t="s">
        <v>18</v>
      </c>
      <c r="J1610" s="5" t="s">
        <v>10</v>
      </c>
      <c r="K1610" s="5">
        <v>12</v>
      </c>
      <c r="L1610" s="5" t="s">
        <v>1526</v>
      </c>
      <c r="M1610" s="5">
        <v>1100</v>
      </c>
      <c r="N1610" s="5" t="s">
        <v>170</v>
      </c>
      <c r="O1610" s="6" t="s">
        <v>81</v>
      </c>
      <c r="P1610" s="6" t="s">
        <v>1528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6" t="str">
        <f>+VLOOKUP(G1610,Liste!$A$7:$G$69,3,FALSE)</f>
        <v>Pin d'Alep</v>
      </c>
      <c r="BI1610" s="96" t="str">
        <f>+VLOOKUP(H1610,Liste!$B$7:$G$69,5,FALSE)</f>
        <v>Pin d'Alep</v>
      </c>
      <c r="BJ1610" s="135">
        <f t="shared" si="491"/>
        <v>32</v>
      </c>
      <c r="BK1610" s="135" t="str">
        <f t="shared" si="493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97" t="str">
        <f>+VLOOKUP(G1610,Liste!$A$7:$H$69,8,FALSE)</f>
        <v>Résineux</v>
      </c>
      <c r="BU1610" s="297">
        <f t="shared" si="494"/>
        <v>0</v>
      </c>
      <c r="BV1610" s="299">
        <f t="shared" si="495"/>
        <v>1</v>
      </c>
      <c r="BW1610" s="318">
        <v>0</v>
      </c>
      <c r="BX1610" s="297">
        <f t="shared" si="496"/>
        <v>0.43</v>
      </c>
      <c r="BY1610">
        <f t="shared" si="497"/>
        <v>0</v>
      </c>
      <c r="BZ1610" s="303">
        <f t="shared" si="498"/>
        <v>0</v>
      </c>
      <c r="CB1610" s="298">
        <v>0.6</v>
      </c>
      <c r="CC1610" s="298">
        <v>0.4</v>
      </c>
      <c r="CD1610">
        <f t="shared" si="499"/>
        <v>0</v>
      </c>
      <c r="CE1610">
        <f t="shared" si="500"/>
        <v>0</v>
      </c>
      <c r="CF1610">
        <f t="shared" si="501"/>
        <v>0</v>
      </c>
      <c r="CG1610">
        <f t="shared" si="502"/>
        <v>0</v>
      </c>
      <c r="CH1610">
        <f t="shared" si="503"/>
        <v>0</v>
      </c>
      <c r="CI1610">
        <f t="shared" si="504"/>
        <v>0</v>
      </c>
      <c r="CJ1610">
        <f t="shared" si="505"/>
        <v>0</v>
      </c>
      <c r="CK1610">
        <f t="shared" si="506"/>
        <v>0</v>
      </c>
      <c r="CL1610">
        <f t="shared" si="507"/>
        <v>0</v>
      </c>
      <c r="CM1610">
        <f t="shared" si="509"/>
        <v>0</v>
      </c>
      <c r="CN1610">
        <f t="shared" si="508"/>
        <v>0</v>
      </c>
      <c r="CO1610">
        <f t="shared" si="492"/>
        <v>0</v>
      </c>
    </row>
    <row r="1611" spans="2:93" hidden="1" x14ac:dyDescent="0.25">
      <c r="B1611" s="315">
        <v>44372</v>
      </c>
      <c r="C1611" s="4" t="s">
        <v>1522</v>
      </c>
      <c r="D1611" s="4" t="s">
        <v>1523</v>
      </c>
      <c r="F1611" s="4" t="s">
        <v>90</v>
      </c>
      <c r="G1611" s="5" t="s">
        <v>1512</v>
      </c>
      <c r="H1611" s="5" t="s">
        <v>1525</v>
      </c>
      <c r="I1611" s="5" t="s">
        <v>18</v>
      </c>
      <c r="J1611" s="5" t="s">
        <v>10</v>
      </c>
      <c r="K1611" s="5">
        <v>12</v>
      </c>
      <c r="L1611" s="5" t="s">
        <v>1526</v>
      </c>
      <c r="M1611" s="5">
        <v>1100</v>
      </c>
      <c r="N1611" s="5" t="s">
        <v>170</v>
      </c>
      <c r="O1611" s="6" t="s">
        <v>81</v>
      </c>
      <c r="P1611" s="6" t="s">
        <v>1528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6" t="str">
        <f>+VLOOKUP(G1611,Liste!$A$7:$G$69,3,FALSE)</f>
        <v>Pin d'Alep</v>
      </c>
      <c r="BI1611" s="96" t="str">
        <f>+VLOOKUP(H1611,Liste!$B$7:$G$69,5,FALSE)</f>
        <v>Pin d'Alep</v>
      </c>
      <c r="BJ1611" s="135">
        <f t="shared" si="491"/>
        <v>33</v>
      </c>
      <c r="BK1611" s="135" t="str">
        <f t="shared" si="493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97" t="str">
        <f>+VLOOKUP(G1611,Liste!$A$7:$H$69,8,FALSE)</f>
        <v>Résineux</v>
      </c>
      <c r="BU1611" s="297">
        <f t="shared" si="494"/>
        <v>0</v>
      </c>
      <c r="BV1611" s="299">
        <f t="shared" si="495"/>
        <v>1</v>
      </c>
      <c r="BW1611" s="318">
        <v>0</v>
      </c>
      <c r="BX1611" s="297">
        <f t="shared" si="496"/>
        <v>0.43</v>
      </c>
      <c r="BY1611">
        <f t="shared" si="497"/>
        <v>0</v>
      </c>
      <c r="BZ1611" s="303">
        <f t="shared" si="498"/>
        <v>0</v>
      </c>
      <c r="CB1611" s="298">
        <v>0.6</v>
      </c>
      <c r="CC1611" s="298">
        <v>0.4</v>
      </c>
      <c r="CD1611">
        <f t="shared" si="499"/>
        <v>0</v>
      </c>
      <c r="CE1611">
        <f t="shared" si="500"/>
        <v>0</v>
      </c>
      <c r="CF1611">
        <f t="shared" si="501"/>
        <v>0</v>
      </c>
      <c r="CG1611">
        <f t="shared" si="502"/>
        <v>0</v>
      </c>
      <c r="CH1611">
        <f t="shared" si="503"/>
        <v>0</v>
      </c>
      <c r="CI1611">
        <f t="shared" si="504"/>
        <v>0</v>
      </c>
      <c r="CJ1611">
        <f t="shared" si="505"/>
        <v>0</v>
      </c>
      <c r="CK1611">
        <f t="shared" si="506"/>
        <v>0</v>
      </c>
      <c r="CL1611">
        <f t="shared" si="507"/>
        <v>0</v>
      </c>
      <c r="CM1611">
        <f t="shared" si="509"/>
        <v>0</v>
      </c>
      <c r="CN1611">
        <f t="shared" si="508"/>
        <v>0</v>
      </c>
      <c r="CO1611">
        <f t="shared" si="492"/>
        <v>0</v>
      </c>
    </row>
    <row r="1612" spans="2:93" hidden="1" x14ac:dyDescent="0.25">
      <c r="B1612" s="315">
        <v>44372</v>
      </c>
      <c r="C1612" s="4" t="s">
        <v>1522</v>
      </c>
      <c r="D1612" s="4" t="s">
        <v>1523</v>
      </c>
      <c r="F1612" s="4" t="s">
        <v>90</v>
      </c>
      <c r="G1612" s="5" t="s">
        <v>1512</v>
      </c>
      <c r="H1612" s="5" t="s">
        <v>1525</v>
      </c>
      <c r="I1612" s="5" t="s">
        <v>18</v>
      </c>
      <c r="J1612" s="5" t="s">
        <v>10</v>
      </c>
      <c r="K1612" s="5">
        <v>12</v>
      </c>
      <c r="L1612" s="5" t="s">
        <v>1526</v>
      </c>
      <c r="M1612" s="5">
        <v>1100</v>
      </c>
      <c r="N1612" s="5" t="s">
        <v>170</v>
      </c>
      <c r="O1612" s="6" t="s">
        <v>81</v>
      </c>
      <c r="P1612" s="6" t="s">
        <v>1528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6" t="str">
        <f>+VLOOKUP(G1612,Liste!$A$7:$G$69,3,FALSE)</f>
        <v>Pin d'Alep</v>
      </c>
      <c r="BI1612" s="96" t="str">
        <f>+VLOOKUP(H1612,Liste!$B$7:$G$69,5,FALSE)</f>
        <v>Pin d'Alep</v>
      </c>
      <c r="BJ1612" s="135">
        <f t="shared" si="491"/>
        <v>34</v>
      </c>
      <c r="BK1612" s="135" t="str">
        <f t="shared" si="493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97" t="str">
        <f>+VLOOKUP(G1612,Liste!$A$7:$H$69,8,FALSE)</f>
        <v>Résineux</v>
      </c>
      <c r="BU1612" s="297">
        <f t="shared" si="494"/>
        <v>0</v>
      </c>
      <c r="BV1612" s="299">
        <f t="shared" si="495"/>
        <v>1</v>
      </c>
      <c r="BW1612" s="318">
        <v>0</v>
      </c>
      <c r="BX1612" s="297">
        <f t="shared" si="496"/>
        <v>0.43</v>
      </c>
      <c r="BY1612">
        <f t="shared" si="497"/>
        <v>0</v>
      </c>
      <c r="BZ1612" s="303">
        <f t="shared" si="498"/>
        <v>0</v>
      </c>
      <c r="CB1612" s="298">
        <v>0.6</v>
      </c>
      <c r="CC1612" s="298">
        <v>0.4</v>
      </c>
      <c r="CD1612">
        <f t="shared" si="499"/>
        <v>0</v>
      </c>
      <c r="CE1612">
        <f t="shared" si="500"/>
        <v>0</v>
      </c>
      <c r="CF1612">
        <f t="shared" si="501"/>
        <v>0</v>
      </c>
      <c r="CG1612">
        <f t="shared" si="502"/>
        <v>0</v>
      </c>
      <c r="CH1612">
        <f t="shared" si="503"/>
        <v>0</v>
      </c>
      <c r="CI1612">
        <f t="shared" si="504"/>
        <v>0</v>
      </c>
      <c r="CJ1612">
        <f t="shared" si="505"/>
        <v>0</v>
      </c>
      <c r="CK1612">
        <f t="shared" si="506"/>
        <v>0</v>
      </c>
      <c r="CL1612">
        <f t="shared" si="507"/>
        <v>0</v>
      </c>
      <c r="CM1612">
        <f t="shared" si="509"/>
        <v>0</v>
      </c>
      <c r="CN1612">
        <f t="shared" si="508"/>
        <v>0</v>
      </c>
      <c r="CO1612">
        <f t="shared" si="492"/>
        <v>0</v>
      </c>
    </row>
    <row r="1613" spans="2:93" hidden="1" x14ac:dyDescent="0.25">
      <c r="B1613" s="315">
        <v>44372</v>
      </c>
      <c r="C1613" s="4" t="s">
        <v>1522</v>
      </c>
      <c r="D1613" s="4" t="s">
        <v>1523</v>
      </c>
      <c r="F1613" s="4" t="s">
        <v>90</v>
      </c>
      <c r="G1613" s="5" t="s">
        <v>1512</v>
      </c>
      <c r="H1613" s="5" t="s">
        <v>1525</v>
      </c>
      <c r="I1613" s="5" t="s">
        <v>18</v>
      </c>
      <c r="J1613" s="5" t="s">
        <v>10</v>
      </c>
      <c r="K1613" s="5">
        <v>12</v>
      </c>
      <c r="L1613" s="5" t="s">
        <v>1526</v>
      </c>
      <c r="M1613" s="5">
        <v>1100</v>
      </c>
      <c r="N1613" s="5" t="s">
        <v>170</v>
      </c>
      <c r="O1613" s="6" t="s">
        <v>81</v>
      </c>
      <c r="P1613" s="6" t="s">
        <v>1528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6" t="str">
        <f>+VLOOKUP(G1613,Liste!$A$7:$G$69,3,FALSE)</f>
        <v>Pin d'Alep</v>
      </c>
      <c r="BI1613" s="96" t="str">
        <f>+VLOOKUP(H1613,Liste!$B$7:$G$69,5,FALSE)</f>
        <v>Pin d'Alep</v>
      </c>
      <c r="BJ1613" s="135">
        <f t="shared" si="491"/>
        <v>35</v>
      </c>
      <c r="BK1613" s="135" t="str">
        <f t="shared" si="493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97" t="str">
        <f>+VLOOKUP(G1613,Liste!$A$7:$H$69,8,FALSE)</f>
        <v>Résineux</v>
      </c>
      <c r="BU1613" s="297">
        <f t="shared" si="494"/>
        <v>0</v>
      </c>
      <c r="BV1613" s="299">
        <f t="shared" si="495"/>
        <v>1</v>
      </c>
      <c r="BW1613" s="318">
        <v>0</v>
      </c>
      <c r="BX1613" s="297">
        <f t="shared" si="496"/>
        <v>0.43</v>
      </c>
      <c r="BY1613">
        <f t="shared" si="497"/>
        <v>0</v>
      </c>
      <c r="BZ1613" s="303">
        <f t="shared" si="498"/>
        <v>0</v>
      </c>
      <c r="CB1613" s="298">
        <v>0.6</v>
      </c>
      <c r="CC1613" s="298">
        <v>0.4</v>
      </c>
      <c r="CD1613">
        <f t="shared" si="499"/>
        <v>0</v>
      </c>
      <c r="CE1613">
        <f t="shared" si="500"/>
        <v>0</v>
      </c>
      <c r="CF1613">
        <f t="shared" si="501"/>
        <v>0</v>
      </c>
      <c r="CG1613">
        <f t="shared" si="502"/>
        <v>0</v>
      </c>
      <c r="CH1613">
        <f t="shared" si="503"/>
        <v>0</v>
      </c>
      <c r="CI1613">
        <f t="shared" si="504"/>
        <v>0</v>
      </c>
      <c r="CJ1613">
        <f t="shared" si="505"/>
        <v>0</v>
      </c>
      <c r="CK1613">
        <f t="shared" si="506"/>
        <v>0</v>
      </c>
      <c r="CL1613">
        <f t="shared" si="507"/>
        <v>0</v>
      </c>
      <c r="CM1613">
        <f t="shared" si="509"/>
        <v>0</v>
      </c>
      <c r="CN1613">
        <f t="shared" si="508"/>
        <v>0</v>
      </c>
      <c r="CO1613">
        <f t="shared" si="492"/>
        <v>0</v>
      </c>
    </row>
    <row r="1614" spans="2:93" hidden="1" x14ac:dyDescent="0.25">
      <c r="B1614" s="315">
        <v>44372</v>
      </c>
      <c r="C1614" s="4" t="s">
        <v>1522</v>
      </c>
      <c r="D1614" s="4" t="s">
        <v>1523</v>
      </c>
      <c r="F1614" s="4" t="s">
        <v>90</v>
      </c>
      <c r="G1614" s="5" t="s">
        <v>1512</v>
      </c>
      <c r="H1614" s="5" t="s">
        <v>1525</v>
      </c>
      <c r="I1614" s="5" t="s">
        <v>18</v>
      </c>
      <c r="J1614" s="5" t="s">
        <v>10</v>
      </c>
      <c r="K1614" s="5">
        <v>12</v>
      </c>
      <c r="L1614" s="5" t="s">
        <v>1526</v>
      </c>
      <c r="M1614" s="5">
        <v>1100</v>
      </c>
      <c r="N1614" s="5" t="s">
        <v>170</v>
      </c>
      <c r="O1614" s="6" t="s">
        <v>81</v>
      </c>
      <c r="P1614" s="6" t="s">
        <v>1528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6" t="str">
        <f>+VLOOKUP(G1614,Liste!$A$7:$G$69,3,FALSE)</f>
        <v>Pin d'Alep</v>
      </c>
      <c r="BI1614" s="96" t="str">
        <f>+VLOOKUP(H1614,Liste!$B$7:$G$69,5,FALSE)</f>
        <v>Pin d'Alep</v>
      </c>
      <c r="BJ1614" s="135">
        <f t="shared" si="491"/>
        <v>36</v>
      </c>
      <c r="BK1614" s="135" t="str">
        <f t="shared" si="493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97" t="str">
        <f>+VLOOKUP(G1614,Liste!$A$7:$H$69,8,FALSE)</f>
        <v>Résineux</v>
      </c>
      <c r="BU1614" s="297">
        <f t="shared" si="494"/>
        <v>0</v>
      </c>
      <c r="BV1614" s="299">
        <f t="shared" si="495"/>
        <v>1</v>
      </c>
      <c r="BW1614" s="318">
        <v>0</v>
      </c>
      <c r="BX1614" s="297">
        <f t="shared" si="496"/>
        <v>0.43</v>
      </c>
      <c r="BY1614">
        <f t="shared" si="497"/>
        <v>0</v>
      </c>
      <c r="BZ1614" s="303">
        <f t="shared" si="498"/>
        <v>0</v>
      </c>
      <c r="CB1614" s="298">
        <v>0.6</v>
      </c>
      <c r="CC1614" s="298">
        <v>0.4</v>
      </c>
      <c r="CD1614">
        <f t="shared" si="499"/>
        <v>0</v>
      </c>
      <c r="CE1614">
        <f t="shared" si="500"/>
        <v>0</v>
      </c>
      <c r="CF1614">
        <f t="shared" si="501"/>
        <v>0</v>
      </c>
      <c r="CG1614">
        <f t="shared" si="502"/>
        <v>0</v>
      </c>
      <c r="CH1614">
        <f t="shared" si="503"/>
        <v>0</v>
      </c>
      <c r="CI1614">
        <f t="shared" si="504"/>
        <v>0</v>
      </c>
      <c r="CJ1614">
        <f t="shared" si="505"/>
        <v>0</v>
      </c>
      <c r="CK1614">
        <f t="shared" si="506"/>
        <v>0</v>
      </c>
      <c r="CL1614">
        <f t="shared" si="507"/>
        <v>0</v>
      </c>
      <c r="CM1614">
        <f t="shared" si="509"/>
        <v>0</v>
      </c>
      <c r="CN1614">
        <f t="shared" si="508"/>
        <v>0</v>
      </c>
      <c r="CO1614">
        <f t="shared" si="492"/>
        <v>0</v>
      </c>
    </row>
    <row r="1615" spans="2:93" hidden="1" x14ac:dyDescent="0.25">
      <c r="B1615" s="315">
        <v>44372</v>
      </c>
      <c r="C1615" s="4" t="s">
        <v>1522</v>
      </c>
      <c r="D1615" s="4" t="s">
        <v>1523</v>
      </c>
      <c r="F1615" s="4" t="s">
        <v>90</v>
      </c>
      <c r="G1615" s="5" t="s">
        <v>1512</v>
      </c>
      <c r="H1615" s="5" t="s">
        <v>1525</v>
      </c>
      <c r="I1615" s="5" t="s">
        <v>18</v>
      </c>
      <c r="J1615" s="5" t="s">
        <v>10</v>
      </c>
      <c r="K1615" s="5">
        <v>12</v>
      </c>
      <c r="L1615" s="5" t="s">
        <v>1526</v>
      </c>
      <c r="M1615" s="5">
        <v>1100</v>
      </c>
      <c r="N1615" s="5" t="s">
        <v>170</v>
      </c>
      <c r="O1615" s="6" t="s">
        <v>81</v>
      </c>
      <c r="P1615" s="6" t="s">
        <v>1528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6" t="str">
        <f>+VLOOKUP(G1615,Liste!$A$7:$G$69,3,FALSE)</f>
        <v>Pin d'Alep</v>
      </c>
      <c r="BI1615" s="96" t="str">
        <f>+VLOOKUP(H1615,Liste!$B$7:$G$69,5,FALSE)</f>
        <v>Pin d'Alep</v>
      </c>
      <c r="BJ1615" s="135">
        <f t="shared" si="491"/>
        <v>37</v>
      </c>
      <c r="BK1615" s="135" t="str">
        <f t="shared" si="493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97" t="str">
        <f>+VLOOKUP(G1615,Liste!$A$7:$H$69,8,FALSE)</f>
        <v>Résineux</v>
      </c>
      <c r="BU1615" s="297">
        <f t="shared" si="494"/>
        <v>0</v>
      </c>
      <c r="BV1615" s="299">
        <f t="shared" si="495"/>
        <v>1</v>
      </c>
      <c r="BW1615" s="318">
        <v>0</v>
      </c>
      <c r="BX1615" s="297">
        <f t="shared" si="496"/>
        <v>0.43</v>
      </c>
      <c r="BY1615">
        <f t="shared" si="497"/>
        <v>0</v>
      </c>
      <c r="BZ1615" s="303">
        <f t="shared" si="498"/>
        <v>0</v>
      </c>
      <c r="CB1615" s="298">
        <v>0.6</v>
      </c>
      <c r="CC1615" s="298">
        <v>0.4</v>
      </c>
      <c r="CD1615">
        <f t="shared" si="499"/>
        <v>0</v>
      </c>
      <c r="CE1615">
        <f t="shared" si="500"/>
        <v>0</v>
      </c>
      <c r="CF1615">
        <f t="shared" si="501"/>
        <v>0</v>
      </c>
      <c r="CG1615">
        <f t="shared" si="502"/>
        <v>0</v>
      </c>
      <c r="CH1615">
        <f t="shared" si="503"/>
        <v>0</v>
      </c>
      <c r="CI1615">
        <f t="shared" si="504"/>
        <v>0</v>
      </c>
      <c r="CJ1615">
        <f t="shared" si="505"/>
        <v>0</v>
      </c>
      <c r="CK1615">
        <f t="shared" si="506"/>
        <v>0</v>
      </c>
      <c r="CL1615">
        <f t="shared" si="507"/>
        <v>0</v>
      </c>
      <c r="CM1615">
        <f t="shared" si="509"/>
        <v>0</v>
      </c>
      <c r="CN1615">
        <f t="shared" si="508"/>
        <v>0</v>
      </c>
      <c r="CO1615">
        <f t="shared" si="492"/>
        <v>0</v>
      </c>
    </row>
    <row r="1616" spans="2:93" hidden="1" x14ac:dyDescent="0.25">
      <c r="B1616" s="315">
        <v>44372</v>
      </c>
      <c r="C1616" s="4" t="s">
        <v>1522</v>
      </c>
      <c r="D1616" s="4" t="s">
        <v>1523</v>
      </c>
      <c r="F1616" s="4" t="s">
        <v>90</v>
      </c>
      <c r="G1616" s="5" t="s">
        <v>1512</v>
      </c>
      <c r="H1616" s="5" t="s">
        <v>1525</v>
      </c>
      <c r="I1616" s="5" t="s">
        <v>18</v>
      </c>
      <c r="J1616" s="5" t="s">
        <v>10</v>
      </c>
      <c r="K1616" s="5">
        <v>12</v>
      </c>
      <c r="L1616" s="5" t="s">
        <v>1526</v>
      </c>
      <c r="M1616" s="5">
        <v>1100</v>
      </c>
      <c r="N1616" s="5" t="s">
        <v>170</v>
      </c>
      <c r="O1616" s="6" t="s">
        <v>81</v>
      </c>
      <c r="P1616" s="6" t="s">
        <v>1528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6" t="str">
        <f>+VLOOKUP(G1616,Liste!$A$7:$G$69,3,FALSE)</f>
        <v>Pin d'Alep</v>
      </c>
      <c r="BI1616" s="96" t="str">
        <f>+VLOOKUP(H1616,Liste!$B$7:$G$69,5,FALSE)</f>
        <v>Pin d'Alep</v>
      </c>
      <c r="BJ1616" s="135">
        <f t="shared" si="491"/>
        <v>38</v>
      </c>
      <c r="BK1616" s="135" t="str">
        <f t="shared" si="493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97" t="str">
        <f>+VLOOKUP(G1616,Liste!$A$7:$H$69,8,FALSE)</f>
        <v>Résineux</v>
      </c>
      <c r="BU1616" s="297">
        <f t="shared" si="494"/>
        <v>0</v>
      </c>
      <c r="BV1616" s="299">
        <f t="shared" si="495"/>
        <v>1</v>
      </c>
      <c r="BW1616" s="318">
        <v>0</v>
      </c>
      <c r="BX1616" s="297">
        <f t="shared" si="496"/>
        <v>0.43</v>
      </c>
      <c r="BY1616">
        <f t="shared" si="497"/>
        <v>0</v>
      </c>
      <c r="BZ1616" s="303">
        <f t="shared" si="498"/>
        <v>0</v>
      </c>
      <c r="CB1616" s="298">
        <v>0.6</v>
      </c>
      <c r="CC1616" s="298">
        <v>0.4</v>
      </c>
      <c r="CD1616">
        <f t="shared" si="499"/>
        <v>0</v>
      </c>
      <c r="CE1616">
        <f t="shared" si="500"/>
        <v>0</v>
      </c>
      <c r="CF1616">
        <f t="shared" si="501"/>
        <v>0</v>
      </c>
      <c r="CG1616">
        <f t="shared" si="502"/>
        <v>0</v>
      </c>
      <c r="CH1616">
        <f t="shared" si="503"/>
        <v>0</v>
      </c>
      <c r="CI1616">
        <f t="shared" si="504"/>
        <v>0</v>
      </c>
      <c r="CJ1616">
        <f t="shared" si="505"/>
        <v>0</v>
      </c>
      <c r="CK1616">
        <f t="shared" si="506"/>
        <v>0</v>
      </c>
      <c r="CL1616">
        <f t="shared" si="507"/>
        <v>0</v>
      </c>
      <c r="CM1616">
        <f t="shared" si="509"/>
        <v>0</v>
      </c>
      <c r="CN1616">
        <f t="shared" si="508"/>
        <v>0</v>
      </c>
      <c r="CO1616">
        <f t="shared" si="492"/>
        <v>0</v>
      </c>
    </row>
    <row r="1617" spans="2:93" hidden="1" x14ac:dyDescent="0.25">
      <c r="B1617" s="315">
        <v>44372</v>
      </c>
      <c r="C1617" s="4" t="s">
        <v>1522</v>
      </c>
      <c r="D1617" s="4" t="s">
        <v>1523</v>
      </c>
      <c r="F1617" s="4" t="s">
        <v>90</v>
      </c>
      <c r="G1617" s="5" t="s">
        <v>1512</v>
      </c>
      <c r="H1617" s="5" t="s">
        <v>1525</v>
      </c>
      <c r="I1617" s="5" t="s">
        <v>18</v>
      </c>
      <c r="J1617" s="5" t="s">
        <v>10</v>
      </c>
      <c r="K1617" s="5">
        <v>12</v>
      </c>
      <c r="L1617" s="5" t="s">
        <v>1526</v>
      </c>
      <c r="M1617" s="5">
        <v>1100</v>
      </c>
      <c r="N1617" s="5" t="s">
        <v>170</v>
      </c>
      <c r="O1617" s="6" t="s">
        <v>81</v>
      </c>
      <c r="P1617" s="6" t="s">
        <v>1528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6" t="str">
        <f>+VLOOKUP(G1617,Liste!$A$7:$G$69,3,FALSE)</f>
        <v>Pin d'Alep</v>
      </c>
      <c r="BI1617" s="96" t="str">
        <f>+VLOOKUP(H1617,Liste!$B$7:$G$69,5,FALSE)</f>
        <v>Pin d'Alep</v>
      </c>
      <c r="BJ1617" s="135">
        <f t="shared" si="491"/>
        <v>39</v>
      </c>
      <c r="BK1617" s="135" t="str">
        <f t="shared" si="493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97" t="str">
        <f>+VLOOKUP(G1617,Liste!$A$7:$H$69,8,FALSE)</f>
        <v>Résineux</v>
      </c>
      <c r="BU1617" s="297">
        <f t="shared" si="494"/>
        <v>0</v>
      </c>
      <c r="BV1617" s="299">
        <f t="shared" si="495"/>
        <v>1</v>
      </c>
      <c r="BW1617" s="318">
        <v>0</v>
      </c>
      <c r="BX1617" s="297">
        <f t="shared" si="496"/>
        <v>0.43</v>
      </c>
      <c r="BY1617">
        <f t="shared" si="497"/>
        <v>0</v>
      </c>
      <c r="BZ1617" s="303">
        <f t="shared" si="498"/>
        <v>0</v>
      </c>
      <c r="CB1617" s="298">
        <v>0.6</v>
      </c>
      <c r="CC1617" s="298">
        <v>0.4</v>
      </c>
      <c r="CD1617">
        <f t="shared" si="499"/>
        <v>0</v>
      </c>
      <c r="CE1617">
        <f t="shared" si="500"/>
        <v>0</v>
      </c>
      <c r="CF1617">
        <f t="shared" si="501"/>
        <v>0</v>
      </c>
      <c r="CG1617">
        <f t="shared" si="502"/>
        <v>0</v>
      </c>
      <c r="CH1617">
        <f t="shared" si="503"/>
        <v>0</v>
      </c>
      <c r="CI1617">
        <f t="shared" si="504"/>
        <v>0</v>
      </c>
      <c r="CJ1617">
        <f t="shared" si="505"/>
        <v>0</v>
      </c>
      <c r="CK1617">
        <f t="shared" si="506"/>
        <v>0</v>
      </c>
      <c r="CL1617">
        <f t="shared" si="507"/>
        <v>0</v>
      </c>
      <c r="CM1617">
        <f t="shared" si="509"/>
        <v>0</v>
      </c>
      <c r="CN1617">
        <f t="shared" si="508"/>
        <v>0</v>
      </c>
      <c r="CO1617">
        <f t="shared" si="492"/>
        <v>0</v>
      </c>
    </row>
    <row r="1618" spans="2:93" hidden="1" x14ac:dyDescent="0.25">
      <c r="B1618" s="315">
        <v>44372</v>
      </c>
      <c r="C1618" s="4" t="s">
        <v>1522</v>
      </c>
      <c r="D1618" s="4" t="s">
        <v>1523</v>
      </c>
      <c r="F1618" s="4" t="s">
        <v>90</v>
      </c>
      <c r="G1618" s="5" t="s">
        <v>1512</v>
      </c>
      <c r="H1618" s="5" t="s">
        <v>1525</v>
      </c>
      <c r="I1618" s="5" t="s">
        <v>18</v>
      </c>
      <c r="J1618" s="5" t="s">
        <v>10</v>
      </c>
      <c r="K1618" s="5">
        <v>12</v>
      </c>
      <c r="L1618" s="5" t="s">
        <v>1526</v>
      </c>
      <c r="M1618" s="5">
        <v>1100</v>
      </c>
      <c r="N1618" s="5" t="s">
        <v>170</v>
      </c>
      <c r="O1618" s="6" t="s">
        <v>81</v>
      </c>
      <c r="P1618" s="6" t="s">
        <v>1528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6" t="str">
        <f>+VLOOKUP(G1618,Liste!$A$7:$G$69,3,FALSE)</f>
        <v>Pin d'Alep</v>
      </c>
      <c r="BI1618" s="96" t="str">
        <f>+VLOOKUP(H1618,Liste!$B$7:$G$69,5,FALSE)</f>
        <v>Pin d'Alep</v>
      </c>
      <c r="BJ1618" s="135">
        <f t="shared" si="491"/>
        <v>40</v>
      </c>
      <c r="BK1618" s="135" t="str">
        <f t="shared" si="493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97" t="str">
        <f>+VLOOKUP(G1618,Liste!$A$7:$H$69,8,FALSE)</f>
        <v>Résineux</v>
      </c>
      <c r="BU1618" s="297">
        <f t="shared" si="494"/>
        <v>0</v>
      </c>
      <c r="BV1618" s="299">
        <f t="shared" si="495"/>
        <v>1</v>
      </c>
      <c r="BW1618" s="318">
        <v>0</v>
      </c>
      <c r="BX1618" s="297">
        <f t="shared" si="496"/>
        <v>0.43</v>
      </c>
      <c r="BY1618">
        <f t="shared" si="497"/>
        <v>0</v>
      </c>
      <c r="BZ1618" s="303">
        <f t="shared" si="498"/>
        <v>0</v>
      </c>
      <c r="CB1618" s="298">
        <v>0.6</v>
      </c>
      <c r="CC1618" s="298">
        <v>0.4</v>
      </c>
      <c r="CD1618">
        <f t="shared" si="499"/>
        <v>0</v>
      </c>
      <c r="CE1618">
        <f t="shared" si="500"/>
        <v>0</v>
      </c>
      <c r="CF1618">
        <f t="shared" si="501"/>
        <v>0</v>
      </c>
      <c r="CG1618">
        <f t="shared" si="502"/>
        <v>0</v>
      </c>
      <c r="CH1618">
        <f t="shared" si="503"/>
        <v>0</v>
      </c>
      <c r="CI1618">
        <f t="shared" si="504"/>
        <v>0</v>
      </c>
      <c r="CJ1618">
        <f t="shared" si="505"/>
        <v>0</v>
      </c>
      <c r="CK1618">
        <f t="shared" si="506"/>
        <v>0</v>
      </c>
      <c r="CL1618">
        <f t="shared" si="507"/>
        <v>0</v>
      </c>
      <c r="CM1618">
        <f t="shared" si="509"/>
        <v>0</v>
      </c>
      <c r="CN1618">
        <f t="shared" si="508"/>
        <v>0</v>
      </c>
      <c r="CO1618">
        <f t="shared" si="492"/>
        <v>0</v>
      </c>
    </row>
    <row r="1619" spans="2:93" hidden="1" x14ac:dyDescent="0.25">
      <c r="B1619" s="315">
        <v>44372</v>
      </c>
      <c r="C1619" s="4" t="s">
        <v>1522</v>
      </c>
      <c r="D1619" s="4" t="s">
        <v>1523</v>
      </c>
      <c r="F1619" s="4" t="s">
        <v>90</v>
      </c>
      <c r="G1619" s="5" t="s">
        <v>1512</v>
      </c>
      <c r="H1619" s="5" t="s">
        <v>1525</v>
      </c>
      <c r="I1619" s="5" t="s">
        <v>18</v>
      </c>
      <c r="J1619" s="5" t="s">
        <v>10</v>
      </c>
      <c r="K1619" s="5">
        <v>12</v>
      </c>
      <c r="L1619" s="5" t="s">
        <v>1526</v>
      </c>
      <c r="M1619" s="5">
        <v>1100</v>
      </c>
      <c r="N1619" s="5" t="s">
        <v>170</v>
      </c>
      <c r="O1619" s="6" t="s">
        <v>81</v>
      </c>
      <c r="P1619" s="6" t="s">
        <v>1528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6" t="str">
        <f>+VLOOKUP(G1619,Liste!$A$7:$G$69,3,FALSE)</f>
        <v>Pin d'Alep</v>
      </c>
      <c r="BI1619" s="96" t="str">
        <f>+VLOOKUP(H1619,Liste!$B$7:$G$69,5,FALSE)</f>
        <v>Pin d'Alep</v>
      </c>
      <c r="BJ1619" s="135">
        <f t="shared" si="491"/>
        <v>41</v>
      </c>
      <c r="BK1619" s="135" t="str">
        <f t="shared" si="493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97" t="str">
        <f>+VLOOKUP(G1619,Liste!$A$7:$H$69,8,FALSE)</f>
        <v>Résineux</v>
      </c>
      <c r="BU1619" s="297">
        <f t="shared" si="494"/>
        <v>0</v>
      </c>
      <c r="BV1619" s="299">
        <f t="shared" si="495"/>
        <v>1</v>
      </c>
      <c r="BW1619" s="318">
        <v>0</v>
      </c>
      <c r="BX1619" s="297">
        <f t="shared" si="496"/>
        <v>0.43</v>
      </c>
      <c r="BY1619">
        <f t="shared" si="497"/>
        <v>0</v>
      </c>
      <c r="BZ1619" s="303">
        <f t="shared" si="498"/>
        <v>0</v>
      </c>
      <c r="CB1619" s="298">
        <v>0.6</v>
      </c>
      <c r="CC1619" s="298">
        <v>0.4</v>
      </c>
      <c r="CD1619">
        <f t="shared" si="499"/>
        <v>0</v>
      </c>
      <c r="CE1619">
        <f t="shared" si="500"/>
        <v>0</v>
      </c>
      <c r="CF1619">
        <f t="shared" si="501"/>
        <v>0</v>
      </c>
      <c r="CG1619">
        <f t="shared" si="502"/>
        <v>0</v>
      </c>
      <c r="CH1619">
        <f t="shared" si="503"/>
        <v>0</v>
      </c>
      <c r="CI1619">
        <f t="shared" si="504"/>
        <v>0</v>
      </c>
      <c r="CJ1619">
        <f t="shared" si="505"/>
        <v>0</v>
      </c>
      <c r="CK1619">
        <f t="shared" si="506"/>
        <v>0</v>
      </c>
      <c r="CL1619">
        <f t="shared" si="507"/>
        <v>0</v>
      </c>
      <c r="CM1619">
        <f t="shared" si="509"/>
        <v>0</v>
      </c>
      <c r="CN1619">
        <f t="shared" si="508"/>
        <v>0</v>
      </c>
      <c r="CO1619">
        <f t="shared" si="492"/>
        <v>0</v>
      </c>
    </row>
    <row r="1620" spans="2:93" hidden="1" x14ac:dyDescent="0.25">
      <c r="B1620" s="315">
        <v>44372</v>
      </c>
      <c r="C1620" s="4" t="s">
        <v>1522</v>
      </c>
      <c r="D1620" s="4" t="s">
        <v>1523</v>
      </c>
      <c r="F1620" s="4" t="s">
        <v>90</v>
      </c>
      <c r="G1620" s="5" t="s">
        <v>1512</v>
      </c>
      <c r="H1620" s="5" t="s">
        <v>1525</v>
      </c>
      <c r="I1620" s="5" t="s">
        <v>18</v>
      </c>
      <c r="J1620" s="5" t="s">
        <v>10</v>
      </c>
      <c r="K1620" s="5">
        <v>12</v>
      </c>
      <c r="L1620" s="5" t="s">
        <v>1526</v>
      </c>
      <c r="M1620" s="5">
        <v>1100</v>
      </c>
      <c r="N1620" s="5" t="s">
        <v>170</v>
      </c>
      <c r="O1620" s="6" t="s">
        <v>81</v>
      </c>
      <c r="P1620" s="6" t="s">
        <v>1528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6" t="str">
        <f>+VLOOKUP(G1620,Liste!$A$7:$G$69,3,FALSE)</f>
        <v>Pin d'Alep</v>
      </c>
      <c r="BI1620" s="96" t="str">
        <f>+VLOOKUP(H1620,Liste!$B$7:$G$69,5,FALSE)</f>
        <v>Pin d'Alep</v>
      </c>
      <c r="BJ1620" s="135">
        <f t="shared" si="491"/>
        <v>42</v>
      </c>
      <c r="BK1620" s="135" t="str">
        <f t="shared" si="493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97" t="str">
        <f>+VLOOKUP(G1620,Liste!$A$7:$H$69,8,FALSE)</f>
        <v>Résineux</v>
      </c>
      <c r="BU1620" s="297">
        <f t="shared" si="494"/>
        <v>0</v>
      </c>
      <c r="BV1620" s="299">
        <f t="shared" si="495"/>
        <v>1</v>
      </c>
      <c r="BW1620" s="318">
        <v>0</v>
      </c>
      <c r="BX1620" s="297">
        <f t="shared" si="496"/>
        <v>0.43</v>
      </c>
      <c r="BY1620">
        <f t="shared" si="497"/>
        <v>0</v>
      </c>
      <c r="BZ1620" s="303">
        <f t="shared" si="498"/>
        <v>0</v>
      </c>
      <c r="CB1620" s="298">
        <v>0.6</v>
      </c>
      <c r="CC1620" s="298">
        <v>0.4</v>
      </c>
      <c r="CD1620">
        <f t="shared" si="499"/>
        <v>0</v>
      </c>
      <c r="CE1620">
        <f t="shared" si="500"/>
        <v>0</v>
      </c>
      <c r="CF1620">
        <f t="shared" si="501"/>
        <v>0</v>
      </c>
      <c r="CG1620">
        <f t="shared" si="502"/>
        <v>0</v>
      </c>
      <c r="CH1620">
        <f t="shared" si="503"/>
        <v>0</v>
      </c>
      <c r="CI1620">
        <f t="shared" si="504"/>
        <v>0</v>
      </c>
      <c r="CJ1620">
        <f t="shared" si="505"/>
        <v>0</v>
      </c>
      <c r="CK1620">
        <f t="shared" si="506"/>
        <v>0</v>
      </c>
      <c r="CL1620">
        <f t="shared" si="507"/>
        <v>0</v>
      </c>
      <c r="CM1620">
        <f t="shared" si="509"/>
        <v>0</v>
      </c>
      <c r="CN1620">
        <f t="shared" si="508"/>
        <v>0</v>
      </c>
      <c r="CO1620">
        <f t="shared" si="492"/>
        <v>0</v>
      </c>
    </row>
    <row r="1621" spans="2:93" hidden="1" x14ac:dyDescent="0.25">
      <c r="B1621" s="315">
        <v>44372</v>
      </c>
      <c r="C1621" s="4" t="s">
        <v>1522</v>
      </c>
      <c r="D1621" s="4" t="s">
        <v>1523</v>
      </c>
      <c r="F1621" s="4" t="s">
        <v>90</v>
      </c>
      <c r="G1621" s="5" t="s">
        <v>1512</v>
      </c>
      <c r="H1621" s="5" t="s">
        <v>1525</v>
      </c>
      <c r="I1621" s="5" t="s">
        <v>18</v>
      </c>
      <c r="J1621" s="5" t="s">
        <v>10</v>
      </c>
      <c r="K1621" s="5">
        <v>12</v>
      </c>
      <c r="L1621" s="5" t="s">
        <v>1526</v>
      </c>
      <c r="M1621" s="5">
        <v>1100</v>
      </c>
      <c r="N1621" s="5" t="s">
        <v>170</v>
      </c>
      <c r="O1621" s="6" t="s">
        <v>81</v>
      </c>
      <c r="P1621" s="6" t="s">
        <v>1528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6" t="str">
        <f>+VLOOKUP(G1621,Liste!$A$7:$G$69,3,FALSE)</f>
        <v>Pin d'Alep</v>
      </c>
      <c r="BI1621" s="96" t="str">
        <f>+VLOOKUP(H1621,Liste!$B$7:$G$69,5,FALSE)</f>
        <v>Pin d'Alep</v>
      </c>
      <c r="BJ1621" s="135">
        <f t="shared" si="491"/>
        <v>43</v>
      </c>
      <c r="BK1621" s="135" t="str">
        <f t="shared" si="493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97" t="str">
        <f>+VLOOKUP(G1621,Liste!$A$7:$H$69,8,FALSE)</f>
        <v>Résineux</v>
      </c>
      <c r="BU1621" s="297">
        <f t="shared" si="494"/>
        <v>0</v>
      </c>
      <c r="BV1621" s="299">
        <f t="shared" si="495"/>
        <v>1</v>
      </c>
      <c r="BW1621" s="318">
        <v>0</v>
      </c>
      <c r="BX1621" s="297">
        <f t="shared" si="496"/>
        <v>0.43</v>
      </c>
      <c r="BY1621">
        <f t="shared" si="497"/>
        <v>0</v>
      </c>
      <c r="BZ1621" s="303">
        <f t="shared" si="498"/>
        <v>0</v>
      </c>
      <c r="CB1621" s="298">
        <v>0.6</v>
      </c>
      <c r="CC1621" s="298">
        <v>0.4</v>
      </c>
      <c r="CD1621">
        <f t="shared" si="499"/>
        <v>0</v>
      </c>
      <c r="CE1621">
        <f t="shared" si="500"/>
        <v>0</v>
      </c>
      <c r="CF1621">
        <f t="shared" si="501"/>
        <v>0</v>
      </c>
      <c r="CG1621">
        <f t="shared" si="502"/>
        <v>0</v>
      </c>
      <c r="CH1621">
        <f t="shared" si="503"/>
        <v>0</v>
      </c>
      <c r="CI1621">
        <f t="shared" si="504"/>
        <v>0</v>
      </c>
      <c r="CJ1621">
        <f t="shared" si="505"/>
        <v>0</v>
      </c>
      <c r="CK1621">
        <f t="shared" si="506"/>
        <v>0</v>
      </c>
      <c r="CL1621">
        <f t="shared" si="507"/>
        <v>0</v>
      </c>
      <c r="CM1621">
        <f t="shared" si="509"/>
        <v>0</v>
      </c>
      <c r="CN1621">
        <f t="shared" si="508"/>
        <v>0</v>
      </c>
      <c r="CO1621">
        <f t="shared" si="492"/>
        <v>0</v>
      </c>
    </row>
    <row r="1622" spans="2:93" hidden="1" x14ac:dyDescent="0.25">
      <c r="B1622" s="315">
        <v>44372</v>
      </c>
      <c r="C1622" s="4" t="s">
        <v>1522</v>
      </c>
      <c r="D1622" s="4" t="s">
        <v>1523</v>
      </c>
      <c r="F1622" s="4" t="s">
        <v>90</v>
      </c>
      <c r="G1622" s="5" t="s">
        <v>1512</v>
      </c>
      <c r="H1622" s="5" t="s">
        <v>1525</v>
      </c>
      <c r="I1622" s="5" t="s">
        <v>18</v>
      </c>
      <c r="J1622" s="5" t="s">
        <v>10</v>
      </c>
      <c r="K1622" s="5">
        <v>12</v>
      </c>
      <c r="L1622" s="5" t="s">
        <v>1526</v>
      </c>
      <c r="M1622" s="5">
        <v>1100</v>
      </c>
      <c r="N1622" s="5" t="s">
        <v>170</v>
      </c>
      <c r="O1622" s="6" t="s">
        <v>81</v>
      </c>
      <c r="P1622" s="6" t="s">
        <v>1528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6" t="str">
        <f>+VLOOKUP(G1622,Liste!$A$7:$G$69,3,FALSE)</f>
        <v>Pin d'Alep</v>
      </c>
      <c r="BI1622" s="96" t="str">
        <f>+VLOOKUP(H1622,Liste!$B$7:$G$69,5,FALSE)</f>
        <v>Pin d'Alep</v>
      </c>
      <c r="BJ1622" s="135">
        <f t="shared" si="491"/>
        <v>44</v>
      </c>
      <c r="BK1622" s="135" t="str">
        <f t="shared" si="493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97" t="str">
        <f>+VLOOKUP(G1622,Liste!$A$7:$H$69,8,FALSE)</f>
        <v>Résineux</v>
      </c>
      <c r="BU1622" s="297">
        <f t="shared" si="494"/>
        <v>0</v>
      </c>
      <c r="BV1622" s="299">
        <f t="shared" si="495"/>
        <v>1</v>
      </c>
      <c r="BW1622" s="318">
        <v>0</v>
      </c>
      <c r="BX1622" s="297">
        <f t="shared" si="496"/>
        <v>0.43</v>
      </c>
      <c r="BY1622">
        <f t="shared" si="497"/>
        <v>0</v>
      </c>
      <c r="BZ1622" s="303">
        <f t="shared" si="498"/>
        <v>0</v>
      </c>
      <c r="CB1622" s="298">
        <v>0.6</v>
      </c>
      <c r="CC1622" s="298">
        <v>0.4</v>
      </c>
      <c r="CD1622">
        <f t="shared" si="499"/>
        <v>0</v>
      </c>
      <c r="CE1622">
        <f t="shared" si="500"/>
        <v>0</v>
      </c>
      <c r="CF1622">
        <f t="shared" si="501"/>
        <v>0</v>
      </c>
      <c r="CG1622">
        <f t="shared" si="502"/>
        <v>0</v>
      </c>
      <c r="CH1622">
        <f t="shared" si="503"/>
        <v>0</v>
      </c>
      <c r="CI1622">
        <f t="shared" si="504"/>
        <v>0</v>
      </c>
      <c r="CJ1622">
        <f t="shared" si="505"/>
        <v>0</v>
      </c>
      <c r="CK1622">
        <f t="shared" si="506"/>
        <v>0</v>
      </c>
      <c r="CL1622">
        <f t="shared" si="507"/>
        <v>0</v>
      </c>
      <c r="CM1622">
        <f t="shared" si="509"/>
        <v>0</v>
      </c>
      <c r="CN1622">
        <f t="shared" si="508"/>
        <v>0</v>
      </c>
      <c r="CO1622">
        <f t="shared" si="492"/>
        <v>0</v>
      </c>
    </row>
    <row r="1623" spans="2:93" hidden="1" x14ac:dyDescent="0.25">
      <c r="B1623" s="315">
        <v>44372</v>
      </c>
      <c r="C1623" s="4" t="s">
        <v>1522</v>
      </c>
      <c r="D1623" s="4" t="s">
        <v>1523</v>
      </c>
      <c r="F1623" s="4" t="s">
        <v>90</v>
      </c>
      <c r="G1623" s="5" t="s">
        <v>1512</v>
      </c>
      <c r="H1623" s="5" t="s">
        <v>1525</v>
      </c>
      <c r="I1623" s="5" t="s">
        <v>18</v>
      </c>
      <c r="J1623" s="5" t="s">
        <v>10</v>
      </c>
      <c r="K1623" s="5">
        <v>12</v>
      </c>
      <c r="L1623" s="5" t="s">
        <v>1526</v>
      </c>
      <c r="M1623" s="5">
        <v>1100</v>
      </c>
      <c r="N1623" s="5" t="s">
        <v>170</v>
      </c>
      <c r="O1623" s="6" t="s">
        <v>81</v>
      </c>
      <c r="P1623" s="6" t="s">
        <v>1528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6" t="str">
        <f>+VLOOKUP(G1623,Liste!$A$7:$G$69,3,FALSE)</f>
        <v>Pin d'Alep</v>
      </c>
      <c r="BI1623" s="96" t="str">
        <f>+VLOOKUP(H1623,Liste!$B$7:$G$69,5,FALSE)</f>
        <v>Pin d'Alep</v>
      </c>
      <c r="BJ1623" s="135">
        <f t="shared" si="491"/>
        <v>45</v>
      </c>
      <c r="BK1623" s="135" t="str">
        <f t="shared" si="493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97" t="str">
        <f>+VLOOKUP(G1623,Liste!$A$7:$H$69,8,FALSE)</f>
        <v>Résineux</v>
      </c>
      <c r="BU1623" s="297">
        <f t="shared" si="494"/>
        <v>0</v>
      </c>
      <c r="BV1623" s="299">
        <f t="shared" si="495"/>
        <v>1</v>
      </c>
      <c r="BW1623" s="318">
        <v>0</v>
      </c>
      <c r="BX1623" s="297">
        <f t="shared" si="496"/>
        <v>0.43</v>
      </c>
      <c r="BY1623">
        <f t="shared" si="497"/>
        <v>0</v>
      </c>
      <c r="BZ1623" s="303">
        <f t="shared" si="498"/>
        <v>0</v>
      </c>
      <c r="CB1623" s="298">
        <v>0.6</v>
      </c>
      <c r="CC1623" s="298">
        <v>0.4</v>
      </c>
      <c r="CD1623">
        <f t="shared" si="499"/>
        <v>0</v>
      </c>
      <c r="CE1623">
        <f t="shared" si="500"/>
        <v>0</v>
      </c>
      <c r="CF1623">
        <f t="shared" si="501"/>
        <v>0</v>
      </c>
      <c r="CG1623">
        <f t="shared" si="502"/>
        <v>0</v>
      </c>
      <c r="CH1623">
        <f t="shared" si="503"/>
        <v>0</v>
      </c>
      <c r="CI1623">
        <f t="shared" si="504"/>
        <v>0</v>
      </c>
      <c r="CJ1623">
        <f t="shared" si="505"/>
        <v>0</v>
      </c>
      <c r="CK1623">
        <f t="shared" si="506"/>
        <v>0</v>
      </c>
      <c r="CL1623">
        <f t="shared" si="507"/>
        <v>0</v>
      </c>
      <c r="CM1623">
        <f t="shared" si="509"/>
        <v>0</v>
      </c>
      <c r="CN1623">
        <f t="shared" si="508"/>
        <v>0</v>
      </c>
      <c r="CO1623">
        <f t="shared" si="492"/>
        <v>0</v>
      </c>
    </row>
    <row r="1624" spans="2:93" hidden="1" x14ac:dyDescent="0.25">
      <c r="B1624" s="315">
        <v>44372</v>
      </c>
      <c r="C1624" s="4" t="s">
        <v>1522</v>
      </c>
      <c r="D1624" s="4" t="s">
        <v>1523</v>
      </c>
      <c r="F1624" s="4" t="s">
        <v>90</v>
      </c>
      <c r="G1624" s="5" t="s">
        <v>1512</v>
      </c>
      <c r="H1624" s="5" t="s">
        <v>1525</v>
      </c>
      <c r="I1624" s="5" t="s">
        <v>18</v>
      </c>
      <c r="J1624" s="5" t="s">
        <v>10</v>
      </c>
      <c r="K1624" s="5">
        <v>12</v>
      </c>
      <c r="L1624" s="5" t="s">
        <v>1526</v>
      </c>
      <c r="M1624" s="5">
        <v>1100</v>
      </c>
      <c r="N1624" s="5" t="s">
        <v>170</v>
      </c>
      <c r="O1624" s="6" t="s">
        <v>81</v>
      </c>
      <c r="P1624" s="6" t="s">
        <v>1528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6" t="str">
        <f>+VLOOKUP(G1624,Liste!$A$7:$G$69,3,FALSE)</f>
        <v>Pin d'Alep</v>
      </c>
      <c r="BI1624" s="96" t="str">
        <f>+VLOOKUP(H1624,Liste!$B$7:$G$69,5,FALSE)</f>
        <v>Pin d'Alep</v>
      </c>
      <c r="BJ1624" s="135">
        <f t="shared" si="491"/>
        <v>46</v>
      </c>
      <c r="BK1624" s="135" t="str">
        <f t="shared" si="493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97" t="str">
        <f>+VLOOKUP(G1624,Liste!$A$7:$H$69,8,FALSE)</f>
        <v>Résineux</v>
      </c>
      <c r="BU1624" s="297">
        <f t="shared" si="494"/>
        <v>0</v>
      </c>
      <c r="BV1624" s="299">
        <f t="shared" si="495"/>
        <v>1</v>
      </c>
      <c r="BW1624" s="318">
        <v>0</v>
      </c>
      <c r="BX1624" s="297">
        <f t="shared" si="496"/>
        <v>0.43</v>
      </c>
      <c r="BY1624">
        <f t="shared" si="497"/>
        <v>0</v>
      </c>
      <c r="BZ1624" s="303">
        <f t="shared" si="498"/>
        <v>0</v>
      </c>
      <c r="CB1624" s="298">
        <v>0.6</v>
      </c>
      <c r="CC1624" s="298">
        <v>0.4</v>
      </c>
      <c r="CD1624">
        <f t="shared" si="499"/>
        <v>0</v>
      </c>
      <c r="CE1624">
        <f t="shared" si="500"/>
        <v>0</v>
      </c>
      <c r="CF1624">
        <f t="shared" si="501"/>
        <v>0</v>
      </c>
      <c r="CG1624">
        <f t="shared" si="502"/>
        <v>0</v>
      </c>
      <c r="CH1624">
        <f t="shared" si="503"/>
        <v>0</v>
      </c>
      <c r="CI1624">
        <f t="shared" si="504"/>
        <v>0</v>
      </c>
      <c r="CJ1624">
        <f t="shared" si="505"/>
        <v>0</v>
      </c>
      <c r="CK1624">
        <f t="shared" si="506"/>
        <v>0</v>
      </c>
      <c r="CL1624">
        <f t="shared" si="507"/>
        <v>0</v>
      </c>
      <c r="CM1624">
        <f t="shared" si="509"/>
        <v>0</v>
      </c>
      <c r="CN1624">
        <f t="shared" si="508"/>
        <v>0</v>
      </c>
      <c r="CO1624">
        <f t="shared" si="492"/>
        <v>0</v>
      </c>
    </row>
    <row r="1625" spans="2:93" hidden="1" x14ac:dyDescent="0.25">
      <c r="B1625" s="315">
        <v>44372</v>
      </c>
      <c r="C1625" s="4" t="s">
        <v>1522</v>
      </c>
      <c r="D1625" s="4" t="s">
        <v>1523</v>
      </c>
      <c r="F1625" s="4" t="s">
        <v>90</v>
      </c>
      <c r="G1625" s="5" t="s">
        <v>1512</v>
      </c>
      <c r="H1625" s="5" t="s">
        <v>1525</v>
      </c>
      <c r="I1625" s="5" t="s">
        <v>18</v>
      </c>
      <c r="J1625" s="5" t="s">
        <v>10</v>
      </c>
      <c r="K1625" s="5">
        <v>12</v>
      </c>
      <c r="L1625" s="5" t="s">
        <v>1526</v>
      </c>
      <c r="M1625" s="5">
        <v>1100</v>
      </c>
      <c r="N1625" s="5" t="s">
        <v>170</v>
      </c>
      <c r="O1625" s="6" t="s">
        <v>81</v>
      </c>
      <c r="P1625" s="6" t="s">
        <v>1528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6" t="str">
        <f>+VLOOKUP(G1625,Liste!$A$7:$G$69,3,FALSE)</f>
        <v>Pin d'Alep</v>
      </c>
      <c r="BI1625" s="96" t="str">
        <f>+VLOOKUP(H1625,Liste!$B$7:$G$69,5,FALSE)</f>
        <v>Pin d'Alep</v>
      </c>
      <c r="BJ1625" s="135">
        <f t="shared" si="491"/>
        <v>47</v>
      </c>
      <c r="BK1625" s="135" t="str">
        <f t="shared" si="493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97" t="str">
        <f>+VLOOKUP(G1625,Liste!$A$7:$H$69,8,FALSE)</f>
        <v>Résineux</v>
      </c>
      <c r="BU1625" s="297">
        <f t="shared" si="494"/>
        <v>0</v>
      </c>
      <c r="BV1625" s="299">
        <f t="shared" si="495"/>
        <v>1</v>
      </c>
      <c r="BW1625" s="318">
        <v>0</v>
      </c>
      <c r="BX1625" s="297">
        <f t="shared" si="496"/>
        <v>0.43</v>
      </c>
      <c r="BY1625">
        <f t="shared" si="497"/>
        <v>0</v>
      </c>
      <c r="BZ1625" s="303">
        <f t="shared" si="498"/>
        <v>0</v>
      </c>
      <c r="CB1625" s="298">
        <v>0.6</v>
      </c>
      <c r="CC1625" s="298">
        <v>0.4</v>
      </c>
      <c r="CD1625">
        <f t="shared" si="499"/>
        <v>0</v>
      </c>
      <c r="CE1625">
        <f t="shared" si="500"/>
        <v>0</v>
      </c>
      <c r="CF1625">
        <f t="shared" si="501"/>
        <v>0</v>
      </c>
      <c r="CG1625">
        <f t="shared" si="502"/>
        <v>0</v>
      </c>
      <c r="CH1625">
        <f t="shared" si="503"/>
        <v>0</v>
      </c>
      <c r="CI1625">
        <f t="shared" si="504"/>
        <v>0</v>
      </c>
      <c r="CJ1625">
        <f t="shared" si="505"/>
        <v>0</v>
      </c>
      <c r="CK1625">
        <f t="shared" si="506"/>
        <v>0</v>
      </c>
      <c r="CL1625">
        <f t="shared" si="507"/>
        <v>0</v>
      </c>
      <c r="CM1625">
        <f t="shared" si="509"/>
        <v>0</v>
      </c>
      <c r="CN1625">
        <f t="shared" si="508"/>
        <v>0</v>
      </c>
      <c r="CO1625">
        <f t="shared" si="492"/>
        <v>0</v>
      </c>
    </row>
    <row r="1626" spans="2:93" hidden="1" x14ac:dyDescent="0.25">
      <c r="B1626" s="315">
        <v>44372</v>
      </c>
      <c r="C1626" s="4" t="s">
        <v>1522</v>
      </c>
      <c r="D1626" s="4" t="s">
        <v>1523</v>
      </c>
      <c r="F1626" s="4" t="s">
        <v>90</v>
      </c>
      <c r="G1626" s="5" t="s">
        <v>1512</v>
      </c>
      <c r="H1626" s="5" t="s">
        <v>1525</v>
      </c>
      <c r="I1626" s="5" t="s">
        <v>18</v>
      </c>
      <c r="J1626" s="5" t="s">
        <v>10</v>
      </c>
      <c r="K1626" s="5">
        <v>12</v>
      </c>
      <c r="L1626" s="5" t="s">
        <v>1526</v>
      </c>
      <c r="M1626" s="5">
        <v>1100</v>
      </c>
      <c r="N1626" s="5" t="s">
        <v>170</v>
      </c>
      <c r="O1626" s="6" t="s">
        <v>81</v>
      </c>
      <c r="P1626" s="6" t="s">
        <v>1528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6" t="str">
        <f>+VLOOKUP(G1626,Liste!$A$7:$G$69,3,FALSE)</f>
        <v>Pin d'Alep</v>
      </c>
      <c r="BI1626" s="96" t="str">
        <f>+VLOOKUP(H1626,Liste!$B$7:$G$69,5,FALSE)</f>
        <v>Pin d'Alep</v>
      </c>
      <c r="BJ1626" s="135">
        <f t="shared" si="491"/>
        <v>48</v>
      </c>
      <c r="BK1626" s="135" t="str">
        <f t="shared" si="493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97" t="str">
        <f>+VLOOKUP(G1626,Liste!$A$7:$H$69,8,FALSE)</f>
        <v>Résineux</v>
      </c>
      <c r="BU1626" s="297">
        <f t="shared" si="494"/>
        <v>0</v>
      </c>
      <c r="BV1626" s="299">
        <f t="shared" si="495"/>
        <v>1</v>
      </c>
      <c r="BW1626" s="318">
        <v>0</v>
      </c>
      <c r="BX1626" s="297">
        <f t="shared" si="496"/>
        <v>0.43</v>
      </c>
      <c r="BY1626">
        <f t="shared" si="497"/>
        <v>0</v>
      </c>
      <c r="BZ1626" s="303">
        <f t="shared" si="498"/>
        <v>0</v>
      </c>
      <c r="CB1626" s="298">
        <v>0.6</v>
      </c>
      <c r="CC1626" s="298">
        <v>0.4</v>
      </c>
      <c r="CD1626">
        <f t="shared" si="499"/>
        <v>0</v>
      </c>
      <c r="CE1626">
        <f t="shared" si="500"/>
        <v>0</v>
      </c>
      <c r="CF1626">
        <f t="shared" si="501"/>
        <v>0</v>
      </c>
      <c r="CG1626">
        <f t="shared" si="502"/>
        <v>0</v>
      </c>
      <c r="CH1626">
        <f t="shared" si="503"/>
        <v>0</v>
      </c>
      <c r="CI1626">
        <f t="shared" si="504"/>
        <v>0</v>
      </c>
      <c r="CJ1626">
        <f t="shared" si="505"/>
        <v>0</v>
      </c>
      <c r="CK1626">
        <f t="shared" si="506"/>
        <v>0</v>
      </c>
      <c r="CL1626">
        <f t="shared" si="507"/>
        <v>0</v>
      </c>
      <c r="CM1626">
        <f t="shared" si="509"/>
        <v>0</v>
      </c>
      <c r="CN1626">
        <f t="shared" si="508"/>
        <v>0</v>
      </c>
      <c r="CO1626">
        <f t="shared" si="492"/>
        <v>0</v>
      </c>
    </row>
    <row r="1627" spans="2:93" hidden="1" x14ac:dyDescent="0.25">
      <c r="B1627" s="315">
        <v>44372</v>
      </c>
      <c r="C1627" s="4" t="s">
        <v>1522</v>
      </c>
      <c r="D1627" s="4" t="s">
        <v>1523</v>
      </c>
      <c r="F1627" s="4" t="s">
        <v>90</v>
      </c>
      <c r="G1627" s="5" t="s">
        <v>1512</v>
      </c>
      <c r="H1627" s="5" t="s">
        <v>1525</v>
      </c>
      <c r="I1627" s="5" t="s">
        <v>18</v>
      </c>
      <c r="J1627" s="5" t="s">
        <v>10</v>
      </c>
      <c r="K1627" s="5">
        <v>12</v>
      </c>
      <c r="L1627" s="5" t="s">
        <v>1526</v>
      </c>
      <c r="M1627" s="5">
        <v>1100</v>
      </c>
      <c r="N1627" s="5" t="s">
        <v>170</v>
      </c>
      <c r="O1627" s="6" t="s">
        <v>81</v>
      </c>
      <c r="P1627" s="6" t="s">
        <v>1528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6" t="str">
        <f>+VLOOKUP(G1627,Liste!$A$7:$G$69,3,FALSE)</f>
        <v>Pin d'Alep</v>
      </c>
      <c r="BI1627" s="96" t="str">
        <f>+VLOOKUP(H1627,Liste!$B$7:$G$69,5,FALSE)</f>
        <v>Pin d'Alep</v>
      </c>
      <c r="BJ1627" s="135">
        <f t="shared" si="491"/>
        <v>49</v>
      </c>
      <c r="BK1627" s="135" t="str">
        <f t="shared" si="493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97" t="str">
        <f>+VLOOKUP(G1627,Liste!$A$7:$H$69,8,FALSE)</f>
        <v>Résineux</v>
      </c>
      <c r="BU1627" s="297">
        <f t="shared" si="494"/>
        <v>0</v>
      </c>
      <c r="BV1627" s="299">
        <f t="shared" si="495"/>
        <v>1</v>
      </c>
      <c r="BW1627" s="318">
        <v>0</v>
      </c>
      <c r="BX1627" s="297">
        <f t="shared" si="496"/>
        <v>0.43</v>
      </c>
      <c r="BY1627">
        <f t="shared" si="497"/>
        <v>0</v>
      </c>
      <c r="BZ1627" s="303">
        <f t="shared" si="498"/>
        <v>0</v>
      </c>
      <c r="CB1627" s="298">
        <v>0.6</v>
      </c>
      <c r="CC1627" s="298">
        <v>0.4</v>
      </c>
      <c r="CD1627">
        <f t="shared" si="499"/>
        <v>0</v>
      </c>
      <c r="CE1627">
        <f t="shared" si="500"/>
        <v>0</v>
      </c>
      <c r="CF1627">
        <f t="shared" si="501"/>
        <v>0</v>
      </c>
      <c r="CG1627">
        <f t="shared" si="502"/>
        <v>0</v>
      </c>
      <c r="CH1627">
        <f t="shared" si="503"/>
        <v>0</v>
      </c>
      <c r="CI1627">
        <f t="shared" si="504"/>
        <v>0</v>
      </c>
      <c r="CJ1627">
        <f t="shared" si="505"/>
        <v>0</v>
      </c>
      <c r="CK1627">
        <f t="shared" si="506"/>
        <v>0</v>
      </c>
      <c r="CL1627">
        <f t="shared" si="507"/>
        <v>0</v>
      </c>
      <c r="CM1627">
        <f t="shared" si="509"/>
        <v>0</v>
      </c>
      <c r="CN1627">
        <f t="shared" si="508"/>
        <v>0</v>
      </c>
      <c r="CO1627">
        <f t="shared" si="492"/>
        <v>0</v>
      </c>
    </row>
    <row r="1628" spans="2:93" hidden="1" x14ac:dyDescent="0.25">
      <c r="B1628" s="315">
        <v>44372</v>
      </c>
      <c r="C1628" s="4" t="s">
        <v>1522</v>
      </c>
      <c r="D1628" s="4" t="s">
        <v>1523</v>
      </c>
      <c r="F1628" s="4" t="s">
        <v>90</v>
      </c>
      <c r="G1628" s="5" t="s">
        <v>1512</v>
      </c>
      <c r="H1628" s="5" t="s">
        <v>1525</v>
      </c>
      <c r="I1628" s="5" t="s">
        <v>18</v>
      </c>
      <c r="J1628" s="5" t="s">
        <v>10</v>
      </c>
      <c r="K1628" s="5">
        <v>12</v>
      </c>
      <c r="L1628" s="5" t="s">
        <v>1526</v>
      </c>
      <c r="M1628" s="5">
        <v>1100</v>
      </c>
      <c r="N1628" s="5" t="s">
        <v>170</v>
      </c>
      <c r="O1628" s="6" t="s">
        <v>81</v>
      </c>
      <c r="P1628" s="6" t="s">
        <v>1528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6" t="str">
        <f>+VLOOKUP(G1628,Liste!$A$7:$G$69,3,FALSE)</f>
        <v>Pin d'Alep</v>
      </c>
      <c r="BI1628" s="96" t="str">
        <f>+VLOOKUP(H1628,Liste!$B$7:$G$69,5,FALSE)</f>
        <v>Pin d'Alep</v>
      </c>
      <c r="BJ1628" s="135">
        <f t="shared" si="491"/>
        <v>50</v>
      </c>
      <c r="BK1628" s="135" t="str">
        <f t="shared" si="493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97" t="str">
        <f>+VLOOKUP(G1628,Liste!$A$7:$H$69,8,FALSE)</f>
        <v>Résineux</v>
      </c>
      <c r="BU1628" s="297">
        <f t="shared" si="494"/>
        <v>0</v>
      </c>
      <c r="BV1628" s="299">
        <f t="shared" si="495"/>
        <v>1</v>
      </c>
      <c r="BW1628" s="318">
        <v>0</v>
      </c>
      <c r="BX1628" s="297">
        <f t="shared" si="496"/>
        <v>0.43</v>
      </c>
      <c r="BY1628">
        <f t="shared" si="497"/>
        <v>0</v>
      </c>
      <c r="BZ1628" s="303">
        <f t="shared" si="498"/>
        <v>0</v>
      </c>
      <c r="CB1628" s="298">
        <v>0.6</v>
      </c>
      <c r="CC1628" s="298">
        <v>0.4</v>
      </c>
      <c r="CD1628">
        <f t="shared" si="499"/>
        <v>0</v>
      </c>
      <c r="CE1628">
        <f t="shared" si="500"/>
        <v>0</v>
      </c>
      <c r="CF1628">
        <f t="shared" si="501"/>
        <v>0</v>
      </c>
      <c r="CG1628">
        <f t="shared" si="502"/>
        <v>0</v>
      </c>
      <c r="CH1628">
        <f t="shared" si="503"/>
        <v>0</v>
      </c>
      <c r="CI1628">
        <f t="shared" si="504"/>
        <v>0</v>
      </c>
      <c r="CJ1628">
        <f t="shared" si="505"/>
        <v>0</v>
      </c>
      <c r="CK1628">
        <f t="shared" si="506"/>
        <v>0</v>
      </c>
      <c r="CL1628">
        <f t="shared" si="507"/>
        <v>0</v>
      </c>
      <c r="CM1628">
        <f t="shared" si="509"/>
        <v>0</v>
      </c>
      <c r="CN1628">
        <f t="shared" si="508"/>
        <v>0</v>
      </c>
      <c r="CO1628">
        <f t="shared" si="492"/>
        <v>0</v>
      </c>
    </row>
    <row r="1629" spans="2:93" hidden="1" x14ac:dyDescent="0.25">
      <c r="B1629" s="315">
        <v>44372</v>
      </c>
      <c r="C1629" s="4" t="s">
        <v>1522</v>
      </c>
      <c r="D1629" s="4" t="s">
        <v>1523</v>
      </c>
      <c r="F1629" s="4" t="s">
        <v>90</v>
      </c>
      <c r="G1629" s="5" t="s">
        <v>1512</v>
      </c>
      <c r="H1629" s="5" t="s">
        <v>1525</v>
      </c>
      <c r="I1629" s="5" t="s">
        <v>18</v>
      </c>
      <c r="J1629" s="5" t="s">
        <v>10</v>
      </c>
      <c r="K1629" s="5">
        <v>12</v>
      </c>
      <c r="L1629" s="5" t="s">
        <v>1526</v>
      </c>
      <c r="M1629" s="5">
        <v>1100</v>
      </c>
      <c r="N1629" s="5" t="s">
        <v>170</v>
      </c>
      <c r="O1629" s="6" t="s">
        <v>81</v>
      </c>
      <c r="P1629" s="6" t="s">
        <v>1528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6" t="str">
        <f>+VLOOKUP(G1629,Liste!$A$7:$G$69,3,FALSE)</f>
        <v>Pin d'Alep</v>
      </c>
      <c r="BI1629" s="96" t="str">
        <f>+VLOOKUP(H1629,Liste!$B$7:$G$69,5,FALSE)</f>
        <v>Pin d'Alep</v>
      </c>
      <c r="BJ1629" s="135">
        <f t="shared" si="491"/>
        <v>50</v>
      </c>
      <c r="BK1629" s="135" t="str">
        <f t="shared" si="493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97" t="str">
        <f>+VLOOKUP(G1629,Liste!$A$7:$H$69,8,FALSE)</f>
        <v>Résineux</v>
      </c>
      <c r="BU1629" s="297">
        <f t="shared" si="494"/>
        <v>0</v>
      </c>
      <c r="BV1629" s="299">
        <f t="shared" si="495"/>
        <v>1</v>
      </c>
      <c r="BW1629" s="318">
        <v>0</v>
      </c>
      <c r="BX1629" s="297">
        <f t="shared" si="496"/>
        <v>0.43</v>
      </c>
      <c r="BY1629">
        <f t="shared" si="497"/>
        <v>0</v>
      </c>
      <c r="BZ1629" s="303">
        <f t="shared" si="498"/>
        <v>0</v>
      </c>
      <c r="CB1629" s="298">
        <v>0.6</v>
      </c>
      <c r="CC1629" s="298">
        <v>0.4</v>
      </c>
      <c r="CD1629">
        <f t="shared" si="499"/>
        <v>0</v>
      </c>
      <c r="CE1629">
        <f t="shared" si="500"/>
        <v>0</v>
      </c>
      <c r="CF1629">
        <f t="shared" si="501"/>
        <v>0</v>
      </c>
      <c r="CG1629">
        <f t="shared" si="502"/>
        <v>0</v>
      </c>
      <c r="CH1629">
        <f t="shared" si="503"/>
        <v>0</v>
      </c>
      <c r="CI1629">
        <f t="shared" si="504"/>
        <v>0</v>
      </c>
      <c r="CJ1629">
        <f t="shared" si="505"/>
        <v>0</v>
      </c>
      <c r="CK1629">
        <f t="shared" si="506"/>
        <v>0</v>
      </c>
      <c r="CL1629">
        <f t="shared" si="507"/>
        <v>0</v>
      </c>
      <c r="CM1629">
        <f t="shared" si="509"/>
        <v>0</v>
      </c>
      <c r="CN1629">
        <f t="shared" si="508"/>
        <v>0</v>
      </c>
      <c r="CO1629">
        <f t="shared" si="492"/>
        <v>0</v>
      </c>
    </row>
    <row r="1630" spans="2:93" hidden="1" x14ac:dyDescent="0.25">
      <c r="B1630" s="315">
        <v>44372</v>
      </c>
      <c r="C1630" s="4" t="s">
        <v>1522</v>
      </c>
      <c r="D1630" s="4" t="s">
        <v>1523</v>
      </c>
      <c r="F1630" s="4" t="s">
        <v>90</v>
      </c>
      <c r="G1630" s="5" t="s">
        <v>1512</v>
      </c>
      <c r="H1630" s="5" t="s">
        <v>1525</v>
      </c>
      <c r="I1630" s="5" t="s">
        <v>18</v>
      </c>
      <c r="J1630" s="5" t="s">
        <v>10</v>
      </c>
      <c r="K1630" s="5">
        <v>12</v>
      </c>
      <c r="L1630" s="5" t="s">
        <v>1526</v>
      </c>
      <c r="M1630" s="5">
        <v>1100</v>
      </c>
      <c r="N1630" s="5" t="s">
        <v>170</v>
      </c>
      <c r="O1630" s="6" t="s">
        <v>81</v>
      </c>
      <c r="P1630" s="6" t="s">
        <v>1528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6" t="str">
        <f>+VLOOKUP(G1630,Liste!$A$7:$G$69,3,FALSE)</f>
        <v>Pin d'Alep</v>
      </c>
      <c r="BI1630" s="96" t="str">
        <f>+VLOOKUP(H1630,Liste!$B$7:$G$69,5,FALSE)</f>
        <v>Pin d'Alep</v>
      </c>
      <c r="BJ1630" s="135">
        <f t="shared" si="491"/>
        <v>51</v>
      </c>
      <c r="BK1630" s="135" t="str">
        <f t="shared" si="493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97" t="str">
        <f>+VLOOKUP(G1630,Liste!$A$7:$H$69,8,FALSE)</f>
        <v>Résineux</v>
      </c>
      <c r="BU1630" s="297">
        <f t="shared" si="494"/>
        <v>0</v>
      </c>
      <c r="BV1630" s="299">
        <f t="shared" si="495"/>
        <v>1</v>
      </c>
      <c r="BW1630" s="318">
        <v>0</v>
      </c>
      <c r="BX1630" s="297">
        <f t="shared" si="496"/>
        <v>0.43</v>
      </c>
      <c r="BY1630">
        <f t="shared" si="497"/>
        <v>0</v>
      </c>
      <c r="BZ1630" s="303">
        <f t="shared" si="498"/>
        <v>0</v>
      </c>
      <c r="CB1630" s="298">
        <v>0.6</v>
      </c>
      <c r="CC1630" s="298">
        <v>0.4</v>
      </c>
      <c r="CD1630">
        <f t="shared" si="499"/>
        <v>0</v>
      </c>
      <c r="CE1630">
        <f t="shared" si="500"/>
        <v>0</v>
      </c>
      <c r="CF1630">
        <f t="shared" si="501"/>
        <v>0</v>
      </c>
      <c r="CG1630">
        <f t="shared" si="502"/>
        <v>0</v>
      </c>
      <c r="CH1630">
        <f t="shared" si="503"/>
        <v>0</v>
      </c>
      <c r="CI1630">
        <f t="shared" si="504"/>
        <v>0</v>
      </c>
      <c r="CJ1630">
        <f t="shared" si="505"/>
        <v>0</v>
      </c>
      <c r="CK1630">
        <f t="shared" si="506"/>
        <v>0</v>
      </c>
      <c r="CL1630">
        <f t="shared" si="507"/>
        <v>0</v>
      </c>
      <c r="CM1630">
        <f t="shared" si="509"/>
        <v>0</v>
      </c>
      <c r="CN1630">
        <f t="shared" si="508"/>
        <v>0</v>
      </c>
      <c r="CO1630">
        <f t="shared" si="492"/>
        <v>0</v>
      </c>
    </row>
    <row r="1631" spans="2:93" hidden="1" x14ac:dyDescent="0.25">
      <c r="B1631" s="315">
        <v>44372</v>
      </c>
      <c r="C1631" s="4" t="s">
        <v>1522</v>
      </c>
      <c r="D1631" s="4" t="s">
        <v>1523</v>
      </c>
      <c r="F1631" s="4" t="s">
        <v>90</v>
      </c>
      <c r="G1631" s="5" t="s">
        <v>1512</v>
      </c>
      <c r="H1631" s="5" t="s">
        <v>1525</v>
      </c>
      <c r="I1631" s="5" t="s">
        <v>18</v>
      </c>
      <c r="J1631" s="5" t="s">
        <v>10</v>
      </c>
      <c r="K1631" s="5">
        <v>12</v>
      </c>
      <c r="L1631" s="5" t="s">
        <v>1526</v>
      </c>
      <c r="M1631" s="5">
        <v>1100</v>
      </c>
      <c r="N1631" s="5" t="s">
        <v>170</v>
      </c>
      <c r="O1631" s="6" t="s">
        <v>81</v>
      </c>
      <c r="P1631" s="6" t="s">
        <v>1528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6" t="str">
        <f>+VLOOKUP(G1631,Liste!$A$7:$G$69,3,FALSE)</f>
        <v>Pin d'Alep</v>
      </c>
      <c r="BI1631" s="96" t="str">
        <f>+VLOOKUP(H1631,Liste!$B$7:$G$69,5,FALSE)</f>
        <v>Pin d'Alep</v>
      </c>
      <c r="BJ1631" s="135">
        <f t="shared" si="491"/>
        <v>52</v>
      </c>
      <c r="BK1631" s="135" t="str">
        <f t="shared" si="493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97" t="str">
        <f>+VLOOKUP(G1631,Liste!$A$7:$H$69,8,FALSE)</f>
        <v>Résineux</v>
      </c>
      <c r="BU1631" s="297">
        <f t="shared" si="494"/>
        <v>0</v>
      </c>
      <c r="BV1631" s="299">
        <f t="shared" si="495"/>
        <v>1</v>
      </c>
      <c r="BW1631" s="318">
        <v>0</v>
      </c>
      <c r="BX1631" s="297">
        <f t="shared" si="496"/>
        <v>0.43</v>
      </c>
      <c r="BY1631">
        <f t="shared" si="497"/>
        <v>0</v>
      </c>
      <c r="BZ1631" s="303">
        <f t="shared" si="498"/>
        <v>0</v>
      </c>
      <c r="CB1631" s="298">
        <v>0.6</v>
      </c>
      <c r="CC1631" s="298">
        <v>0.4</v>
      </c>
      <c r="CD1631">
        <f t="shared" si="499"/>
        <v>0</v>
      </c>
      <c r="CE1631">
        <f t="shared" si="500"/>
        <v>0</v>
      </c>
      <c r="CF1631">
        <f t="shared" si="501"/>
        <v>0</v>
      </c>
      <c r="CG1631">
        <f t="shared" si="502"/>
        <v>0</v>
      </c>
      <c r="CH1631">
        <f t="shared" si="503"/>
        <v>0</v>
      </c>
      <c r="CI1631">
        <f t="shared" si="504"/>
        <v>0</v>
      </c>
      <c r="CJ1631">
        <f t="shared" si="505"/>
        <v>0</v>
      </c>
      <c r="CK1631">
        <f t="shared" si="506"/>
        <v>0</v>
      </c>
      <c r="CL1631">
        <f t="shared" si="507"/>
        <v>0</v>
      </c>
      <c r="CM1631">
        <f t="shared" si="509"/>
        <v>0</v>
      </c>
      <c r="CN1631">
        <f t="shared" si="508"/>
        <v>0</v>
      </c>
      <c r="CO1631">
        <f t="shared" si="492"/>
        <v>0</v>
      </c>
    </row>
    <row r="1632" spans="2:93" hidden="1" x14ac:dyDescent="0.25">
      <c r="B1632" s="315">
        <v>44372</v>
      </c>
      <c r="C1632" s="4" t="s">
        <v>1522</v>
      </c>
      <c r="D1632" s="4" t="s">
        <v>1523</v>
      </c>
      <c r="F1632" s="4" t="s">
        <v>90</v>
      </c>
      <c r="G1632" s="5" t="s">
        <v>1512</v>
      </c>
      <c r="H1632" s="5" t="s">
        <v>1525</v>
      </c>
      <c r="I1632" s="5" t="s">
        <v>18</v>
      </c>
      <c r="J1632" s="5" t="s">
        <v>10</v>
      </c>
      <c r="K1632" s="5">
        <v>12</v>
      </c>
      <c r="L1632" s="5" t="s">
        <v>1526</v>
      </c>
      <c r="M1632" s="5">
        <v>1100</v>
      </c>
      <c r="N1632" s="5" t="s">
        <v>170</v>
      </c>
      <c r="O1632" s="6" t="s">
        <v>81</v>
      </c>
      <c r="P1632" s="6" t="s">
        <v>1528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6" t="str">
        <f>+VLOOKUP(G1632,Liste!$A$7:$G$69,3,FALSE)</f>
        <v>Pin d'Alep</v>
      </c>
      <c r="BI1632" s="96" t="str">
        <f>+VLOOKUP(H1632,Liste!$B$7:$G$69,5,FALSE)</f>
        <v>Pin d'Alep</v>
      </c>
      <c r="BJ1632" s="135">
        <f t="shared" si="491"/>
        <v>53</v>
      </c>
      <c r="BK1632" s="135" t="str">
        <f t="shared" si="493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97" t="str">
        <f>+VLOOKUP(G1632,Liste!$A$7:$H$69,8,FALSE)</f>
        <v>Résineux</v>
      </c>
      <c r="BU1632" s="297">
        <f t="shared" si="494"/>
        <v>0</v>
      </c>
      <c r="BV1632" s="299">
        <f t="shared" si="495"/>
        <v>1</v>
      </c>
      <c r="BW1632" s="318">
        <v>0</v>
      </c>
      <c r="BX1632" s="297">
        <f t="shared" si="496"/>
        <v>0.43</v>
      </c>
      <c r="BY1632">
        <f t="shared" si="497"/>
        <v>0</v>
      </c>
      <c r="BZ1632" s="303">
        <f t="shared" si="498"/>
        <v>0</v>
      </c>
      <c r="CB1632" s="298">
        <v>0.6</v>
      </c>
      <c r="CC1632" s="298">
        <v>0.4</v>
      </c>
      <c r="CD1632">
        <f t="shared" si="499"/>
        <v>0</v>
      </c>
      <c r="CE1632">
        <f t="shared" si="500"/>
        <v>0</v>
      </c>
      <c r="CF1632">
        <f t="shared" si="501"/>
        <v>0</v>
      </c>
      <c r="CG1632">
        <f t="shared" si="502"/>
        <v>0</v>
      </c>
      <c r="CH1632">
        <f t="shared" si="503"/>
        <v>0</v>
      </c>
      <c r="CI1632">
        <f t="shared" si="504"/>
        <v>0</v>
      </c>
      <c r="CJ1632">
        <f t="shared" si="505"/>
        <v>0</v>
      </c>
      <c r="CK1632">
        <f t="shared" si="506"/>
        <v>0</v>
      </c>
      <c r="CL1632">
        <f t="shared" si="507"/>
        <v>0</v>
      </c>
      <c r="CM1632">
        <f t="shared" si="509"/>
        <v>0</v>
      </c>
      <c r="CN1632">
        <f t="shared" si="508"/>
        <v>0</v>
      </c>
      <c r="CO1632">
        <f t="shared" si="492"/>
        <v>0</v>
      </c>
    </row>
    <row r="1633" spans="2:93" hidden="1" x14ac:dyDescent="0.25">
      <c r="B1633" s="315">
        <v>44372</v>
      </c>
      <c r="C1633" s="4" t="s">
        <v>1522</v>
      </c>
      <c r="D1633" s="4" t="s">
        <v>1523</v>
      </c>
      <c r="F1633" s="4" t="s">
        <v>90</v>
      </c>
      <c r="G1633" s="5" t="s">
        <v>1512</v>
      </c>
      <c r="H1633" s="5" t="s">
        <v>1525</v>
      </c>
      <c r="I1633" s="5" t="s">
        <v>18</v>
      </c>
      <c r="J1633" s="5" t="s">
        <v>10</v>
      </c>
      <c r="K1633" s="5">
        <v>12</v>
      </c>
      <c r="L1633" s="5" t="s">
        <v>1526</v>
      </c>
      <c r="M1633" s="5">
        <v>1100</v>
      </c>
      <c r="N1633" s="5" t="s">
        <v>170</v>
      </c>
      <c r="O1633" s="6" t="s">
        <v>81</v>
      </c>
      <c r="P1633" s="6" t="s">
        <v>1528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6" t="str">
        <f>+VLOOKUP(G1633,Liste!$A$7:$G$69,3,FALSE)</f>
        <v>Pin d'Alep</v>
      </c>
      <c r="BI1633" s="96" t="str">
        <f>+VLOOKUP(H1633,Liste!$B$7:$G$69,5,FALSE)</f>
        <v>Pin d'Alep</v>
      </c>
      <c r="BJ1633" s="135">
        <f t="shared" si="491"/>
        <v>54</v>
      </c>
      <c r="BK1633" s="135" t="str">
        <f t="shared" si="493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97" t="str">
        <f>+VLOOKUP(G1633,Liste!$A$7:$H$69,8,FALSE)</f>
        <v>Résineux</v>
      </c>
      <c r="BU1633" s="297">
        <f t="shared" si="494"/>
        <v>0</v>
      </c>
      <c r="BV1633" s="299">
        <f t="shared" si="495"/>
        <v>1</v>
      </c>
      <c r="BW1633" s="318">
        <v>0</v>
      </c>
      <c r="BX1633" s="297">
        <f t="shared" si="496"/>
        <v>0.43</v>
      </c>
      <c r="BY1633">
        <f t="shared" si="497"/>
        <v>0</v>
      </c>
      <c r="BZ1633" s="303">
        <f t="shared" si="498"/>
        <v>0</v>
      </c>
      <c r="CB1633" s="298">
        <v>0.6</v>
      </c>
      <c r="CC1633" s="298">
        <v>0.4</v>
      </c>
      <c r="CD1633">
        <f t="shared" si="499"/>
        <v>0</v>
      </c>
      <c r="CE1633">
        <f t="shared" si="500"/>
        <v>0</v>
      </c>
      <c r="CF1633">
        <f t="shared" si="501"/>
        <v>0</v>
      </c>
      <c r="CG1633">
        <f t="shared" si="502"/>
        <v>0</v>
      </c>
      <c r="CH1633">
        <f t="shared" si="503"/>
        <v>0</v>
      </c>
      <c r="CI1633">
        <f t="shared" si="504"/>
        <v>0</v>
      </c>
      <c r="CJ1633">
        <f t="shared" si="505"/>
        <v>0</v>
      </c>
      <c r="CK1633">
        <f t="shared" si="506"/>
        <v>0</v>
      </c>
      <c r="CL1633">
        <f t="shared" si="507"/>
        <v>0</v>
      </c>
      <c r="CM1633">
        <f t="shared" si="509"/>
        <v>0</v>
      </c>
      <c r="CN1633">
        <f t="shared" si="508"/>
        <v>0</v>
      </c>
      <c r="CO1633">
        <f t="shared" si="492"/>
        <v>0</v>
      </c>
    </row>
    <row r="1634" spans="2:93" hidden="1" x14ac:dyDescent="0.25">
      <c r="B1634" s="315">
        <v>44372</v>
      </c>
      <c r="C1634" s="4" t="s">
        <v>1522</v>
      </c>
      <c r="D1634" s="4" t="s">
        <v>1523</v>
      </c>
      <c r="F1634" s="4" t="s">
        <v>90</v>
      </c>
      <c r="G1634" s="5" t="s">
        <v>1512</v>
      </c>
      <c r="H1634" s="5" t="s">
        <v>1525</v>
      </c>
      <c r="I1634" s="5" t="s">
        <v>18</v>
      </c>
      <c r="J1634" s="5" t="s">
        <v>10</v>
      </c>
      <c r="K1634" s="5">
        <v>12</v>
      </c>
      <c r="L1634" s="5" t="s">
        <v>1526</v>
      </c>
      <c r="M1634" s="5">
        <v>1100</v>
      </c>
      <c r="N1634" s="5" t="s">
        <v>170</v>
      </c>
      <c r="O1634" s="6" t="s">
        <v>81</v>
      </c>
      <c r="P1634" s="6" t="s">
        <v>1528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6" t="str">
        <f>+VLOOKUP(G1634,Liste!$A$7:$G$69,3,FALSE)</f>
        <v>Pin d'Alep</v>
      </c>
      <c r="BI1634" s="96" t="str">
        <f>+VLOOKUP(H1634,Liste!$B$7:$G$69,5,FALSE)</f>
        <v>Pin d'Alep</v>
      </c>
      <c r="BJ1634" s="135">
        <f t="shared" si="491"/>
        <v>55</v>
      </c>
      <c r="BK1634" s="135" t="str">
        <f t="shared" si="493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97" t="str">
        <f>+VLOOKUP(G1634,Liste!$A$7:$H$69,8,FALSE)</f>
        <v>Résineux</v>
      </c>
      <c r="BU1634" s="297">
        <f t="shared" si="494"/>
        <v>0</v>
      </c>
      <c r="BV1634" s="299">
        <f t="shared" si="495"/>
        <v>1</v>
      </c>
      <c r="BW1634" s="318">
        <v>0</v>
      </c>
      <c r="BX1634" s="297">
        <f t="shared" si="496"/>
        <v>0.43</v>
      </c>
      <c r="BY1634">
        <f t="shared" si="497"/>
        <v>0</v>
      </c>
      <c r="BZ1634" s="303">
        <f t="shared" si="498"/>
        <v>0</v>
      </c>
      <c r="CB1634" s="298">
        <v>0.6</v>
      </c>
      <c r="CC1634" s="298">
        <v>0.4</v>
      </c>
      <c r="CD1634">
        <f t="shared" si="499"/>
        <v>0</v>
      </c>
      <c r="CE1634">
        <f t="shared" si="500"/>
        <v>0</v>
      </c>
      <c r="CF1634">
        <f t="shared" si="501"/>
        <v>0</v>
      </c>
      <c r="CG1634">
        <f t="shared" si="502"/>
        <v>0</v>
      </c>
      <c r="CH1634">
        <f t="shared" si="503"/>
        <v>0</v>
      </c>
      <c r="CI1634">
        <f t="shared" si="504"/>
        <v>0</v>
      </c>
      <c r="CJ1634">
        <f t="shared" si="505"/>
        <v>0</v>
      </c>
      <c r="CK1634">
        <f t="shared" si="506"/>
        <v>0</v>
      </c>
      <c r="CL1634">
        <f t="shared" si="507"/>
        <v>0</v>
      </c>
      <c r="CM1634">
        <f t="shared" si="509"/>
        <v>0</v>
      </c>
      <c r="CN1634">
        <f t="shared" si="508"/>
        <v>0</v>
      </c>
      <c r="CO1634">
        <f t="shared" si="492"/>
        <v>0</v>
      </c>
    </row>
    <row r="1635" spans="2:93" hidden="1" x14ac:dyDescent="0.25">
      <c r="B1635" s="315">
        <v>44372</v>
      </c>
      <c r="C1635" s="4" t="s">
        <v>1522</v>
      </c>
      <c r="D1635" s="4" t="s">
        <v>1523</v>
      </c>
      <c r="F1635" s="4" t="s">
        <v>90</v>
      </c>
      <c r="G1635" s="5" t="s">
        <v>1512</v>
      </c>
      <c r="H1635" s="5" t="s">
        <v>1525</v>
      </c>
      <c r="I1635" s="5" t="s">
        <v>18</v>
      </c>
      <c r="J1635" s="5" t="s">
        <v>10</v>
      </c>
      <c r="K1635" s="5">
        <v>12</v>
      </c>
      <c r="L1635" s="5" t="s">
        <v>1526</v>
      </c>
      <c r="M1635" s="5">
        <v>1100</v>
      </c>
      <c r="N1635" s="5" t="s">
        <v>170</v>
      </c>
      <c r="O1635" s="6" t="s">
        <v>81</v>
      </c>
      <c r="P1635" s="6" t="s">
        <v>1528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6" t="str">
        <f>+VLOOKUP(G1635,Liste!$A$7:$G$69,3,FALSE)</f>
        <v>Pin d'Alep</v>
      </c>
      <c r="BI1635" s="96" t="str">
        <f>+VLOOKUP(H1635,Liste!$B$7:$G$69,5,FALSE)</f>
        <v>Pin d'Alep</v>
      </c>
      <c r="BJ1635" s="135">
        <f t="shared" si="491"/>
        <v>56</v>
      </c>
      <c r="BK1635" s="135" t="str">
        <f t="shared" si="493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97" t="str">
        <f>+VLOOKUP(G1635,Liste!$A$7:$H$69,8,FALSE)</f>
        <v>Résineux</v>
      </c>
      <c r="BU1635" s="297">
        <f t="shared" si="494"/>
        <v>0</v>
      </c>
      <c r="BV1635" s="299">
        <f t="shared" si="495"/>
        <v>1</v>
      </c>
      <c r="BW1635" s="318">
        <v>0</v>
      </c>
      <c r="BX1635" s="297">
        <f t="shared" si="496"/>
        <v>0.43</v>
      </c>
      <c r="BY1635">
        <f t="shared" si="497"/>
        <v>0</v>
      </c>
      <c r="BZ1635" s="303">
        <f t="shared" si="498"/>
        <v>0</v>
      </c>
      <c r="CB1635" s="298">
        <v>0.6</v>
      </c>
      <c r="CC1635" s="298">
        <v>0.4</v>
      </c>
      <c r="CD1635">
        <f t="shared" si="499"/>
        <v>0</v>
      </c>
      <c r="CE1635">
        <f t="shared" si="500"/>
        <v>0</v>
      </c>
      <c r="CF1635">
        <f t="shared" si="501"/>
        <v>0</v>
      </c>
      <c r="CG1635">
        <f t="shared" si="502"/>
        <v>0</v>
      </c>
      <c r="CH1635">
        <f t="shared" si="503"/>
        <v>0</v>
      </c>
      <c r="CI1635">
        <f t="shared" si="504"/>
        <v>0</v>
      </c>
      <c r="CJ1635">
        <f t="shared" si="505"/>
        <v>0</v>
      </c>
      <c r="CK1635">
        <f t="shared" si="506"/>
        <v>0</v>
      </c>
      <c r="CL1635">
        <f t="shared" si="507"/>
        <v>0</v>
      </c>
      <c r="CM1635">
        <f t="shared" si="509"/>
        <v>0</v>
      </c>
      <c r="CN1635">
        <f t="shared" si="508"/>
        <v>0</v>
      </c>
      <c r="CO1635">
        <f t="shared" si="492"/>
        <v>0</v>
      </c>
    </row>
    <row r="1636" spans="2:93" hidden="1" x14ac:dyDescent="0.25">
      <c r="B1636" s="315">
        <v>44372</v>
      </c>
      <c r="C1636" s="4" t="s">
        <v>1522</v>
      </c>
      <c r="D1636" s="4" t="s">
        <v>1523</v>
      </c>
      <c r="F1636" s="4" t="s">
        <v>90</v>
      </c>
      <c r="G1636" s="5" t="s">
        <v>1512</v>
      </c>
      <c r="H1636" s="5" t="s">
        <v>1525</v>
      </c>
      <c r="I1636" s="5" t="s">
        <v>18</v>
      </c>
      <c r="J1636" s="5" t="s">
        <v>10</v>
      </c>
      <c r="K1636" s="5">
        <v>12</v>
      </c>
      <c r="L1636" s="5" t="s">
        <v>1526</v>
      </c>
      <c r="M1636" s="5">
        <v>1100</v>
      </c>
      <c r="N1636" s="5" t="s">
        <v>170</v>
      </c>
      <c r="O1636" s="6" t="s">
        <v>81</v>
      </c>
      <c r="P1636" s="6" t="s">
        <v>1528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6" t="str">
        <f>+VLOOKUP(G1636,Liste!$A$7:$G$69,3,FALSE)</f>
        <v>Pin d'Alep</v>
      </c>
      <c r="BI1636" s="96" t="str">
        <f>+VLOOKUP(H1636,Liste!$B$7:$G$69,5,FALSE)</f>
        <v>Pin d'Alep</v>
      </c>
      <c r="BJ1636" s="135">
        <f t="shared" si="491"/>
        <v>57</v>
      </c>
      <c r="BK1636" s="135" t="str">
        <f t="shared" si="493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97" t="str">
        <f>+VLOOKUP(G1636,Liste!$A$7:$H$69,8,FALSE)</f>
        <v>Résineux</v>
      </c>
      <c r="BU1636" s="297">
        <f t="shared" si="494"/>
        <v>0</v>
      </c>
      <c r="BV1636" s="299">
        <f t="shared" si="495"/>
        <v>1</v>
      </c>
      <c r="BW1636" s="318">
        <v>0</v>
      </c>
      <c r="BX1636" s="297">
        <f t="shared" si="496"/>
        <v>0.43</v>
      </c>
      <c r="BY1636">
        <f t="shared" si="497"/>
        <v>0</v>
      </c>
      <c r="BZ1636" s="303">
        <f t="shared" si="498"/>
        <v>0</v>
      </c>
      <c r="CB1636" s="298">
        <v>0.6</v>
      </c>
      <c r="CC1636" s="298">
        <v>0.4</v>
      </c>
      <c r="CD1636">
        <f t="shared" si="499"/>
        <v>0</v>
      </c>
      <c r="CE1636">
        <f t="shared" si="500"/>
        <v>0</v>
      </c>
      <c r="CF1636">
        <f t="shared" si="501"/>
        <v>0</v>
      </c>
      <c r="CG1636">
        <f t="shared" si="502"/>
        <v>0</v>
      </c>
      <c r="CH1636">
        <f t="shared" si="503"/>
        <v>0</v>
      </c>
      <c r="CI1636">
        <f t="shared" si="504"/>
        <v>0</v>
      </c>
      <c r="CJ1636">
        <f t="shared" si="505"/>
        <v>0</v>
      </c>
      <c r="CK1636">
        <f t="shared" si="506"/>
        <v>0</v>
      </c>
      <c r="CL1636">
        <f t="shared" si="507"/>
        <v>0</v>
      </c>
      <c r="CM1636">
        <f t="shared" si="509"/>
        <v>0</v>
      </c>
      <c r="CN1636">
        <f t="shared" si="508"/>
        <v>0</v>
      </c>
      <c r="CO1636">
        <f t="shared" si="492"/>
        <v>0</v>
      </c>
    </row>
    <row r="1637" spans="2:93" hidden="1" x14ac:dyDescent="0.25">
      <c r="B1637" s="315">
        <v>44372</v>
      </c>
      <c r="C1637" s="4" t="s">
        <v>1522</v>
      </c>
      <c r="D1637" s="4" t="s">
        <v>1523</v>
      </c>
      <c r="F1637" s="4" t="s">
        <v>90</v>
      </c>
      <c r="G1637" s="5" t="s">
        <v>1512</v>
      </c>
      <c r="H1637" s="5" t="s">
        <v>1525</v>
      </c>
      <c r="I1637" s="5" t="s">
        <v>18</v>
      </c>
      <c r="J1637" s="5" t="s">
        <v>10</v>
      </c>
      <c r="K1637" s="5">
        <v>12</v>
      </c>
      <c r="L1637" s="5" t="s">
        <v>1526</v>
      </c>
      <c r="M1637" s="5">
        <v>1100</v>
      </c>
      <c r="N1637" s="5" t="s">
        <v>170</v>
      </c>
      <c r="O1637" s="6" t="s">
        <v>81</v>
      </c>
      <c r="P1637" s="6" t="s">
        <v>1528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6" t="str">
        <f>+VLOOKUP(G1637,Liste!$A$7:$G$69,3,FALSE)</f>
        <v>Pin d'Alep</v>
      </c>
      <c r="BI1637" s="96" t="str">
        <f>+VLOOKUP(H1637,Liste!$B$7:$G$69,5,FALSE)</f>
        <v>Pin d'Alep</v>
      </c>
      <c r="BJ1637" s="135">
        <f t="shared" si="491"/>
        <v>58</v>
      </c>
      <c r="BK1637" s="135" t="str">
        <f t="shared" si="493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97" t="str">
        <f>+VLOOKUP(G1637,Liste!$A$7:$H$69,8,FALSE)</f>
        <v>Résineux</v>
      </c>
      <c r="BU1637" s="297">
        <f t="shared" si="494"/>
        <v>0</v>
      </c>
      <c r="BV1637" s="299">
        <f t="shared" si="495"/>
        <v>1</v>
      </c>
      <c r="BW1637" s="318">
        <v>0</v>
      </c>
      <c r="BX1637" s="297">
        <f t="shared" si="496"/>
        <v>0.43</v>
      </c>
      <c r="BY1637">
        <f t="shared" si="497"/>
        <v>0</v>
      </c>
      <c r="BZ1637" s="303">
        <f t="shared" si="498"/>
        <v>0</v>
      </c>
      <c r="CB1637" s="298">
        <v>0.6</v>
      </c>
      <c r="CC1637" s="298">
        <v>0.4</v>
      </c>
      <c r="CD1637">
        <f t="shared" si="499"/>
        <v>0</v>
      </c>
      <c r="CE1637">
        <f t="shared" si="500"/>
        <v>0</v>
      </c>
      <c r="CF1637">
        <f t="shared" si="501"/>
        <v>0</v>
      </c>
      <c r="CG1637">
        <f t="shared" si="502"/>
        <v>0</v>
      </c>
      <c r="CH1637">
        <f t="shared" si="503"/>
        <v>0</v>
      </c>
      <c r="CI1637">
        <f t="shared" si="504"/>
        <v>0</v>
      </c>
      <c r="CJ1637">
        <f t="shared" si="505"/>
        <v>0</v>
      </c>
      <c r="CK1637">
        <f t="shared" si="506"/>
        <v>0</v>
      </c>
      <c r="CL1637">
        <f t="shared" si="507"/>
        <v>0</v>
      </c>
      <c r="CM1637">
        <f t="shared" si="509"/>
        <v>0</v>
      </c>
      <c r="CN1637">
        <f t="shared" si="508"/>
        <v>0</v>
      </c>
      <c r="CO1637">
        <f t="shared" si="492"/>
        <v>0</v>
      </c>
    </row>
    <row r="1638" spans="2:93" hidden="1" x14ac:dyDescent="0.25">
      <c r="B1638" s="315">
        <v>44372</v>
      </c>
      <c r="C1638" s="4" t="s">
        <v>1522</v>
      </c>
      <c r="D1638" s="4" t="s">
        <v>1523</v>
      </c>
      <c r="F1638" s="4" t="s">
        <v>90</v>
      </c>
      <c r="G1638" s="5" t="s">
        <v>1512</v>
      </c>
      <c r="H1638" s="5" t="s">
        <v>1525</v>
      </c>
      <c r="I1638" s="5" t="s">
        <v>18</v>
      </c>
      <c r="J1638" s="5" t="s">
        <v>10</v>
      </c>
      <c r="K1638" s="5">
        <v>12</v>
      </c>
      <c r="L1638" s="5" t="s">
        <v>1526</v>
      </c>
      <c r="M1638" s="5">
        <v>1100</v>
      </c>
      <c r="N1638" s="5" t="s">
        <v>170</v>
      </c>
      <c r="O1638" s="6" t="s">
        <v>81</v>
      </c>
      <c r="P1638" s="6" t="s">
        <v>1528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6" t="str">
        <f>+VLOOKUP(G1638,Liste!$A$7:$G$69,3,FALSE)</f>
        <v>Pin d'Alep</v>
      </c>
      <c r="BI1638" s="96" t="str">
        <f>+VLOOKUP(H1638,Liste!$B$7:$G$69,5,FALSE)</f>
        <v>Pin d'Alep</v>
      </c>
      <c r="BJ1638" s="135">
        <f t="shared" si="491"/>
        <v>59</v>
      </c>
      <c r="BK1638" s="135" t="str">
        <f t="shared" si="493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97" t="str">
        <f>+VLOOKUP(G1638,Liste!$A$7:$H$69,8,FALSE)</f>
        <v>Résineux</v>
      </c>
      <c r="BU1638" s="297">
        <f t="shared" si="494"/>
        <v>0</v>
      </c>
      <c r="BV1638" s="299">
        <f t="shared" si="495"/>
        <v>1</v>
      </c>
      <c r="BW1638" s="318">
        <v>0</v>
      </c>
      <c r="BX1638" s="297">
        <f t="shared" si="496"/>
        <v>0.43</v>
      </c>
      <c r="BY1638">
        <f t="shared" si="497"/>
        <v>0</v>
      </c>
      <c r="BZ1638" s="303">
        <f t="shared" si="498"/>
        <v>0</v>
      </c>
      <c r="CB1638" s="298">
        <v>0.6</v>
      </c>
      <c r="CC1638" s="298">
        <v>0.4</v>
      </c>
      <c r="CD1638">
        <f t="shared" si="499"/>
        <v>0</v>
      </c>
      <c r="CE1638">
        <f t="shared" si="500"/>
        <v>0</v>
      </c>
      <c r="CF1638">
        <f t="shared" si="501"/>
        <v>0</v>
      </c>
      <c r="CG1638">
        <f t="shared" si="502"/>
        <v>0</v>
      </c>
      <c r="CH1638">
        <f t="shared" si="503"/>
        <v>0</v>
      </c>
      <c r="CI1638">
        <f t="shared" si="504"/>
        <v>0</v>
      </c>
      <c r="CJ1638">
        <f t="shared" si="505"/>
        <v>0</v>
      </c>
      <c r="CK1638">
        <f t="shared" si="506"/>
        <v>0</v>
      </c>
      <c r="CL1638">
        <f t="shared" si="507"/>
        <v>0</v>
      </c>
      <c r="CM1638">
        <f t="shared" si="509"/>
        <v>0</v>
      </c>
      <c r="CN1638">
        <f t="shared" si="508"/>
        <v>0</v>
      </c>
      <c r="CO1638">
        <f t="shared" si="492"/>
        <v>0</v>
      </c>
    </row>
    <row r="1639" spans="2:93" hidden="1" x14ac:dyDescent="0.25">
      <c r="B1639" s="315">
        <v>44372</v>
      </c>
      <c r="C1639" s="4" t="s">
        <v>1522</v>
      </c>
      <c r="D1639" s="4" t="s">
        <v>1523</v>
      </c>
      <c r="F1639" s="4" t="s">
        <v>90</v>
      </c>
      <c r="G1639" s="5" t="s">
        <v>1512</v>
      </c>
      <c r="H1639" s="5" t="s">
        <v>1525</v>
      </c>
      <c r="I1639" s="5" t="s">
        <v>18</v>
      </c>
      <c r="J1639" s="5" t="s">
        <v>10</v>
      </c>
      <c r="K1639" s="5">
        <v>12</v>
      </c>
      <c r="L1639" s="5" t="s">
        <v>1526</v>
      </c>
      <c r="M1639" s="5">
        <v>1100</v>
      </c>
      <c r="N1639" s="5" t="s">
        <v>170</v>
      </c>
      <c r="O1639" s="6" t="s">
        <v>81</v>
      </c>
      <c r="P1639" s="6" t="s">
        <v>1528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6" t="str">
        <f>+VLOOKUP(G1639,Liste!$A$7:$G$69,3,FALSE)</f>
        <v>Pin d'Alep</v>
      </c>
      <c r="BI1639" s="96" t="str">
        <f>+VLOOKUP(H1639,Liste!$B$7:$G$69,5,FALSE)</f>
        <v>Pin d'Alep</v>
      </c>
      <c r="BJ1639" s="135">
        <f t="shared" si="491"/>
        <v>60</v>
      </c>
      <c r="BK1639" s="135" t="str">
        <f t="shared" si="493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97" t="str">
        <f>+VLOOKUP(G1639,Liste!$A$7:$H$69,8,FALSE)</f>
        <v>Résineux</v>
      </c>
      <c r="BU1639" s="297">
        <f t="shared" si="494"/>
        <v>0</v>
      </c>
      <c r="BV1639" s="299">
        <f t="shared" si="495"/>
        <v>1</v>
      </c>
      <c r="BW1639" s="318">
        <v>0</v>
      </c>
      <c r="BX1639" s="297">
        <f t="shared" si="496"/>
        <v>0.43</v>
      </c>
      <c r="BY1639">
        <f t="shared" si="497"/>
        <v>0</v>
      </c>
      <c r="BZ1639" s="303">
        <f t="shared" si="498"/>
        <v>0</v>
      </c>
      <c r="CB1639" s="298">
        <v>0.6</v>
      </c>
      <c r="CC1639" s="298">
        <v>0.4</v>
      </c>
      <c r="CD1639">
        <f t="shared" si="499"/>
        <v>0</v>
      </c>
      <c r="CE1639">
        <f t="shared" si="500"/>
        <v>0</v>
      </c>
      <c r="CF1639">
        <f t="shared" si="501"/>
        <v>0</v>
      </c>
      <c r="CG1639">
        <f t="shared" si="502"/>
        <v>0</v>
      </c>
      <c r="CH1639">
        <f t="shared" si="503"/>
        <v>0</v>
      </c>
      <c r="CI1639">
        <f t="shared" si="504"/>
        <v>0</v>
      </c>
      <c r="CJ1639">
        <f t="shared" si="505"/>
        <v>0</v>
      </c>
      <c r="CK1639">
        <f t="shared" si="506"/>
        <v>0</v>
      </c>
      <c r="CL1639">
        <f t="shared" si="507"/>
        <v>0</v>
      </c>
      <c r="CM1639">
        <f t="shared" si="509"/>
        <v>0</v>
      </c>
      <c r="CN1639">
        <f t="shared" si="508"/>
        <v>0</v>
      </c>
      <c r="CO1639">
        <f t="shared" si="492"/>
        <v>0</v>
      </c>
    </row>
    <row r="1640" spans="2:93" hidden="1" x14ac:dyDescent="0.25">
      <c r="B1640" s="315">
        <v>44372</v>
      </c>
      <c r="C1640" s="4" t="s">
        <v>1522</v>
      </c>
      <c r="D1640" s="4" t="s">
        <v>1523</v>
      </c>
      <c r="F1640" s="4" t="s">
        <v>90</v>
      </c>
      <c r="G1640" s="5" t="s">
        <v>1512</v>
      </c>
      <c r="H1640" s="5" t="s">
        <v>1525</v>
      </c>
      <c r="I1640" s="5" t="s">
        <v>18</v>
      </c>
      <c r="J1640" s="5" t="s">
        <v>10</v>
      </c>
      <c r="K1640" s="5">
        <v>12</v>
      </c>
      <c r="L1640" s="5" t="s">
        <v>1526</v>
      </c>
      <c r="M1640" s="5">
        <v>1100</v>
      </c>
      <c r="N1640" s="5" t="s">
        <v>170</v>
      </c>
      <c r="O1640" s="6" t="s">
        <v>81</v>
      </c>
      <c r="P1640" s="6" t="s">
        <v>1528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6" t="str">
        <f>+VLOOKUP(G1640,Liste!$A$7:$G$69,3,FALSE)</f>
        <v>Pin d'Alep</v>
      </c>
      <c r="BI1640" s="96" t="str">
        <f>+VLOOKUP(H1640,Liste!$B$7:$G$69,5,FALSE)</f>
        <v>Pin d'Alep</v>
      </c>
      <c r="BJ1640" s="135">
        <f t="shared" si="491"/>
        <v>61</v>
      </c>
      <c r="BK1640" s="135" t="str">
        <f t="shared" si="493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97" t="str">
        <f>+VLOOKUP(G1640,Liste!$A$7:$H$69,8,FALSE)</f>
        <v>Résineux</v>
      </c>
      <c r="BU1640" s="297">
        <f t="shared" si="494"/>
        <v>0</v>
      </c>
      <c r="BV1640" s="299">
        <f t="shared" si="495"/>
        <v>1</v>
      </c>
      <c r="BW1640" s="318">
        <v>0</v>
      </c>
      <c r="BX1640" s="297">
        <f t="shared" si="496"/>
        <v>0.43</v>
      </c>
      <c r="BY1640">
        <f t="shared" si="497"/>
        <v>0</v>
      </c>
      <c r="BZ1640" s="303">
        <f t="shared" si="498"/>
        <v>0</v>
      </c>
      <c r="CB1640" s="298">
        <v>0.6</v>
      </c>
      <c r="CC1640" s="298">
        <v>0.4</v>
      </c>
      <c r="CD1640">
        <f t="shared" si="499"/>
        <v>0</v>
      </c>
      <c r="CE1640">
        <f t="shared" si="500"/>
        <v>0</v>
      </c>
      <c r="CF1640">
        <f t="shared" si="501"/>
        <v>0</v>
      </c>
      <c r="CG1640">
        <f t="shared" si="502"/>
        <v>0</v>
      </c>
      <c r="CH1640">
        <f t="shared" si="503"/>
        <v>0</v>
      </c>
      <c r="CI1640">
        <f t="shared" si="504"/>
        <v>0</v>
      </c>
      <c r="CJ1640">
        <f t="shared" si="505"/>
        <v>0</v>
      </c>
      <c r="CK1640">
        <f t="shared" si="506"/>
        <v>0</v>
      </c>
      <c r="CL1640">
        <f t="shared" si="507"/>
        <v>0</v>
      </c>
      <c r="CM1640">
        <f t="shared" si="509"/>
        <v>0</v>
      </c>
      <c r="CN1640">
        <f t="shared" si="508"/>
        <v>0</v>
      </c>
      <c r="CO1640">
        <f t="shared" si="492"/>
        <v>0</v>
      </c>
    </row>
    <row r="1641" spans="2:93" hidden="1" x14ac:dyDescent="0.25">
      <c r="B1641" s="315">
        <v>44372</v>
      </c>
      <c r="C1641" s="4" t="s">
        <v>1522</v>
      </c>
      <c r="D1641" s="4" t="s">
        <v>1523</v>
      </c>
      <c r="F1641" s="4" t="s">
        <v>90</v>
      </c>
      <c r="G1641" s="5" t="s">
        <v>1512</v>
      </c>
      <c r="H1641" s="5" t="s">
        <v>1525</v>
      </c>
      <c r="I1641" s="5" t="s">
        <v>18</v>
      </c>
      <c r="J1641" s="5" t="s">
        <v>10</v>
      </c>
      <c r="K1641" s="5">
        <v>12</v>
      </c>
      <c r="L1641" s="5" t="s">
        <v>1526</v>
      </c>
      <c r="M1641" s="5">
        <v>1100</v>
      </c>
      <c r="N1641" s="5" t="s">
        <v>170</v>
      </c>
      <c r="O1641" s="6" t="s">
        <v>81</v>
      </c>
      <c r="P1641" s="6" t="s">
        <v>1528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6" t="str">
        <f>+VLOOKUP(G1641,Liste!$A$7:$G$69,3,FALSE)</f>
        <v>Pin d'Alep</v>
      </c>
      <c r="BI1641" s="96" t="str">
        <f>+VLOOKUP(H1641,Liste!$B$7:$G$69,5,FALSE)</f>
        <v>Pin d'Alep</v>
      </c>
      <c r="BJ1641" s="135">
        <f t="shared" si="491"/>
        <v>62</v>
      </c>
      <c r="BK1641" s="135" t="str">
        <f t="shared" si="493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97" t="str">
        <f>+VLOOKUP(G1641,Liste!$A$7:$H$69,8,FALSE)</f>
        <v>Résineux</v>
      </c>
      <c r="BU1641" s="297">
        <f t="shared" si="494"/>
        <v>0</v>
      </c>
      <c r="BV1641" s="299">
        <f t="shared" si="495"/>
        <v>1</v>
      </c>
      <c r="BW1641" s="318">
        <v>0</v>
      </c>
      <c r="BX1641" s="297">
        <f t="shared" si="496"/>
        <v>0.43</v>
      </c>
      <c r="BY1641">
        <f t="shared" si="497"/>
        <v>0</v>
      </c>
      <c r="BZ1641" s="303">
        <f t="shared" si="498"/>
        <v>0</v>
      </c>
      <c r="CB1641" s="298">
        <v>0.6</v>
      </c>
      <c r="CC1641" s="298">
        <v>0.4</v>
      </c>
      <c r="CD1641">
        <f t="shared" si="499"/>
        <v>0</v>
      </c>
      <c r="CE1641">
        <f t="shared" si="500"/>
        <v>0</v>
      </c>
      <c r="CF1641">
        <f t="shared" si="501"/>
        <v>0</v>
      </c>
      <c r="CG1641">
        <f t="shared" si="502"/>
        <v>0</v>
      </c>
      <c r="CH1641">
        <f t="shared" si="503"/>
        <v>0</v>
      </c>
      <c r="CI1641">
        <f t="shared" si="504"/>
        <v>0</v>
      </c>
      <c r="CJ1641">
        <f t="shared" si="505"/>
        <v>0</v>
      </c>
      <c r="CK1641">
        <f t="shared" si="506"/>
        <v>0</v>
      </c>
      <c r="CL1641">
        <f t="shared" si="507"/>
        <v>0</v>
      </c>
      <c r="CM1641">
        <f t="shared" si="509"/>
        <v>0</v>
      </c>
      <c r="CN1641">
        <f t="shared" si="508"/>
        <v>0</v>
      </c>
      <c r="CO1641">
        <f t="shared" si="492"/>
        <v>0</v>
      </c>
    </row>
    <row r="1642" spans="2:93" hidden="1" x14ac:dyDescent="0.25">
      <c r="B1642" s="315">
        <v>44372</v>
      </c>
      <c r="C1642" s="4" t="s">
        <v>1522</v>
      </c>
      <c r="D1642" s="4" t="s">
        <v>1523</v>
      </c>
      <c r="F1642" s="4" t="s">
        <v>90</v>
      </c>
      <c r="G1642" s="5" t="s">
        <v>1512</v>
      </c>
      <c r="H1642" s="5" t="s">
        <v>1525</v>
      </c>
      <c r="I1642" s="5" t="s">
        <v>18</v>
      </c>
      <c r="J1642" s="5" t="s">
        <v>10</v>
      </c>
      <c r="K1642" s="5">
        <v>12</v>
      </c>
      <c r="L1642" s="5" t="s">
        <v>1526</v>
      </c>
      <c r="M1642" s="5">
        <v>1100</v>
      </c>
      <c r="N1642" s="5" t="s">
        <v>170</v>
      </c>
      <c r="O1642" s="6" t="s">
        <v>81</v>
      </c>
      <c r="P1642" s="6" t="s">
        <v>1528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6" t="str">
        <f>+VLOOKUP(G1642,Liste!$A$7:$G$69,3,FALSE)</f>
        <v>Pin d'Alep</v>
      </c>
      <c r="BI1642" s="96" t="str">
        <f>+VLOOKUP(H1642,Liste!$B$7:$G$69,5,FALSE)</f>
        <v>Pin d'Alep</v>
      </c>
      <c r="BJ1642" s="135">
        <f t="shared" si="491"/>
        <v>63</v>
      </c>
      <c r="BK1642" s="135" t="str">
        <f t="shared" si="493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97" t="str">
        <f>+VLOOKUP(G1642,Liste!$A$7:$H$69,8,FALSE)</f>
        <v>Résineux</v>
      </c>
      <c r="BU1642" s="297">
        <f t="shared" si="494"/>
        <v>0</v>
      </c>
      <c r="BV1642" s="299">
        <f t="shared" si="495"/>
        <v>1</v>
      </c>
      <c r="BW1642" s="318">
        <v>0</v>
      </c>
      <c r="BX1642" s="297">
        <f t="shared" si="496"/>
        <v>0.43</v>
      </c>
      <c r="BY1642">
        <f t="shared" si="497"/>
        <v>0</v>
      </c>
      <c r="BZ1642" s="303">
        <f t="shared" si="498"/>
        <v>0</v>
      </c>
      <c r="CB1642" s="298">
        <v>0.6</v>
      </c>
      <c r="CC1642" s="298">
        <v>0.4</v>
      </c>
      <c r="CD1642">
        <f t="shared" si="499"/>
        <v>0</v>
      </c>
      <c r="CE1642">
        <f t="shared" si="500"/>
        <v>0</v>
      </c>
      <c r="CF1642">
        <f t="shared" si="501"/>
        <v>0</v>
      </c>
      <c r="CG1642">
        <f t="shared" si="502"/>
        <v>0</v>
      </c>
      <c r="CH1642">
        <f t="shared" si="503"/>
        <v>0</v>
      </c>
      <c r="CI1642">
        <f t="shared" si="504"/>
        <v>0</v>
      </c>
      <c r="CJ1642">
        <f t="shared" si="505"/>
        <v>0</v>
      </c>
      <c r="CK1642">
        <f t="shared" si="506"/>
        <v>0</v>
      </c>
      <c r="CL1642">
        <f t="shared" si="507"/>
        <v>0</v>
      </c>
      <c r="CM1642">
        <f t="shared" si="509"/>
        <v>0</v>
      </c>
      <c r="CN1642">
        <f t="shared" si="508"/>
        <v>0</v>
      </c>
      <c r="CO1642">
        <f t="shared" si="492"/>
        <v>0</v>
      </c>
    </row>
    <row r="1643" spans="2:93" hidden="1" x14ac:dyDescent="0.25">
      <c r="B1643" s="315">
        <v>44372</v>
      </c>
      <c r="C1643" s="4" t="s">
        <v>1522</v>
      </c>
      <c r="D1643" s="4" t="s">
        <v>1523</v>
      </c>
      <c r="F1643" s="4" t="s">
        <v>90</v>
      </c>
      <c r="G1643" s="5" t="s">
        <v>1512</v>
      </c>
      <c r="H1643" s="5" t="s">
        <v>1525</v>
      </c>
      <c r="I1643" s="5" t="s">
        <v>18</v>
      </c>
      <c r="J1643" s="5" t="s">
        <v>10</v>
      </c>
      <c r="K1643" s="5">
        <v>12</v>
      </c>
      <c r="L1643" s="5" t="s">
        <v>1526</v>
      </c>
      <c r="M1643" s="5">
        <v>1100</v>
      </c>
      <c r="N1643" s="5" t="s">
        <v>170</v>
      </c>
      <c r="O1643" s="6" t="s">
        <v>81</v>
      </c>
      <c r="P1643" s="6" t="s">
        <v>1528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6" t="str">
        <f>+VLOOKUP(G1643,Liste!$A$7:$G$69,3,FALSE)</f>
        <v>Pin d'Alep</v>
      </c>
      <c r="BI1643" s="96" t="str">
        <f>+VLOOKUP(H1643,Liste!$B$7:$G$69,5,FALSE)</f>
        <v>Pin d'Alep</v>
      </c>
      <c r="BJ1643" s="135">
        <f t="shared" si="491"/>
        <v>63</v>
      </c>
      <c r="BK1643" s="135" t="str">
        <f t="shared" si="493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97" t="str">
        <f>+VLOOKUP(G1643,Liste!$A$7:$H$69,8,FALSE)</f>
        <v>Résineux</v>
      </c>
      <c r="BU1643" s="297">
        <f t="shared" si="494"/>
        <v>0</v>
      </c>
      <c r="BV1643" s="299">
        <f t="shared" si="495"/>
        <v>1</v>
      </c>
      <c r="BW1643" s="318">
        <v>0</v>
      </c>
      <c r="BX1643" s="297">
        <f t="shared" si="496"/>
        <v>0.43</v>
      </c>
      <c r="BY1643">
        <f t="shared" si="497"/>
        <v>0</v>
      </c>
      <c r="BZ1643" s="303">
        <f t="shared" si="498"/>
        <v>0</v>
      </c>
      <c r="CB1643" s="298">
        <v>0.6</v>
      </c>
      <c r="CC1643" s="298">
        <v>0.4</v>
      </c>
      <c r="CD1643">
        <f t="shared" si="499"/>
        <v>0</v>
      </c>
      <c r="CE1643">
        <f t="shared" si="500"/>
        <v>0</v>
      </c>
      <c r="CF1643">
        <f t="shared" si="501"/>
        <v>0</v>
      </c>
      <c r="CG1643">
        <f t="shared" si="502"/>
        <v>0</v>
      </c>
      <c r="CH1643">
        <f t="shared" si="503"/>
        <v>0</v>
      </c>
      <c r="CI1643">
        <f t="shared" si="504"/>
        <v>0</v>
      </c>
      <c r="CJ1643">
        <f t="shared" si="505"/>
        <v>0</v>
      </c>
      <c r="CK1643">
        <f t="shared" si="506"/>
        <v>0</v>
      </c>
      <c r="CL1643">
        <f t="shared" si="507"/>
        <v>0</v>
      </c>
      <c r="CM1643">
        <f t="shared" si="509"/>
        <v>0</v>
      </c>
      <c r="CN1643">
        <f t="shared" si="508"/>
        <v>0</v>
      </c>
      <c r="CO1643">
        <f t="shared" si="492"/>
        <v>0</v>
      </c>
    </row>
    <row r="1644" spans="2:93" hidden="1" x14ac:dyDescent="0.25">
      <c r="B1644" s="315">
        <v>44372</v>
      </c>
      <c r="C1644" s="4" t="s">
        <v>1522</v>
      </c>
      <c r="D1644" s="4" t="s">
        <v>1523</v>
      </c>
      <c r="F1644" s="4" t="s">
        <v>90</v>
      </c>
      <c r="G1644" s="5" t="s">
        <v>1512</v>
      </c>
      <c r="H1644" s="5" t="s">
        <v>1525</v>
      </c>
      <c r="I1644" s="5" t="s">
        <v>18</v>
      </c>
      <c r="J1644" s="5" t="s">
        <v>10</v>
      </c>
      <c r="K1644" s="5">
        <v>12</v>
      </c>
      <c r="L1644" s="5" t="s">
        <v>1526</v>
      </c>
      <c r="M1644" s="5">
        <v>1100</v>
      </c>
      <c r="N1644" s="5" t="s">
        <v>170</v>
      </c>
      <c r="O1644" s="6" t="s">
        <v>81</v>
      </c>
      <c r="P1644" s="6" t="s">
        <v>1528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6" t="str">
        <f>+VLOOKUP(G1644,Liste!$A$7:$G$69,3,FALSE)</f>
        <v>Pin d'Alep</v>
      </c>
      <c r="BI1644" s="96" t="str">
        <f>+VLOOKUP(H1644,Liste!$B$7:$G$69,5,FALSE)</f>
        <v>Pin d'Alep</v>
      </c>
      <c r="BJ1644" s="135">
        <f t="shared" si="491"/>
        <v>64</v>
      </c>
      <c r="BK1644" s="135" t="str">
        <f t="shared" si="493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97" t="str">
        <f>+VLOOKUP(G1644,Liste!$A$7:$H$69,8,FALSE)</f>
        <v>Résineux</v>
      </c>
      <c r="BU1644" s="297">
        <f t="shared" si="494"/>
        <v>0</v>
      </c>
      <c r="BV1644" s="299">
        <f t="shared" si="495"/>
        <v>1</v>
      </c>
      <c r="BW1644" s="318">
        <v>0</v>
      </c>
      <c r="BX1644" s="297">
        <f t="shared" si="496"/>
        <v>0.43</v>
      </c>
      <c r="BY1644">
        <f t="shared" si="497"/>
        <v>0</v>
      </c>
      <c r="BZ1644" s="303">
        <f t="shared" si="498"/>
        <v>0</v>
      </c>
      <c r="CB1644" s="298">
        <v>0.6</v>
      </c>
      <c r="CC1644" s="298">
        <v>0.4</v>
      </c>
      <c r="CD1644">
        <f t="shared" si="499"/>
        <v>0</v>
      </c>
      <c r="CE1644">
        <f t="shared" si="500"/>
        <v>0</v>
      </c>
      <c r="CF1644">
        <f t="shared" si="501"/>
        <v>0</v>
      </c>
      <c r="CG1644">
        <f t="shared" si="502"/>
        <v>0</v>
      </c>
      <c r="CH1644">
        <f t="shared" si="503"/>
        <v>0</v>
      </c>
      <c r="CI1644">
        <f t="shared" si="504"/>
        <v>0</v>
      </c>
      <c r="CJ1644">
        <f t="shared" si="505"/>
        <v>0</v>
      </c>
      <c r="CK1644">
        <f t="shared" si="506"/>
        <v>0</v>
      </c>
      <c r="CL1644">
        <f t="shared" si="507"/>
        <v>0</v>
      </c>
      <c r="CM1644">
        <f t="shared" si="509"/>
        <v>0</v>
      </c>
      <c r="CN1644">
        <f t="shared" si="508"/>
        <v>0</v>
      </c>
      <c r="CO1644">
        <f t="shared" si="492"/>
        <v>0</v>
      </c>
    </row>
    <row r="1645" spans="2:93" hidden="1" x14ac:dyDescent="0.25">
      <c r="B1645" s="315">
        <v>44372</v>
      </c>
      <c r="C1645" s="4" t="s">
        <v>1522</v>
      </c>
      <c r="D1645" s="4" t="s">
        <v>1523</v>
      </c>
      <c r="F1645" s="4" t="s">
        <v>90</v>
      </c>
      <c r="G1645" s="5" t="s">
        <v>1512</v>
      </c>
      <c r="H1645" s="5" t="s">
        <v>1525</v>
      </c>
      <c r="I1645" s="5" t="s">
        <v>18</v>
      </c>
      <c r="J1645" s="5" t="s">
        <v>10</v>
      </c>
      <c r="K1645" s="5">
        <v>12</v>
      </c>
      <c r="L1645" s="5" t="s">
        <v>1526</v>
      </c>
      <c r="M1645" s="5">
        <v>1100</v>
      </c>
      <c r="N1645" s="5" t="s">
        <v>170</v>
      </c>
      <c r="O1645" s="6" t="s">
        <v>81</v>
      </c>
      <c r="P1645" s="6" t="s">
        <v>1528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6" t="str">
        <f>+VLOOKUP(G1645,Liste!$A$7:$G$69,3,FALSE)</f>
        <v>Pin d'Alep</v>
      </c>
      <c r="BI1645" s="96" t="str">
        <f>+VLOOKUP(H1645,Liste!$B$7:$G$69,5,FALSE)</f>
        <v>Pin d'Alep</v>
      </c>
      <c r="BJ1645" s="135">
        <f t="shared" si="491"/>
        <v>65</v>
      </c>
      <c r="BK1645" s="135" t="str">
        <f t="shared" si="493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97" t="str">
        <f>+VLOOKUP(G1645,Liste!$A$7:$H$69,8,FALSE)</f>
        <v>Résineux</v>
      </c>
      <c r="BU1645" s="297">
        <f t="shared" si="494"/>
        <v>0</v>
      </c>
      <c r="BV1645" s="299">
        <f t="shared" si="495"/>
        <v>1</v>
      </c>
      <c r="BW1645" s="318">
        <v>0</v>
      </c>
      <c r="BX1645" s="297">
        <f t="shared" si="496"/>
        <v>0.43</v>
      </c>
      <c r="BY1645">
        <f t="shared" si="497"/>
        <v>0</v>
      </c>
      <c r="BZ1645" s="303">
        <f t="shared" si="498"/>
        <v>0</v>
      </c>
      <c r="CB1645" s="298">
        <v>0.6</v>
      </c>
      <c r="CC1645" s="298">
        <v>0.4</v>
      </c>
      <c r="CD1645">
        <f t="shared" si="499"/>
        <v>0</v>
      </c>
      <c r="CE1645">
        <f t="shared" si="500"/>
        <v>0</v>
      </c>
      <c r="CF1645">
        <f t="shared" si="501"/>
        <v>0</v>
      </c>
      <c r="CG1645">
        <f t="shared" si="502"/>
        <v>0</v>
      </c>
      <c r="CH1645">
        <f t="shared" si="503"/>
        <v>0</v>
      </c>
      <c r="CI1645">
        <f t="shared" si="504"/>
        <v>0</v>
      </c>
      <c r="CJ1645">
        <f t="shared" si="505"/>
        <v>0</v>
      </c>
      <c r="CK1645">
        <f t="shared" si="506"/>
        <v>0</v>
      </c>
      <c r="CL1645">
        <f t="shared" si="507"/>
        <v>0</v>
      </c>
      <c r="CM1645">
        <f t="shared" si="509"/>
        <v>0</v>
      </c>
      <c r="CN1645">
        <f t="shared" si="508"/>
        <v>0</v>
      </c>
      <c r="CO1645">
        <f t="shared" si="492"/>
        <v>0</v>
      </c>
    </row>
    <row r="1646" spans="2:93" hidden="1" x14ac:dyDescent="0.25">
      <c r="B1646" s="315">
        <v>44372</v>
      </c>
      <c r="C1646" s="4" t="s">
        <v>1522</v>
      </c>
      <c r="D1646" s="4" t="s">
        <v>1523</v>
      </c>
      <c r="F1646" s="4" t="s">
        <v>90</v>
      </c>
      <c r="G1646" s="5" t="s">
        <v>1512</v>
      </c>
      <c r="H1646" s="5" t="s">
        <v>1525</v>
      </c>
      <c r="I1646" s="5" t="s">
        <v>18</v>
      </c>
      <c r="J1646" s="5" t="s">
        <v>10</v>
      </c>
      <c r="K1646" s="5">
        <v>12</v>
      </c>
      <c r="L1646" s="5" t="s">
        <v>1526</v>
      </c>
      <c r="M1646" s="5">
        <v>1100</v>
      </c>
      <c r="N1646" s="5" t="s">
        <v>170</v>
      </c>
      <c r="O1646" s="6" t="s">
        <v>81</v>
      </c>
      <c r="P1646" s="6" t="s">
        <v>1528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6" t="str">
        <f>+VLOOKUP(G1646,Liste!$A$7:$G$69,3,FALSE)</f>
        <v>Pin d'Alep</v>
      </c>
      <c r="BI1646" s="96" t="str">
        <f>+VLOOKUP(H1646,Liste!$B$7:$G$69,5,FALSE)</f>
        <v>Pin d'Alep</v>
      </c>
      <c r="BJ1646" s="135">
        <f t="shared" si="491"/>
        <v>66</v>
      </c>
      <c r="BK1646" s="135" t="str">
        <f t="shared" si="493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97" t="str">
        <f>+VLOOKUP(G1646,Liste!$A$7:$H$69,8,FALSE)</f>
        <v>Résineux</v>
      </c>
      <c r="BU1646" s="297">
        <f t="shared" si="494"/>
        <v>0</v>
      </c>
      <c r="BV1646" s="299">
        <f t="shared" si="495"/>
        <v>1</v>
      </c>
      <c r="BW1646" s="318">
        <v>0</v>
      </c>
      <c r="BX1646" s="297">
        <f t="shared" si="496"/>
        <v>0.43</v>
      </c>
      <c r="BY1646">
        <f t="shared" si="497"/>
        <v>0</v>
      </c>
      <c r="BZ1646" s="303">
        <f t="shared" si="498"/>
        <v>0</v>
      </c>
      <c r="CB1646" s="298">
        <v>0.6</v>
      </c>
      <c r="CC1646" s="298">
        <v>0.4</v>
      </c>
      <c r="CD1646">
        <f t="shared" si="499"/>
        <v>0</v>
      </c>
      <c r="CE1646">
        <f t="shared" si="500"/>
        <v>0</v>
      </c>
      <c r="CF1646">
        <f t="shared" si="501"/>
        <v>0</v>
      </c>
      <c r="CG1646">
        <f t="shared" si="502"/>
        <v>0</v>
      </c>
      <c r="CH1646">
        <f t="shared" si="503"/>
        <v>0</v>
      </c>
      <c r="CI1646">
        <f t="shared" si="504"/>
        <v>0</v>
      </c>
      <c r="CJ1646">
        <f t="shared" si="505"/>
        <v>0</v>
      </c>
      <c r="CK1646">
        <f t="shared" si="506"/>
        <v>0</v>
      </c>
      <c r="CL1646">
        <f t="shared" si="507"/>
        <v>0</v>
      </c>
      <c r="CM1646">
        <f t="shared" si="509"/>
        <v>0</v>
      </c>
      <c r="CN1646">
        <f t="shared" si="508"/>
        <v>0</v>
      </c>
      <c r="CO1646">
        <f t="shared" si="492"/>
        <v>0</v>
      </c>
    </row>
    <row r="1647" spans="2:93" hidden="1" x14ac:dyDescent="0.25">
      <c r="B1647" s="315">
        <v>44372</v>
      </c>
      <c r="C1647" s="4" t="s">
        <v>1522</v>
      </c>
      <c r="D1647" s="4" t="s">
        <v>1523</v>
      </c>
      <c r="F1647" s="4" t="s">
        <v>90</v>
      </c>
      <c r="G1647" s="5" t="s">
        <v>1512</v>
      </c>
      <c r="H1647" s="5" t="s">
        <v>1525</v>
      </c>
      <c r="I1647" s="5" t="s">
        <v>18</v>
      </c>
      <c r="J1647" s="5" t="s">
        <v>10</v>
      </c>
      <c r="K1647" s="5">
        <v>12</v>
      </c>
      <c r="L1647" s="5" t="s">
        <v>1526</v>
      </c>
      <c r="M1647" s="5">
        <v>1100</v>
      </c>
      <c r="N1647" s="5" t="s">
        <v>170</v>
      </c>
      <c r="O1647" s="6" t="s">
        <v>81</v>
      </c>
      <c r="P1647" s="6" t="s">
        <v>1528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6" t="str">
        <f>+VLOOKUP(G1647,Liste!$A$7:$G$69,3,FALSE)</f>
        <v>Pin d'Alep</v>
      </c>
      <c r="BI1647" s="96" t="str">
        <f>+VLOOKUP(H1647,Liste!$B$7:$G$69,5,FALSE)</f>
        <v>Pin d'Alep</v>
      </c>
      <c r="BJ1647" s="135">
        <f t="shared" si="491"/>
        <v>67</v>
      </c>
      <c r="BK1647" s="135" t="str">
        <f t="shared" si="493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97" t="str">
        <f>+VLOOKUP(G1647,Liste!$A$7:$H$69,8,FALSE)</f>
        <v>Résineux</v>
      </c>
      <c r="BU1647" s="297">
        <f t="shared" si="494"/>
        <v>0</v>
      </c>
      <c r="BV1647" s="299">
        <f t="shared" si="495"/>
        <v>1</v>
      </c>
      <c r="BW1647" s="318">
        <v>0</v>
      </c>
      <c r="BX1647" s="297">
        <f t="shared" si="496"/>
        <v>0.43</v>
      </c>
      <c r="BY1647">
        <f t="shared" si="497"/>
        <v>0</v>
      </c>
      <c r="BZ1647" s="303">
        <f t="shared" si="498"/>
        <v>0</v>
      </c>
      <c r="CB1647" s="298">
        <v>0.6</v>
      </c>
      <c r="CC1647" s="298">
        <v>0.4</v>
      </c>
      <c r="CD1647">
        <f t="shared" si="499"/>
        <v>0</v>
      </c>
      <c r="CE1647">
        <f t="shared" si="500"/>
        <v>0</v>
      </c>
      <c r="CF1647">
        <f t="shared" si="501"/>
        <v>0</v>
      </c>
      <c r="CG1647">
        <f t="shared" si="502"/>
        <v>0</v>
      </c>
      <c r="CH1647">
        <f t="shared" si="503"/>
        <v>0</v>
      </c>
      <c r="CI1647">
        <f t="shared" si="504"/>
        <v>0</v>
      </c>
      <c r="CJ1647">
        <f t="shared" si="505"/>
        <v>0</v>
      </c>
      <c r="CK1647">
        <f t="shared" si="506"/>
        <v>0</v>
      </c>
      <c r="CL1647">
        <f t="shared" si="507"/>
        <v>0</v>
      </c>
      <c r="CM1647">
        <f t="shared" si="509"/>
        <v>0</v>
      </c>
      <c r="CN1647">
        <f t="shared" si="508"/>
        <v>0</v>
      </c>
      <c r="CO1647">
        <f t="shared" si="492"/>
        <v>0</v>
      </c>
    </row>
    <row r="1648" spans="2:93" hidden="1" x14ac:dyDescent="0.25">
      <c r="B1648" s="315">
        <v>44372</v>
      </c>
      <c r="C1648" s="4" t="s">
        <v>1522</v>
      </c>
      <c r="D1648" s="4" t="s">
        <v>1523</v>
      </c>
      <c r="F1648" s="4" t="s">
        <v>90</v>
      </c>
      <c r="G1648" s="5" t="s">
        <v>1512</v>
      </c>
      <c r="H1648" s="5" t="s">
        <v>1525</v>
      </c>
      <c r="I1648" s="5" t="s">
        <v>18</v>
      </c>
      <c r="J1648" s="5" t="s">
        <v>10</v>
      </c>
      <c r="K1648" s="5">
        <v>12</v>
      </c>
      <c r="L1648" s="5" t="s">
        <v>1526</v>
      </c>
      <c r="M1648" s="5">
        <v>1100</v>
      </c>
      <c r="N1648" s="5" t="s">
        <v>170</v>
      </c>
      <c r="O1648" s="6" t="s">
        <v>81</v>
      </c>
      <c r="P1648" s="6" t="s">
        <v>1528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6" t="str">
        <f>+VLOOKUP(G1648,Liste!$A$7:$G$69,3,FALSE)</f>
        <v>Pin d'Alep</v>
      </c>
      <c r="BI1648" s="96" t="str">
        <f>+VLOOKUP(H1648,Liste!$B$7:$G$69,5,FALSE)</f>
        <v>Pin d'Alep</v>
      </c>
      <c r="BJ1648" s="135">
        <f t="shared" si="491"/>
        <v>68</v>
      </c>
      <c r="BK1648" s="135" t="str">
        <f t="shared" si="493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97" t="str">
        <f>+VLOOKUP(G1648,Liste!$A$7:$H$69,8,FALSE)</f>
        <v>Résineux</v>
      </c>
      <c r="BU1648" s="297">
        <f t="shared" si="494"/>
        <v>0</v>
      </c>
      <c r="BV1648" s="299">
        <f t="shared" si="495"/>
        <v>1</v>
      </c>
      <c r="BW1648" s="318">
        <v>0</v>
      </c>
      <c r="BX1648" s="297">
        <f t="shared" si="496"/>
        <v>0.43</v>
      </c>
      <c r="BY1648">
        <f t="shared" si="497"/>
        <v>0</v>
      </c>
      <c r="BZ1648" s="303">
        <f t="shared" si="498"/>
        <v>0</v>
      </c>
      <c r="CB1648" s="298">
        <v>0.6</v>
      </c>
      <c r="CC1648" s="298">
        <v>0.4</v>
      </c>
      <c r="CD1648">
        <f t="shared" si="499"/>
        <v>0</v>
      </c>
      <c r="CE1648">
        <f t="shared" si="500"/>
        <v>0</v>
      </c>
      <c r="CF1648">
        <f t="shared" si="501"/>
        <v>0</v>
      </c>
      <c r="CG1648">
        <f t="shared" si="502"/>
        <v>0</v>
      </c>
      <c r="CH1648">
        <f t="shared" si="503"/>
        <v>0</v>
      </c>
      <c r="CI1648">
        <f t="shared" si="504"/>
        <v>0</v>
      </c>
      <c r="CJ1648">
        <f t="shared" si="505"/>
        <v>0</v>
      </c>
      <c r="CK1648">
        <f t="shared" si="506"/>
        <v>0</v>
      </c>
      <c r="CL1648">
        <f t="shared" si="507"/>
        <v>0</v>
      </c>
      <c r="CM1648">
        <f t="shared" si="509"/>
        <v>0</v>
      </c>
      <c r="CN1648">
        <f t="shared" si="508"/>
        <v>0</v>
      </c>
      <c r="CO1648">
        <f t="shared" si="492"/>
        <v>0</v>
      </c>
    </row>
    <row r="1649" spans="2:93" hidden="1" x14ac:dyDescent="0.25">
      <c r="B1649" s="315">
        <v>44372</v>
      </c>
      <c r="C1649" s="4" t="s">
        <v>1522</v>
      </c>
      <c r="D1649" s="4" t="s">
        <v>1523</v>
      </c>
      <c r="F1649" s="4" t="s">
        <v>90</v>
      </c>
      <c r="G1649" s="5" t="s">
        <v>1512</v>
      </c>
      <c r="H1649" s="5" t="s">
        <v>1525</v>
      </c>
      <c r="I1649" s="5" t="s">
        <v>18</v>
      </c>
      <c r="J1649" s="5" t="s">
        <v>10</v>
      </c>
      <c r="K1649" s="5">
        <v>12</v>
      </c>
      <c r="L1649" s="5" t="s">
        <v>1526</v>
      </c>
      <c r="M1649" s="5">
        <v>1100</v>
      </c>
      <c r="N1649" s="5" t="s">
        <v>170</v>
      </c>
      <c r="O1649" s="6" t="s">
        <v>81</v>
      </c>
      <c r="P1649" s="6" t="s">
        <v>1528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6" t="str">
        <f>+VLOOKUP(G1649,Liste!$A$7:$G$69,3,FALSE)</f>
        <v>Pin d'Alep</v>
      </c>
      <c r="BI1649" s="96" t="str">
        <f>+VLOOKUP(H1649,Liste!$B$7:$G$69,5,FALSE)</f>
        <v>Pin d'Alep</v>
      </c>
      <c r="BJ1649" s="135">
        <f t="shared" si="491"/>
        <v>69</v>
      </c>
      <c r="BK1649" s="135" t="str">
        <f t="shared" si="493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97" t="str">
        <f>+VLOOKUP(G1649,Liste!$A$7:$H$69,8,FALSE)</f>
        <v>Résineux</v>
      </c>
      <c r="BU1649" s="297">
        <f t="shared" si="494"/>
        <v>0</v>
      </c>
      <c r="BV1649" s="299">
        <f t="shared" si="495"/>
        <v>1</v>
      </c>
      <c r="BW1649" s="318">
        <v>0</v>
      </c>
      <c r="BX1649" s="297">
        <f t="shared" si="496"/>
        <v>0.43</v>
      </c>
      <c r="BY1649">
        <f t="shared" si="497"/>
        <v>0</v>
      </c>
      <c r="BZ1649" s="303">
        <f t="shared" si="498"/>
        <v>0</v>
      </c>
      <c r="CB1649" s="298">
        <v>0.6</v>
      </c>
      <c r="CC1649" s="298">
        <v>0.4</v>
      </c>
      <c r="CD1649">
        <f t="shared" si="499"/>
        <v>0</v>
      </c>
      <c r="CE1649">
        <f t="shared" si="500"/>
        <v>0</v>
      </c>
      <c r="CF1649">
        <f t="shared" si="501"/>
        <v>0</v>
      </c>
      <c r="CG1649">
        <f t="shared" si="502"/>
        <v>0</v>
      </c>
      <c r="CH1649">
        <f t="shared" si="503"/>
        <v>0</v>
      </c>
      <c r="CI1649">
        <f t="shared" si="504"/>
        <v>0</v>
      </c>
      <c r="CJ1649">
        <f t="shared" si="505"/>
        <v>0</v>
      </c>
      <c r="CK1649">
        <f t="shared" si="506"/>
        <v>0</v>
      </c>
      <c r="CL1649">
        <f t="shared" si="507"/>
        <v>0</v>
      </c>
      <c r="CM1649">
        <f t="shared" si="509"/>
        <v>0</v>
      </c>
      <c r="CN1649">
        <f t="shared" si="508"/>
        <v>0</v>
      </c>
      <c r="CO1649">
        <f t="shared" si="492"/>
        <v>0</v>
      </c>
    </row>
    <row r="1650" spans="2:93" hidden="1" x14ac:dyDescent="0.25">
      <c r="B1650" s="315">
        <v>44372</v>
      </c>
      <c r="C1650" s="4" t="s">
        <v>1522</v>
      </c>
      <c r="D1650" s="4" t="s">
        <v>1523</v>
      </c>
      <c r="F1650" s="4" t="s">
        <v>90</v>
      </c>
      <c r="G1650" s="5" t="s">
        <v>1512</v>
      </c>
      <c r="H1650" s="5" t="s">
        <v>1525</v>
      </c>
      <c r="I1650" s="5" t="s">
        <v>18</v>
      </c>
      <c r="J1650" s="5" t="s">
        <v>10</v>
      </c>
      <c r="K1650" s="5">
        <v>12</v>
      </c>
      <c r="L1650" s="5" t="s">
        <v>1526</v>
      </c>
      <c r="M1650" s="5">
        <v>1100</v>
      </c>
      <c r="N1650" s="5" t="s">
        <v>170</v>
      </c>
      <c r="O1650" s="6" t="s">
        <v>81</v>
      </c>
      <c r="P1650" s="6" t="s">
        <v>1528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6" t="str">
        <f>+VLOOKUP(G1650,Liste!$A$7:$G$69,3,FALSE)</f>
        <v>Pin d'Alep</v>
      </c>
      <c r="BI1650" s="96" t="str">
        <f>+VLOOKUP(H1650,Liste!$B$7:$G$69,5,FALSE)</f>
        <v>Pin d'Alep</v>
      </c>
      <c r="BJ1650" s="135">
        <f t="shared" si="491"/>
        <v>70</v>
      </c>
      <c r="BK1650" s="135" t="str">
        <f t="shared" si="493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97" t="str">
        <f>+VLOOKUP(G1650,Liste!$A$7:$H$69,8,FALSE)</f>
        <v>Résineux</v>
      </c>
      <c r="BU1650" s="297">
        <f t="shared" si="494"/>
        <v>0</v>
      </c>
      <c r="BV1650" s="299">
        <f t="shared" si="495"/>
        <v>1</v>
      </c>
      <c r="BW1650" s="318">
        <v>0</v>
      </c>
      <c r="BX1650" s="297">
        <f t="shared" si="496"/>
        <v>0.43</v>
      </c>
      <c r="BY1650">
        <f t="shared" si="497"/>
        <v>0</v>
      </c>
      <c r="BZ1650" s="303">
        <f t="shared" si="498"/>
        <v>0</v>
      </c>
      <c r="CB1650" s="298">
        <v>0.6</v>
      </c>
      <c r="CC1650" s="298">
        <v>0.4</v>
      </c>
      <c r="CD1650">
        <f t="shared" si="499"/>
        <v>0</v>
      </c>
      <c r="CE1650">
        <f t="shared" si="500"/>
        <v>0</v>
      </c>
      <c r="CF1650">
        <f t="shared" si="501"/>
        <v>0</v>
      </c>
      <c r="CG1650">
        <f t="shared" si="502"/>
        <v>0</v>
      </c>
      <c r="CH1650">
        <f t="shared" si="503"/>
        <v>0</v>
      </c>
      <c r="CI1650">
        <f t="shared" si="504"/>
        <v>0</v>
      </c>
      <c r="CJ1650">
        <f t="shared" si="505"/>
        <v>0</v>
      </c>
      <c r="CK1650">
        <f t="shared" si="506"/>
        <v>0</v>
      </c>
      <c r="CL1650">
        <f t="shared" si="507"/>
        <v>0</v>
      </c>
      <c r="CM1650">
        <f t="shared" si="509"/>
        <v>0</v>
      </c>
      <c r="CN1650">
        <f t="shared" si="508"/>
        <v>0</v>
      </c>
      <c r="CO1650">
        <f t="shared" si="492"/>
        <v>0</v>
      </c>
    </row>
    <row r="1651" spans="2:93" hidden="1" x14ac:dyDescent="0.25">
      <c r="B1651" s="315">
        <v>44372</v>
      </c>
      <c r="C1651" s="4" t="s">
        <v>1522</v>
      </c>
      <c r="D1651" s="4" t="s">
        <v>1523</v>
      </c>
      <c r="F1651" s="4" t="s">
        <v>90</v>
      </c>
      <c r="G1651" s="5" t="s">
        <v>1512</v>
      </c>
      <c r="H1651" s="5" t="s">
        <v>1525</v>
      </c>
      <c r="I1651" s="5" t="s">
        <v>18</v>
      </c>
      <c r="J1651" s="5" t="s">
        <v>10</v>
      </c>
      <c r="K1651" s="5">
        <v>12</v>
      </c>
      <c r="L1651" s="5" t="s">
        <v>1526</v>
      </c>
      <c r="M1651" s="5">
        <v>1100</v>
      </c>
      <c r="N1651" s="5" t="s">
        <v>170</v>
      </c>
      <c r="O1651" s="6" t="s">
        <v>81</v>
      </c>
      <c r="P1651" s="6" t="s">
        <v>1528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6" t="str">
        <f>+VLOOKUP(G1651,Liste!$A$7:$G$69,3,FALSE)</f>
        <v>Pin d'Alep</v>
      </c>
      <c r="BI1651" s="96" t="str">
        <f>+VLOOKUP(H1651,Liste!$B$7:$G$69,5,FALSE)</f>
        <v>Pin d'Alep</v>
      </c>
      <c r="BJ1651" s="135">
        <f t="shared" si="491"/>
        <v>71</v>
      </c>
      <c r="BK1651" s="135" t="str">
        <f t="shared" si="493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97" t="str">
        <f>+VLOOKUP(G1651,Liste!$A$7:$H$69,8,FALSE)</f>
        <v>Résineux</v>
      </c>
      <c r="BU1651" s="297">
        <f t="shared" si="494"/>
        <v>0</v>
      </c>
      <c r="BV1651" s="299">
        <f t="shared" si="495"/>
        <v>1</v>
      </c>
      <c r="BW1651" s="318">
        <v>0</v>
      </c>
      <c r="BX1651" s="297">
        <f t="shared" si="496"/>
        <v>0.43</v>
      </c>
      <c r="BY1651">
        <f t="shared" si="497"/>
        <v>0</v>
      </c>
      <c r="BZ1651" s="303">
        <f t="shared" si="498"/>
        <v>0</v>
      </c>
      <c r="CB1651" s="298">
        <v>0.6</v>
      </c>
      <c r="CC1651" s="298">
        <v>0.4</v>
      </c>
      <c r="CD1651">
        <f t="shared" si="499"/>
        <v>0</v>
      </c>
      <c r="CE1651">
        <f t="shared" si="500"/>
        <v>0</v>
      </c>
      <c r="CF1651">
        <f t="shared" si="501"/>
        <v>0</v>
      </c>
      <c r="CG1651">
        <f t="shared" si="502"/>
        <v>0</v>
      </c>
      <c r="CH1651">
        <f t="shared" si="503"/>
        <v>0</v>
      </c>
      <c r="CI1651">
        <f t="shared" si="504"/>
        <v>0</v>
      </c>
      <c r="CJ1651">
        <f t="shared" si="505"/>
        <v>0</v>
      </c>
      <c r="CK1651">
        <f t="shared" si="506"/>
        <v>0</v>
      </c>
      <c r="CL1651">
        <f t="shared" si="507"/>
        <v>0</v>
      </c>
      <c r="CM1651">
        <f t="shared" si="509"/>
        <v>0</v>
      </c>
      <c r="CN1651">
        <f t="shared" si="508"/>
        <v>0</v>
      </c>
      <c r="CO1651">
        <f t="shared" si="492"/>
        <v>0</v>
      </c>
    </row>
    <row r="1652" spans="2:93" hidden="1" x14ac:dyDescent="0.25">
      <c r="B1652" s="315">
        <v>44372</v>
      </c>
      <c r="C1652" s="4" t="s">
        <v>1522</v>
      </c>
      <c r="D1652" s="4" t="s">
        <v>1523</v>
      </c>
      <c r="F1652" s="4" t="s">
        <v>90</v>
      </c>
      <c r="G1652" s="5" t="s">
        <v>1512</v>
      </c>
      <c r="H1652" s="5" t="s">
        <v>1525</v>
      </c>
      <c r="I1652" s="5" t="s">
        <v>18</v>
      </c>
      <c r="J1652" s="5" t="s">
        <v>10</v>
      </c>
      <c r="K1652" s="5">
        <v>12</v>
      </c>
      <c r="L1652" s="5" t="s">
        <v>1526</v>
      </c>
      <c r="M1652" s="5">
        <v>1100</v>
      </c>
      <c r="N1652" s="5" t="s">
        <v>170</v>
      </c>
      <c r="O1652" s="6" t="s">
        <v>81</v>
      </c>
      <c r="P1652" s="6" t="s">
        <v>1528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6" t="str">
        <f>+VLOOKUP(G1652,Liste!$A$7:$G$69,3,FALSE)</f>
        <v>Pin d'Alep</v>
      </c>
      <c r="BI1652" s="96" t="str">
        <f>+VLOOKUP(H1652,Liste!$B$7:$G$69,5,FALSE)</f>
        <v>Pin d'Alep</v>
      </c>
      <c r="BJ1652" s="135">
        <f t="shared" si="491"/>
        <v>72</v>
      </c>
      <c r="BK1652" s="135" t="str">
        <f t="shared" si="493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97" t="str">
        <f>+VLOOKUP(G1652,Liste!$A$7:$H$69,8,FALSE)</f>
        <v>Résineux</v>
      </c>
      <c r="BU1652" s="297">
        <f t="shared" si="494"/>
        <v>0</v>
      </c>
      <c r="BV1652" s="299">
        <f t="shared" si="495"/>
        <v>1</v>
      </c>
      <c r="BW1652" s="318">
        <v>0</v>
      </c>
      <c r="BX1652" s="297">
        <f t="shared" si="496"/>
        <v>0.43</v>
      </c>
      <c r="BY1652">
        <f t="shared" si="497"/>
        <v>0</v>
      </c>
      <c r="BZ1652" s="303">
        <f t="shared" si="498"/>
        <v>0</v>
      </c>
      <c r="CB1652" s="298">
        <v>0.6</v>
      </c>
      <c r="CC1652" s="298">
        <v>0.4</v>
      </c>
      <c r="CD1652">
        <f t="shared" si="499"/>
        <v>0</v>
      </c>
      <c r="CE1652">
        <f t="shared" si="500"/>
        <v>0</v>
      </c>
      <c r="CF1652">
        <f t="shared" si="501"/>
        <v>0</v>
      </c>
      <c r="CG1652">
        <f t="shared" si="502"/>
        <v>0</v>
      </c>
      <c r="CH1652">
        <f t="shared" si="503"/>
        <v>0</v>
      </c>
      <c r="CI1652">
        <f t="shared" si="504"/>
        <v>0</v>
      </c>
      <c r="CJ1652">
        <f t="shared" si="505"/>
        <v>0</v>
      </c>
      <c r="CK1652">
        <f t="shared" si="506"/>
        <v>0</v>
      </c>
      <c r="CL1652">
        <f t="shared" si="507"/>
        <v>0</v>
      </c>
      <c r="CM1652">
        <f t="shared" si="509"/>
        <v>0</v>
      </c>
      <c r="CN1652">
        <f t="shared" si="508"/>
        <v>0</v>
      </c>
      <c r="CO1652">
        <f t="shared" si="492"/>
        <v>0</v>
      </c>
    </row>
    <row r="1653" spans="2:93" hidden="1" x14ac:dyDescent="0.25">
      <c r="B1653" s="315">
        <v>44372</v>
      </c>
      <c r="C1653" s="4" t="s">
        <v>1522</v>
      </c>
      <c r="D1653" s="4" t="s">
        <v>1523</v>
      </c>
      <c r="F1653" s="4" t="s">
        <v>90</v>
      </c>
      <c r="G1653" s="5" t="s">
        <v>1512</v>
      </c>
      <c r="H1653" s="5" t="s">
        <v>1525</v>
      </c>
      <c r="I1653" s="5" t="s">
        <v>18</v>
      </c>
      <c r="J1653" s="5" t="s">
        <v>10</v>
      </c>
      <c r="K1653" s="5">
        <v>12</v>
      </c>
      <c r="L1653" s="5" t="s">
        <v>1526</v>
      </c>
      <c r="M1653" s="5">
        <v>1100</v>
      </c>
      <c r="N1653" s="5" t="s">
        <v>170</v>
      </c>
      <c r="O1653" s="6" t="s">
        <v>81</v>
      </c>
      <c r="P1653" s="6" t="s">
        <v>1528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6" t="str">
        <f>+VLOOKUP(G1653,Liste!$A$7:$G$69,3,FALSE)</f>
        <v>Pin d'Alep</v>
      </c>
      <c r="BI1653" s="96" t="str">
        <f>+VLOOKUP(H1653,Liste!$B$7:$G$69,5,FALSE)</f>
        <v>Pin d'Alep</v>
      </c>
      <c r="BJ1653" s="135">
        <f t="shared" si="491"/>
        <v>73</v>
      </c>
      <c r="BK1653" s="135" t="str">
        <f t="shared" si="493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97" t="str">
        <f>+VLOOKUP(G1653,Liste!$A$7:$H$69,8,FALSE)</f>
        <v>Résineux</v>
      </c>
      <c r="BU1653" s="297">
        <f t="shared" si="494"/>
        <v>0</v>
      </c>
      <c r="BV1653" s="299">
        <f t="shared" si="495"/>
        <v>1</v>
      </c>
      <c r="BW1653" s="318">
        <v>0</v>
      </c>
      <c r="BX1653" s="297">
        <f t="shared" si="496"/>
        <v>0.43</v>
      </c>
      <c r="BY1653">
        <f t="shared" si="497"/>
        <v>0</v>
      </c>
      <c r="BZ1653" s="303">
        <f t="shared" si="498"/>
        <v>0</v>
      </c>
      <c r="CB1653" s="298">
        <v>0.6</v>
      </c>
      <c r="CC1653" s="298">
        <v>0.4</v>
      </c>
      <c r="CD1653">
        <f t="shared" si="499"/>
        <v>0</v>
      </c>
      <c r="CE1653">
        <f t="shared" si="500"/>
        <v>0</v>
      </c>
      <c r="CF1653">
        <f t="shared" si="501"/>
        <v>0</v>
      </c>
      <c r="CG1653">
        <f t="shared" si="502"/>
        <v>0</v>
      </c>
      <c r="CH1653">
        <f t="shared" si="503"/>
        <v>0</v>
      </c>
      <c r="CI1653">
        <f t="shared" si="504"/>
        <v>0</v>
      </c>
      <c r="CJ1653">
        <f t="shared" si="505"/>
        <v>0</v>
      </c>
      <c r="CK1653">
        <f t="shared" si="506"/>
        <v>0</v>
      </c>
      <c r="CL1653">
        <f t="shared" si="507"/>
        <v>0</v>
      </c>
      <c r="CM1653">
        <f t="shared" si="509"/>
        <v>0</v>
      </c>
      <c r="CN1653">
        <f t="shared" si="508"/>
        <v>0</v>
      </c>
      <c r="CO1653">
        <f t="shared" si="492"/>
        <v>0</v>
      </c>
    </row>
    <row r="1654" spans="2:93" hidden="1" x14ac:dyDescent="0.25">
      <c r="B1654" s="315">
        <v>44372</v>
      </c>
      <c r="C1654" s="4" t="s">
        <v>1522</v>
      </c>
      <c r="D1654" s="4" t="s">
        <v>1523</v>
      </c>
      <c r="F1654" s="4" t="s">
        <v>90</v>
      </c>
      <c r="G1654" s="5" t="s">
        <v>1512</v>
      </c>
      <c r="H1654" s="5" t="s">
        <v>1525</v>
      </c>
      <c r="I1654" s="5" t="s">
        <v>18</v>
      </c>
      <c r="J1654" s="5" t="s">
        <v>10</v>
      </c>
      <c r="K1654" s="5">
        <v>12</v>
      </c>
      <c r="L1654" s="5" t="s">
        <v>1526</v>
      </c>
      <c r="M1654" s="5">
        <v>1100</v>
      </c>
      <c r="N1654" s="5" t="s">
        <v>170</v>
      </c>
      <c r="O1654" s="6" t="s">
        <v>81</v>
      </c>
      <c r="P1654" s="6" t="s">
        <v>1528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6" t="str">
        <f>+VLOOKUP(G1654,Liste!$A$7:$G$69,3,FALSE)</f>
        <v>Pin d'Alep</v>
      </c>
      <c r="BI1654" s="96" t="str">
        <f>+VLOOKUP(H1654,Liste!$B$7:$G$69,5,FALSE)</f>
        <v>Pin d'Alep</v>
      </c>
      <c r="BJ1654" s="135">
        <f t="shared" si="491"/>
        <v>74</v>
      </c>
      <c r="BK1654" s="135" t="str">
        <f t="shared" si="493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97" t="str">
        <f>+VLOOKUP(G1654,Liste!$A$7:$H$69,8,FALSE)</f>
        <v>Résineux</v>
      </c>
      <c r="BU1654" s="297">
        <f t="shared" si="494"/>
        <v>0</v>
      </c>
      <c r="BV1654" s="299">
        <f t="shared" si="495"/>
        <v>1</v>
      </c>
      <c r="BW1654" s="318">
        <v>0</v>
      </c>
      <c r="BX1654" s="297">
        <f t="shared" si="496"/>
        <v>0.43</v>
      </c>
      <c r="BY1654">
        <f t="shared" si="497"/>
        <v>0</v>
      </c>
      <c r="BZ1654" s="303">
        <f t="shared" si="498"/>
        <v>0</v>
      </c>
      <c r="CB1654" s="298">
        <v>0.6</v>
      </c>
      <c r="CC1654" s="298">
        <v>0.4</v>
      </c>
      <c r="CD1654">
        <f t="shared" si="499"/>
        <v>0</v>
      </c>
      <c r="CE1654">
        <f t="shared" si="500"/>
        <v>0</v>
      </c>
      <c r="CF1654">
        <f t="shared" si="501"/>
        <v>0</v>
      </c>
      <c r="CG1654">
        <f t="shared" si="502"/>
        <v>0</v>
      </c>
      <c r="CH1654">
        <f t="shared" si="503"/>
        <v>0</v>
      </c>
      <c r="CI1654">
        <f t="shared" si="504"/>
        <v>0</v>
      </c>
      <c r="CJ1654">
        <f t="shared" si="505"/>
        <v>0</v>
      </c>
      <c r="CK1654">
        <f t="shared" si="506"/>
        <v>0</v>
      </c>
      <c r="CL1654">
        <f t="shared" si="507"/>
        <v>0</v>
      </c>
      <c r="CM1654">
        <f t="shared" si="509"/>
        <v>0</v>
      </c>
      <c r="CN1654">
        <f t="shared" si="508"/>
        <v>0</v>
      </c>
      <c r="CO1654">
        <f t="shared" si="492"/>
        <v>0</v>
      </c>
    </row>
    <row r="1655" spans="2:93" hidden="1" x14ac:dyDescent="0.25">
      <c r="B1655" s="315">
        <v>44372</v>
      </c>
      <c r="C1655" s="4" t="s">
        <v>1522</v>
      </c>
      <c r="D1655" s="4" t="s">
        <v>1523</v>
      </c>
      <c r="F1655" s="4" t="s">
        <v>90</v>
      </c>
      <c r="G1655" s="5" t="s">
        <v>1512</v>
      </c>
      <c r="H1655" s="5" t="s">
        <v>1525</v>
      </c>
      <c r="I1655" s="5" t="s">
        <v>18</v>
      </c>
      <c r="J1655" s="5" t="s">
        <v>10</v>
      </c>
      <c r="K1655" s="5">
        <v>12</v>
      </c>
      <c r="L1655" s="5" t="s">
        <v>1526</v>
      </c>
      <c r="M1655" s="5">
        <v>1100</v>
      </c>
      <c r="N1655" s="5" t="s">
        <v>170</v>
      </c>
      <c r="O1655" s="6" t="s">
        <v>81</v>
      </c>
      <c r="P1655" s="6" t="s">
        <v>1528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6" t="str">
        <f>+VLOOKUP(G1655,Liste!$A$7:$G$69,3,FALSE)</f>
        <v>Pin d'Alep</v>
      </c>
      <c r="BI1655" s="96" t="str">
        <f>+VLOOKUP(H1655,Liste!$B$7:$G$69,5,FALSE)</f>
        <v>Pin d'Alep</v>
      </c>
      <c r="BJ1655" s="135">
        <f t="shared" si="491"/>
        <v>75</v>
      </c>
      <c r="BK1655" s="135" t="str">
        <f t="shared" si="493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97" t="str">
        <f>+VLOOKUP(G1655,Liste!$A$7:$H$69,8,FALSE)</f>
        <v>Résineux</v>
      </c>
      <c r="BU1655" s="297">
        <f t="shared" si="494"/>
        <v>0</v>
      </c>
      <c r="BV1655" s="299">
        <f t="shared" si="495"/>
        <v>1</v>
      </c>
      <c r="BW1655" s="318">
        <v>0</v>
      </c>
      <c r="BX1655" s="297">
        <f t="shared" si="496"/>
        <v>0.43</v>
      </c>
      <c r="BY1655">
        <f t="shared" si="497"/>
        <v>0</v>
      </c>
      <c r="BZ1655" s="303">
        <f t="shared" si="498"/>
        <v>0</v>
      </c>
      <c r="CB1655" s="298">
        <v>0.6</v>
      </c>
      <c r="CC1655" s="298">
        <v>0.4</v>
      </c>
      <c r="CD1655">
        <f t="shared" si="499"/>
        <v>0</v>
      </c>
      <c r="CE1655">
        <f t="shared" si="500"/>
        <v>0</v>
      </c>
      <c r="CF1655">
        <f t="shared" si="501"/>
        <v>0</v>
      </c>
      <c r="CG1655">
        <f t="shared" si="502"/>
        <v>0</v>
      </c>
      <c r="CH1655">
        <f t="shared" si="503"/>
        <v>0</v>
      </c>
      <c r="CI1655">
        <f t="shared" si="504"/>
        <v>0</v>
      </c>
      <c r="CJ1655">
        <f t="shared" si="505"/>
        <v>0</v>
      </c>
      <c r="CK1655">
        <f t="shared" si="506"/>
        <v>0</v>
      </c>
      <c r="CL1655">
        <f t="shared" si="507"/>
        <v>0</v>
      </c>
      <c r="CM1655">
        <f t="shared" si="509"/>
        <v>0</v>
      </c>
      <c r="CN1655">
        <f t="shared" si="508"/>
        <v>0</v>
      </c>
      <c r="CO1655">
        <f t="shared" si="492"/>
        <v>0</v>
      </c>
    </row>
    <row r="1656" spans="2:93" hidden="1" x14ac:dyDescent="0.25">
      <c r="B1656" s="315">
        <v>44372</v>
      </c>
      <c r="C1656" s="4" t="s">
        <v>1522</v>
      </c>
      <c r="D1656" s="4" t="s">
        <v>1523</v>
      </c>
      <c r="F1656" s="4" t="s">
        <v>90</v>
      </c>
      <c r="G1656" s="5" t="s">
        <v>1512</v>
      </c>
      <c r="H1656" s="5" t="s">
        <v>1525</v>
      </c>
      <c r="I1656" s="5" t="s">
        <v>18</v>
      </c>
      <c r="J1656" s="5" t="s">
        <v>10</v>
      </c>
      <c r="K1656" s="5">
        <v>12</v>
      </c>
      <c r="L1656" s="5" t="s">
        <v>1526</v>
      </c>
      <c r="M1656" s="5">
        <v>1100</v>
      </c>
      <c r="N1656" s="5" t="s">
        <v>170</v>
      </c>
      <c r="O1656" s="6" t="s">
        <v>81</v>
      </c>
      <c r="P1656" s="6" t="s">
        <v>1528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6" t="str">
        <f>+VLOOKUP(G1656,Liste!$A$7:$G$69,3,FALSE)</f>
        <v>Pin d'Alep</v>
      </c>
      <c r="BI1656" s="96" t="str">
        <f>+VLOOKUP(H1656,Liste!$B$7:$G$69,5,FALSE)</f>
        <v>Pin d'Alep</v>
      </c>
      <c r="BJ1656" s="135">
        <f t="shared" si="491"/>
        <v>76</v>
      </c>
      <c r="BK1656" s="135" t="str">
        <f t="shared" si="493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97" t="str">
        <f>+VLOOKUP(G1656,Liste!$A$7:$H$69,8,FALSE)</f>
        <v>Résineux</v>
      </c>
      <c r="BU1656" s="297">
        <f t="shared" si="494"/>
        <v>0</v>
      </c>
      <c r="BV1656" s="299">
        <f t="shared" si="495"/>
        <v>1</v>
      </c>
      <c r="BW1656" s="318">
        <v>0</v>
      </c>
      <c r="BX1656" s="297">
        <f t="shared" si="496"/>
        <v>0.43</v>
      </c>
      <c r="BY1656">
        <f t="shared" si="497"/>
        <v>0</v>
      </c>
      <c r="BZ1656" s="303">
        <f t="shared" si="498"/>
        <v>0</v>
      </c>
      <c r="CB1656" s="298">
        <v>0.6</v>
      </c>
      <c r="CC1656" s="298">
        <v>0.4</v>
      </c>
      <c r="CD1656">
        <f t="shared" si="499"/>
        <v>0</v>
      </c>
      <c r="CE1656">
        <f t="shared" si="500"/>
        <v>0</v>
      </c>
      <c r="CF1656">
        <f t="shared" si="501"/>
        <v>0</v>
      </c>
      <c r="CG1656">
        <f t="shared" si="502"/>
        <v>0</v>
      </c>
      <c r="CH1656">
        <f t="shared" si="503"/>
        <v>0</v>
      </c>
      <c r="CI1656">
        <f t="shared" si="504"/>
        <v>0</v>
      </c>
      <c r="CJ1656">
        <f t="shared" si="505"/>
        <v>0</v>
      </c>
      <c r="CK1656">
        <f t="shared" si="506"/>
        <v>0</v>
      </c>
      <c r="CL1656">
        <f t="shared" si="507"/>
        <v>0</v>
      </c>
      <c r="CM1656">
        <f t="shared" si="509"/>
        <v>0</v>
      </c>
      <c r="CN1656">
        <f t="shared" si="508"/>
        <v>0</v>
      </c>
      <c r="CO1656">
        <f t="shared" si="492"/>
        <v>0</v>
      </c>
    </row>
    <row r="1657" spans="2:93" hidden="1" x14ac:dyDescent="0.25">
      <c r="B1657" s="315">
        <v>44372</v>
      </c>
      <c r="C1657" s="4" t="s">
        <v>1522</v>
      </c>
      <c r="D1657" s="4" t="s">
        <v>1523</v>
      </c>
      <c r="F1657" s="4" t="s">
        <v>90</v>
      </c>
      <c r="G1657" s="5" t="s">
        <v>1512</v>
      </c>
      <c r="H1657" s="5" t="s">
        <v>1525</v>
      </c>
      <c r="I1657" s="5" t="s">
        <v>18</v>
      </c>
      <c r="J1657" s="5" t="s">
        <v>10</v>
      </c>
      <c r="K1657" s="5">
        <v>12</v>
      </c>
      <c r="L1657" s="5" t="s">
        <v>1526</v>
      </c>
      <c r="M1657" s="5">
        <v>1100</v>
      </c>
      <c r="N1657" s="5" t="s">
        <v>170</v>
      </c>
      <c r="O1657" s="6" t="s">
        <v>81</v>
      </c>
      <c r="P1657" s="6" t="s">
        <v>1528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6" t="str">
        <f>+VLOOKUP(G1657,Liste!$A$7:$G$69,3,FALSE)</f>
        <v>Pin d'Alep</v>
      </c>
      <c r="BI1657" s="96" t="str">
        <f>+VLOOKUP(H1657,Liste!$B$7:$G$69,5,FALSE)</f>
        <v>Pin d'Alep</v>
      </c>
      <c r="BJ1657" s="135">
        <f t="shared" si="491"/>
        <v>77</v>
      </c>
      <c r="BK1657" s="135" t="str">
        <f t="shared" si="493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97" t="str">
        <f>+VLOOKUP(G1657,Liste!$A$7:$H$69,8,FALSE)</f>
        <v>Résineux</v>
      </c>
      <c r="BU1657" s="297">
        <f t="shared" si="494"/>
        <v>0</v>
      </c>
      <c r="BV1657" s="299">
        <f t="shared" si="495"/>
        <v>1</v>
      </c>
      <c r="BW1657" s="318">
        <v>0</v>
      </c>
      <c r="BX1657" s="297">
        <f t="shared" si="496"/>
        <v>0.43</v>
      </c>
      <c r="BY1657">
        <f t="shared" si="497"/>
        <v>0</v>
      </c>
      <c r="BZ1657" s="303">
        <f t="shared" si="498"/>
        <v>0</v>
      </c>
      <c r="CB1657" s="298">
        <v>0.6</v>
      </c>
      <c r="CC1657" s="298">
        <v>0.4</v>
      </c>
      <c r="CD1657">
        <f t="shared" si="499"/>
        <v>0</v>
      </c>
      <c r="CE1657">
        <f t="shared" si="500"/>
        <v>0</v>
      </c>
      <c r="CF1657">
        <f t="shared" si="501"/>
        <v>0</v>
      </c>
      <c r="CG1657">
        <f t="shared" si="502"/>
        <v>0</v>
      </c>
      <c r="CH1657">
        <f t="shared" si="503"/>
        <v>0</v>
      </c>
      <c r="CI1657">
        <f t="shared" si="504"/>
        <v>0</v>
      </c>
      <c r="CJ1657">
        <f t="shared" si="505"/>
        <v>0</v>
      </c>
      <c r="CK1657">
        <f t="shared" si="506"/>
        <v>0</v>
      </c>
      <c r="CL1657">
        <f t="shared" si="507"/>
        <v>0</v>
      </c>
      <c r="CM1657">
        <f t="shared" si="509"/>
        <v>0</v>
      </c>
      <c r="CN1657">
        <f t="shared" si="508"/>
        <v>0</v>
      </c>
      <c r="CO1657">
        <f t="shared" si="492"/>
        <v>0</v>
      </c>
    </row>
    <row r="1658" spans="2:93" hidden="1" x14ac:dyDescent="0.25">
      <c r="B1658" s="315">
        <v>44372</v>
      </c>
      <c r="C1658" s="4" t="s">
        <v>1522</v>
      </c>
      <c r="D1658" s="4" t="s">
        <v>1523</v>
      </c>
      <c r="F1658" s="4" t="s">
        <v>90</v>
      </c>
      <c r="G1658" s="5" t="s">
        <v>1512</v>
      </c>
      <c r="H1658" s="5" t="s">
        <v>1525</v>
      </c>
      <c r="I1658" s="5" t="s">
        <v>18</v>
      </c>
      <c r="J1658" s="5" t="s">
        <v>10</v>
      </c>
      <c r="K1658" s="5">
        <v>12</v>
      </c>
      <c r="L1658" s="5" t="s">
        <v>1526</v>
      </c>
      <c r="M1658" s="5">
        <v>1100</v>
      </c>
      <c r="N1658" s="5" t="s">
        <v>170</v>
      </c>
      <c r="O1658" s="6" t="s">
        <v>81</v>
      </c>
      <c r="P1658" s="6" t="s">
        <v>1528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6" t="str">
        <f>+VLOOKUP(G1658,Liste!$A$7:$G$69,3,FALSE)</f>
        <v>Pin d'Alep</v>
      </c>
      <c r="BI1658" s="96" t="str">
        <f>+VLOOKUP(H1658,Liste!$B$7:$G$69,5,FALSE)</f>
        <v>Pin d'Alep</v>
      </c>
      <c r="BJ1658" s="135">
        <f t="shared" si="491"/>
        <v>78</v>
      </c>
      <c r="BK1658" s="135" t="str">
        <f t="shared" si="493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97" t="str">
        <f>+VLOOKUP(G1658,Liste!$A$7:$H$69,8,FALSE)</f>
        <v>Résineux</v>
      </c>
      <c r="BU1658" s="297">
        <f t="shared" si="494"/>
        <v>0</v>
      </c>
      <c r="BV1658" s="299">
        <f t="shared" si="495"/>
        <v>1</v>
      </c>
      <c r="BW1658" s="318">
        <v>0</v>
      </c>
      <c r="BX1658" s="297">
        <f t="shared" si="496"/>
        <v>0.43</v>
      </c>
      <c r="BY1658">
        <f t="shared" si="497"/>
        <v>0</v>
      </c>
      <c r="BZ1658" s="303">
        <f t="shared" si="498"/>
        <v>0</v>
      </c>
      <c r="CB1658" s="298">
        <v>0.6</v>
      </c>
      <c r="CC1658" s="298">
        <v>0.4</v>
      </c>
      <c r="CD1658">
        <f t="shared" si="499"/>
        <v>0</v>
      </c>
      <c r="CE1658">
        <f t="shared" si="500"/>
        <v>0</v>
      </c>
      <c r="CF1658">
        <f t="shared" si="501"/>
        <v>0</v>
      </c>
      <c r="CG1658">
        <f t="shared" si="502"/>
        <v>0</v>
      </c>
      <c r="CH1658">
        <f t="shared" si="503"/>
        <v>0</v>
      </c>
      <c r="CI1658">
        <f t="shared" si="504"/>
        <v>0</v>
      </c>
      <c r="CJ1658">
        <f t="shared" si="505"/>
        <v>0</v>
      </c>
      <c r="CK1658">
        <f t="shared" si="506"/>
        <v>0</v>
      </c>
      <c r="CL1658">
        <f t="shared" si="507"/>
        <v>0</v>
      </c>
      <c r="CM1658">
        <f t="shared" si="509"/>
        <v>0</v>
      </c>
      <c r="CN1658">
        <f t="shared" si="508"/>
        <v>0</v>
      </c>
      <c r="CO1658">
        <f t="shared" si="492"/>
        <v>0</v>
      </c>
    </row>
    <row r="1659" spans="2:93" hidden="1" x14ac:dyDescent="0.25">
      <c r="B1659" s="315">
        <v>44372</v>
      </c>
      <c r="C1659" s="4" t="s">
        <v>1522</v>
      </c>
      <c r="D1659" s="4" t="s">
        <v>1523</v>
      </c>
      <c r="F1659" s="4" t="s">
        <v>90</v>
      </c>
      <c r="G1659" s="5" t="s">
        <v>1512</v>
      </c>
      <c r="H1659" s="5" t="s">
        <v>1525</v>
      </c>
      <c r="I1659" s="5" t="s">
        <v>18</v>
      </c>
      <c r="J1659" s="5" t="s">
        <v>10</v>
      </c>
      <c r="K1659" s="5">
        <v>12</v>
      </c>
      <c r="L1659" s="5" t="s">
        <v>1526</v>
      </c>
      <c r="M1659" s="5">
        <v>1100</v>
      </c>
      <c r="N1659" s="5" t="s">
        <v>170</v>
      </c>
      <c r="O1659" s="6" t="s">
        <v>81</v>
      </c>
      <c r="P1659" s="6" t="s">
        <v>1528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6" t="str">
        <f>+VLOOKUP(G1659,Liste!$A$7:$G$69,3,FALSE)</f>
        <v>Pin d'Alep</v>
      </c>
      <c r="BI1659" s="96" t="str">
        <f>+VLOOKUP(H1659,Liste!$B$7:$G$69,5,FALSE)</f>
        <v>Pin d'Alep</v>
      </c>
      <c r="BJ1659" s="135">
        <f t="shared" si="491"/>
        <v>79</v>
      </c>
      <c r="BK1659" s="135" t="str">
        <f t="shared" si="493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97" t="str">
        <f>+VLOOKUP(G1659,Liste!$A$7:$H$69,8,FALSE)</f>
        <v>Résineux</v>
      </c>
      <c r="BU1659" s="297">
        <f t="shared" si="494"/>
        <v>0</v>
      </c>
      <c r="BV1659" s="299">
        <f t="shared" si="495"/>
        <v>1</v>
      </c>
      <c r="BW1659" s="318">
        <v>0</v>
      </c>
      <c r="BX1659" s="297">
        <f t="shared" si="496"/>
        <v>0.43</v>
      </c>
      <c r="BY1659">
        <f t="shared" si="497"/>
        <v>0</v>
      </c>
      <c r="BZ1659" s="303">
        <f t="shared" si="498"/>
        <v>0</v>
      </c>
      <c r="CB1659" s="298">
        <v>0.6</v>
      </c>
      <c r="CC1659" s="298">
        <v>0.4</v>
      </c>
      <c r="CD1659">
        <f t="shared" si="499"/>
        <v>0</v>
      </c>
      <c r="CE1659">
        <f t="shared" si="500"/>
        <v>0</v>
      </c>
      <c r="CF1659">
        <f t="shared" si="501"/>
        <v>0</v>
      </c>
      <c r="CG1659">
        <f t="shared" si="502"/>
        <v>0</v>
      </c>
      <c r="CH1659">
        <f t="shared" si="503"/>
        <v>0</v>
      </c>
      <c r="CI1659">
        <f t="shared" si="504"/>
        <v>0</v>
      </c>
      <c r="CJ1659">
        <f t="shared" si="505"/>
        <v>0</v>
      </c>
      <c r="CK1659">
        <f t="shared" si="506"/>
        <v>0</v>
      </c>
      <c r="CL1659">
        <f t="shared" si="507"/>
        <v>0</v>
      </c>
      <c r="CM1659">
        <f t="shared" si="509"/>
        <v>0</v>
      </c>
      <c r="CN1659">
        <f t="shared" si="508"/>
        <v>0</v>
      </c>
      <c r="CO1659">
        <f t="shared" si="492"/>
        <v>0</v>
      </c>
    </row>
    <row r="1660" spans="2:93" hidden="1" x14ac:dyDescent="0.25">
      <c r="B1660" s="315">
        <v>44372</v>
      </c>
      <c r="C1660" s="4" t="s">
        <v>1522</v>
      </c>
      <c r="D1660" s="4" t="s">
        <v>1523</v>
      </c>
      <c r="F1660" s="4" t="s">
        <v>90</v>
      </c>
      <c r="G1660" s="5" t="s">
        <v>1512</v>
      </c>
      <c r="H1660" s="5" t="s">
        <v>1525</v>
      </c>
      <c r="I1660" s="5" t="s">
        <v>18</v>
      </c>
      <c r="J1660" s="5" t="s">
        <v>10</v>
      </c>
      <c r="K1660" s="5">
        <v>12</v>
      </c>
      <c r="L1660" s="5" t="s">
        <v>1526</v>
      </c>
      <c r="M1660" s="5">
        <v>1100</v>
      </c>
      <c r="N1660" s="5" t="s">
        <v>170</v>
      </c>
      <c r="O1660" s="6" t="s">
        <v>81</v>
      </c>
      <c r="P1660" s="6" t="s">
        <v>1528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6" t="str">
        <f>+VLOOKUP(G1660,Liste!$A$7:$G$69,3,FALSE)</f>
        <v>Pin d'Alep</v>
      </c>
      <c r="BI1660" s="96" t="str">
        <f>+VLOOKUP(H1660,Liste!$B$7:$G$69,5,FALSE)</f>
        <v>Pin d'Alep</v>
      </c>
      <c r="BJ1660" s="135">
        <f t="shared" si="491"/>
        <v>80</v>
      </c>
      <c r="BK1660" s="135" t="str">
        <f t="shared" si="493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97" t="str">
        <f>+VLOOKUP(G1660,Liste!$A$7:$H$69,8,FALSE)</f>
        <v>Résineux</v>
      </c>
      <c r="BU1660" s="297">
        <f t="shared" si="494"/>
        <v>0</v>
      </c>
      <c r="BV1660" s="299">
        <f t="shared" si="495"/>
        <v>1</v>
      </c>
      <c r="BW1660" s="318">
        <v>0</v>
      </c>
      <c r="BX1660" s="297">
        <f t="shared" si="496"/>
        <v>0.43</v>
      </c>
      <c r="BY1660">
        <f t="shared" si="497"/>
        <v>0</v>
      </c>
      <c r="BZ1660" s="303">
        <f t="shared" si="498"/>
        <v>0</v>
      </c>
      <c r="CB1660" s="298">
        <v>0.6</v>
      </c>
      <c r="CC1660" s="298">
        <v>0.4</v>
      </c>
      <c r="CD1660">
        <f t="shared" si="499"/>
        <v>0</v>
      </c>
      <c r="CE1660">
        <f t="shared" si="500"/>
        <v>0</v>
      </c>
      <c r="CF1660">
        <f t="shared" si="501"/>
        <v>0</v>
      </c>
      <c r="CG1660">
        <f t="shared" si="502"/>
        <v>0</v>
      </c>
      <c r="CH1660">
        <f t="shared" si="503"/>
        <v>0</v>
      </c>
      <c r="CI1660">
        <f t="shared" si="504"/>
        <v>0</v>
      </c>
      <c r="CJ1660">
        <f t="shared" si="505"/>
        <v>0</v>
      </c>
      <c r="CK1660">
        <f t="shared" si="506"/>
        <v>0</v>
      </c>
      <c r="CL1660">
        <f t="shared" si="507"/>
        <v>0</v>
      </c>
      <c r="CM1660">
        <f t="shared" si="509"/>
        <v>0</v>
      </c>
      <c r="CN1660">
        <f t="shared" si="508"/>
        <v>0</v>
      </c>
      <c r="CO1660">
        <f t="shared" si="492"/>
        <v>0</v>
      </c>
    </row>
    <row r="1661" spans="2:93" hidden="1" x14ac:dyDescent="0.25">
      <c r="B1661" s="315">
        <v>44372</v>
      </c>
      <c r="C1661" s="4" t="s">
        <v>1522</v>
      </c>
      <c r="D1661" s="4" t="s">
        <v>1523</v>
      </c>
      <c r="F1661" s="4" t="s">
        <v>90</v>
      </c>
      <c r="G1661" s="5" t="s">
        <v>1512</v>
      </c>
      <c r="H1661" s="5" t="s">
        <v>1525</v>
      </c>
      <c r="I1661" s="5" t="s">
        <v>18</v>
      </c>
      <c r="J1661" s="5" t="s">
        <v>10</v>
      </c>
      <c r="K1661" s="5">
        <v>12</v>
      </c>
      <c r="L1661" s="5" t="s">
        <v>1526</v>
      </c>
      <c r="M1661" s="5">
        <v>1100</v>
      </c>
      <c r="N1661" s="5" t="s">
        <v>170</v>
      </c>
      <c r="O1661" s="6" t="s">
        <v>81</v>
      </c>
      <c r="P1661" s="6" t="s">
        <v>1528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6" t="str">
        <f>+VLOOKUP(G1661,Liste!$A$7:$G$69,3,FALSE)</f>
        <v>Pin d'Alep</v>
      </c>
      <c r="BI1661" s="96" t="str">
        <f>+VLOOKUP(H1661,Liste!$B$7:$G$69,5,FALSE)</f>
        <v>Pin d'Alep</v>
      </c>
      <c r="BJ1661" s="135">
        <f t="shared" si="491"/>
        <v>80</v>
      </c>
      <c r="BK1661" s="135" t="str">
        <f t="shared" si="493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97" t="str">
        <f>+VLOOKUP(G1661,Liste!$A$7:$H$69,8,FALSE)</f>
        <v>Résineux</v>
      </c>
      <c r="BU1661" s="297">
        <f t="shared" si="494"/>
        <v>0</v>
      </c>
      <c r="BV1661" s="299">
        <f t="shared" si="495"/>
        <v>1</v>
      </c>
      <c r="BW1661" s="318">
        <v>0</v>
      </c>
      <c r="BX1661" s="297">
        <f t="shared" si="496"/>
        <v>0.43</v>
      </c>
      <c r="BY1661">
        <f t="shared" si="497"/>
        <v>0</v>
      </c>
      <c r="BZ1661" s="303">
        <f t="shared" si="498"/>
        <v>0</v>
      </c>
      <c r="CB1661" s="298">
        <v>0.6</v>
      </c>
      <c r="CC1661" s="298">
        <v>0.4</v>
      </c>
      <c r="CD1661">
        <f t="shared" si="499"/>
        <v>0</v>
      </c>
      <c r="CE1661">
        <f t="shared" si="500"/>
        <v>0</v>
      </c>
      <c r="CF1661">
        <f t="shared" si="501"/>
        <v>0</v>
      </c>
      <c r="CG1661">
        <f t="shared" si="502"/>
        <v>0</v>
      </c>
      <c r="CH1661">
        <f t="shared" si="503"/>
        <v>0</v>
      </c>
      <c r="CI1661">
        <f t="shared" si="504"/>
        <v>0</v>
      </c>
      <c r="CJ1661">
        <f t="shared" si="505"/>
        <v>0</v>
      </c>
      <c r="CK1661">
        <f t="shared" si="506"/>
        <v>0</v>
      </c>
      <c r="CL1661">
        <f t="shared" si="507"/>
        <v>0</v>
      </c>
      <c r="CM1661">
        <f t="shared" si="509"/>
        <v>0</v>
      </c>
      <c r="CN1661">
        <f t="shared" si="508"/>
        <v>0</v>
      </c>
      <c r="CO1661">
        <f t="shared" si="492"/>
        <v>0</v>
      </c>
    </row>
    <row r="1662" spans="2:93" hidden="1" x14ac:dyDescent="0.25">
      <c r="B1662" s="315">
        <v>44372</v>
      </c>
      <c r="C1662" s="4" t="s">
        <v>1522</v>
      </c>
      <c r="D1662" s="4" t="s">
        <v>1523</v>
      </c>
      <c r="F1662" s="4" t="s">
        <v>90</v>
      </c>
      <c r="G1662" s="5" t="s">
        <v>1512</v>
      </c>
      <c r="H1662" s="5" t="s">
        <v>1525</v>
      </c>
      <c r="I1662" s="5" t="s">
        <v>18</v>
      </c>
      <c r="J1662" s="5" t="s">
        <v>10</v>
      </c>
      <c r="K1662" s="5">
        <v>12</v>
      </c>
      <c r="L1662" s="5" t="s">
        <v>1526</v>
      </c>
      <c r="M1662" s="5">
        <v>1100</v>
      </c>
      <c r="N1662" s="5" t="s">
        <v>170</v>
      </c>
      <c r="O1662" s="6" t="s">
        <v>81</v>
      </c>
      <c r="P1662" s="6" t="s">
        <v>1528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6" t="str">
        <f>+VLOOKUP(G1662,Liste!$A$7:$G$69,3,FALSE)</f>
        <v>Pin d'Alep</v>
      </c>
      <c r="BI1662" s="96" t="str">
        <f>+VLOOKUP(H1662,Liste!$B$7:$G$69,5,FALSE)</f>
        <v>Pin d'Alep</v>
      </c>
      <c r="BJ1662" s="135">
        <f t="shared" si="491"/>
        <v>81</v>
      </c>
      <c r="BK1662" s="135" t="str">
        <f t="shared" si="493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97" t="str">
        <f>+VLOOKUP(G1662,Liste!$A$7:$H$69,8,FALSE)</f>
        <v>Résineux</v>
      </c>
      <c r="BU1662" s="297">
        <f t="shared" si="494"/>
        <v>0</v>
      </c>
      <c r="BV1662" s="299">
        <f t="shared" si="495"/>
        <v>1</v>
      </c>
      <c r="BW1662" s="318">
        <v>0</v>
      </c>
      <c r="BX1662" s="297">
        <f t="shared" si="496"/>
        <v>0.43</v>
      </c>
      <c r="BY1662">
        <f t="shared" si="497"/>
        <v>0</v>
      </c>
      <c r="BZ1662" s="303">
        <f t="shared" si="498"/>
        <v>0</v>
      </c>
      <c r="CB1662" s="298">
        <v>0.6</v>
      </c>
      <c r="CC1662" s="298">
        <v>0.4</v>
      </c>
      <c r="CD1662">
        <f t="shared" si="499"/>
        <v>0</v>
      </c>
      <c r="CE1662">
        <f t="shared" si="500"/>
        <v>0</v>
      </c>
      <c r="CF1662">
        <f t="shared" si="501"/>
        <v>0</v>
      </c>
      <c r="CG1662">
        <f t="shared" si="502"/>
        <v>0</v>
      </c>
      <c r="CH1662">
        <f t="shared" si="503"/>
        <v>0</v>
      </c>
      <c r="CI1662">
        <f t="shared" si="504"/>
        <v>0</v>
      </c>
      <c r="CJ1662">
        <f t="shared" si="505"/>
        <v>0</v>
      </c>
      <c r="CK1662">
        <f t="shared" si="506"/>
        <v>0</v>
      </c>
      <c r="CL1662">
        <f t="shared" si="507"/>
        <v>0</v>
      </c>
      <c r="CM1662">
        <f t="shared" si="509"/>
        <v>0</v>
      </c>
      <c r="CN1662">
        <f t="shared" si="508"/>
        <v>0</v>
      </c>
      <c r="CO1662">
        <f t="shared" si="492"/>
        <v>0</v>
      </c>
    </row>
    <row r="1663" spans="2:93" hidden="1" x14ac:dyDescent="0.25">
      <c r="B1663" s="315">
        <v>44372</v>
      </c>
      <c r="C1663" s="4" t="s">
        <v>1522</v>
      </c>
      <c r="D1663" s="4" t="s">
        <v>1523</v>
      </c>
      <c r="F1663" s="4" t="s">
        <v>90</v>
      </c>
      <c r="G1663" s="5" t="s">
        <v>1512</v>
      </c>
      <c r="H1663" s="5" t="s">
        <v>1525</v>
      </c>
      <c r="I1663" s="5" t="s">
        <v>18</v>
      </c>
      <c r="J1663" s="5" t="s">
        <v>10</v>
      </c>
      <c r="K1663" s="5">
        <v>12</v>
      </c>
      <c r="L1663" s="5" t="s">
        <v>1526</v>
      </c>
      <c r="M1663" s="5">
        <v>1100</v>
      </c>
      <c r="N1663" s="5" t="s">
        <v>170</v>
      </c>
      <c r="O1663" s="6" t="s">
        <v>81</v>
      </c>
      <c r="P1663" s="6" t="s">
        <v>1528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6" t="str">
        <f>+VLOOKUP(G1663,Liste!$A$7:$G$69,3,FALSE)</f>
        <v>Pin d'Alep</v>
      </c>
      <c r="BI1663" s="96" t="str">
        <f>+VLOOKUP(H1663,Liste!$B$7:$G$69,5,FALSE)</f>
        <v>Pin d'Alep</v>
      </c>
      <c r="BJ1663" s="135">
        <f t="shared" si="491"/>
        <v>82</v>
      </c>
      <c r="BK1663" s="135" t="str">
        <f t="shared" si="493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97" t="str">
        <f>+VLOOKUP(G1663,Liste!$A$7:$H$69,8,FALSE)</f>
        <v>Résineux</v>
      </c>
      <c r="BU1663" s="297">
        <f t="shared" si="494"/>
        <v>0</v>
      </c>
      <c r="BV1663" s="299">
        <f t="shared" si="495"/>
        <v>1</v>
      </c>
      <c r="BW1663" s="318">
        <v>0</v>
      </c>
      <c r="BX1663" s="297">
        <f t="shared" si="496"/>
        <v>0.43</v>
      </c>
      <c r="BY1663">
        <f t="shared" si="497"/>
        <v>0</v>
      </c>
      <c r="BZ1663" s="303">
        <f t="shared" si="498"/>
        <v>0</v>
      </c>
      <c r="CB1663" s="298">
        <v>0.6</v>
      </c>
      <c r="CC1663" s="298">
        <v>0.4</v>
      </c>
      <c r="CD1663">
        <f t="shared" si="499"/>
        <v>0</v>
      </c>
      <c r="CE1663">
        <f t="shared" si="500"/>
        <v>0</v>
      </c>
      <c r="CF1663">
        <f t="shared" si="501"/>
        <v>0</v>
      </c>
      <c r="CG1663">
        <f t="shared" si="502"/>
        <v>0</v>
      </c>
      <c r="CH1663">
        <f t="shared" si="503"/>
        <v>0</v>
      </c>
      <c r="CI1663">
        <f t="shared" si="504"/>
        <v>0</v>
      </c>
      <c r="CJ1663">
        <f t="shared" si="505"/>
        <v>0</v>
      </c>
      <c r="CK1663">
        <f t="shared" si="506"/>
        <v>0</v>
      </c>
      <c r="CL1663">
        <f t="shared" si="507"/>
        <v>0</v>
      </c>
      <c r="CM1663">
        <f t="shared" si="509"/>
        <v>0</v>
      </c>
      <c r="CN1663">
        <f t="shared" si="508"/>
        <v>0</v>
      </c>
      <c r="CO1663">
        <f t="shared" si="492"/>
        <v>0</v>
      </c>
    </row>
    <row r="1664" spans="2:93" hidden="1" x14ac:dyDescent="0.25">
      <c r="B1664" s="315">
        <v>44372</v>
      </c>
      <c r="C1664" s="4" t="s">
        <v>1522</v>
      </c>
      <c r="D1664" s="4" t="s">
        <v>1523</v>
      </c>
      <c r="F1664" s="4" t="s">
        <v>90</v>
      </c>
      <c r="G1664" s="5" t="s">
        <v>1512</v>
      </c>
      <c r="H1664" s="5" t="s">
        <v>1525</v>
      </c>
      <c r="I1664" s="5" t="s">
        <v>18</v>
      </c>
      <c r="J1664" s="5" t="s">
        <v>10</v>
      </c>
      <c r="K1664" s="5">
        <v>12</v>
      </c>
      <c r="L1664" s="5" t="s">
        <v>1526</v>
      </c>
      <c r="M1664" s="5">
        <v>1100</v>
      </c>
      <c r="N1664" s="5" t="s">
        <v>170</v>
      </c>
      <c r="O1664" s="6" t="s">
        <v>81</v>
      </c>
      <c r="P1664" s="6" t="s">
        <v>1528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6" t="str">
        <f>+VLOOKUP(G1664,Liste!$A$7:$G$69,3,FALSE)</f>
        <v>Pin d'Alep</v>
      </c>
      <c r="BI1664" s="96" t="str">
        <f>+VLOOKUP(H1664,Liste!$B$7:$G$69,5,FALSE)</f>
        <v>Pin d'Alep</v>
      </c>
      <c r="BJ1664" s="135">
        <f t="shared" si="491"/>
        <v>83</v>
      </c>
      <c r="BK1664" s="135" t="str">
        <f t="shared" si="493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97" t="str">
        <f>+VLOOKUP(G1664,Liste!$A$7:$H$69,8,FALSE)</f>
        <v>Résineux</v>
      </c>
      <c r="BU1664" s="297">
        <f t="shared" si="494"/>
        <v>0</v>
      </c>
      <c r="BV1664" s="299">
        <f t="shared" si="495"/>
        <v>1</v>
      </c>
      <c r="BW1664" s="318">
        <v>0</v>
      </c>
      <c r="BX1664" s="297">
        <f t="shared" si="496"/>
        <v>0.43</v>
      </c>
      <c r="BY1664">
        <f t="shared" si="497"/>
        <v>0</v>
      </c>
      <c r="BZ1664" s="303">
        <f t="shared" si="498"/>
        <v>0</v>
      </c>
      <c r="CB1664" s="298">
        <v>0.6</v>
      </c>
      <c r="CC1664" s="298">
        <v>0.4</v>
      </c>
      <c r="CD1664">
        <f t="shared" si="499"/>
        <v>0</v>
      </c>
      <c r="CE1664">
        <f t="shared" si="500"/>
        <v>0</v>
      </c>
      <c r="CF1664">
        <f t="shared" si="501"/>
        <v>0</v>
      </c>
      <c r="CG1664">
        <f t="shared" si="502"/>
        <v>0</v>
      </c>
      <c r="CH1664">
        <f t="shared" si="503"/>
        <v>0</v>
      </c>
      <c r="CI1664">
        <f t="shared" si="504"/>
        <v>0</v>
      </c>
      <c r="CJ1664">
        <f t="shared" si="505"/>
        <v>0</v>
      </c>
      <c r="CK1664">
        <f t="shared" si="506"/>
        <v>0</v>
      </c>
      <c r="CL1664">
        <f t="shared" si="507"/>
        <v>0</v>
      </c>
      <c r="CM1664">
        <f t="shared" si="509"/>
        <v>0</v>
      </c>
      <c r="CN1664">
        <f t="shared" si="508"/>
        <v>0</v>
      </c>
      <c r="CO1664">
        <f t="shared" si="492"/>
        <v>0</v>
      </c>
    </row>
    <row r="1665" spans="2:93" hidden="1" x14ac:dyDescent="0.25">
      <c r="B1665" s="315">
        <v>44372</v>
      </c>
      <c r="C1665" s="4" t="s">
        <v>1522</v>
      </c>
      <c r="D1665" s="4" t="s">
        <v>1523</v>
      </c>
      <c r="F1665" s="4" t="s">
        <v>90</v>
      </c>
      <c r="G1665" s="5" t="s">
        <v>1512</v>
      </c>
      <c r="H1665" s="5" t="s">
        <v>1525</v>
      </c>
      <c r="I1665" s="5" t="s">
        <v>18</v>
      </c>
      <c r="J1665" s="5" t="s">
        <v>10</v>
      </c>
      <c r="K1665" s="5">
        <v>12</v>
      </c>
      <c r="L1665" s="5" t="s">
        <v>1526</v>
      </c>
      <c r="M1665" s="5">
        <v>1100</v>
      </c>
      <c r="N1665" s="5" t="s">
        <v>170</v>
      </c>
      <c r="O1665" s="6" t="s">
        <v>81</v>
      </c>
      <c r="P1665" s="6" t="s">
        <v>1528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6" t="str">
        <f>+VLOOKUP(G1665,Liste!$A$7:$G$69,3,FALSE)</f>
        <v>Pin d'Alep</v>
      </c>
      <c r="BI1665" s="96" t="str">
        <f>+VLOOKUP(H1665,Liste!$B$7:$G$69,5,FALSE)</f>
        <v>Pin d'Alep</v>
      </c>
      <c r="BJ1665" s="135">
        <f t="shared" si="491"/>
        <v>84</v>
      </c>
      <c r="BK1665" s="135" t="str">
        <f t="shared" si="493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97" t="str">
        <f>+VLOOKUP(G1665,Liste!$A$7:$H$69,8,FALSE)</f>
        <v>Résineux</v>
      </c>
      <c r="BU1665" s="297">
        <f t="shared" si="494"/>
        <v>0</v>
      </c>
      <c r="BV1665" s="299">
        <f t="shared" si="495"/>
        <v>1</v>
      </c>
      <c r="BW1665" s="318">
        <v>0</v>
      </c>
      <c r="BX1665" s="297">
        <f t="shared" si="496"/>
        <v>0.43</v>
      </c>
      <c r="BY1665">
        <f t="shared" si="497"/>
        <v>0</v>
      </c>
      <c r="BZ1665" s="303">
        <f t="shared" si="498"/>
        <v>0</v>
      </c>
      <c r="CB1665" s="298">
        <v>0.6</v>
      </c>
      <c r="CC1665" s="298">
        <v>0.4</v>
      </c>
      <c r="CD1665">
        <f t="shared" si="499"/>
        <v>0</v>
      </c>
      <c r="CE1665">
        <f t="shared" si="500"/>
        <v>0</v>
      </c>
      <c r="CF1665">
        <f t="shared" si="501"/>
        <v>0</v>
      </c>
      <c r="CG1665">
        <f t="shared" si="502"/>
        <v>0</v>
      </c>
      <c r="CH1665">
        <f t="shared" si="503"/>
        <v>0</v>
      </c>
      <c r="CI1665">
        <f t="shared" si="504"/>
        <v>0</v>
      </c>
      <c r="CJ1665">
        <f t="shared" si="505"/>
        <v>0</v>
      </c>
      <c r="CK1665">
        <f t="shared" si="506"/>
        <v>0</v>
      </c>
      <c r="CL1665">
        <f t="shared" si="507"/>
        <v>0</v>
      </c>
      <c r="CM1665">
        <f t="shared" si="509"/>
        <v>0</v>
      </c>
      <c r="CN1665">
        <f t="shared" si="508"/>
        <v>0</v>
      </c>
      <c r="CO1665">
        <f t="shared" si="492"/>
        <v>0</v>
      </c>
    </row>
    <row r="1666" spans="2:93" hidden="1" x14ac:dyDescent="0.25">
      <c r="B1666" s="315">
        <v>44372</v>
      </c>
      <c r="C1666" s="4" t="s">
        <v>1522</v>
      </c>
      <c r="D1666" s="4" t="s">
        <v>1523</v>
      </c>
      <c r="F1666" s="4" t="s">
        <v>90</v>
      </c>
      <c r="G1666" s="5" t="s">
        <v>1512</v>
      </c>
      <c r="H1666" s="5" t="s">
        <v>1525</v>
      </c>
      <c r="I1666" s="5" t="s">
        <v>18</v>
      </c>
      <c r="J1666" s="5" t="s">
        <v>10</v>
      </c>
      <c r="K1666" s="5">
        <v>12</v>
      </c>
      <c r="L1666" s="5" t="s">
        <v>1526</v>
      </c>
      <c r="M1666" s="5">
        <v>1100</v>
      </c>
      <c r="N1666" s="5" t="s">
        <v>170</v>
      </c>
      <c r="O1666" s="6" t="s">
        <v>81</v>
      </c>
      <c r="P1666" s="6" t="s">
        <v>1528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6" t="str">
        <f>+VLOOKUP(G1666,Liste!$A$7:$G$69,3,FALSE)</f>
        <v>Pin d'Alep</v>
      </c>
      <c r="BI1666" s="96" t="str">
        <f>+VLOOKUP(H1666,Liste!$B$7:$G$69,5,FALSE)</f>
        <v>Pin d'Alep</v>
      </c>
      <c r="BJ1666" s="135">
        <f t="shared" si="491"/>
        <v>85</v>
      </c>
      <c r="BK1666" s="135" t="str">
        <f t="shared" si="493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97" t="str">
        <f>+VLOOKUP(G1666,Liste!$A$7:$H$69,8,FALSE)</f>
        <v>Résineux</v>
      </c>
      <c r="BU1666" s="297">
        <f t="shared" si="494"/>
        <v>0</v>
      </c>
      <c r="BV1666" s="299">
        <f t="shared" si="495"/>
        <v>1</v>
      </c>
      <c r="BW1666" s="318">
        <v>0</v>
      </c>
      <c r="BX1666" s="297">
        <f t="shared" si="496"/>
        <v>0.43</v>
      </c>
      <c r="BY1666">
        <f t="shared" si="497"/>
        <v>0</v>
      </c>
      <c r="BZ1666" s="303">
        <f t="shared" si="498"/>
        <v>0</v>
      </c>
      <c r="CB1666" s="298">
        <v>0.6</v>
      </c>
      <c r="CC1666" s="298">
        <v>0.4</v>
      </c>
      <c r="CD1666">
        <f t="shared" si="499"/>
        <v>0</v>
      </c>
      <c r="CE1666">
        <f t="shared" si="500"/>
        <v>0</v>
      </c>
      <c r="CF1666">
        <f t="shared" si="501"/>
        <v>0</v>
      </c>
      <c r="CG1666">
        <f t="shared" si="502"/>
        <v>0</v>
      </c>
      <c r="CH1666">
        <f t="shared" si="503"/>
        <v>0</v>
      </c>
      <c r="CI1666">
        <f t="shared" si="504"/>
        <v>0</v>
      </c>
      <c r="CJ1666">
        <f t="shared" si="505"/>
        <v>0</v>
      </c>
      <c r="CK1666">
        <f t="shared" si="506"/>
        <v>0</v>
      </c>
      <c r="CL1666">
        <f t="shared" si="507"/>
        <v>0</v>
      </c>
      <c r="CM1666">
        <f t="shared" si="509"/>
        <v>0</v>
      </c>
      <c r="CN1666">
        <f t="shared" si="508"/>
        <v>0</v>
      </c>
      <c r="CO1666">
        <f t="shared" si="492"/>
        <v>0</v>
      </c>
    </row>
    <row r="1667" spans="2:93" hidden="1" x14ac:dyDescent="0.25">
      <c r="B1667" s="315">
        <v>44372</v>
      </c>
      <c r="C1667" s="4" t="s">
        <v>1522</v>
      </c>
      <c r="D1667" s="4" t="s">
        <v>1523</v>
      </c>
      <c r="F1667" s="4" t="s">
        <v>90</v>
      </c>
      <c r="G1667" s="5" t="s">
        <v>1512</v>
      </c>
      <c r="H1667" s="5" t="s">
        <v>1525</v>
      </c>
      <c r="I1667" s="5" t="s">
        <v>18</v>
      </c>
      <c r="J1667" s="5" t="s">
        <v>10</v>
      </c>
      <c r="K1667" s="5">
        <v>12</v>
      </c>
      <c r="L1667" s="5" t="s">
        <v>1526</v>
      </c>
      <c r="M1667" s="5">
        <v>1100</v>
      </c>
      <c r="N1667" s="5" t="s">
        <v>170</v>
      </c>
      <c r="O1667" s="6" t="s">
        <v>81</v>
      </c>
      <c r="P1667" s="6" t="s">
        <v>1528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6" t="str">
        <f>+VLOOKUP(G1667,Liste!$A$7:$G$69,3,FALSE)</f>
        <v>Pin d'Alep</v>
      </c>
      <c r="BI1667" s="96" t="str">
        <f>+VLOOKUP(H1667,Liste!$B$7:$G$69,5,FALSE)</f>
        <v>Pin d'Alep</v>
      </c>
      <c r="BJ1667" s="135">
        <f t="shared" ref="BJ1667:BJ1677" si="510">+AC1667</f>
        <v>86</v>
      </c>
      <c r="BK1667" s="135" t="str">
        <f t="shared" si="493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97" t="str">
        <f>+VLOOKUP(G1667,Liste!$A$7:$H$69,8,FALSE)</f>
        <v>Résineux</v>
      </c>
      <c r="BU1667" s="297">
        <f t="shared" si="494"/>
        <v>0</v>
      </c>
      <c r="BV1667" s="299">
        <f t="shared" si="495"/>
        <v>1</v>
      </c>
      <c r="BW1667" s="318">
        <v>0</v>
      </c>
      <c r="BX1667" s="297">
        <f t="shared" si="496"/>
        <v>0.43</v>
      </c>
      <c r="BY1667">
        <f t="shared" si="497"/>
        <v>0</v>
      </c>
      <c r="BZ1667" s="303">
        <f t="shared" si="498"/>
        <v>0</v>
      </c>
      <c r="CB1667" s="298">
        <v>0.6</v>
      </c>
      <c r="CC1667" s="298">
        <v>0.4</v>
      </c>
      <c r="CD1667">
        <f t="shared" si="499"/>
        <v>0</v>
      </c>
      <c r="CE1667">
        <f t="shared" si="500"/>
        <v>0</v>
      </c>
      <c r="CF1667">
        <f t="shared" si="501"/>
        <v>0</v>
      </c>
      <c r="CG1667">
        <f t="shared" si="502"/>
        <v>0</v>
      </c>
      <c r="CH1667">
        <f t="shared" si="503"/>
        <v>0</v>
      </c>
      <c r="CI1667">
        <f t="shared" si="504"/>
        <v>0</v>
      </c>
      <c r="CJ1667">
        <f t="shared" si="505"/>
        <v>0</v>
      </c>
      <c r="CK1667">
        <f t="shared" si="506"/>
        <v>0</v>
      </c>
      <c r="CL1667">
        <f t="shared" si="507"/>
        <v>0</v>
      </c>
      <c r="CM1667">
        <f t="shared" si="509"/>
        <v>0</v>
      </c>
      <c r="CN1667">
        <f t="shared" si="508"/>
        <v>0</v>
      </c>
      <c r="CO1667">
        <f t="shared" ref="CO1667:CO1677" si="511">+IF(BJ1667=30,CN1667/30,0)</f>
        <v>0</v>
      </c>
    </row>
    <row r="1668" spans="2:93" hidden="1" x14ac:dyDescent="0.25">
      <c r="B1668" s="315">
        <v>44372</v>
      </c>
      <c r="C1668" s="4" t="s">
        <v>1522</v>
      </c>
      <c r="D1668" s="4" t="s">
        <v>1523</v>
      </c>
      <c r="F1668" s="4" t="s">
        <v>90</v>
      </c>
      <c r="G1668" s="5" t="s">
        <v>1512</v>
      </c>
      <c r="H1668" s="5" t="s">
        <v>1525</v>
      </c>
      <c r="I1668" s="5" t="s">
        <v>18</v>
      </c>
      <c r="J1668" s="5" t="s">
        <v>10</v>
      </c>
      <c r="K1668" s="5">
        <v>12</v>
      </c>
      <c r="L1668" s="5" t="s">
        <v>1526</v>
      </c>
      <c r="M1668" s="5">
        <v>1100</v>
      </c>
      <c r="N1668" s="5" t="s">
        <v>170</v>
      </c>
      <c r="O1668" s="6" t="s">
        <v>81</v>
      </c>
      <c r="P1668" s="6" t="s">
        <v>1528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6" t="str">
        <f>+VLOOKUP(G1668,Liste!$A$7:$G$69,3,FALSE)</f>
        <v>Pin d'Alep</v>
      </c>
      <c r="BI1668" s="96" t="str">
        <f>+VLOOKUP(H1668,Liste!$B$7:$G$69,5,FALSE)</f>
        <v>Pin d'Alep</v>
      </c>
      <c r="BJ1668" s="135">
        <f t="shared" si="510"/>
        <v>87</v>
      </c>
      <c r="BK1668" s="135" t="str">
        <f t="shared" ref="BK1668:BK1677" si="512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97" t="str">
        <f>+VLOOKUP(G1668,Liste!$A$7:$H$69,8,FALSE)</f>
        <v>Résineux</v>
      </c>
      <c r="BU1668" s="297">
        <f t="shared" ref="BU1668:BU1677" si="513">IF(BT1668="Résineux",0%,100%)</f>
        <v>0</v>
      </c>
      <c r="BV1668" s="299">
        <f t="shared" ref="BV1668:BV1677" si="514">+IF(BT1668="Résineux",100%,0%)</f>
        <v>1</v>
      </c>
      <c r="BW1668" s="318">
        <v>0</v>
      </c>
      <c r="BX1668" s="297">
        <f t="shared" ref="BX1668:BX1677" si="515">+IF(BV1668&lt;&gt;0,0.43,0.25)</f>
        <v>0.43</v>
      </c>
      <c r="BY1668">
        <f t="shared" ref="BY1668:BY1677" si="516">+IF(BJ1668&lt;=30,AV1668*BX1668,0)</f>
        <v>0</v>
      </c>
      <c r="BZ1668" s="303">
        <f t="shared" ref="BZ1668:BZ1677" si="517">+IF(BJ1668&gt;=31,0,BY1668+BZ1667)</f>
        <v>0</v>
      </c>
      <c r="CB1668" s="298">
        <v>0.6</v>
      </c>
      <c r="CC1668" s="298">
        <v>0.4</v>
      </c>
      <c r="CD1668">
        <f t="shared" ref="CD1668:CD1677" si="518">+IF(BJ1668&lt;=31,AV1668*CA1668*0.5,0)</f>
        <v>0</v>
      </c>
      <c r="CE1668">
        <f t="shared" ref="CE1668:CE1677" si="519">IF(BJ1668&lt;=31,AV1668*CB1668,0)</f>
        <v>0</v>
      </c>
      <c r="CF1668">
        <f t="shared" ref="CF1668:CF1677" si="520">IF(BJ1668&lt;=31,AV1668*CC1668,0)</f>
        <v>0</v>
      </c>
      <c r="CG1668">
        <f t="shared" ref="CG1668:CG1677" si="521">CD1668*44/12*0.475*BF1668</f>
        <v>0</v>
      </c>
      <c r="CH1668">
        <f t="shared" ref="CH1668:CH1677" si="522">CE1668*44/12*0.475*BF1668</f>
        <v>0</v>
      </c>
      <c r="CI1668">
        <f t="shared" ref="CI1668:CI1677" si="523">CF1668*44/12*0.475*BF1668</f>
        <v>0</v>
      </c>
      <c r="CJ1668">
        <f t="shared" ref="CJ1668:CJ1677" si="524">+IF(BJ1668&lt;=31,CJ1667*EXP(-$CJ$1)+CG1667*(1-EXP(-$CJ$1))/$CJ$1,0)</f>
        <v>0</v>
      </c>
      <c r="CK1668">
        <f t="shared" ref="CK1668:CK1677" si="525">+IF(BJ1668&lt;=31,CK1667*EXP(-$CK$1)+CH1667*(1-EXP(-$CK$1))/$CK$1,0)</f>
        <v>0</v>
      </c>
      <c r="CL1668">
        <f t="shared" ref="CL1668:CL1677" si="526">+IF(BJ1668&lt;=31,CL1667*EXP(-$CL$1)+CI1667*(1-EXP(-$CL$1))/$CL$1,0)</f>
        <v>0</v>
      </c>
      <c r="CM1668">
        <f t="shared" si="509"/>
        <v>0</v>
      </c>
      <c r="CN1668">
        <f t="shared" ref="CN1668:CN1677" si="527">+IF(BJ1668&lt;=31,CM1668+CN1667,0)</f>
        <v>0</v>
      </c>
      <c r="CO1668">
        <f t="shared" si="511"/>
        <v>0</v>
      </c>
    </row>
    <row r="1669" spans="2:93" hidden="1" x14ac:dyDescent="0.25">
      <c r="B1669" s="315">
        <v>44372</v>
      </c>
      <c r="C1669" s="4" t="s">
        <v>1522</v>
      </c>
      <c r="D1669" s="4" t="s">
        <v>1523</v>
      </c>
      <c r="F1669" s="4" t="s">
        <v>90</v>
      </c>
      <c r="G1669" s="5" t="s">
        <v>1512</v>
      </c>
      <c r="H1669" s="5" t="s">
        <v>1525</v>
      </c>
      <c r="I1669" s="5" t="s">
        <v>18</v>
      </c>
      <c r="J1669" s="5" t="s">
        <v>10</v>
      </c>
      <c r="K1669" s="5">
        <v>12</v>
      </c>
      <c r="L1669" s="5" t="s">
        <v>1526</v>
      </c>
      <c r="M1669" s="5">
        <v>1100</v>
      </c>
      <c r="N1669" s="5" t="s">
        <v>170</v>
      </c>
      <c r="O1669" s="6" t="s">
        <v>81</v>
      </c>
      <c r="P1669" s="6" t="s">
        <v>1528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6" t="str">
        <f>+VLOOKUP(G1669,Liste!$A$7:$G$69,3,FALSE)</f>
        <v>Pin d'Alep</v>
      </c>
      <c r="BI1669" s="96" t="str">
        <f>+VLOOKUP(H1669,Liste!$B$7:$G$69,5,FALSE)</f>
        <v>Pin d'Alep</v>
      </c>
      <c r="BJ1669" s="135">
        <f t="shared" si="510"/>
        <v>88</v>
      </c>
      <c r="BK1669" s="135" t="str">
        <f t="shared" si="512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97" t="str">
        <f>+VLOOKUP(G1669,Liste!$A$7:$H$69,8,FALSE)</f>
        <v>Résineux</v>
      </c>
      <c r="BU1669" s="297">
        <f t="shared" si="513"/>
        <v>0</v>
      </c>
      <c r="BV1669" s="299">
        <f t="shared" si="514"/>
        <v>1</v>
      </c>
      <c r="BW1669" s="318">
        <v>0</v>
      </c>
      <c r="BX1669" s="297">
        <f t="shared" si="515"/>
        <v>0.43</v>
      </c>
      <c r="BY1669">
        <f t="shared" si="516"/>
        <v>0</v>
      </c>
      <c r="BZ1669" s="303">
        <f t="shared" si="517"/>
        <v>0</v>
      </c>
      <c r="CB1669" s="298">
        <v>0.6</v>
      </c>
      <c r="CC1669" s="298">
        <v>0.4</v>
      </c>
      <c r="CD1669">
        <f t="shared" si="518"/>
        <v>0</v>
      </c>
      <c r="CE1669">
        <f t="shared" si="519"/>
        <v>0</v>
      </c>
      <c r="CF1669">
        <f t="shared" si="520"/>
        <v>0</v>
      </c>
      <c r="CG1669">
        <f t="shared" si="521"/>
        <v>0</v>
      </c>
      <c r="CH1669">
        <f t="shared" si="522"/>
        <v>0</v>
      </c>
      <c r="CI1669">
        <f t="shared" si="523"/>
        <v>0</v>
      </c>
      <c r="CJ1669">
        <f t="shared" si="524"/>
        <v>0</v>
      </c>
      <c r="CK1669">
        <f t="shared" si="525"/>
        <v>0</v>
      </c>
      <c r="CL1669">
        <f t="shared" si="526"/>
        <v>0</v>
      </c>
      <c r="CM1669">
        <f t="shared" ref="CM1669:CM1677" si="528">+CJ1669+CK1669+CL1669</f>
        <v>0</v>
      </c>
      <c r="CN1669">
        <f t="shared" si="527"/>
        <v>0</v>
      </c>
      <c r="CO1669">
        <f t="shared" si="511"/>
        <v>0</v>
      </c>
    </row>
    <row r="1670" spans="2:93" hidden="1" x14ac:dyDescent="0.25">
      <c r="B1670" s="315">
        <v>44372</v>
      </c>
      <c r="C1670" s="4" t="s">
        <v>1522</v>
      </c>
      <c r="D1670" s="4" t="s">
        <v>1523</v>
      </c>
      <c r="F1670" s="4" t="s">
        <v>90</v>
      </c>
      <c r="G1670" s="5" t="s">
        <v>1512</v>
      </c>
      <c r="H1670" s="5" t="s">
        <v>1525</v>
      </c>
      <c r="I1670" s="5" t="s">
        <v>18</v>
      </c>
      <c r="J1670" s="5" t="s">
        <v>10</v>
      </c>
      <c r="K1670" s="5">
        <v>12</v>
      </c>
      <c r="L1670" s="5" t="s">
        <v>1526</v>
      </c>
      <c r="M1670" s="5">
        <v>1100</v>
      </c>
      <c r="N1670" s="5" t="s">
        <v>170</v>
      </c>
      <c r="O1670" s="6" t="s">
        <v>81</v>
      </c>
      <c r="P1670" s="6" t="s">
        <v>1528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6" t="str">
        <f>+VLOOKUP(G1670,Liste!$A$7:$G$69,3,FALSE)</f>
        <v>Pin d'Alep</v>
      </c>
      <c r="BI1670" s="96" t="str">
        <f>+VLOOKUP(H1670,Liste!$B$7:$G$69,5,FALSE)</f>
        <v>Pin d'Alep</v>
      </c>
      <c r="BJ1670" s="135">
        <f t="shared" si="510"/>
        <v>89</v>
      </c>
      <c r="BK1670" s="135" t="str">
        <f t="shared" si="512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97" t="str">
        <f>+VLOOKUP(G1670,Liste!$A$7:$H$69,8,FALSE)</f>
        <v>Résineux</v>
      </c>
      <c r="BU1670" s="297">
        <f t="shared" si="513"/>
        <v>0</v>
      </c>
      <c r="BV1670" s="299">
        <f t="shared" si="514"/>
        <v>1</v>
      </c>
      <c r="BW1670" s="318">
        <v>0</v>
      </c>
      <c r="BX1670" s="297">
        <f t="shared" si="515"/>
        <v>0.43</v>
      </c>
      <c r="BY1670">
        <f t="shared" si="516"/>
        <v>0</v>
      </c>
      <c r="BZ1670" s="303">
        <f t="shared" si="517"/>
        <v>0</v>
      </c>
      <c r="CB1670" s="298">
        <v>0.6</v>
      </c>
      <c r="CC1670" s="298">
        <v>0.4</v>
      </c>
      <c r="CD1670">
        <f t="shared" si="518"/>
        <v>0</v>
      </c>
      <c r="CE1670">
        <f t="shared" si="519"/>
        <v>0</v>
      </c>
      <c r="CF1670">
        <f t="shared" si="520"/>
        <v>0</v>
      </c>
      <c r="CG1670">
        <f t="shared" si="521"/>
        <v>0</v>
      </c>
      <c r="CH1670">
        <f t="shared" si="522"/>
        <v>0</v>
      </c>
      <c r="CI1670">
        <f t="shared" si="523"/>
        <v>0</v>
      </c>
      <c r="CJ1670">
        <f t="shared" si="524"/>
        <v>0</v>
      </c>
      <c r="CK1670">
        <f t="shared" si="525"/>
        <v>0</v>
      </c>
      <c r="CL1670">
        <f t="shared" si="526"/>
        <v>0</v>
      </c>
      <c r="CM1670">
        <f t="shared" si="528"/>
        <v>0</v>
      </c>
      <c r="CN1670">
        <f t="shared" si="527"/>
        <v>0</v>
      </c>
      <c r="CO1670">
        <f t="shared" si="511"/>
        <v>0</v>
      </c>
    </row>
    <row r="1671" spans="2:93" hidden="1" x14ac:dyDescent="0.25">
      <c r="B1671" s="315">
        <v>44372</v>
      </c>
      <c r="C1671" s="4" t="s">
        <v>1522</v>
      </c>
      <c r="D1671" s="4" t="s">
        <v>1523</v>
      </c>
      <c r="F1671" s="4" t="s">
        <v>90</v>
      </c>
      <c r="G1671" s="5" t="s">
        <v>1512</v>
      </c>
      <c r="H1671" s="5" t="s">
        <v>1525</v>
      </c>
      <c r="I1671" s="5" t="s">
        <v>18</v>
      </c>
      <c r="J1671" s="5" t="s">
        <v>10</v>
      </c>
      <c r="K1671" s="5">
        <v>12</v>
      </c>
      <c r="L1671" s="5" t="s">
        <v>1526</v>
      </c>
      <c r="M1671" s="5">
        <v>1100</v>
      </c>
      <c r="N1671" s="5" t="s">
        <v>170</v>
      </c>
      <c r="O1671" s="6" t="s">
        <v>81</v>
      </c>
      <c r="P1671" s="6" t="s">
        <v>1528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6" t="str">
        <f>+VLOOKUP(G1671,Liste!$A$7:$G$69,3,FALSE)</f>
        <v>Pin d'Alep</v>
      </c>
      <c r="BI1671" s="96" t="str">
        <f>+VLOOKUP(H1671,Liste!$B$7:$G$69,5,FALSE)</f>
        <v>Pin d'Alep</v>
      </c>
      <c r="BJ1671" s="135">
        <f t="shared" si="510"/>
        <v>90</v>
      </c>
      <c r="BK1671" s="135" t="str">
        <f t="shared" si="512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97" t="str">
        <f>+VLOOKUP(G1671,Liste!$A$7:$H$69,8,FALSE)</f>
        <v>Résineux</v>
      </c>
      <c r="BU1671" s="297">
        <f t="shared" si="513"/>
        <v>0</v>
      </c>
      <c r="BV1671" s="299">
        <f t="shared" si="514"/>
        <v>1</v>
      </c>
      <c r="BW1671" s="318">
        <v>0</v>
      </c>
      <c r="BX1671" s="297">
        <f t="shared" si="515"/>
        <v>0.43</v>
      </c>
      <c r="BY1671">
        <f t="shared" si="516"/>
        <v>0</v>
      </c>
      <c r="BZ1671" s="303">
        <f t="shared" si="517"/>
        <v>0</v>
      </c>
      <c r="CB1671" s="298">
        <v>0.6</v>
      </c>
      <c r="CC1671" s="298">
        <v>0.4</v>
      </c>
      <c r="CD1671">
        <f t="shared" si="518"/>
        <v>0</v>
      </c>
      <c r="CE1671">
        <f t="shared" si="519"/>
        <v>0</v>
      </c>
      <c r="CF1671">
        <f t="shared" si="520"/>
        <v>0</v>
      </c>
      <c r="CG1671">
        <f t="shared" si="521"/>
        <v>0</v>
      </c>
      <c r="CH1671">
        <f t="shared" si="522"/>
        <v>0</v>
      </c>
      <c r="CI1671">
        <f t="shared" si="523"/>
        <v>0</v>
      </c>
      <c r="CJ1671">
        <f t="shared" si="524"/>
        <v>0</v>
      </c>
      <c r="CK1671">
        <f t="shared" si="525"/>
        <v>0</v>
      </c>
      <c r="CL1671">
        <f t="shared" si="526"/>
        <v>0</v>
      </c>
      <c r="CM1671">
        <f t="shared" si="528"/>
        <v>0</v>
      </c>
      <c r="CN1671">
        <f t="shared" si="527"/>
        <v>0</v>
      </c>
      <c r="CO1671">
        <f t="shared" si="511"/>
        <v>0</v>
      </c>
    </row>
    <row r="1672" spans="2:93" hidden="1" x14ac:dyDescent="0.25">
      <c r="B1672" s="315">
        <v>44372</v>
      </c>
      <c r="C1672" s="4" t="s">
        <v>1522</v>
      </c>
      <c r="D1672" s="4" t="s">
        <v>1523</v>
      </c>
      <c r="F1672" s="4" t="s">
        <v>90</v>
      </c>
      <c r="G1672" s="5" t="s">
        <v>1512</v>
      </c>
      <c r="H1672" s="5" t="s">
        <v>1525</v>
      </c>
      <c r="I1672" s="5" t="s">
        <v>18</v>
      </c>
      <c r="J1672" s="5" t="s">
        <v>10</v>
      </c>
      <c r="K1672" s="5">
        <v>12</v>
      </c>
      <c r="L1672" s="5" t="s">
        <v>1526</v>
      </c>
      <c r="M1672" s="5">
        <v>1100</v>
      </c>
      <c r="N1672" s="5" t="s">
        <v>170</v>
      </c>
      <c r="O1672" s="6" t="s">
        <v>81</v>
      </c>
      <c r="P1672" s="6" t="s">
        <v>1528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6" t="str">
        <f>+VLOOKUP(G1672,Liste!$A$7:$G$69,3,FALSE)</f>
        <v>Pin d'Alep</v>
      </c>
      <c r="BI1672" s="96" t="str">
        <f>+VLOOKUP(H1672,Liste!$B$7:$G$69,5,FALSE)</f>
        <v>Pin d'Alep</v>
      </c>
      <c r="BJ1672" s="135">
        <f t="shared" si="510"/>
        <v>91</v>
      </c>
      <c r="BK1672" s="135" t="str">
        <f t="shared" si="512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97" t="str">
        <f>+VLOOKUP(G1672,Liste!$A$7:$H$69,8,FALSE)</f>
        <v>Résineux</v>
      </c>
      <c r="BU1672" s="297">
        <f t="shared" si="513"/>
        <v>0</v>
      </c>
      <c r="BV1672" s="299">
        <f t="shared" si="514"/>
        <v>1</v>
      </c>
      <c r="BW1672" s="318">
        <v>0</v>
      </c>
      <c r="BX1672" s="297">
        <f t="shared" si="515"/>
        <v>0.43</v>
      </c>
      <c r="BY1672">
        <f t="shared" si="516"/>
        <v>0</v>
      </c>
      <c r="BZ1672" s="303">
        <f t="shared" si="517"/>
        <v>0</v>
      </c>
      <c r="CB1672" s="298">
        <v>0.6</v>
      </c>
      <c r="CC1672" s="298">
        <v>0.4</v>
      </c>
      <c r="CD1672">
        <f t="shared" si="518"/>
        <v>0</v>
      </c>
      <c r="CE1672">
        <f t="shared" si="519"/>
        <v>0</v>
      </c>
      <c r="CF1672">
        <f t="shared" si="520"/>
        <v>0</v>
      </c>
      <c r="CG1672">
        <f t="shared" si="521"/>
        <v>0</v>
      </c>
      <c r="CH1672">
        <f t="shared" si="522"/>
        <v>0</v>
      </c>
      <c r="CI1672">
        <f t="shared" si="523"/>
        <v>0</v>
      </c>
      <c r="CJ1672">
        <f t="shared" si="524"/>
        <v>0</v>
      </c>
      <c r="CK1672">
        <f t="shared" si="525"/>
        <v>0</v>
      </c>
      <c r="CL1672">
        <f t="shared" si="526"/>
        <v>0</v>
      </c>
      <c r="CM1672">
        <f t="shared" si="528"/>
        <v>0</v>
      </c>
      <c r="CN1672">
        <f t="shared" si="527"/>
        <v>0</v>
      </c>
      <c r="CO1672">
        <f t="shared" si="511"/>
        <v>0</v>
      </c>
    </row>
    <row r="1673" spans="2:93" hidden="1" x14ac:dyDescent="0.25">
      <c r="B1673" s="315">
        <v>44372</v>
      </c>
      <c r="C1673" s="4" t="s">
        <v>1522</v>
      </c>
      <c r="D1673" s="4" t="s">
        <v>1523</v>
      </c>
      <c r="F1673" s="4" t="s">
        <v>90</v>
      </c>
      <c r="G1673" s="5" t="s">
        <v>1512</v>
      </c>
      <c r="H1673" s="5" t="s">
        <v>1525</v>
      </c>
      <c r="I1673" s="5" t="s">
        <v>18</v>
      </c>
      <c r="J1673" s="5" t="s">
        <v>10</v>
      </c>
      <c r="K1673" s="5">
        <v>12</v>
      </c>
      <c r="L1673" s="5" t="s">
        <v>1526</v>
      </c>
      <c r="M1673" s="5">
        <v>1100</v>
      </c>
      <c r="N1673" s="5" t="s">
        <v>170</v>
      </c>
      <c r="O1673" s="6" t="s">
        <v>81</v>
      </c>
      <c r="P1673" s="6" t="s">
        <v>1528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6" t="str">
        <f>+VLOOKUP(G1673,Liste!$A$7:$G$69,3,FALSE)</f>
        <v>Pin d'Alep</v>
      </c>
      <c r="BI1673" s="96" t="str">
        <f>+VLOOKUP(H1673,Liste!$B$7:$G$69,5,FALSE)</f>
        <v>Pin d'Alep</v>
      </c>
      <c r="BJ1673" s="135">
        <f t="shared" si="510"/>
        <v>92</v>
      </c>
      <c r="BK1673" s="135" t="str">
        <f t="shared" si="512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97" t="str">
        <f>+VLOOKUP(G1673,Liste!$A$7:$H$69,8,FALSE)</f>
        <v>Résineux</v>
      </c>
      <c r="BU1673" s="297">
        <f t="shared" si="513"/>
        <v>0</v>
      </c>
      <c r="BV1673" s="299">
        <f t="shared" si="514"/>
        <v>1</v>
      </c>
      <c r="BW1673" s="318">
        <v>0</v>
      </c>
      <c r="BX1673" s="297">
        <f t="shared" si="515"/>
        <v>0.43</v>
      </c>
      <c r="BY1673">
        <f t="shared" si="516"/>
        <v>0</v>
      </c>
      <c r="BZ1673" s="303">
        <f t="shared" si="517"/>
        <v>0</v>
      </c>
      <c r="CB1673" s="298">
        <v>0.6</v>
      </c>
      <c r="CC1673" s="298">
        <v>0.4</v>
      </c>
      <c r="CD1673">
        <f t="shared" si="518"/>
        <v>0</v>
      </c>
      <c r="CE1673">
        <f t="shared" si="519"/>
        <v>0</v>
      </c>
      <c r="CF1673">
        <f t="shared" si="520"/>
        <v>0</v>
      </c>
      <c r="CG1673">
        <f t="shared" si="521"/>
        <v>0</v>
      </c>
      <c r="CH1673">
        <f t="shared" si="522"/>
        <v>0</v>
      </c>
      <c r="CI1673">
        <f t="shared" si="523"/>
        <v>0</v>
      </c>
      <c r="CJ1673">
        <f t="shared" si="524"/>
        <v>0</v>
      </c>
      <c r="CK1673">
        <f t="shared" si="525"/>
        <v>0</v>
      </c>
      <c r="CL1673">
        <f t="shared" si="526"/>
        <v>0</v>
      </c>
      <c r="CM1673">
        <f t="shared" si="528"/>
        <v>0</v>
      </c>
      <c r="CN1673">
        <f t="shared" si="527"/>
        <v>0</v>
      </c>
      <c r="CO1673">
        <f t="shared" si="511"/>
        <v>0</v>
      </c>
    </row>
    <row r="1674" spans="2:93" hidden="1" x14ac:dyDescent="0.25">
      <c r="B1674" s="315">
        <v>44372</v>
      </c>
      <c r="C1674" s="4" t="s">
        <v>1522</v>
      </c>
      <c r="D1674" s="4" t="s">
        <v>1523</v>
      </c>
      <c r="F1674" s="4" t="s">
        <v>90</v>
      </c>
      <c r="G1674" s="5" t="s">
        <v>1512</v>
      </c>
      <c r="H1674" s="5" t="s">
        <v>1525</v>
      </c>
      <c r="I1674" s="5" t="s">
        <v>18</v>
      </c>
      <c r="J1674" s="5" t="s">
        <v>10</v>
      </c>
      <c r="K1674" s="5">
        <v>12</v>
      </c>
      <c r="L1674" s="5" t="s">
        <v>1526</v>
      </c>
      <c r="M1674" s="5">
        <v>1100</v>
      </c>
      <c r="N1674" s="5" t="s">
        <v>170</v>
      </c>
      <c r="O1674" s="6" t="s">
        <v>81</v>
      </c>
      <c r="P1674" s="6" t="s">
        <v>1528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6" t="str">
        <f>+VLOOKUP(G1674,Liste!$A$7:$G$69,3,FALSE)</f>
        <v>Pin d'Alep</v>
      </c>
      <c r="BI1674" s="96" t="str">
        <f>+VLOOKUP(H1674,Liste!$B$7:$G$69,5,FALSE)</f>
        <v>Pin d'Alep</v>
      </c>
      <c r="BJ1674" s="135">
        <f t="shared" si="510"/>
        <v>93</v>
      </c>
      <c r="BK1674" s="135" t="str">
        <f t="shared" si="512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97" t="str">
        <f>+VLOOKUP(G1674,Liste!$A$7:$H$69,8,FALSE)</f>
        <v>Résineux</v>
      </c>
      <c r="BU1674" s="297">
        <f t="shared" si="513"/>
        <v>0</v>
      </c>
      <c r="BV1674" s="299">
        <f t="shared" si="514"/>
        <v>1</v>
      </c>
      <c r="BW1674" s="318">
        <v>0</v>
      </c>
      <c r="BX1674" s="297">
        <f t="shared" si="515"/>
        <v>0.43</v>
      </c>
      <c r="BY1674">
        <f t="shared" si="516"/>
        <v>0</v>
      </c>
      <c r="BZ1674" s="303">
        <f t="shared" si="517"/>
        <v>0</v>
      </c>
      <c r="CB1674" s="298">
        <v>0.6</v>
      </c>
      <c r="CC1674" s="298">
        <v>0.4</v>
      </c>
      <c r="CD1674">
        <f t="shared" si="518"/>
        <v>0</v>
      </c>
      <c r="CE1674">
        <f t="shared" si="519"/>
        <v>0</v>
      </c>
      <c r="CF1674">
        <f t="shared" si="520"/>
        <v>0</v>
      </c>
      <c r="CG1674">
        <f t="shared" si="521"/>
        <v>0</v>
      </c>
      <c r="CH1674">
        <f t="shared" si="522"/>
        <v>0</v>
      </c>
      <c r="CI1674">
        <f t="shared" si="523"/>
        <v>0</v>
      </c>
      <c r="CJ1674">
        <f t="shared" si="524"/>
        <v>0</v>
      </c>
      <c r="CK1674">
        <f t="shared" si="525"/>
        <v>0</v>
      </c>
      <c r="CL1674">
        <f t="shared" si="526"/>
        <v>0</v>
      </c>
      <c r="CM1674">
        <f t="shared" si="528"/>
        <v>0</v>
      </c>
      <c r="CN1674">
        <f t="shared" si="527"/>
        <v>0</v>
      </c>
      <c r="CO1674">
        <f t="shared" si="511"/>
        <v>0</v>
      </c>
    </row>
    <row r="1675" spans="2:93" hidden="1" x14ac:dyDescent="0.25">
      <c r="B1675" s="315">
        <v>44372</v>
      </c>
      <c r="C1675" s="4" t="s">
        <v>1522</v>
      </c>
      <c r="D1675" s="4" t="s">
        <v>1523</v>
      </c>
      <c r="F1675" s="4" t="s">
        <v>90</v>
      </c>
      <c r="G1675" s="5" t="s">
        <v>1512</v>
      </c>
      <c r="H1675" s="5" t="s">
        <v>1525</v>
      </c>
      <c r="I1675" s="5" t="s">
        <v>18</v>
      </c>
      <c r="J1675" s="5" t="s">
        <v>10</v>
      </c>
      <c r="K1675" s="5">
        <v>12</v>
      </c>
      <c r="L1675" s="5" t="s">
        <v>1526</v>
      </c>
      <c r="M1675" s="5">
        <v>1100</v>
      </c>
      <c r="N1675" s="5" t="s">
        <v>170</v>
      </c>
      <c r="O1675" s="6" t="s">
        <v>81</v>
      </c>
      <c r="P1675" s="6" t="s">
        <v>1528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6" t="str">
        <f>+VLOOKUP(G1675,Liste!$A$7:$G$69,3,FALSE)</f>
        <v>Pin d'Alep</v>
      </c>
      <c r="BI1675" s="96" t="str">
        <f>+VLOOKUP(H1675,Liste!$B$7:$G$69,5,FALSE)</f>
        <v>Pin d'Alep</v>
      </c>
      <c r="BJ1675" s="135">
        <f t="shared" si="510"/>
        <v>94</v>
      </c>
      <c r="BK1675" s="135" t="str">
        <f t="shared" si="512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97" t="str">
        <f>+VLOOKUP(G1675,Liste!$A$7:$H$69,8,FALSE)</f>
        <v>Résineux</v>
      </c>
      <c r="BU1675" s="297">
        <f t="shared" si="513"/>
        <v>0</v>
      </c>
      <c r="BV1675" s="299">
        <f t="shared" si="514"/>
        <v>1</v>
      </c>
      <c r="BW1675" s="318">
        <v>0</v>
      </c>
      <c r="BX1675" s="297">
        <f t="shared" si="515"/>
        <v>0.43</v>
      </c>
      <c r="BY1675">
        <f t="shared" si="516"/>
        <v>0</v>
      </c>
      <c r="BZ1675" s="303">
        <f t="shared" si="517"/>
        <v>0</v>
      </c>
      <c r="CB1675" s="298">
        <v>0.6</v>
      </c>
      <c r="CC1675" s="298">
        <v>0.4</v>
      </c>
      <c r="CD1675">
        <f t="shared" si="518"/>
        <v>0</v>
      </c>
      <c r="CE1675">
        <f t="shared" si="519"/>
        <v>0</v>
      </c>
      <c r="CF1675">
        <f t="shared" si="520"/>
        <v>0</v>
      </c>
      <c r="CG1675">
        <f t="shared" si="521"/>
        <v>0</v>
      </c>
      <c r="CH1675">
        <f t="shared" si="522"/>
        <v>0</v>
      </c>
      <c r="CI1675">
        <f t="shared" si="523"/>
        <v>0</v>
      </c>
      <c r="CJ1675">
        <f t="shared" si="524"/>
        <v>0</v>
      </c>
      <c r="CK1675">
        <f t="shared" si="525"/>
        <v>0</v>
      </c>
      <c r="CL1675">
        <f t="shared" si="526"/>
        <v>0</v>
      </c>
      <c r="CM1675">
        <f t="shared" si="528"/>
        <v>0</v>
      </c>
      <c r="CN1675">
        <f t="shared" si="527"/>
        <v>0</v>
      </c>
      <c r="CO1675">
        <f t="shared" si="511"/>
        <v>0</v>
      </c>
    </row>
    <row r="1676" spans="2:93" hidden="1" x14ac:dyDescent="0.25">
      <c r="B1676" s="315">
        <v>44372</v>
      </c>
      <c r="C1676" s="4" t="s">
        <v>1522</v>
      </c>
      <c r="D1676" s="4" t="s">
        <v>1523</v>
      </c>
      <c r="F1676" s="4" t="s">
        <v>90</v>
      </c>
      <c r="G1676" s="5" t="s">
        <v>1512</v>
      </c>
      <c r="H1676" s="5" t="s">
        <v>1525</v>
      </c>
      <c r="I1676" s="5" t="s">
        <v>18</v>
      </c>
      <c r="J1676" s="5" t="s">
        <v>10</v>
      </c>
      <c r="K1676" s="5">
        <v>12</v>
      </c>
      <c r="L1676" s="5" t="s">
        <v>1526</v>
      </c>
      <c r="M1676" s="5">
        <v>1100</v>
      </c>
      <c r="N1676" s="5" t="s">
        <v>170</v>
      </c>
      <c r="O1676" s="6" t="s">
        <v>81</v>
      </c>
      <c r="P1676" s="6" t="s">
        <v>1528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6" t="str">
        <f>+VLOOKUP(G1676,Liste!$A$7:$G$69,3,FALSE)</f>
        <v>Pin d'Alep</v>
      </c>
      <c r="BI1676" s="96" t="str">
        <f>+VLOOKUP(H1676,Liste!$B$7:$G$69,5,FALSE)</f>
        <v>Pin d'Alep</v>
      </c>
      <c r="BJ1676" s="135">
        <f t="shared" si="510"/>
        <v>95</v>
      </c>
      <c r="BK1676" s="135" t="str">
        <f t="shared" si="512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97" t="str">
        <f>+VLOOKUP(G1676,Liste!$A$7:$H$69,8,FALSE)</f>
        <v>Résineux</v>
      </c>
      <c r="BU1676" s="297">
        <f t="shared" si="513"/>
        <v>0</v>
      </c>
      <c r="BV1676" s="299">
        <f t="shared" si="514"/>
        <v>1</v>
      </c>
      <c r="BW1676" s="318">
        <v>0</v>
      </c>
      <c r="BX1676" s="297">
        <f t="shared" si="515"/>
        <v>0.43</v>
      </c>
      <c r="BY1676">
        <f t="shared" si="516"/>
        <v>0</v>
      </c>
      <c r="BZ1676" s="303">
        <f t="shared" si="517"/>
        <v>0</v>
      </c>
      <c r="CB1676" s="298">
        <v>0.6</v>
      </c>
      <c r="CC1676" s="298">
        <v>0.4</v>
      </c>
      <c r="CD1676">
        <f t="shared" si="518"/>
        <v>0</v>
      </c>
      <c r="CE1676">
        <f t="shared" si="519"/>
        <v>0</v>
      </c>
      <c r="CF1676">
        <f t="shared" si="520"/>
        <v>0</v>
      </c>
      <c r="CG1676">
        <f t="shared" si="521"/>
        <v>0</v>
      </c>
      <c r="CH1676">
        <f t="shared" si="522"/>
        <v>0</v>
      </c>
      <c r="CI1676">
        <f t="shared" si="523"/>
        <v>0</v>
      </c>
      <c r="CJ1676">
        <f t="shared" si="524"/>
        <v>0</v>
      </c>
      <c r="CK1676">
        <f t="shared" si="525"/>
        <v>0</v>
      </c>
      <c r="CL1676">
        <f t="shared" si="526"/>
        <v>0</v>
      </c>
      <c r="CM1676">
        <f t="shared" si="528"/>
        <v>0</v>
      </c>
      <c r="CN1676">
        <f t="shared" si="527"/>
        <v>0</v>
      </c>
      <c r="CO1676">
        <f t="shared" si="511"/>
        <v>0</v>
      </c>
    </row>
    <row r="1677" spans="2:93" hidden="1" x14ac:dyDescent="0.25">
      <c r="B1677" s="315">
        <v>44372</v>
      </c>
      <c r="C1677" s="4" t="s">
        <v>1522</v>
      </c>
      <c r="D1677" s="4" t="s">
        <v>1523</v>
      </c>
      <c r="F1677" s="4" t="s">
        <v>90</v>
      </c>
      <c r="G1677" s="5" t="s">
        <v>1512</v>
      </c>
      <c r="H1677" s="5" t="s">
        <v>1525</v>
      </c>
      <c r="I1677" s="5" t="s">
        <v>18</v>
      </c>
      <c r="J1677" s="5" t="s">
        <v>10</v>
      </c>
      <c r="K1677" s="5">
        <v>12</v>
      </c>
      <c r="L1677" s="5" t="s">
        <v>1526</v>
      </c>
      <c r="M1677" s="5">
        <v>1100</v>
      </c>
      <c r="N1677" s="5" t="s">
        <v>170</v>
      </c>
      <c r="O1677" s="6" t="s">
        <v>81</v>
      </c>
      <c r="P1677" s="6" t="s">
        <v>1528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6" t="str">
        <f>+VLOOKUP(G1677,Liste!$A$7:$G$69,3,FALSE)</f>
        <v>Pin d'Alep</v>
      </c>
      <c r="BI1677" s="96" t="str">
        <f>+VLOOKUP(H1677,Liste!$B$7:$G$69,5,FALSE)</f>
        <v>Pin d'Alep</v>
      </c>
      <c r="BJ1677" s="135">
        <f t="shared" si="510"/>
        <v>95</v>
      </c>
      <c r="BK1677" s="135" t="str">
        <f t="shared" si="512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97" t="str">
        <f>+VLOOKUP(G1677,Liste!$A$7:$H$69,8,FALSE)</f>
        <v>Résineux</v>
      </c>
      <c r="BU1677" s="297">
        <f t="shared" si="513"/>
        <v>0</v>
      </c>
      <c r="BV1677" s="299">
        <f t="shared" si="514"/>
        <v>1</v>
      </c>
      <c r="BW1677" s="318">
        <v>0</v>
      </c>
      <c r="BX1677" s="297">
        <f t="shared" si="515"/>
        <v>0.43</v>
      </c>
      <c r="BY1677">
        <f t="shared" si="516"/>
        <v>0</v>
      </c>
      <c r="BZ1677" s="303">
        <f t="shared" si="517"/>
        <v>0</v>
      </c>
      <c r="CB1677" s="298">
        <v>0.6</v>
      </c>
      <c r="CC1677" s="298">
        <v>0.4</v>
      </c>
      <c r="CD1677">
        <f t="shared" si="518"/>
        <v>0</v>
      </c>
      <c r="CE1677">
        <f t="shared" si="519"/>
        <v>0</v>
      </c>
      <c r="CF1677">
        <f t="shared" si="520"/>
        <v>0</v>
      </c>
      <c r="CG1677">
        <f t="shared" si="521"/>
        <v>0</v>
      </c>
      <c r="CH1677">
        <f t="shared" si="522"/>
        <v>0</v>
      </c>
      <c r="CI1677">
        <f t="shared" si="523"/>
        <v>0</v>
      </c>
      <c r="CJ1677">
        <f t="shared" si="524"/>
        <v>0</v>
      </c>
      <c r="CK1677">
        <f t="shared" si="525"/>
        <v>0</v>
      </c>
      <c r="CL1677">
        <f t="shared" si="526"/>
        <v>0</v>
      </c>
      <c r="CM1677">
        <f t="shared" si="528"/>
        <v>0</v>
      </c>
      <c r="CN1677">
        <f t="shared" si="527"/>
        <v>0</v>
      </c>
      <c r="CO1677">
        <f t="shared" si="511"/>
        <v>0</v>
      </c>
    </row>
  </sheetData>
  <autoFilter ref="A2:CO1677" xr:uid="{2705A221-4207-4749-A1D1-3771217743C7}">
    <filterColumn colId="6">
      <filters>
        <filter val="PSY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AG665"/>
  <sheetViews>
    <sheetView showGridLines="0" topLeftCell="A2" zoomScale="85" zoomScaleNormal="85" workbookViewId="0">
      <pane ySplit="1" topLeftCell="A328" activePane="bottomLeft" state="frozen"/>
      <selection activeCell="C10" sqref="C10"/>
      <selection pane="bottomLeft" activeCell="C330" sqref="C330"/>
    </sheetView>
  </sheetViews>
  <sheetFormatPr baseColWidth="10" defaultRowHeight="15" x14ac:dyDescent="0.25"/>
  <cols>
    <col min="1" max="1" width="11.85546875" style="92" bestFit="1" customWidth="1"/>
    <col min="2" max="2" width="10.85546875" style="92"/>
    <col min="3" max="3" width="11.85546875" style="92" bestFit="1" customWidth="1"/>
    <col min="4" max="4" width="44.5703125" style="92" bestFit="1" customWidth="1"/>
    <col min="5" max="7" width="10.85546875" style="92"/>
    <col min="8" max="12" width="10.85546875" style="4"/>
    <col min="13" max="15" width="10.85546875" style="93"/>
    <col min="16" max="19" width="10.85546875" style="94"/>
    <col min="20" max="21" width="10.85546875" style="7"/>
    <col min="22" max="24" width="10.85546875" style="1"/>
    <col min="25" max="26" width="10.85546875" style="95"/>
    <col min="27" max="27" width="82.140625" style="95" bestFit="1" customWidth="1"/>
    <col min="28" max="28" width="10.85546875" style="1"/>
    <col min="29" max="29" width="18.42578125" style="95" bestFit="1" customWidth="1"/>
    <col min="30" max="30" width="25.140625" style="1" bestFit="1" customWidth="1"/>
    <col min="31" max="31" width="13.85546875" style="1" bestFit="1" customWidth="1"/>
  </cols>
  <sheetData>
    <row r="1" spans="1:33" x14ac:dyDescent="0.25">
      <c r="A1" s="79"/>
      <c r="B1" s="79"/>
      <c r="C1" s="79"/>
      <c r="D1" s="79"/>
      <c r="E1" s="79"/>
      <c r="F1" s="79"/>
      <c r="G1" s="79"/>
      <c r="H1" s="398" t="s">
        <v>196</v>
      </c>
      <c r="I1" s="398"/>
      <c r="J1" s="398"/>
      <c r="K1" s="398"/>
      <c r="L1" s="398"/>
      <c r="M1" s="399" t="s">
        <v>197</v>
      </c>
      <c r="N1" s="399"/>
      <c r="O1" s="399"/>
      <c r="P1" s="400" t="s">
        <v>198</v>
      </c>
      <c r="Q1" s="400"/>
      <c r="R1" s="400"/>
      <c r="S1" s="400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25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1520</v>
      </c>
      <c r="AG2" t="s">
        <v>1521</v>
      </c>
    </row>
    <row r="3" spans="1:33" hidden="1" x14ac:dyDescent="0.25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hidden="1" x14ac:dyDescent="0.25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hidden="1" x14ac:dyDescent="0.25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hidden="1" x14ac:dyDescent="0.25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hidden="1" x14ac:dyDescent="0.25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hidden="1" x14ac:dyDescent="0.25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hidden="1" x14ac:dyDescent="0.25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hidden="1" x14ac:dyDescent="0.25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hidden="1" x14ac:dyDescent="0.25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hidden="1" x14ac:dyDescent="0.25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hidden="1" x14ac:dyDescent="0.25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hidden="1" x14ac:dyDescent="0.25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hidden="1" x14ac:dyDescent="0.25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hidden="1" x14ac:dyDescent="0.25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hidden="1" x14ac:dyDescent="0.25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hidden="1" x14ac:dyDescent="0.25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hidden="1" x14ac:dyDescent="0.25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hidden="1" x14ac:dyDescent="0.25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hidden="1" x14ac:dyDescent="0.25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hidden="1" x14ac:dyDescent="0.25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>+X22*W22*J22</f>
        <v>91.986206896551735</v>
      </c>
      <c r="Z22" s="88">
        <f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>+(Z22+Y22)*0.475*44/12</f>
        <v>203.82698334075519</v>
      </c>
      <c r="AD22" s="86">
        <f t="shared" si="1"/>
        <v>3057.4047501113278</v>
      </c>
      <c r="AE22" s="86">
        <f t="shared" ref="AE22:AE40" si="6">+SUM($AD$21:$AD$40)/$AB$40</f>
        <v>307.54224442084734</v>
      </c>
    </row>
    <row r="23" spans="1:31" hidden="1" x14ac:dyDescent="0.25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6"/>
        <v>307.54224442084734</v>
      </c>
    </row>
    <row r="24" spans="1:31" hidden="1" x14ac:dyDescent="0.25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6"/>
        <v>307.54224442084734</v>
      </c>
    </row>
    <row r="25" spans="1:31" hidden="1" x14ac:dyDescent="0.25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6"/>
        <v>307.54224442084734</v>
      </c>
    </row>
    <row r="26" spans="1:31" hidden="1" x14ac:dyDescent="0.25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6"/>
        <v>307.54224442084734</v>
      </c>
    </row>
    <row r="27" spans="1:31" hidden="1" x14ac:dyDescent="0.25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6"/>
        <v>307.54224442084734</v>
      </c>
    </row>
    <row r="28" spans="1:31" hidden="1" x14ac:dyDescent="0.25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6"/>
        <v>307.54224442084734</v>
      </c>
    </row>
    <row r="29" spans="1:31" hidden="1" x14ac:dyDescent="0.25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6"/>
        <v>307.54224442084734</v>
      </c>
    </row>
    <row r="30" spans="1:31" hidden="1" x14ac:dyDescent="0.25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6"/>
        <v>307.54224442084734</v>
      </c>
    </row>
    <row r="31" spans="1:31" hidden="1" x14ac:dyDescent="0.25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6"/>
        <v>307.54224442084734</v>
      </c>
    </row>
    <row r="32" spans="1:31" hidden="1" x14ac:dyDescent="0.25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6"/>
        <v>307.54224442084734</v>
      </c>
    </row>
    <row r="33" spans="1:31" hidden="1" x14ac:dyDescent="0.25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6"/>
        <v>307.54224442084734</v>
      </c>
    </row>
    <row r="34" spans="1:31" hidden="1" x14ac:dyDescent="0.25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6"/>
        <v>307.54224442084734</v>
      </c>
    </row>
    <row r="35" spans="1:31" hidden="1" x14ac:dyDescent="0.25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6"/>
        <v>307.54224442084734</v>
      </c>
    </row>
    <row r="36" spans="1:31" hidden="1" x14ac:dyDescent="0.25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6"/>
        <v>307.54224442084734</v>
      </c>
    </row>
    <row r="37" spans="1:31" hidden="1" x14ac:dyDescent="0.25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6"/>
        <v>307.54224442084734</v>
      </c>
    </row>
    <row r="38" spans="1:31" hidden="1" x14ac:dyDescent="0.25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6"/>
        <v>307.54224442084734</v>
      </c>
    </row>
    <row r="39" spans="1:31" hidden="1" x14ac:dyDescent="0.25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6"/>
        <v>307.54224442084734</v>
      </c>
    </row>
    <row r="40" spans="1:31" hidden="1" x14ac:dyDescent="0.25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6"/>
        <v>307.54224442084734</v>
      </c>
    </row>
    <row r="41" spans="1:31" hidden="1" x14ac:dyDescent="0.25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hidden="1" x14ac:dyDescent="0.25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7">+SUM($AD$41:$AD$64)/$AB$64</f>
        <v>310.64275352258716</v>
      </c>
    </row>
    <row r="43" spans="1:31" hidden="1" x14ac:dyDescent="0.25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7"/>
        <v>310.64275352258716</v>
      </c>
    </row>
    <row r="44" spans="1:31" hidden="1" x14ac:dyDescent="0.25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7"/>
        <v>310.64275352258716</v>
      </c>
    </row>
    <row r="45" spans="1:31" hidden="1" x14ac:dyDescent="0.25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7"/>
        <v>310.64275352258716</v>
      </c>
    </row>
    <row r="46" spans="1:31" hidden="1" x14ac:dyDescent="0.25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7"/>
        <v>310.64275352258716</v>
      </c>
    </row>
    <row r="47" spans="1:31" hidden="1" x14ac:dyDescent="0.25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7"/>
        <v>310.64275352258716</v>
      </c>
    </row>
    <row r="48" spans="1:31" hidden="1" x14ac:dyDescent="0.25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7"/>
        <v>310.64275352258716</v>
      </c>
    </row>
    <row r="49" spans="1:31" hidden="1" x14ac:dyDescent="0.25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7"/>
        <v>310.64275352258716</v>
      </c>
    </row>
    <row r="50" spans="1:31" hidden="1" x14ac:dyDescent="0.25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7"/>
        <v>310.64275352258716</v>
      </c>
    </row>
    <row r="51" spans="1:31" hidden="1" x14ac:dyDescent="0.25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7"/>
        <v>310.64275352258716</v>
      </c>
    </row>
    <row r="52" spans="1:31" hidden="1" x14ac:dyDescent="0.25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7"/>
        <v>310.64275352258716</v>
      </c>
    </row>
    <row r="53" spans="1:31" hidden="1" x14ac:dyDescent="0.25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7"/>
        <v>310.64275352258716</v>
      </c>
    </row>
    <row r="54" spans="1:31" hidden="1" x14ac:dyDescent="0.25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7"/>
        <v>310.64275352258716</v>
      </c>
    </row>
    <row r="55" spans="1:31" hidden="1" x14ac:dyDescent="0.25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7"/>
        <v>310.64275352258716</v>
      </c>
    </row>
    <row r="56" spans="1:31" hidden="1" x14ac:dyDescent="0.25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7"/>
        <v>310.64275352258716</v>
      </c>
    </row>
    <row r="57" spans="1:31" hidden="1" x14ac:dyDescent="0.25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7"/>
        <v>310.64275352258716</v>
      </c>
    </row>
    <row r="58" spans="1:31" hidden="1" x14ac:dyDescent="0.25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7"/>
        <v>310.64275352258716</v>
      </c>
    </row>
    <row r="59" spans="1:31" hidden="1" x14ac:dyDescent="0.25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7"/>
        <v>310.64275352258716</v>
      </c>
    </row>
    <row r="60" spans="1:31" hidden="1" x14ac:dyDescent="0.25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7"/>
        <v>310.64275352258716</v>
      </c>
    </row>
    <row r="61" spans="1:31" hidden="1" x14ac:dyDescent="0.25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7"/>
        <v>310.64275352258716</v>
      </c>
    </row>
    <row r="62" spans="1:31" hidden="1" x14ac:dyDescent="0.25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7"/>
        <v>310.64275352258716</v>
      </c>
    </row>
    <row r="63" spans="1:31" hidden="1" x14ac:dyDescent="0.25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7"/>
        <v>310.64275352258716</v>
      </c>
    </row>
    <row r="64" spans="1:31" hidden="1" x14ac:dyDescent="0.25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7"/>
        <v>310.64275352258716</v>
      </c>
    </row>
    <row r="65" spans="1:31" hidden="1" x14ac:dyDescent="0.25">
      <c r="A65" s="79" t="s">
        <v>221</v>
      </c>
      <c r="B65" s="79" t="s">
        <v>9</v>
      </c>
      <c r="C65" s="79" t="s">
        <v>226</v>
      </c>
      <c r="D65" s="81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hidden="1" x14ac:dyDescent="0.25">
      <c r="A66" s="79" t="s">
        <v>221</v>
      </c>
      <c r="B66" s="79" t="s">
        <v>9</v>
      </c>
      <c r="C66" s="79" t="s">
        <v>226</v>
      </c>
      <c r="D66" s="81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>+EXP(-1.0587+0.8836*LN(Y66)+0.284)</f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hidden="1" x14ac:dyDescent="0.25">
      <c r="A67" s="79" t="s">
        <v>221</v>
      </c>
      <c r="B67" s="79" t="s">
        <v>9</v>
      </c>
      <c r="C67" s="79" t="s">
        <v>226</v>
      </c>
      <c r="D67" s="81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8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hidden="1" x14ac:dyDescent="0.25">
      <c r="A68" s="79" t="s">
        <v>221</v>
      </c>
      <c r="B68" s="79" t="s">
        <v>9</v>
      </c>
      <c r="C68" s="79" t="s">
        <v>226</v>
      </c>
      <c r="D68" s="81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8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9">+IF(AC68=0,0,(AC68+AC67)*(AB68-AB67)/2)</f>
        <v>#NUM!</v>
      </c>
      <c r="AE68" s="81"/>
    </row>
    <row r="69" spans="1:31" hidden="1" x14ac:dyDescent="0.25">
      <c r="A69" s="79" t="s">
        <v>221</v>
      </c>
      <c r="B69" s="79" t="s">
        <v>9</v>
      </c>
      <c r="C69" s="79" t="s">
        <v>226</v>
      </c>
      <c r="D69" s="81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8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9"/>
        <v>#NUM!</v>
      </c>
      <c r="AE69" s="81"/>
    </row>
    <row r="70" spans="1:31" hidden="1" x14ac:dyDescent="0.25">
      <c r="A70" s="79" t="s">
        <v>221</v>
      </c>
      <c r="B70" s="79" t="s">
        <v>9</v>
      </c>
      <c r="C70" s="79" t="s">
        <v>226</v>
      </c>
      <c r="D70" s="81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8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9"/>
        <v>#NUM!</v>
      </c>
      <c r="AE70" s="81"/>
    </row>
    <row r="71" spans="1:31" hidden="1" x14ac:dyDescent="0.25">
      <c r="A71" s="79" t="s">
        <v>221</v>
      </c>
      <c r="B71" s="79" t="s">
        <v>9</v>
      </c>
      <c r="C71" s="79" t="s">
        <v>226</v>
      </c>
      <c r="D71" s="81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8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9"/>
        <v>#NUM!</v>
      </c>
      <c r="AE71" s="81"/>
    </row>
    <row r="72" spans="1:31" hidden="1" x14ac:dyDescent="0.25">
      <c r="A72" s="79" t="s">
        <v>221</v>
      </c>
      <c r="B72" s="79" t="s">
        <v>9</v>
      </c>
      <c r="C72" s="79" t="s">
        <v>226</v>
      </c>
      <c r="D72" s="81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8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9"/>
        <v>#NUM!</v>
      </c>
      <c r="AE72" s="81"/>
    </row>
    <row r="73" spans="1:31" hidden="1" x14ac:dyDescent="0.25">
      <c r="A73" s="79" t="s">
        <v>221</v>
      </c>
      <c r="B73" s="79" t="s">
        <v>9</v>
      </c>
      <c r="C73" s="79" t="s">
        <v>226</v>
      </c>
      <c r="D73" s="81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8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9"/>
        <v>#NUM!</v>
      </c>
      <c r="AE73" s="81"/>
    </row>
    <row r="74" spans="1:31" hidden="1" x14ac:dyDescent="0.25">
      <c r="A74" s="79" t="s">
        <v>221</v>
      </c>
      <c r="B74" s="79" t="s">
        <v>9</v>
      </c>
      <c r="C74" s="79" t="s">
        <v>226</v>
      </c>
      <c r="D74" s="81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8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9"/>
        <v>#NUM!</v>
      </c>
      <c r="AE74" s="81"/>
    </row>
    <row r="75" spans="1:31" hidden="1" x14ac:dyDescent="0.25">
      <c r="A75" s="79" t="s">
        <v>221</v>
      </c>
      <c r="B75" s="79" t="s">
        <v>9</v>
      </c>
      <c r="C75" s="79" t="s">
        <v>226</v>
      </c>
      <c r="D75" s="81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8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9"/>
        <v>#NUM!</v>
      </c>
      <c r="AE75" s="81"/>
    </row>
    <row r="76" spans="1:31" hidden="1" x14ac:dyDescent="0.25">
      <c r="A76" s="79" t="s">
        <v>221</v>
      </c>
      <c r="B76" s="79" t="s">
        <v>9</v>
      </c>
      <c r="C76" s="79" t="s">
        <v>226</v>
      </c>
      <c r="D76" s="81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0">+X76*W76*J76</f>
        <v>0</v>
      </c>
      <c r="Z76" s="82" t="e">
        <f t="shared" si="5"/>
        <v>#NUM!</v>
      </c>
      <c r="AA76" s="82" t="str">
        <f t="shared" si="8"/>
        <v>Sapin pectiné_F1_SP1_d5_GSM Alpes du Sud_90_</v>
      </c>
      <c r="AB76" s="79">
        <v>90</v>
      </c>
      <c r="AC76" s="82" t="e">
        <f t="shared" ref="AC76:AC143" si="11">+(Z76+Y76)*0.475*44/12</f>
        <v>#NUM!</v>
      </c>
      <c r="AD76" s="86" t="e">
        <f t="shared" si="9"/>
        <v>#NUM!</v>
      </c>
      <c r="AE76" s="81"/>
    </row>
    <row r="77" spans="1:31" hidden="1" x14ac:dyDescent="0.25">
      <c r="A77" s="79" t="s">
        <v>221</v>
      </c>
      <c r="B77" s="79" t="s">
        <v>9</v>
      </c>
      <c r="C77" s="79" t="s">
        <v>226</v>
      </c>
      <c r="D77" s="81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0"/>
        <v>0</v>
      </c>
      <c r="Z77" s="82" t="e">
        <f t="shared" ref="Z77:Z144" si="12">+EXP(-1.0587+0.8836*LN(Y77)+0.284)</f>
        <v>#NUM!</v>
      </c>
      <c r="AA77" s="82" t="str">
        <f t="shared" si="8"/>
        <v>Sapin pectiné_F1_SP1_d5_GSM Alpes du Sud_100_</v>
      </c>
      <c r="AB77" s="79">
        <v>100</v>
      </c>
      <c r="AC77" s="82" t="e">
        <f t="shared" si="11"/>
        <v>#NUM!</v>
      </c>
      <c r="AD77" s="86" t="e">
        <f t="shared" si="9"/>
        <v>#NUM!</v>
      </c>
      <c r="AE77" s="81"/>
    </row>
    <row r="78" spans="1:31" hidden="1" x14ac:dyDescent="0.25">
      <c r="A78" s="79" t="s">
        <v>221</v>
      </c>
      <c r="B78" s="79" t="s">
        <v>9</v>
      </c>
      <c r="C78" s="79" t="s">
        <v>226</v>
      </c>
      <c r="D78" s="81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0"/>
        <v>0</v>
      </c>
      <c r="Z78" s="82" t="e">
        <f t="shared" si="12"/>
        <v>#NUM!</v>
      </c>
      <c r="AA78" s="82" t="str">
        <f t="shared" si="8"/>
        <v>Sapin pectiné_F1_SP1_d5_GSM Alpes du Sud_100_</v>
      </c>
      <c r="AB78" s="79">
        <v>100</v>
      </c>
      <c r="AC78" s="82" t="e">
        <f t="shared" si="11"/>
        <v>#NUM!</v>
      </c>
      <c r="AD78" s="86" t="e">
        <f t="shared" si="9"/>
        <v>#NUM!</v>
      </c>
      <c r="AE78" s="81"/>
    </row>
    <row r="79" spans="1:31" hidden="1" x14ac:dyDescent="0.25">
      <c r="A79" s="79" t="s">
        <v>221</v>
      </c>
      <c r="B79" s="79" t="s">
        <v>9</v>
      </c>
      <c r="C79" s="79" t="s">
        <v>226</v>
      </c>
      <c r="D79" s="81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0"/>
        <v>0</v>
      </c>
      <c r="Z79" s="82" t="e">
        <f t="shared" si="12"/>
        <v>#NUM!</v>
      </c>
      <c r="AA79" s="82" t="str">
        <f t="shared" si="8"/>
        <v>Sapin pectiné_F1_SP1_d5_GSM Alpes du Sud_110_</v>
      </c>
      <c r="AB79" s="79">
        <v>110</v>
      </c>
      <c r="AC79" s="82" t="e">
        <f t="shared" si="11"/>
        <v>#NUM!</v>
      </c>
      <c r="AD79" s="86" t="e">
        <f t="shared" si="9"/>
        <v>#NUM!</v>
      </c>
      <c r="AE79" s="81"/>
    </row>
    <row r="80" spans="1:31" hidden="1" x14ac:dyDescent="0.25">
      <c r="A80" s="79" t="s">
        <v>221</v>
      </c>
      <c r="B80" s="79" t="s">
        <v>9</v>
      </c>
      <c r="C80" s="79" t="s">
        <v>226</v>
      </c>
      <c r="D80" s="81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0"/>
        <v>0</v>
      </c>
      <c r="Z80" s="82" t="e">
        <f t="shared" si="12"/>
        <v>#NUM!</v>
      </c>
      <c r="AA80" s="82" t="str">
        <f t="shared" si="8"/>
        <v>Sapin pectiné_F1_SP1_d5_GSM Alpes du Sud_110_</v>
      </c>
      <c r="AB80" s="79">
        <v>110</v>
      </c>
      <c r="AC80" s="82" t="e">
        <f t="shared" si="11"/>
        <v>#NUM!</v>
      </c>
      <c r="AD80" s="86" t="e">
        <f t="shared" si="9"/>
        <v>#NUM!</v>
      </c>
      <c r="AE80" s="81"/>
    </row>
    <row r="81" spans="1:31" hidden="1" x14ac:dyDescent="0.25">
      <c r="A81" s="79" t="s">
        <v>221</v>
      </c>
      <c r="B81" s="79" t="s">
        <v>9</v>
      </c>
      <c r="C81" s="79" t="s">
        <v>226</v>
      </c>
      <c r="D81" s="81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0"/>
        <v>0</v>
      </c>
      <c r="Z81" s="82" t="e">
        <f t="shared" si="12"/>
        <v>#NUM!</v>
      </c>
      <c r="AA81" s="82" t="str">
        <f t="shared" si="8"/>
        <v>Sapin pectiné_F1_SP1_d5_GSM Alpes du Sud_120_</v>
      </c>
      <c r="AB81" s="79">
        <v>120</v>
      </c>
      <c r="AC81" s="82" t="e">
        <f t="shared" si="11"/>
        <v>#NUM!</v>
      </c>
      <c r="AD81" s="86" t="e">
        <f t="shared" si="9"/>
        <v>#NUM!</v>
      </c>
      <c r="AE81" s="81"/>
    </row>
    <row r="82" spans="1:31" hidden="1" x14ac:dyDescent="0.25">
      <c r="A82" s="79" t="s">
        <v>221</v>
      </c>
      <c r="B82" s="79" t="s">
        <v>9</v>
      </c>
      <c r="C82" s="79" t="s">
        <v>226</v>
      </c>
      <c r="D82" s="81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0"/>
        <v>0</v>
      </c>
      <c r="Z82" s="82" t="e">
        <f t="shared" si="12"/>
        <v>#NUM!</v>
      </c>
      <c r="AA82" s="82" t="str">
        <f t="shared" si="8"/>
        <v>Sapin pectiné_F1_SP1_d5_GSM Alpes du Sud_120_</v>
      </c>
      <c r="AB82" s="79">
        <v>120</v>
      </c>
      <c r="AC82" s="82" t="e">
        <f t="shared" si="11"/>
        <v>#NUM!</v>
      </c>
      <c r="AD82" s="86" t="e">
        <f t="shared" si="9"/>
        <v>#NUM!</v>
      </c>
      <c r="AE82" s="81"/>
    </row>
    <row r="83" spans="1:31" hidden="1" x14ac:dyDescent="0.25">
      <c r="A83" s="79" t="s">
        <v>221</v>
      </c>
      <c r="B83" s="79" t="s">
        <v>10</v>
      </c>
      <c r="C83" s="79" t="s">
        <v>228</v>
      </c>
      <c r="D83" s="81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0"/>
        <v>0</v>
      </c>
      <c r="Z83" s="82" t="e">
        <f t="shared" si="12"/>
        <v>#NUM!</v>
      </c>
      <c r="AA83" s="82" t="str">
        <f t="shared" si="8"/>
        <v>Sapin pectiné_F2_SP2_4_GSM Alpes du Sud_70_</v>
      </c>
      <c r="AB83" s="79">
        <v>70</v>
      </c>
      <c r="AC83" s="82" t="e">
        <f t="shared" si="11"/>
        <v>#NUM!</v>
      </c>
      <c r="AD83" s="86" t="e">
        <f t="shared" si="9"/>
        <v>#NUM!</v>
      </c>
      <c r="AE83" s="81"/>
    </row>
    <row r="84" spans="1:31" hidden="1" x14ac:dyDescent="0.25">
      <c r="A84" s="79" t="s">
        <v>221</v>
      </c>
      <c r="B84" s="79" t="s">
        <v>10</v>
      </c>
      <c r="C84" s="79" t="s">
        <v>228</v>
      </c>
      <c r="D84" s="81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0"/>
        <v>0</v>
      </c>
      <c r="Z84" s="82" t="e">
        <f t="shared" si="12"/>
        <v>#NUM!</v>
      </c>
      <c r="AA84" s="82" t="str">
        <f t="shared" si="8"/>
        <v>Sapin pectiné_F2_SP2_4_GSM Alpes du Sud_70_</v>
      </c>
      <c r="AB84" s="79">
        <v>70</v>
      </c>
      <c r="AC84" s="82" t="e">
        <f t="shared" si="11"/>
        <v>#NUM!</v>
      </c>
      <c r="AD84" s="86" t="e">
        <f t="shared" si="9"/>
        <v>#NUM!</v>
      </c>
      <c r="AE84" s="81"/>
    </row>
    <row r="85" spans="1:31" hidden="1" x14ac:dyDescent="0.25">
      <c r="A85" s="79" t="s">
        <v>221</v>
      </c>
      <c r="B85" s="79" t="s">
        <v>10</v>
      </c>
      <c r="C85" s="79" t="s">
        <v>228</v>
      </c>
      <c r="D85" s="81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0"/>
        <v>0</v>
      </c>
      <c r="Z85" s="82" t="e">
        <f t="shared" si="12"/>
        <v>#NUM!</v>
      </c>
      <c r="AA85" s="82" t="str">
        <f t="shared" si="8"/>
        <v>Sapin pectiné_F2_SP2_4_GSM Alpes du Sud_75_</v>
      </c>
      <c r="AB85" s="79">
        <v>75</v>
      </c>
      <c r="AC85" s="82" t="e">
        <f t="shared" si="11"/>
        <v>#NUM!</v>
      </c>
      <c r="AD85" s="86" t="e">
        <f t="shared" si="9"/>
        <v>#NUM!</v>
      </c>
      <c r="AE85" s="81"/>
    </row>
    <row r="86" spans="1:31" hidden="1" x14ac:dyDescent="0.25">
      <c r="A86" s="79" t="s">
        <v>221</v>
      </c>
      <c r="B86" s="79" t="s">
        <v>10</v>
      </c>
      <c r="C86" s="79" t="s">
        <v>228</v>
      </c>
      <c r="D86" s="81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0"/>
        <v>0</v>
      </c>
      <c r="Z86" s="82" t="e">
        <f t="shared" si="12"/>
        <v>#NUM!</v>
      </c>
      <c r="AA86" s="82" t="str">
        <f t="shared" si="8"/>
        <v>Sapin pectiné_F2_SP2_4_GSM Alpes du Sud_75_</v>
      </c>
      <c r="AB86" s="79">
        <v>75</v>
      </c>
      <c r="AC86" s="82" t="e">
        <f t="shared" si="11"/>
        <v>#NUM!</v>
      </c>
      <c r="AD86" s="86" t="e">
        <f t="shared" si="9"/>
        <v>#NUM!</v>
      </c>
      <c r="AE86" s="81"/>
    </row>
    <row r="87" spans="1:31" hidden="1" x14ac:dyDescent="0.25">
      <c r="A87" s="79" t="s">
        <v>221</v>
      </c>
      <c r="B87" s="79" t="s">
        <v>10</v>
      </c>
      <c r="C87" s="79" t="s">
        <v>228</v>
      </c>
      <c r="D87" s="81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0"/>
        <v>0</v>
      </c>
      <c r="Z87" s="82" t="e">
        <f t="shared" si="12"/>
        <v>#NUM!</v>
      </c>
      <c r="AA87" s="82" t="str">
        <f t="shared" si="8"/>
        <v>Sapin pectiné_F2_SP2_4_GSM Alpes du Sud_95_</v>
      </c>
      <c r="AB87" s="79">
        <v>95</v>
      </c>
      <c r="AC87" s="82" t="e">
        <f t="shared" si="11"/>
        <v>#NUM!</v>
      </c>
      <c r="AD87" s="86" t="e">
        <f t="shared" si="9"/>
        <v>#NUM!</v>
      </c>
      <c r="AE87" s="81"/>
    </row>
    <row r="88" spans="1:31" hidden="1" x14ac:dyDescent="0.25">
      <c r="A88" s="79" t="s">
        <v>221</v>
      </c>
      <c r="B88" s="79" t="s">
        <v>10</v>
      </c>
      <c r="C88" s="79" t="s">
        <v>228</v>
      </c>
      <c r="D88" s="81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0"/>
        <v>0</v>
      </c>
      <c r="Z88" s="82" t="e">
        <f t="shared" si="12"/>
        <v>#NUM!</v>
      </c>
      <c r="AA88" s="82" t="str">
        <f t="shared" si="8"/>
        <v>Sapin pectiné_F2_SP2_4_GSM Alpes du Sud_95_</v>
      </c>
      <c r="AB88" s="79">
        <v>95</v>
      </c>
      <c r="AC88" s="82" t="e">
        <f t="shared" si="11"/>
        <v>#NUM!</v>
      </c>
      <c r="AD88" s="86" t="e">
        <f t="shared" si="9"/>
        <v>#NUM!</v>
      </c>
      <c r="AE88" s="81"/>
    </row>
    <row r="89" spans="1:31" hidden="1" x14ac:dyDescent="0.25">
      <c r="A89" s="79" t="s">
        <v>221</v>
      </c>
      <c r="B89" s="79" t="s">
        <v>10</v>
      </c>
      <c r="C89" s="79" t="s">
        <v>228</v>
      </c>
      <c r="D89" s="81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0"/>
        <v>0</v>
      </c>
      <c r="Z89" s="82" t="e">
        <f t="shared" si="12"/>
        <v>#NUM!</v>
      </c>
      <c r="AA89" s="82" t="str">
        <f t="shared" si="8"/>
        <v>Sapin pectiné_F2_SP2_4_GSM Alpes du Sud_115_</v>
      </c>
      <c r="AB89" s="79">
        <v>115</v>
      </c>
      <c r="AC89" s="82" t="e">
        <f t="shared" si="11"/>
        <v>#NUM!</v>
      </c>
      <c r="AD89" s="86" t="e">
        <f t="shared" si="9"/>
        <v>#NUM!</v>
      </c>
      <c r="AE89" s="81"/>
    </row>
    <row r="90" spans="1:31" hidden="1" x14ac:dyDescent="0.25">
      <c r="A90" s="79" t="s">
        <v>221</v>
      </c>
      <c r="B90" s="79" t="s">
        <v>10</v>
      </c>
      <c r="C90" s="79" t="s">
        <v>228</v>
      </c>
      <c r="D90" s="81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0"/>
        <v>0</v>
      </c>
      <c r="Z90" s="82" t="e">
        <f t="shared" si="12"/>
        <v>#NUM!</v>
      </c>
      <c r="AA90" s="82" t="str">
        <f t="shared" si="8"/>
        <v>Sapin pectiné_F2_SP2_4_GSM Alpes du Sud_115_</v>
      </c>
      <c r="AB90" s="79">
        <v>115</v>
      </c>
      <c r="AC90" s="82" t="e">
        <f t="shared" si="11"/>
        <v>#NUM!</v>
      </c>
      <c r="AD90" s="86" t="e">
        <f t="shared" si="9"/>
        <v>#NUM!</v>
      </c>
      <c r="AE90" s="81"/>
    </row>
    <row r="91" spans="1:31" hidden="1" x14ac:dyDescent="0.25">
      <c r="A91" s="79" t="s">
        <v>221</v>
      </c>
      <c r="B91" s="79" t="s">
        <v>10</v>
      </c>
      <c r="C91" s="79" t="s">
        <v>228</v>
      </c>
      <c r="D91" s="81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0"/>
        <v>0</v>
      </c>
      <c r="Z91" s="82" t="e">
        <f t="shared" si="12"/>
        <v>#NUM!</v>
      </c>
      <c r="AA91" s="82" t="str">
        <f t="shared" si="8"/>
        <v>Sapin pectiné_F2_SP2_4_GSM Alpes du Sud_135_</v>
      </c>
      <c r="AB91" s="79">
        <v>135</v>
      </c>
      <c r="AC91" s="82" t="e">
        <f t="shared" si="11"/>
        <v>#NUM!</v>
      </c>
      <c r="AD91" s="86" t="e">
        <f t="shared" si="9"/>
        <v>#NUM!</v>
      </c>
      <c r="AE91" s="81"/>
    </row>
    <row r="92" spans="1:31" hidden="1" x14ac:dyDescent="0.25">
      <c r="A92" s="79" t="s">
        <v>221</v>
      </c>
      <c r="B92" s="79" t="s">
        <v>10</v>
      </c>
      <c r="C92" s="79" t="s">
        <v>228</v>
      </c>
      <c r="D92" s="81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0"/>
        <v>0</v>
      </c>
      <c r="Z92" s="82" t="e">
        <f t="shared" si="12"/>
        <v>#NUM!</v>
      </c>
      <c r="AA92" s="82" t="str">
        <f t="shared" si="8"/>
        <v>Sapin pectiné_F2_SP2_4_GSM Alpes du Sud_135_</v>
      </c>
      <c r="AB92" s="79">
        <v>135</v>
      </c>
      <c r="AC92" s="82" t="e">
        <f t="shared" si="11"/>
        <v>#NUM!</v>
      </c>
      <c r="AD92" s="86" t="e">
        <f t="shared" si="9"/>
        <v>#NUM!</v>
      </c>
      <c r="AE92" s="81"/>
    </row>
    <row r="93" spans="1:31" hidden="1" x14ac:dyDescent="0.25">
      <c r="A93" s="79" t="s">
        <v>221</v>
      </c>
      <c r="B93" s="79" t="s">
        <v>10</v>
      </c>
      <c r="C93" s="79" t="s">
        <v>228</v>
      </c>
      <c r="D93" s="81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0"/>
        <v>0</v>
      </c>
      <c r="Z93" s="82" t="e">
        <f t="shared" si="12"/>
        <v>#NUM!</v>
      </c>
      <c r="AA93" s="82" t="str">
        <f t="shared" si="8"/>
        <v>Sapin pectiné_F2_SP2_4_GSM Alpes du Sud_150_</v>
      </c>
      <c r="AB93" s="79">
        <v>150</v>
      </c>
      <c r="AC93" s="82" t="e">
        <f t="shared" si="11"/>
        <v>#NUM!</v>
      </c>
      <c r="AD93" s="86" t="e">
        <f t="shared" si="9"/>
        <v>#NUM!</v>
      </c>
      <c r="AE93" s="81"/>
    </row>
    <row r="94" spans="1:31" hidden="1" x14ac:dyDescent="0.25">
      <c r="A94" s="79" t="s">
        <v>221</v>
      </c>
      <c r="B94" s="79" t="s">
        <v>10</v>
      </c>
      <c r="C94" s="79" t="s">
        <v>228</v>
      </c>
      <c r="D94" s="81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0"/>
        <v>0</v>
      </c>
      <c r="Z94" s="82" t="e">
        <f t="shared" si="12"/>
        <v>#NUM!</v>
      </c>
      <c r="AA94" s="82" t="str">
        <f t="shared" si="8"/>
        <v>Sapin pectiné_F2_SP2_4_GSM Alpes du Sud_150_</v>
      </c>
      <c r="AB94" s="79">
        <v>150</v>
      </c>
      <c r="AC94" s="82" t="e">
        <f t="shared" si="11"/>
        <v>#NUM!</v>
      </c>
      <c r="AD94" s="86" t="e">
        <f t="shared" si="9"/>
        <v>#NUM!</v>
      </c>
      <c r="AE94" s="81"/>
    </row>
    <row r="95" spans="1:31" hidden="1" x14ac:dyDescent="0.25">
      <c r="A95" s="79" t="s">
        <v>221</v>
      </c>
      <c r="B95" s="79" t="s">
        <v>10</v>
      </c>
      <c r="C95" s="79" t="s">
        <v>228</v>
      </c>
      <c r="D95" s="81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0"/>
        <v>0</v>
      </c>
      <c r="Z95" s="82" t="e">
        <f t="shared" si="12"/>
        <v>#NUM!</v>
      </c>
      <c r="AA95" s="82" t="str">
        <f t="shared" si="8"/>
        <v>Sapin pectiné_F2_SP2_4_GSM Alpes du Sud_160_</v>
      </c>
      <c r="AB95" s="79">
        <v>160</v>
      </c>
      <c r="AC95" s="82" t="e">
        <f t="shared" si="11"/>
        <v>#NUM!</v>
      </c>
      <c r="AD95" s="86" t="e">
        <f t="shared" si="9"/>
        <v>#NUM!</v>
      </c>
      <c r="AE95" s="81"/>
    </row>
    <row r="96" spans="1:31" hidden="1" x14ac:dyDescent="0.25">
      <c r="A96" s="79" t="s">
        <v>221</v>
      </c>
      <c r="B96" s="79" t="s">
        <v>10</v>
      </c>
      <c r="C96" s="79" t="s">
        <v>228</v>
      </c>
      <c r="D96" s="81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0"/>
        <v>0</v>
      </c>
      <c r="Z96" s="82" t="e">
        <f t="shared" si="12"/>
        <v>#NUM!</v>
      </c>
      <c r="AA96" s="82" t="str">
        <f t="shared" si="8"/>
        <v>Sapin pectiné_F2_SP2_4_GSM Alpes du Sud_160_</v>
      </c>
      <c r="AB96" s="79">
        <v>160</v>
      </c>
      <c r="AC96" s="82" t="e">
        <f t="shared" si="11"/>
        <v>#NUM!</v>
      </c>
      <c r="AD96" s="86" t="e">
        <f t="shared" si="9"/>
        <v>#NUM!</v>
      </c>
      <c r="AE96" s="81"/>
    </row>
    <row r="97" spans="1:31" hidden="1" x14ac:dyDescent="0.25">
      <c r="A97" s="79" t="s">
        <v>221</v>
      </c>
      <c r="B97" s="79" t="s">
        <v>10</v>
      </c>
      <c r="C97" s="79" t="s">
        <v>228</v>
      </c>
      <c r="D97" s="81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0"/>
        <v>0</v>
      </c>
      <c r="Z97" s="82" t="e">
        <f t="shared" si="12"/>
        <v>#NUM!</v>
      </c>
      <c r="AA97" s="82" t="str">
        <f t="shared" si="8"/>
        <v>Sapin pectiné_F2_SP2_4_GSM Alpes du Sud_170_</v>
      </c>
      <c r="AB97" s="79">
        <v>170</v>
      </c>
      <c r="AC97" s="82" t="e">
        <f t="shared" si="11"/>
        <v>#NUM!</v>
      </c>
      <c r="AD97" s="86" t="e">
        <f t="shared" si="9"/>
        <v>#NUM!</v>
      </c>
      <c r="AE97" s="81"/>
    </row>
    <row r="98" spans="1:31" hidden="1" x14ac:dyDescent="0.25">
      <c r="A98" s="79" t="s">
        <v>221</v>
      </c>
      <c r="B98" s="79" t="s">
        <v>10</v>
      </c>
      <c r="C98" s="79" t="s">
        <v>228</v>
      </c>
      <c r="D98" s="81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0"/>
        <v>0</v>
      </c>
      <c r="Z98" s="82" t="e">
        <f t="shared" si="12"/>
        <v>#NUM!</v>
      </c>
      <c r="AA98" s="82" t="str">
        <f t="shared" si="8"/>
        <v>Sapin pectiné_F2_SP2_4_GSM Alpes du Sud_170_</v>
      </c>
      <c r="AB98" s="79">
        <v>170</v>
      </c>
      <c r="AC98" s="82" t="e">
        <f t="shared" si="11"/>
        <v>#NUM!</v>
      </c>
      <c r="AD98" s="86" t="e">
        <f t="shared" si="9"/>
        <v>#NUM!</v>
      </c>
      <c r="AE98" s="81"/>
    </row>
    <row r="99" spans="1:31" hidden="1" x14ac:dyDescent="0.25">
      <c r="A99" s="86" t="s">
        <v>229</v>
      </c>
      <c r="B99" s="86" t="s">
        <v>423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0"/>
        <v>0</v>
      </c>
      <c r="Z99" s="88">
        <v>0</v>
      </c>
      <c r="AA99" s="88" t="str">
        <f t="shared" si="8"/>
        <v>Epicéa_FBonne_Entree 16-17 m_GS Arc Jurassien_0_</v>
      </c>
      <c r="AB99" s="86">
        <v>0</v>
      </c>
      <c r="AC99" s="88">
        <f t="shared" si="11"/>
        <v>0</v>
      </c>
      <c r="AD99" s="86">
        <f t="shared" si="9"/>
        <v>0</v>
      </c>
      <c r="AE99" s="86">
        <f>+SUM($AD$99:$AD$112)/$AB$112</f>
        <v>270.19385739049358</v>
      </c>
    </row>
    <row r="100" spans="1:31" hidden="1" x14ac:dyDescent="0.25">
      <c r="A100" s="79" t="s">
        <v>229</v>
      </c>
      <c r="B100" s="86" t="s">
        <v>423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0"/>
        <v>151.51499999999999</v>
      </c>
      <c r="Z100" s="82">
        <f t="shared" si="12"/>
        <v>38.922673183770968</v>
      </c>
      <c r="AA100" s="82" t="str">
        <f t="shared" si="8"/>
        <v>Epicéa_FBonne_Entree 16-17 m_GS Arc Jurassien_22_</v>
      </c>
      <c r="AB100" s="79">
        <v>22</v>
      </c>
      <c r="AC100" s="82">
        <f t="shared" si="11"/>
        <v>331.67894746173442</v>
      </c>
      <c r="AD100" s="86">
        <f t="shared" si="9"/>
        <v>3648.4684220790787</v>
      </c>
      <c r="AE100" s="86">
        <f t="shared" ref="AE100:AE112" si="13">+SUM($AD$99:$AD$112)/$AB$112</f>
        <v>270.19385739049358</v>
      </c>
    </row>
    <row r="101" spans="1:31" hidden="1" x14ac:dyDescent="0.25">
      <c r="A101" s="79" t="s">
        <v>229</v>
      </c>
      <c r="B101" s="86" t="s">
        <v>423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0"/>
        <v>90.908999999999992</v>
      </c>
      <c r="Z101" s="82">
        <f t="shared" si="12"/>
        <v>24.784325519878429</v>
      </c>
      <c r="AA101" s="82" t="str">
        <f t="shared" si="8"/>
        <v>Epicéa_FBonne_Entree 16-17 m_GS Arc Jurassien_22_</v>
      </c>
      <c r="AB101" s="79">
        <v>22</v>
      </c>
      <c r="AC101" s="82">
        <f t="shared" si="11"/>
        <v>201.49920861378823</v>
      </c>
      <c r="AD101" s="86">
        <f t="shared" si="9"/>
        <v>0</v>
      </c>
      <c r="AE101" s="86">
        <f t="shared" si="13"/>
        <v>270.19385739049358</v>
      </c>
    </row>
    <row r="102" spans="1:31" hidden="1" x14ac:dyDescent="0.25">
      <c r="A102" s="79" t="s">
        <v>229</v>
      </c>
      <c r="B102" s="86" t="s">
        <v>423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0"/>
        <v>142.376</v>
      </c>
      <c r="Z102" s="82">
        <f t="shared" si="12"/>
        <v>36.840779461983459</v>
      </c>
      <c r="AA102" s="82" t="str">
        <f t="shared" si="8"/>
        <v>Epicéa_FBonne_Entree 16-17 m_GS Arc Jurassien_27_</v>
      </c>
      <c r="AB102" s="79">
        <v>27</v>
      </c>
      <c r="AC102" s="82">
        <f t="shared" si="11"/>
        <v>312.13589089628783</v>
      </c>
      <c r="AD102" s="86">
        <f t="shared" si="9"/>
        <v>1284.0877487751902</v>
      </c>
      <c r="AE102" s="86">
        <f t="shared" si="13"/>
        <v>270.19385739049358</v>
      </c>
    </row>
    <row r="103" spans="1:31" hidden="1" x14ac:dyDescent="0.25">
      <c r="A103" s="79" t="s">
        <v>229</v>
      </c>
      <c r="B103" s="86" t="s">
        <v>423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0"/>
        <v>107.744</v>
      </c>
      <c r="Z103" s="82">
        <f t="shared" si="12"/>
        <v>28.798814029880067</v>
      </c>
      <c r="AA103" s="82" t="str">
        <f t="shared" si="8"/>
        <v>Epicéa_FBonne_Entree 16-17 m_GS Arc Jurassien_27_</v>
      </c>
      <c r="AB103" s="79">
        <v>27</v>
      </c>
      <c r="AC103" s="82">
        <f t="shared" si="11"/>
        <v>237.81206776870781</v>
      </c>
      <c r="AD103" s="86">
        <f t="shared" si="9"/>
        <v>0</v>
      </c>
      <c r="AE103" s="86">
        <f t="shared" si="13"/>
        <v>270.19385739049358</v>
      </c>
    </row>
    <row r="104" spans="1:31" hidden="1" x14ac:dyDescent="0.25">
      <c r="A104" s="86" t="s">
        <v>229</v>
      </c>
      <c r="B104" s="86" t="s">
        <v>423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0"/>
        <v>138.28749999999999</v>
      </c>
      <c r="Z104" s="88">
        <f t="shared" si="12"/>
        <v>35.904415223629279</v>
      </c>
      <c r="AA104" s="88" t="str">
        <f t="shared" si="8"/>
        <v>Epicéa_FBonne_Entree 16-17 m_GS Arc Jurassien_30_</v>
      </c>
      <c r="AB104" s="86">
        <v>30</v>
      </c>
      <c r="AC104" s="88">
        <f t="shared" si="11"/>
        <v>303.38425234782096</v>
      </c>
      <c r="AD104" s="86">
        <f t="shared" si="9"/>
        <v>811.79448017479319</v>
      </c>
      <c r="AE104" s="86">
        <f t="shared" si="13"/>
        <v>270.19385739049358</v>
      </c>
    </row>
    <row r="105" spans="1:31" hidden="1" x14ac:dyDescent="0.25">
      <c r="A105" s="79" t="s">
        <v>229</v>
      </c>
      <c r="B105" s="86" t="s">
        <v>423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0"/>
        <v>168.83099999999999</v>
      </c>
      <c r="Z105" s="82">
        <f t="shared" si="12"/>
        <v>42.828101421759989</v>
      </c>
      <c r="AA105" s="82" t="str">
        <f t="shared" si="8"/>
        <v>Epicéa_FBonne_Entree 16-17 m_GS Arc Jurassien_33_</v>
      </c>
      <c r="AB105" s="79">
        <v>33</v>
      </c>
      <c r="AC105" s="82">
        <f t="shared" si="11"/>
        <v>368.63960164289864</v>
      </c>
      <c r="AD105" s="86">
        <f t="shared" si="9"/>
        <v>1008.0357809860793</v>
      </c>
      <c r="AE105" s="86">
        <f t="shared" si="13"/>
        <v>270.19385739049358</v>
      </c>
    </row>
    <row r="106" spans="1:31" hidden="1" x14ac:dyDescent="0.25">
      <c r="A106" s="79" t="s">
        <v>229</v>
      </c>
      <c r="B106" s="86" t="s">
        <v>423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0"/>
        <v>126.503</v>
      </c>
      <c r="Z106" s="82">
        <f t="shared" si="12"/>
        <v>33.187027386382113</v>
      </c>
      <c r="AA106" s="82" t="str">
        <f t="shared" si="8"/>
        <v>Epicéa_FBonne_Entree 16-17 m_GS Arc Jurassien_33_</v>
      </c>
      <c r="AB106" s="79">
        <v>33</v>
      </c>
      <c r="AC106" s="82">
        <f t="shared" si="11"/>
        <v>278.1267976979488</v>
      </c>
      <c r="AD106" s="86">
        <f t="shared" si="9"/>
        <v>0</v>
      </c>
      <c r="AE106" s="86">
        <f t="shared" si="13"/>
        <v>270.19385739049358</v>
      </c>
    </row>
    <row r="107" spans="1:31" hidden="1" x14ac:dyDescent="0.25">
      <c r="A107" s="79" t="s">
        <v>229</v>
      </c>
      <c r="B107" s="86" t="s">
        <v>423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0"/>
        <v>185.666</v>
      </c>
      <c r="Z107" s="82">
        <f t="shared" si="12"/>
        <v>46.580483994788317</v>
      </c>
      <c r="AA107" s="82" t="str">
        <f t="shared" si="8"/>
        <v>Epicéa_FBonne_Entree 16-17 m_GS Arc Jurassien_39_</v>
      </c>
      <c r="AB107" s="79">
        <v>39</v>
      </c>
      <c r="AC107" s="82">
        <f t="shared" si="11"/>
        <v>404.49595962425633</v>
      </c>
      <c r="AD107" s="86">
        <f t="shared" si="9"/>
        <v>2047.8682719666156</v>
      </c>
      <c r="AE107" s="86">
        <f t="shared" si="13"/>
        <v>270.19385739049358</v>
      </c>
    </row>
    <row r="108" spans="1:31" hidden="1" x14ac:dyDescent="0.25">
      <c r="A108" s="79" t="s">
        <v>229</v>
      </c>
      <c r="B108" s="86" t="s">
        <v>423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0"/>
        <v>147.667</v>
      </c>
      <c r="Z108" s="82">
        <f t="shared" si="12"/>
        <v>38.047920274932522</v>
      </c>
      <c r="AA108" s="82" t="str">
        <f t="shared" si="8"/>
        <v>Epicéa_FBonne_Entree 16-17 m_GS Arc Jurassien_39_</v>
      </c>
      <c r="AB108" s="79">
        <v>39</v>
      </c>
      <c r="AC108" s="82">
        <f t="shared" si="11"/>
        <v>323.4534861455075</v>
      </c>
      <c r="AD108" s="86">
        <f t="shared" si="9"/>
        <v>0</v>
      </c>
      <c r="AE108" s="86">
        <f t="shared" si="13"/>
        <v>270.19385739049358</v>
      </c>
    </row>
    <row r="109" spans="1:31" hidden="1" x14ac:dyDescent="0.25">
      <c r="A109" s="79" t="s">
        <v>229</v>
      </c>
      <c r="B109" s="86" t="s">
        <v>423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0"/>
        <v>203.46299999999999</v>
      </c>
      <c r="Z109" s="82">
        <f t="shared" si="12"/>
        <v>50.504468259946009</v>
      </c>
      <c r="AA109" s="82" t="str">
        <f t="shared" si="8"/>
        <v>Epicéa_FBonne_Entree 16-17 m_GS Arc Jurassien_45_</v>
      </c>
      <c r="AB109" s="79">
        <v>45</v>
      </c>
      <c r="AC109" s="82">
        <f t="shared" si="11"/>
        <v>442.32667388607257</v>
      </c>
      <c r="AD109" s="86">
        <f t="shared" si="9"/>
        <v>2297.3404800947401</v>
      </c>
      <c r="AE109" s="86">
        <f t="shared" si="13"/>
        <v>270.19385739049358</v>
      </c>
    </row>
    <row r="110" spans="1:31" hidden="1" x14ac:dyDescent="0.25">
      <c r="A110" s="79" t="s">
        <v>229</v>
      </c>
      <c r="B110" s="86" t="s">
        <v>423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0"/>
        <v>164.02099999999999</v>
      </c>
      <c r="Z110" s="82">
        <f t="shared" si="12"/>
        <v>41.748148887274446</v>
      </c>
      <c r="AA110" s="82" t="str">
        <f t="shared" si="8"/>
        <v>Epicéa_FBonne_Entree 16-17 m_GS Arc Jurassien_45_</v>
      </c>
      <c r="AB110" s="79">
        <v>45</v>
      </c>
      <c r="AC110" s="82">
        <f t="shared" si="11"/>
        <v>358.38126764533627</v>
      </c>
      <c r="AD110" s="86">
        <f t="shared" si="9"/>
        <v>0</v>
      </c>
      <c r="AE110" s="86">
        <f t="shared" si="13"/>
        <v>270.19385739049358</v>
      </c>
    </row>
    <row r="111" spans="1:31" hidden="1" x14ac:dyDescent="0.25">
      <c r="A111" s="79" t="s">
        <v>229</v>
      </c>
      <c r="B111" s="86" t="s">
        <v>423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0"/>
        <v>223.66499999999999</v>
      </c>
      <c r="Z111" s="82">
        <f t="shared" si="12"/>
        <v>54.91068778736684</v>
      </c>
      <c r="AA111" s="82" t="str">
        <f t="shared" si="8"/>
        <v>Epicéa_FBonne_Entree 16-17 m_GS Arc Jurassien_52_</v>
      </c>
      <c r="AB111" s="79">
        <v>52</v>
      </c>
      <c r="AC111" s="82">
        <f t="shared" si="11"/>
        <v>485.18598956299729</v>
      </c>
      <c r="AD111" s="86">
        <f t="shared" si="9"/>
        <v>2952.4854002291677</v>
      </c>
      <c r="AE111" s="86">
        <f t="shared" si="13"/>
        <v>270.19385739049358</v>
      </c>
    </row>
    <row r="112" spans="1:31" hidden="1" x14ac:dyDescent="0.25">
      <c r="A112" s="79" t="s">
        <v>229</v>
      </c>
      <c r="B112" s="86" t="s">
        <v>423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0"/>
        <v>0</v>
      </c>
      <c r="Z112" s="82">
        <v>0</v>
      </c>
      <c r="AA112" s="82" t="str">
        <f t="shared" si="8"/>
        <v>Epicéa_FBonne_Entree 16-17 m_GS Arc Jurassien_52_</v>
      </c>
      <c r="AB112" s="79">
        <v>52</v>
      </c>
      <c r="AC112" s="82">
        <f t="shared" si="11"/>
        <v>0</v>
      </c>
      <c r="AD112" s="86">
        <f t="shared" si="9"/>
        <v>0</v>
      </c>
      <c r="AE112" s="86">
        <f t="shared" si="13"/>
        <v>270.19385739049358</v>
      </c>
    </row>
    <row r="113" spans="1:31" hidden="1" x14ac:dyDescent="0.25">
      <c r="A113" s="86" t="s">
        <v>229</v>
      </c>
      <c r="B113" s="86" t="s">
        <v>424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0"/>
        <v>0</v>
      </c>
      <c r="Z113" s="88">
        <v>0</v>
      </c>
      <c r="AA113" s="88" t="str">
        <f t="shared" si="8"/>
        <v>Epicéa_Fmoyenne_Entree 16-17 m_GS Arc Jurassien_0_</v>
      </c>
      <c r="AB113" s="86">
        <v>0</v>
      </c>
      <c r="AC113" s="88">
        <f t="shared" si="11"/>
        <v>0</v>
      </c>
      <c r="AD113" s="86">
        <f t="shared" si="9"/>
        <v>0</v>
      </c>
      <c r="AE113" s="86">
        <f>+SUM($AD$113:$AD$130)/$AB$130</f>
        <v>270.17494016810156</v>
      </c>
    </row>
    <row r="114" spans="1:31" hidden="1" x14ac:dyDescent="0.25">
      <c r="A114" s="79" t="s">
        <v>229</v>
      </c>
      <c r="B114" s="86" t="s">
        <v>424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0"/>
        <v>107.02249999999999</v>
      </c>
      <c r="Z114" s="82">
        <f t="shared" si="12"/>
        <v>28.628345898748957</v>
      </c>
      <c r="AA114" s="82" t="str">
        <f t="shared" si="8"/>
        <v>Epicéa_Fmoyenne_Entree 16-17 m_GS Arc Jurassien_27_</v>
      </c>
      <c r="AB114" s="79">
        <v>27</v>
      </c>
      <c r="AC114" s="82">
        <f t="shared" si="11"/>
        <v>236.2585566069877</v>
      </c>
      <c r="AD114" s="86">
        <f t="shared" si="9"/>
        <v>3189.4905141943341</v>
      </c>
      <c r="AE114" s="86">
        <f t="shared" ref="AE114:AE130" si="14">+SUM($AD$113:$AD$130)/$AB$130</f>
        <v>270.17494016810156</v>
      </c>
    </row>
    <row r="115" spans="1:31" hidden="1" x14ac:dyDescent="0.25">
      <c r="A115" s="79" t="s">
        <v>229</v>
      </c>
      <c r="B115" s="86" t="s">
        <v>424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0"/>
        <v>85.617999999999995</v>
      </c>
      <c r="Z115" s="82">
        <f t="shared" si="12"/>
        <v>23.505341669255262</v>
      </c>
      <c r="AA115" s="82" t="str">
        <f t="shared" si="8"/>
        <v>Epicéa_Fmoyenne_Entree 16-17 m_GS Arc Jurassien_27_</v>
      </c>
      <c r="AB115" s="79">
        <v>27</v>
      </c>
      <c r="AC115" s="82">
        <f t="shared" si="11"/>
        <v>190.05648674061956</v>
      </c>
      <c r="AD115" s="86">
        <f t="shared" si="9"/>
        <v>0</v>
      </c>
      <c r="AE115" s="86">
        <f t="shared" si="14"/>
        <v>270.17494016810156</v>
      </c>
    </row>
    <row r="116" spans="1:31" hidden="1" x14ac:dyDescent="0.25">
      <c r="A116" s="86" t="s">
        <v>229</v>
      </c>
      <c r="B116" s="86" t="s">
        <v>424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0"/>
        <v>110.149</v>
      </c>
      <c r="Z116" s="88">
        <f t="shared" si="12"/>
        <v>29.366087368579134</v>
      </c>
      <c r="AA116" s="88" t="str">
        <f t="shared" si="8"/>
        <v>Epicéa_Fmoyenne_Entree 16-17 m_GS Arc Jurassien_30_</v>
      </c>
      <c r="AB116" s="86">
        <v>30</v>
      </c>
      <c r="AC116" s="88">
        <f t="shared" si="11"/>
        <v>242.98877716694199</v>
      </c>
      <c r="AD116" s="86">
        <f t="shared" si="9"/>
        <v>649.56789586134232</v>
      </c>
      <c r="AE116" s="86">
        <f t="shared" si="14"/>
        <v>270.17494016810156</v>
      </c>
    </row>
    <row r="117" spans="1:31" hidden="1" x14ac:dyDescent="0.25">
      <c r="A117" s="79" t="s">
        <v>229</v>
      </c>
      <c r="B117" s="86" t="s">
        <v>424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0"/>
        <v>134.68</v>
      </c>
      <c r="Z117" s="82">
        <f t="shared" si="12"/>
        <v>35.075533941271715</v>
      </c>
      <c r="AA117" s="82" t="str">
        <f t="shared" si="8"/>
        <v>Epicéa_Fmoyenne_Entree 16-17 m_GS Arc Jurassien_33_</v>
      </c>
      <c r="AB117" s="79">
        <v>33</v>
      </c>
      <c r="AC117" s="82">
        <f t="shared" si="11"/>
        <v>295.65755494771491</v>
      </c>
      <c r="AD117" s="86">
        <f t="shared" si="9"/>
        <v>807.96949817198526</v>
      </c>
      <c r="AE117" s="86">
        <f t="shared" si="14"/>
        <v>270.17494016810156</v>
      </c>
    </row>
    <row r="118" spans="1:31" hidden="1" x14ac:dyDescent="0.25">
      <c r="A118" s="79" t="s">
        <v>229</v>
      </c>
      <c r="B118" s="86" t="s">
        <v>424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0"/>
        <v>103.896</v>
      </c>
      <c r="Z118" s="82">
        <f t="shared" si="12"/>
        <v>27.888091127225799</v>
      </c>
      <c r="AA118" s="82" t="str">
        <f t="shared" si="8"/>
        <v>Epicéa_Fmoyenne_Entree 16-17 m_GS Arc Jurassien_33_</v>
      </c>
      <c r="AB118" s="79">
        <v>33</v>
      </c>
      <c r="AC118" s="82">
        <f t="shared" si="11"/>
        <v>229.52395871325157</v>
      </c>
      <c r="AD118" s="86">
        <f t="shared" si="9"/>
        <v>0</v>
      </c>
      <c r="AE118" s="86">
        <f t="shared" si="14"/>
        <v>270.17494016810156</v>
      </c>
    </row>
    <row r="119" spans="1:31" hidden="1" x14ac:dyDescent="0.25">
      <c r="A119" s="79" t="s">
        <v>229</v>
      </c>
      <c r="B119" s="86" t="s">
        <v>424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0"/>
        <v>159.21099999999998</v>
      </c>
      <c r="Z119" s="82">
        <f t="shared" si="12"/>
        <v>40.664503085733998</v>
      </c>
      <c r="AA119" s="82" t="str">
        <f t="shared" si="8"/>
        <v>Epicéa_Fmoyenne_Entree 16-17 m_GS Arc Jurassien_40_</v>
      </c>
      <c r="AB119" s="79">
        <v>40</v>
      </c>
      <c r="AC119" s="82">
        <f t="shared" si="11"/>
        <v>348.1165012076533</v>
      </c>
      <c r="AD119" s="86">
        <f t="shared" si="9"/>
        <v>2021.7416097231669</v>
      </c>
      <c r="AE119" s="86">
        <f t="shared" si="14"/>
        <v>270.17494016810156</v>
      </c>
    </row>
    <row r="120" spans="1:31" hidden="1" x14ac:dyDescent="0.25">
      <c r="A120" s="79" t="s">
        <v>229</v>
      </c>
      <c r="B120" s="86" t="s">
        <v>424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0"/>
        <v>127.46499999999999</v>
      </c>
      <c r="Z120" s="82">
        <f t="shared" si="12"/>
        <v>33.409925603683597</v>
      </c>
      <c r="AA120" s="82" t="str">
        <f t="shared" si="8"/>
        <v>Epicéa_Fmoyenne_Entree 16-17 m_GS Arc Jurassien_40_</v>
      </c>
      <c r="AB120" s="79">
        <v>40</v>
      </c>
      <c r="AC120" s="82">
        <f t="shared" si="11"/>
        <v>280.19049542641557</v>
      </c>
      <c r="AD120" s="86">
        <f t="shared" si="9"/>
        <v>0</v>
      </c>
      <c r="AE120" s="86">
        <f t="shared" si="14"/>
        <v>270.17494016810156</v>
      </c>
    </row>
    <row r="121" spans="1:31" hidden="1" x14ac:dyDescent="0.25">
      <c r="A121" s="79" t="s">
        <v>229</v>
      </c>
      <c r="B121" s="86" t="s">
        <v>424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0"/>
        <v>178.93199999999999</v>
      </c>
      <c r="Z121" s="82">
        <f t="shared" si="12"/>
        <v>45.084493609959594</v>
      </c>
      <c r="AA121" s="82" t="str">
        <f t="shared" si="8"/>
        <v>Epicéa_Fmoyenne_Entree 16-17 m_GS Arc Jurassien_47_</v>
      </c>
      <c r="AB121" s="79">
        <v>47</v>
      </c>
      <c r="AC121" s="82">
        <f t="shared" si="11"/>
        <v>390.16205970401296</v>
      </c>
      <c r="AD121" s="86">
        <f t="shared" si="9"/>
        <v>2346.2339429565</v>
      </c>
      <c r="AE121" s="86">
        <f t="shared" si="14"/>
        <v>270.17494016810156</v>
      </c>
    </row>
    <row r="122" spans="1:31" hidden="1" x14ac:dyDescent="0.25">
      <c r="A122" s="79" t="s">
        <v>229</v>
      </c>
      <c r="B122" s="86" t="s">
        <v>424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0"/>
        <v>144.78100000000001</v>
      </c>
      <c r="Z122" s="82">
        <f t="shared" si="12"/>
        <v>37.390115770833177</v>
      </c>
      <c r="AA122" s="82" t="str">
        <f t="shared" si="8"/>
        <v>Epicéa_Fmoyenne_Entree 16-17 m_GS Arc Jurassien_47_</v>
      </c>
      <c r="AB122" s="79">
        <v>47</v>
      </c>
      <c r="AC122" s="82">
        <f t="shared" si="11"/>
        <v>317.28135996753446</v>
      </c>
      <c r="AD122" s="86">
        <f t="shared" si="9"/>
        <v>0</v>
      </c>
      <c r="AE122" s="86">
        <f t="shared" si="14"/>
        <v>270.17494016810156</v>
      </c>
    </row>
    <row r="123" spans="1:31" hidden="1" x14ac:dyDescent="0.25">
      <c r="A123" s="79" t="s">
        <v>229</v>
      </c>
      <c r="B123" s="86" t="s">
        <v>424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0"/>
        <v>191.91899999999998</v>
      </c>
      <c r="Z123" s="82">
        <f t="shared" si="12"/>
        <v>47.963968046563188</v>
      </c>
      <c r="AA123" s="82" t="str">
        <f t="shared" si="8"/>
        <v>Epicéa_Fmoyenne_Entree 16-17 m_GS Arc Jurassien_54_</v>
      </c>
      <c r="AB123" s="79">
        <v>54</v>
      </c>
      <c r="AC123" s="82">
        <f t="shared" si="11"/>
        <v>417.79616934776419</v>
      </c>
      <c r="AD123" s="86">
        <f t="shared" si="9"/>
        <v>2572.7713526035454</v>
      </c>
      <c r="AE123" s="86">
        <f t="shared" si="14"/>
        <v>270.17494016810156</v>
      </c>
    </row>
    <row r="124" spans="1:31" hidden="1" x14ac:dyDescent="0.25">
      <c r="A124" s="79" t="s">
        <v>229</v>
      </c>
      <c r="B124" s="86" t="s">
        <v>424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0"/>
        <v>153.43899999999999</v>
      </c>
      <c r="Z124" s="82">
        <f t="shared" si="12"/>
        <v>39.35907668794875</v>
      </c>
      <c r="AA124" s="82" t="str">
        <f t="shared" si="8"/>
        <v>Epicéa_Fmoyenne_Entree 16-17 m_GS Arc Jurassien_54_</v>
      </c>
      <c r="AB124" s="79">
        <v>54</v>
      </c>
      <c r="AC124" s="82">
        <f t="shared" si="11"/>
        <v>335.78998356484402</v>
      </c>
      <c r="AD124" s="86">
        <f t="shared" si="9"/>
        <v>0</v>
      </c>
      <c r="AE124" s="86">
        <f t="shared" si="14"/>
        <v>270.17494016810156</v>
      </c>
    </row>
    <row r="125" spans="1:31" hidden="1" x14ac:dyDescent="0.25">
      <c r="A125" s="79" t="s">
        <v>229</v>
      </c>
      <c r="B125" s="86" t="s">
        <v>424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0"/>
        <v>195.286</v>
      </c>
      <c r="Z125" s="82">
        <f t="shared" si="12"/>
        <v>48.70673943067964</v>
      </c>
      <c r="AA125" s="82" t="str">
        <f t="shared" si="8"/>
        <v>Epicéa_Fmoyenne_Entree 16-17 m_GS Arc Jurassien_61_</v>
      </c>
      <c r="AB125" s="79">
        <v>61</v>
      </c>
      <c r="AC125" s="82">
        <f t="shared" si="11"/>
        <v>424.95402117510031</v>
      </c>
      <c r="AD125" s="86">
        <f t="shared" si="9"/>
        <v>2662.6040165898053</v>
      </c>
      <c r="AE125" s="86">
        <f t="shared" si="14"/>
        <v>270.17494016810156</v>
      </c>
    </row>
    <row r="126" spans="1:31" hidden="1" x14ac:dyDescent="0.25">
      <c r="A126" s="79" t="s">
        <v>229</v>
      </c>
      <c r="B126" s="86" t="s">
        <v>424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0"/>
        <v>164.983</v>
      </c>
      <c r="Z126" s="82">
        <f t="shared" si="12"/>
        <v>41.964430997815199</v>
      </c>
      <c r="AA126" s="82" t="str">
        <f t="shared" si="8"/>
        <v>Epicéa_Fmoyenne_Entree 16-17 m_GS Arc Jurassien_61_</v>
      </c>
      <c r="AB126" s="79">
        <v>61</v>
      </c>
      <c r="AC126" s="82">
        <f t="shared" si="11"/>
        <v>360.43344232119483</v>
      </c>
      <c r="AD126" s="86">
        <f t="shared" si="9"/>
        <v>0</v>
      </c>
      <c r="AE126" s="86">
        <f t="shared" si="14"/>
        <v>270.17494016810156</v>
      </c>
    </row>
    <row r="127" spans="1:31" hidden="1" x14ac:dyDescent="0.25">
      <c r="A127" s="79" t="s">
        <v>229</v>
      </c>
      <c r="B127" s="86" t="s">
        <v>424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0"/>
        <v>206.34899999999999</v>
      </c>
      <c r="Z127" s="82">
        <f t="shared" si="12"/>
        <v>51.136937780341476</v>
      </c>
      <c r="AA127" s="82" t="str">
        <f t="shared" si="8"/>
        <v>Epicéa_Fmoyenne_Entree 16-17 m_GS Arc Jurassien_69_</v>
      </c>
      <c r="AB127" s="79">
        <v>69</v>
      </c>
      <c r="AC127" s="82">
        <f t="shared" si="11"/>
        <v>448.45467496742805</v>
      </c>
      <c r="AD127" s="86">
        <f t="shared" si="9"/>
        <v>3235.5524691544915</v>
      </c>
      <c r="AE127" s="86">
        <f t="shared" si="14"/>
        <v>270.17494016810156</v>
      </c>
    </row>
    <row r="128" spans="1:31" hidden="1" x14ac:dyDescent="0.25">
      <c r="A128" s="79" t="s">
        <v>229</v>
      </c>
      <c r="B128" s="86" t="s">
        <v>424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0"/>
        <v>173.16</v>
      </c>
      <c r="Z128" s="82">
        <f t="shared" si="12"/>
        <v>43.796998058051557</v>
      </c>
      <c r="AA128" s="82" t="str">
        <f t="shared" si="8"/>
        <v>Epicéa_Fmoyenne_Entree 16-17 m_GS Arc Jurassien_69_</v>
      </c>
      <c r="AB128" s="79">
        <v>69</v>
      </c>
      <c r="AC128" s="82">
        <f t="shared" si="11"/>
        <v>377.86677161777311</v>
      </c>
      <c r="AD128" s="86">
        <f t="shared" si="9"/>
        <v>0</v>
      </c>
      <c r="AE128" s="86">
        <f t="shared" si="14"/>
        <v>270.17494016810156</v>
      </c>
    </row>
    <row r="129" spans="1:31" hidden="1" x14ac:dyDescent="0.25">
      <c r="A129" s="79" t="s">
        <v>229</v>
      </c>
      <c r="B129" s="86" t="s">
        <v>424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0"/>
        <v>207.792</v>
      </c>
      <c r="Z129" s="82">
        <f t="shared" si="12"/>
        <v>51.452785725007864</v>
      </c>
      <c r="AA129" s="82" t="str">
        <f t="shared" si="8"/>
        <v>Epicéa_Fmoyenne_Entree 16-17 m_GS Arc Jurassien_77_</v>
      </c>
      <c r="AB129" s="79">
        <v>77</v>
      </c>
      <c r="AC129" s="82">
        <f t="shared" si="11"/>
        <v>451.51800180438869</v>
      </c>
      <c r="AD129" s="86">
        <f t="shared" si="9"/>
        <v>3317.539093688647</v>
      </c>
      <c r="AE129" s="86">
        <f t="shared" si="14"/>
        <v>270.17494016810156</v>
      </c>
    </row>
    <row r="130" spans="1:31" hidden="1" x14ac:dyDescent="0.25">
      <c r="A130" s="79" t="s">
        <v>229</v>
      </c>
      <c r="B130" s="86" t="s">
        <v>424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8"/>
        <v>Epicéa_Fmoyenne_Entree 16-17 m_GS Arc Jurassien_77_</v>
      </c>
      <c r="AB130" s="79">
        <v>77</v>
      </c>
      <c r="AC130" s="82">
        <f t="shared" si="11"/>
        <v>0</v>
      </c>
      <c r="AD130" s="86">
        <f t="shared" si="9"/>
        <v>0</v>
      </c>
      <c r="AE130" s="86">
        <f t="shared" si="14"/>
        <v>270.17494016810156</v>
      </c>
    </row>
    <row r="131" spans="1:31" hidden="1" x14ac:dyDescent="0.25">
      <c r="A131" s="79" t="s">
        <v>231</v>
      </c>
      <c r="B131" s="79" t="s">
        <v>9</v>
      </c>
      <c r="C131" s="79" t="s">
        <v>232</v>
      </c>
      <c r="D131" s="81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0"/>
        <v>0</v>
      </c>
      <c r="Z131" s="82" t="e">
        <f t="shared" si="12"/>
        <v>#NUM!</v>
      </c>
      <c r="AA131" s="82" t="str">
        <f t="shared" ref="AA131:AA194" si="15">+_xlfn.CONCAT(A131,"_",B131,"_",C131,"_",D131,"_",AB131,"_")</f>
        <v>Pin Noir d'Autriche_F1_PO1_d4_GSM Alpes du Sud_12_</v>
      </c>
      <c r="AB131" s="79">
        <v>12</v>
      </c>
      <c r="AC131" s="82" t="e">
        <f t="shared" si="11"/>
        <v>#NUM!</v>
      </c>
      <c r="AD131" s="86" t="e">
        <f t="shared" si="9"/>
        <v>#NUM!</v>
      </c>
      <c r="AE131" s="81"/>
    </row>
    <row r="132" spans="1:31" hidden="1" x14ac:dyDescent="0.25">
      <c r="A132" s="79" t="s">
        <v>231</v>
      </c>
      <c r="B132" s="79" t="s">
        <v>9</v>
      </c>
      <c r="C132" s="79" t="s">
        <v>232</v>
      </c>
      <c r="D132" s="81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0"/>
        <v>0</v>
      </c>
      <c r="Z132" s="82" t="e">
        <f t="shared" si="12"/>
        <v>#NUM!</v>
      </c>
      <c r="AA132" s="82" t="str">
        <f t="shared" si="15"/>
        <v>Pin Noir d'Autriche_F1_PO1_d4_GSM Alpes du Sud_12_</v>
      </c>
      <c r="AB132" s="79">
        <v>12</v>
      </c>
      <c r="AC132" s="82" t="e">
        <f t="shared" si="11"/>
        <v>#NUM!</v>
      </c>
      <c r="AD132" s="86" t="e">
        <f t="shared" ref="AD132:AD195" si="16">+IF(AC132=0,0,(AC132+AC131)*(AB132-AB131)/2)</f>
        <v>#NUM!</v>
      </c>
      <c r="AE132" s="81"/>
    </row>
    <row r="133" spans="1:31" hidden="1" x14ac:dyDescent="0.25">
      <c r="A133" s="79" t="s">
        <v>231</v>
      </c>
      <c r="B133" s="79" t="s">
        <v>9</v>
      </c>
      <c r="C133" s="79" t="s">
        <v>232</v>
      </c>
      <c r="D133" s="81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0"/>
        <v>0</v>
      </c>
      <c r="Z133" s="82" t="e">
        <f t="shared" si="12"/>
        <v>#NUM!</v>
      </c>
      <c r="AA133" s="82" t="str">
        <f t="shared" si="15"/>
        <v>Pin Noir d'Autriche_F1_PO1_d4_GSM Alpes du Sud_40_</v>
      </c>
      <c r="AB133" s="79">
        <v>40</v>
      </c>
      <c r="AC133" s="82" t="e">
        <f t="shared" si="11"/>
        <v>#NUM!</v>
      </c>
      <c r="AD133" s="86" t="e">
        <f t="shared" si="16"/>
        <v>#NUM!</v>
      </c>
      <c r="AE133" s="81"/>
    </row>
    <row r="134" spans="1:31" hidden="1" x14ac:dyDescent="0.25">
      <c r="A134" s="79" t="s">
        <v>231</v>
      </c>
      <c r="B134" s="79" t="s">
        <v>9</v>
      </c>
      <c r="C134" s="79" t="s">
        <v>232</v>
      </c>
      <c r="D134" s="81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0"/>
        <v>0</v>
      </c>
      <c r="Z134" s="82" t="e">
        <f t="shared" si="12"/>
        <v>#NUM!</v>
      </c>
      <c r="AA134" s="82" t="str">
        <f t="shared" si="15"/>
        <v>Pin Noir d'Autriche_F1_PO1_d4_GSM Alpes du Sud_40_</v>
      </c>
      <c r="AB134" s="79">
        <v>40</v>
      </c>
      <c r="AC134" s="82" t="e">
        <f t="shared" si="11"/>
        <v>#NUM!</v>
      </c>
      <c r="AD134" s="86" t="e">
        <f t="shared" si="16"/>
        <v>#NUM!</v>
      </c>
      <c r="AE134" s="81"/>
    </row>
    <row r="135" spans="1:31" hidden="1" x14ac:dyDescent="0.25">
      <c r="A135" s="79" t="s">
        <v>231</v>
      </c>
      <c r="B135" s="79" t="s">
        <v>9</v>
      </c>
      <c r="C135" s="79" t="s">
        <v>232</v>
      </c>
      <c r="D135" s="81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0"/>
        <v>0</v>
      </c>
      <c r="Z135" s="82" t="e">
        <f t="shared" si="12"/>
        <v>#NUM!</v>
      </c>
      <c r="AA135" s="82" t="str">
        <f t="shared" si="15"/>
        <v>Pin Noir d'Autriche_F1_PO1_d4_GSM Alpes du Sud_55_</v>
      </c>
      <c r="AB135" s="79">
        <v>55</v>
      </c>
      <c r="AC135" s="82" t="e">
        <f t="shared" si="11"/>
        <v>#NUM!</v>
      </c>
      <c r="AD135" s="86" t="e">
        <f t="shared" si="16"/>
        <v>#NUM!</v>
      </c>
      <c r="AE135" s="81"/>
    </row>
    <row r="136" spans="1:31" hidden="1" x14ac:dyDescent="0.25">
      <c r="A136" s="79" t="s">
        <v>231</v>
      </c>
      <c r="B136" s="79" t="s">
        <v>9</v>
      </c>
      <c r="C136" s="79" t="s">
        <v>232</v>
      </c>
      <c r="D136" s="81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0"/>
        <v>0</v>
      </c>
      <c r="Z136" s="82" t="e">
        <f t="shared" si="12"/>
        <v>#NUM!</v>
      </c>
      <c r="AA136" s="82" t="str">
        <f t="shared" si="15"/>
        <v>Pin Noir d'Autriche_F1_PO1_d4_GSM Alpes du Sud_55_</v>
      </c>
      <c r="AB136" s="79">
        <v>55</v>
      </c>
      <c r="AC136" s="82" t="e">
        <f t="shared" si="11"/>
        <v>#NUM!</v>
      </c>
      <c r="AD136" s="86" t="e">
        <f t="shared" si="16"/>
        <v>#NUM!</v>
      </c>
      <c r="AE136" s="81"/>
    </row>
    <row r="137" spans="1:31" hidden="1" x14ac:dyDescent="0.25">
      <c r="A137" s="79" t="s">
        <v>231</v>
      </c>
      <c r="B137" s="79" t="s">
        <v>9</v>
      </c>
      <c r="C137" s="79" t="s">
        <v>232</v>
      </c>
      <c r="D137" s="81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0"/>
        <v>0</v>
      </c>
      <c r="Z137" s="82" t="e">
        <f t="shared" si="12"/>
        <v>#NUM!</v>
      </c>
      <c r="AA137" s="82" t="str">
        <f t="shared" si="15"/>
        <v>Pin Noir d'Autriche_F1_PO1_d4_GSM Alpes du Sud_70_</v>
      </c>
      <c r="AB137" s="79">
        <v>70</v>
      </c>
      <c r="AC137" s="82" t="e">
        <f t="shared" si="11"/>
        <v>#NUM!</v>
      </c>
      <c r="AD137" s="86" t="e">
        <f t="shared" si="16"/>
        <v>#NUM!</v>
      </c>
      <c r="AE137" s="81"/>
    </row>
    <row r="138" spans="1:31" hidden="1" x14ac:dyDescent="0.25">
      <c r="A138" s="79" t="s">
        <v>231</v>
      </c>
      <c r="B138" s="79" t="s">
        <v>9</v>
      </c>
      <c r="C138" s="79" t="s">
        <v>232</v>
      </c>
      <c r="D138" s="81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0"/>
        <v>0</v>
      </c>
      <c r="Z138" s="82" t="e">
        <f t="shared" si="12"/>
        <v>#NUM!</v>
      </c>
      <c r="AA138" s="82" t="str">
        <f t="shared" si="15"/>
        <v>Pin Noir d'Autriche_F1_PO1_d4_GSM Alpes du Sud_70_</v>
      </c>
      <c r="AB138" s="79">
        <v>70</v>
      </c>
      <c r="AC138" s="82" t="e">
        <f t="shared" si="11"/>
        <v>#NUM!</v>
      </c>
      <c r="AD138" s="86" t="e">
        <f t="shared" si="16"/>
        <v>#NUM!</v>
      </c>
      <c r="AE138" s="81"/>
    </row>
    <row r="139" spans="1:31" hidden="1" x14ac:dyDescent="0.25">
      <c r="A139" s="79" t="s">
        <v>231</v>
      </c>
      <c r="B139" s="79" t="s">
        <v>9</v>
      </c>
      <c r="C139" s="79" t="s">
        <v>232</v>
      </c>
      <c r="D139" s="81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0"/>
        <v>0</v>
      </c>
      <c r="Z139" s="82" t="e">
        <f t="shared" si="12"/>
        <v>#NUM!</v>
      </c>
      <c r="AA139" s="82" t="str">
        <f t="shared" si="15"/>
        <v>Pin Noir d'Autriche_F1_PO1_d4_GSM Alpes du Sud_80_</v>
      </c>
      <c r="AB139" s="79">
        <v>80</v>
      </c>
      <c r="AC139" s="82" t="e">
        <f t="shared" si="11"/>
        <v>#NUM!</v>
      </c>
      <c r="AD139" s="86" t="e">
        <f t="shared" si="16"/>
        <v>#NUM!</v>
      </c>
      <c r="AE139" s="81"/>
    </row>
    <row r="140" spans="1:31" hidden="1" x14ac:dyDescent="0.25">
      <c r="A140" s="79" t="s">
        <v>231</v>
      </c>
      <c r="B140" s="79" t="s">
        <v>9</v>
      </c>
      <c r="C140" s="79" t="s">
        <v>232</v>
      </c>
      <c r="D140" s="81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0"/>
        <v>0</v>
      </c>
      <c r="Z140" s="82" t="e">
        <f t="shared" si="12"/>
        <v>#NUM!</v>
      </c>
      <c r="AA140" s="82" t="str">
        <f t="shared" si="15"/>
        <v>Pin Noir d'Autriche_F1_PO1_d4_GSM Alpes du Sud_80_</v>
      </c>
      <c r="AB140" s="79">
        <v>80</v>
      </c>
      <c r="AC140" s="82" t="e">
        <f t="shared" si="11"/>
        <v>#NUM!</v>
      </c>
      <c r="AD140" s="86" t="e">
        <f t="shared" si="16"/>
        <v>#NUM!</v>
      </c>
      <c r="AE140" s="81"/>
    </row>
    <row r="141" spans="1:31" hidden="1" x14ac:dyDescent="0.25">
      <c r="A141" s="79" t="s">
        <v>231</v>
      </c>
      <c r="B141" s="79" t="s">
        <v>9</v>
      </c>
      <c r="C141" s="79" t="s">
        <v>232</v>
      </c>
      <c r="D141" s="81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0"/>
        <v>0</v>
      </c>
      <c r="Z141" s="82" t="e">
        <f t="shared" si="12"/>
        <v>#NUM!</v>
      </c>
      <c r="AA141" s="82" t="str">
        <f t="shared" si="15"/>
        <v>Pin Noir d'Autriche_F1_PO1_d4_GSM Alpes du Sud_95_</v>
      </c>
      <c r="AB141" s="79">
        <v>95</v>
      </c>
      <c r="AC141" s="82" t="e">
        <f t="shared" si="11"/>
        <v>#NUM!</v>
      </c>
      <c r="AD141" s="86" t="e">
        <f t="shared" si="16"/>
        <v>#NUM!</v>
      </c>
      <c r="AE141" s="81"/>
    </row>
    <row r="142" spans="1:31" hidden="1" x14ac:dyDescent="0.25">
      <c r="A142" s="79" t="s">
        <v>231</v>
      </c>
      <c r="B142" s="79" t="s">
        <v>9</v>
      </c>
      <c r="C142" s="79" t="s">
        <v>232</v>
      </c>
      <c r="D142" s="81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0"/>
        <v>0</v>
      </c>
      <c r="Z142" s="82" t="e">
        <f t="shared" si="12"/>
        <v>#NUM!</v>
      </c>
      <c r="AA142" s="82" t="str">
        <f t="shared" si="15"/>
        <v>Pin Noir d'Autriche_F1_PO1_d4_GSM Alpes du Sud_95_</v>
      </c>
      <c r="AB142" s="79">
        <v>95</v>
      </c>
      <c r="AC142" s="82" t="e">
        <f t="shared" si="11"/>
        <v>#NUM!</v>
      </c>
      <c r="AD142" s="86" t="e">
        <f t="shared" si="16"/>
        <v>#NUM!</v>
      </c>
      <c r="AE142" s="81"/>
    </row>
    <row r="143" spans="1:31" hidden="1" x14ac:dyDescent="0.25">
      <c r="A143" s="79" t="s">
        <v>231</v>
      </c>
      <c r="B143" s="79" t="s">
        <v>9</v>
      </c>
      <c r="C143" s="79" t="s">
        <v>232</v>
      </c>
      <c r="D143" s="81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0"/>
        <v>0</v>
      </c>
      <c r="Z143" s="82" t="e">
        <f t="shared" si="12"/>
        <v>#NUM!</v>
      </c>
      <c r="AA143" s="82" t="str">
        <f t="shared" si="15"/>
        <v>Pin Noir d'Autriche_F1_PO1_d4_GSM Alpes du Sud_105_</v>
      </c>
      <c r="AB143" s="79">
        <v>105</v>
      </c>
      <c r="AC143" s="82" t="e">
        <f t="shared" si="11"/>
        <v>#NUM!</v>
      </c>
      <c r="AD143" s="86" t="e">
        <f t="shared" si="16"/>
        <v>#NUM!</v>
      </c>
      <c r="AE143" s="81"/>
    </row>
    <row r="144" spans="1:31" hidden="1" x14ac:dyDescent="0.25">
      <c r="A144" s="79" t="s">
        <v>231</v>
      </c>
      <c r="B144" s="79" t="s">
        <v>9</v>
      </c>
      <c r="C144" s="79" t="s">
        <v>232</v>
      </c>
      <c r="D144" s="81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17">+X144*W144*J144</f>
        <v>0</v>
      </c>
      <c r="Z144" s="82" t="e">
        <f t="shared" si="12"/>
        <v>#NUM!</v>
      </c>
      <c r="AA144" s="82" t="str">
        <f t="shared" si="15"/>
        <v>Pin Noir d'Autriche_F1_PO1_d4_GSM Alpes du Sud_105_</v>
      </c>
      <c r="AB144" s="79">
        <v>105</v>
      </c>
      <c r="AC144" s="82" t="e">
        <f t="shared" ref="AC144:AC213" si="18">+(Z144+Y144)*0.475*44/12</f>
        <v>#NUM!</v>
      </c>
      <c r="AD144" s="86" t="e">
        <f t="shared" si="16"/>
        <v>#NUM!</v>
      </c>
      <c r="AE144" s="81"/>
    </row>
    <row r="145" spans="1:31" hidden="1" x14ac:dyDescent="0.25">
      <c r="A145" s="79" t="s">
        <v>231</v>
      </c>
      <c r="B145" s="79" t="s">
        <v>10</v>
      </c>
      <c r="C145" s="79" t="s">
        <v>233</v>
      </c>
      <c r="D145" s="81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17"/>
        <v>0</v>
      </c>
      <c r="Z145" s="82" t="e">
        <f t="shared" ref="Z145:Z214" si="19">+EXP(-1.0587+0.8836*LN(Y145)+0.284)</f>
        <v>#NUM!</v>
      </c>
      <c r="AA145" s="82" t="str">
        <f t="shared" si="15"/>
        <v>Pin Noir d'Autriche_F2_PO2_d4_GSM Alpes du Sud_15_</v>
      </c>
      <c r="AB145" s="79">
        <v>15</v>
      </c>
      <c r="AC145" s="82" t="e">
        <f t="shared" si="18"/>
        <v>#NUM!</v>
      </c>
      <c r="AD145" s="86" t="e">
        <f t="shared" si="16"/>
        <v>#NUM!</v>
      </c>
      <c r="AE145" s="81"/>
    </row>
    <row r="146" spans="1:31" hidden="1" x14ac:dyDescent="0.25">
      <c r="A146" s="79" t="s">
        <v>231</v>
      </c>
      <c r="B146" s="79" t="s">
        <v>10</v>
      </c>
      <c r="C146" s="79" t="s">
        <v>233</v>
      </c>
      <c r="D146" s="81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17"/>
        <v>0</v>
      </c>
      <c r="Z146" s="82" t="e">
        <f t="shared" si="19"/>
        <v>#NUM!</v>
      </c>
      <c r="AA146" s="82" t="str">
        <f t="shared" si="15"/>
        <v>Pin Noir d'Autriche_F2_PO2_d4_GSM Alpes du Sud_15_</v>
      </c>
      <c r="AB146" s="79">
        <v>15</v>
      </c>
      <c r="AC146" s="82" t="e">
        <f t="shared" si="18"/>
        <v>#NUM!</v>
      </c>
      <c r="AD146" s="86" t="e">
        <f t="shared" si="16"/>
        <v>#NUM!</v>
      </c>
      <c r="AE146" s="81"/>
    </row>
    <row r="147" spans="1:31" hidden="1" x14ac:dyDescent="0.25">
      <c r="A147" s="79" t="s">
        <v>231</v>
      </c>
      <c r="B147" s="79" t="s">
        <v>10</v>
      </c>
      <c r="C147" s="79" t="s">
        <v>233</v>
      </c>
      <c r="D147" s="81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17"/>
        <v>0</v>
      </c>
      <c r="Z147" s="82" t="e">
        <f t="shared" si="19"/>
        <v>#NUM!</v>
      </c>
      <c r="AA147" s="82" t="str">
        <f t="shared" si="15"/>
        <v>Pin Noir d'Autriche_F2_PO2_d4_GSM Alpes du Sud_45_</v>
      </c>
      <c r="AB147" s="79">
        <v>45</v>
      </c>
      <c r="AC147" s="82" t="e">
        <f t="shared" si="18"/>
        <v>#NUM!</v>
      </c>
      <c r="AD147" s="86" t="e">
        <f t="shared" si="16"/>
        <v>#NUM!</v>
      </c>
      <c r="AE147" s="81"/>
    </row>
    <row r="148" spans="1:31" hidden="1" x14ac:dyDescent="0.25">
      <c r="A148" s="79" t="s">
        <v>231</v>
      </c>
      <c r="B148" s="79" t="s">
        <v>10</v>
      </c>
      <c r="C148" s="79" t="s">
        <v>233</v>
      </c>
      <c r="D148" s="81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17"/>
        <v>0</v>
      </c>
      <c r="Z148" s="82" t="e">
        <f t="shared" si="19"/>
        <v>#NUM!</v>
      </c>
      <c r="AA148" s="82" t="str">
        <f t="shared" si="15"/>
        <v>Pin Noir d'Autriche_F2_PO2_d4_GSM Alpes du Sud_45_</v>
      </c>
      <c r="AB148" s="79">
        <v>45</v>
      </c>
      <c r="AC148" s="82" t="e">
        <f t="shared" si="18"/>
        <v>#NUM!</v>
      </c>
      <c r="AD148" s="86" t="e">
        <f t="shared" si="16"/>
        <v>#NUM!</v>
      </c>
      <c r="AE148" s="81"/>
    </row>
    <row r="149" spans="1:31" hidden="1" x14ac:dyDescent="0.25">
      <c r="A149" s="79" t="s">
        <v>231</v>
      </c>
      <c r="B149" s="79" t="s">
        <v>10</v>
      </c>
      <c r="C149" s="79" t="s">
        <v>233</v>
      </c>
      <c r="D149" s="81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17"/>
        <v>0</v>
      </c>
      <c r="Z149" s="82" t="e">
        <f t="shared" si="19"/>
        <v>#NUM!</v>
      </c>
      <c r="AA149" s="82" t="str">
        <f t="shared" si="15"/>
        <v>Pin Noir d'Autriche_F2_PO2_d4_GSM Alpes du Sud_60_</v>
      </c>
      <c r="AB149" s="79">
        <v>60</v>
      </c>
      <c r="AC149" s="82" t="e">
        <f t="shared" si="18"/>
        <v>#NUM!</v>
      </c>
      <c r="AD149" s="86" t="e">
        <f t="shared" si="16"/>
        <v>#NUM!</v>
      </c>
      <c r="AE149" s="81"/>
    </row>
    <row r="150" spans="1:31" hidden="1" x14ac:dyDescent="0.25">
      <c r="A150" s="79" t="s">
        <v>231</v>
      </c>
      <c r="B150" s="79" t="s">
        <v>10</v>
      </c>
      <c r="C150" s="79" t="s">
        <v>233</v>
      </c>
      <c r="D150" s="81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17"/>
        <v>0</v>
      </c>
      <c r="Z150" s="82" t="e">
        <f t="shared" si="19"/>
        <v>#NUM!</v>
      </c>
      <c r="AA150" s="82" t="str">
        <f t="shared" si="15"/>
        <v>Pin Noir d'Autriche_F2_PO2_d4_GSM Alpes du Sud_60_</v>
      </c>
      <c r="AB150" s="79">
        <v>60</v>
      </c>
      <c r="AC150" s="82" t="e">
        <f t="shared" si="18"/>
        <v>#NUM!</v>
      </c>
      <c r="AD150" s="86" t="e">
        <f t="shared" si="16"/>
        <v>#NUM!</v>
      </c>
      <c r="AE150" s="81"/>
    </row>
    <row r="151" spans="1:31" hidden="1" x14ac:dyDescent="0.25">
      <c r="A151" s="79" t="s">
        <v>231</v>
      </c>
      <c r="B151" s="79" t="s">
        <v>10</v>
      </c>
      <c r="C151" s="79" t="s">
        <v>233</v>
      </c>
      <c r="D151" s="81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17"/>
        <v>0</v>
      </c>
      <c r="Z151" s="82" t="e">
        <f t="shared" si="19"/>
        <v>#NUM!</v>
      </c>
      <c r="AA151" s="82" t="str">
        <f t="shared" si="15"/>
        <v>Pin Noir d'Autriche_F2_PO2_d4_GSM Alpes du Sud_75_</v>
      </c>
      <c r="AB151" s="79">
        <v>75</v>
      </c>
      <c r="AC151" s="82" t="e">
        <f t="shared" si="18"/>
        <v>#NUM!</v>
      </c>
      <c r="AD151" s="86" t="e">
        <f t="shared" si="16"/>
        <v>#NUM!</v>
      </c>
      <c r="AE151" s="81"/>
    </row>
    <row r="152" spans="1:31" hidden="1" x14ac:dyDescent="0.25">
      <c r="A152" s="79" t="s">
        <v>231</v>
      </c>
      <c r="B152" s="79" t="s">
        <v>10</v>
      </c>
      <c r="C152" s="79" t="s">
        <v>233</v>
      </c>
      <c r="D152" s="81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17"/>
        <v>0</v>
      </c>
      <c r="Z152" s="82" t="e">
        <f t="shared" si="19"/>
        <v>#NUM!</v>
      </c>
      <c r="AA152" s="82" t="str">
        <f t="shared" si="15"/>
        <v>Pin Noir d'Autriche_F2_PO2_d4_GSM Alpes du Sud_75_</v>
      </c>
      <c r="AB152" s="79">
        <v>75</v>
      </c>
      <c r="AC152" s="82" t="e">
        <f t="shared" si="18"/>
        <v>#NUM!</v>
      </c>
      <c r="AD152" s="86" t="e">
        <f t="shared" si="16"/>
        <v>#NUM!</v>
      </c>
      <c r="AE152" s="81"/>
    </row>
    <row r="153" spans="1:31" hidden="1" x14ac:dyDescent="0.25">
      <c r="A153" s="79" t="s">
        <v>231</v>
      </c>
      <c r="B153" s="79" t="s">
        <v>10</v>
      </c>
      <c r="C153" s="79" t="s">
        <v>233</v>
      </c>
      <c r="D153" s="81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17"/>
        <v>0</v>
      </c>
      <c r="Z153" s="82" t="e">
        <f t="shared" si="19"/>
        <v>#NUM!</v>
      </c>
      <c r="AA153" s="82" t="str">
        <f t="shared" si="15"/>
        <v>Pin Noir d'Autriche_F2_PO2_d4_GSM Alpes du Sud_90_</v>
      </c>
      <c r="AB153" s="79">
        <v>90</v>
      </c>
      <c r="AC153" s="82" t="e">
        <f t="shared" si="18"/>
        <v>#NUM!</v>
      </c>
      <c r="AD153" s="86" t="e">
        <f t="shared" si="16"/>
        <v>#NUM!</v>
      </c>
      <c r="AE153" s="81"/>
    </row>
    <row r="154" spans="1:31" hidden="1" x14ac:dyDescent="0.25">
      <c r="A154" s="79" t="s">
        <v>231</v>
      </c>
      <c r="B154" s="79" t="s">
        <v>10</v>
      </c>
      <c r="C154" s="79" t="s">
        <v>233</v>
      </c>
      <c r="D154" s="81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17"/>
        <v>0</v>
      </c>
      <c r="Z154" s="82" t="e">
        <f t="shared" si="19"/>
        <v>#NUM!</v>
      </c>
      <c r="AA154" s="82" t="str">
        <f t="shared" si="15"/>
        <v>Pin Noir d'Autriche_F2_PO2_d4_GSM Alpes du Sud_90_</v>
      </c>
      <c r="AB154" s="79">
        <v>90</v>
      </c>
      <c r="AC154" s="82" t="e">
        <f t="shared" si="18"/>
        <v>#NUM!</v>
      </c>
      <c r="AD154" s="86" t="e">
        <f t="shared" si="16"/>
        <v>#NUM!</v>
      </c>
      <c r="AE154" s="81"/>
    </row>
    <row r="155" spans="1:31" hidden="1" x14ac:dyDescent="0.25">
      <c r="A155" s="79" t="s">
        <v>231</v>
      </c>
      <c r="B155" s="79" t="s">
        <v>10</v>
      </c>
      <c r="C155" s="79" t="s">
        <v>233</v>
      </c>
      <c r="D155" s="81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17"/>
        <v>0</v>
      </c>
      <c r="Z155" s="82" t="e">
        <f t="shared" si="19"/>
        <v>#NUM!</v>
      </c>
      <c r="AA155" s="82" t="str">
        <f t="shared" si="15"/>
        <v>Pin Noir d'Autriche_F2_PO2_d4_GSM Alpes du Sud_100_</v>
      </c>
      <c r="AB155" s="79">
        <v>100</v>
      </c>
      <c r="AC155" s="82" t="e">
        <f t="shared" si="18"/>
        <v>#NUM!</v>
      </c>
      <c r="AD155" s="86" t="e">
        <f t="shared" si="16"/>
        <v>#NUM!</v>
      </c>
      <c r="AE155" s="81"/>
    </row>
    <row r="156" spans="1:31" hidden="1" x14ac:dyDescent="0.25">
      <c r="A156" s="79" t="s">
        <v>231</v>
      </c>
      <c r="B156" s="79" t="s">
        <v>10</v>
      </c>
      <c r="C156" s="79" t="s">
        <v>233</v>
      </c>
      <c r="D156" s="81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17"/>
        <v>0</v>
      </c>
      <c r="Z156" s="82" t="e">
        <f t="shared" si="19"/>
        <v>#NUM!</v>
      </c>
      <c r="AA156" s="82" t="str">
        <f t="shared" si="15"/>
        <v>Pin Noir d'Autriche_F2_PO2_d4_GSM Alpes du Sud_100_</v>
      </c>
      <c r="AB156" s="79">
        <v>100</v>
      </c>
      <c r="AC156" s="82" t="e">
        <f t="shared" si="18"/>
        <v>#NUM!</v>
      </c>
      <c r="AD156" s="86" t="e">
        <f t="shared" si="16"/>
        <v>#NUM!</v>
      </c>
      <c r="AE156" s="81"/>
    </row>
    <row r="157" spans="1:31" hidden="1" x14ac:dyDescent="0.25">
      <c r="A157" s="79" t="s">
        <v>231</v>
      </c>
      <c r="B157" s="79" t="s">
        <v>10</v>
      </c>
      <c r="C157" s="79" t="s">
        <v>233</v>
      </c>
      <c r="D157" s="81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17"/>
        <v>0</v>
      </c>
      <c r="Z157" s="82" t="e">
        <f t="shared" si="19"/>
        <v>#NUM!</v>
      </c>
      <c r="AA157" s="82" t="str">
        <f t="shared" si="15"/>
        <v>Pin Noir d'Autriche_F2_PO2_d4_GSM Alpes du Sud_110_</v>
      </c>
      <c r="AB157" s="79">
        <v>110</v>
      </c>
      <c r="AC157" s="82" t="e">
        <f t="shared" si="18"/>
        <v>#NUM!</v>
      </c>
      <c r="AD157" s="86" t="e">
        <f t="shared" si="16"/>
        <v>#NUM!</v>
      </c>
      <c r="AE157" s="81"/>
    </row>
    <row r="158" spans="1:31" hidden="1" x14ac:dyDescent="0.25">
      <c r="A158" s="79" t="s">
        <v>231</v>
      </c>
      <c r="B158" s="79" t="s">
        <v>10</v>
      </c>
      <c r="C158" s="79" t="s">
        <v>233</v>
      </c>
      <c r="D158" s="81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17"/>
        <v>0</v>
      </c>
      <c r="Z158" s="82" t="e">
        <f t="shared" si="19"/>
        <v>#NUM!</v>
      </c>
      <c r="AA158" s="82" t="str">
        <f t="shared" si="15"/>
        <v>Pin Noir d'Autriche_F2_PO2_d4_GSM Alpes du Sud_110_</v>
      </c>
      <c r="AB158" s="79">
        <v>110</v>
      </c>
      <c r="AC158" s="82" t="e">
        <f t="shared" si="18"/>
        <v>#NUM!</v>
      </c>
      <c r="AD158" s="86" t="e">
        <f t="shared" si="16"/>
        <v>#NUM!</v>
      </c>
      <c r="AE158" s="81"/>
    </row>
    <row r="159" spans="1:31" hidden="1" x14ac:dyDescent="0.25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17"/>
        <v>0</v>
      </c>
      <c r="Z159" s="88">
        <v>0</v>
      </c>
      <c r="AA159" s="88" t="str">
        <f t="shared" si="15"/>
        <v>Pin Laricio_F1_Classique_GS Pineraies des plaines du Centre et du Nord Ouest_0_</v>
      </c>
      <c r="AB159" s="86">
        <v>0</v>
      </c>
      <c r="AC159" s="88">
        <f t="shared" si="18"/>
        <v>0</v>
      </c>
      <c r="AD159" s="86">
        <f t="shared" si="16"/>
        <v>0</v>
      </c>
      <c r="AE159" s="86">
        <f>+SUM($AD$159:$AD$181)/$AB$181</f>
        <v>562.89039794965186</v>
      </c>
    </row>
    <row r="160" spans="1:31" hidden="1" x14ac:dyDescent="0.25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17"/>
        <v>61.594000000000008</v>
      </c>
      <c r="Z160" s="82">
        <f t="shared" si="19"/>
        <v>17.570665168564613</v>
      </c>
      <c r="AA160" s="82" t="str">
        <f t="shared" si="15"/>
        <v>Pin Laricio_F1_Classique_GS Pineraies des plaines du Centre et du Nord Ouest_17_</v>
      </c>
      <c r="AB160" s="79">
        <v>17</v>
      </c>
      <c r="AC160" s="82">
        <f t="shared" si="18"/>
        <v>137.8784585019167</v>
      </c>
      <c r="AD160" s="86">
        <f t="shared" si="16"/>
        <v>1171.9668972662919</v>
      </c>
      <c r="AE160" s="86">
        <f t="shared" ref="AE160:AE181" si="20">+SUM($AD$159:$AD$181)/$AB$181</f>
        <v>562.89039794965186</v>
      </c>
    </row>
    <row r="161" spans="1:31" hidden="1" x14ac:dyDescent="0.25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17"/>
        <v>0</v>
      </c>
      <c r="Z161" s="82" t="e">
        <f t="shared" si="19"/>
        <v>#NUM!</v>
      </c>
      <c r="AA161" s="82" t="str">
        <f t="shared" si="15"/>
        <v>Pin Laricio_F1_Classique_GS Pineraies des plaines du Centre et du Nord Ouest__</v>
      </c>
      <c r="AB161" s="86"/>
      <c r="AC161" s="88"/>
      <c r="AD161" s="86">
        <f t="shared" si="16"/>
        <v>0</v>
      </c>
      <c r="AE161" s="86">
        <f t="shared" si="20"/>
        <v>562.89039794965186</v>
      </c>
    </row>
    <row r="162" spans="1:31" hidden="1" x14ac:dyDescent="0.25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17"/>
        <v>75.946000000000012</v>
      </c>
      <c r="Z162" s="82">
        <f t="shared" si="19"/>
        <v>21.142979995226831</v>
      </c>
      <c r="AA162" s="82" t="str">
        <f t="shared" si="15"/>
        <v>Pin Laricio_F1_Classique_GS Pineraies des plaines du Centre et du Nord Ouest_18_</v>
      </c>
      <c r="AB162" s="79">
        <v>18</v>
      </c>
      <c r="AC162" s="82">
        <f t="shared" si="18"/>
        <v>169.09664015835344</v>
      </c>
      <c r="AD162" s="86">
        <f t="shared" si="16"/>
        <v>1521.869761425181</v>
      </c>
      <c r="AE162" s="86">
        <f t="shared" si="20"/>
        <v>562.89039794965186</v>
      </c>
    </row>
    <row r="163" spans="1:31" hidden="1" x14ac:dyDescent="0.25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17"/>
        <v>49.036000000000008</v>
      </c>
      <c r="Z163" s="82">
        <f t="shared" si="19"/>
        <v>14.364521080802803</v>
      </c>
      <c r="AA163" s="82" t="str">
        <f t="shared" si="15"/>
        <v>Pin Laricio_F1_Classique_GS Pineraies des plaines du Centre et du Nord Ouest_18_</v>
      </c>
      <c r="AB163" s="79">
        <v>18</v>
      </c>
      <c r="AC163" s="82">
        <f t="shared" si="18"/>
        <v>110.42257421573156</v>
      </c>
      <c r="AD163" s="86">
        <f t="shared" si="16"/>
        <v>0</v>
      </c>
      <c r="AE163" s="86">
        <f t="shared" si="20"/>
        <v>562.89039794965186</v>
      </c>
    </row>
    <row r="164" spans="1:31" hidden="1" x14ac:dyDescent="0.25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17"/>
        <v>115.41400000000002</v>
      </c>
      <c r="Z164" s="82">
        <f t="shared" si="19"/>
        <v>30.602976534547519</v>
      </c>
      <c r="AA164" s="82" t="str">
        <f t="shared" si="15"/>
        <v>Pin Laricio_F1_Classique_GS Pineraies des plaines du Centre et du Nord Ouest_23_</v>
      </c>
      <c r="AB164" s="79">
        <v>23</v>
      </c>
      <c r="AC164" s="82">
        <f t="shared" si="18"/>
        <v>254.31290079767027</v>
      </c>
      <c r="AD164" s="86">
        <f t="shared" si="16"/>
        <v>911.83868753350453</v>
      </c>
      <c r="AE164" s="86">
        <f t="shared" si="20"/>
        <v>562.89039794965186</v>
      </c>
    </row>
    <row r="165" spans="1:31" hidden="1" x14ac:dyDescent="0.25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17"/>
        <v>85.51400000000001</v>
      </c>
      <c r="Z165" s="82">
        <f t="shared" si="19"/>
        <v>23.480111436812177</v>
      </c>
      <c r="AA165" s="82" t="str">
        <f t="shared" si="15"/>
        <v>Pin Laricio_F1_Classique_GS Pineraies des plaines du Centre et du Nord Ouest_23_</v>
      </c>
      <c r="AB165" s="79">
        <v>23</v>
      </c>
      <c r="AC165" s="82">
        <f t="shared" si="18"/>
        <v>189.83141075244791</v>
      </c>
      <c r="AD165" s="86">
        <f t="shared" si="16"/>
        <v>0</v>
      </c>
      <c r="AE165" s="86">
        <f t="shared" si="20"/>
        <v>562.89039794965186</v>
      </c>
    </row>
    <row r="166" spans="1:31" hidden="1" x14ac:dyDescent="0.25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17"/>
        <v>170.43000000000004</v>
      </c>
      <c r="Z166" s="82">
        <f t="shared" si="19"/>
        <v>43.186315117079396</v>
      </c>
      <c r="AA166" s="82" t="str">
        <f t="shared" si="15"/>
        <v>Pin Laricio_F1_Classique_GS Pineraies des plaines du Centre et du Nord Ouest_29_</v>
      </c>
      <c r="AB166" s="79">
        <v>29</v>
      </c>
      <c r="AC166" s="82">
        <f t="shared" si="18"/>
        <v>372.04841549558</v>
      </c>
      <c r="AD166" s="86">
        <f t="shared" si="16"/>
        <v>1685.6394787440838</v>
      </c>
      <c r="AE166" s="86">
        <f t="shared" si="20"/>
        <v>562.89039794965186</v>
      </c>
    </row>
    <row r="167" spans="1:31" hidden="1" x14ac:dyDescent="0.25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17"/>
        <v>124.98200000000001</v>
      </c>
      <c r="Z167" s="82">
        <f t="shared" si="19"/>
        <v>32.834203796212122</v>
      </c>
      <c r="AA167" s="82" t="str">
        <f t="shared" si="15"/>
        <v>Pin Laricio_F1_Classique_GS Pineraies des plaines du Centre et du Nord Ouest_29_</v>
      </c>
      <c r="AB167" s="79">
        <v>29</v>
      </c>
      <c r="AC167" s="82">
        <f t="shared" si="18"/>
        <v>274.86322161173609</v>
      </c>
      <c r="AD167" s="86">
        <f t="shared" si="16"/>
        <v>0</v>
      </c>
      <c r="AE167" s="86">
        <f t="shared" si="20"/>
        <v>562.89039794965186</v>
      </c>
    </row>
    <row r="168" spans="1:31" hidden="1" x14ac:dyDescent="0.25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17"/>
        <v>0</v>
      </c>
      <c r="Z168" s="88" t="e">
        <f t="shared" si="19"/>
        <v>#NUM!</v>
      </c>
      <c r="AA168" s="88" t="str">
        <f t="shared" si="15"/>
        <v>Pin Laricio_F1_Classique_GS Pineraies des plaines du Centre et du Nord Ouest_0_</v>
      </c>
      <c r="AB168" s="86">
        <v>0</v>
      </c>
      <c r="AC168" s="88">
        <v>0</v>
      </c>
      <c r="AD168" s="86">
        <f t="shared" si="16"/>
        <v>0</v>
      </c>
      <c r="AE168" s="86">
        <f t="shared" si="20"/>
        <v>562.89039794965186</v>
      </c>
    </row>
    <row r="169" spans="1:31" hidden="1" x14ac:dyDescent="0.25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17"/>
        <v>181.3394594594595</v>
      </c>
      <c r="Z169" s="88">
        <f t="shared" si="19"/>
        <v>45.620062510649113</v>
      </c>
      <c r="AA169" s="88" t="str">
        <f t="shared" si="15"/>
        <v>Pin Laricio_F1_Classique_GS Pineraies des plaines du Centre et du Nord Ouest_30_</v>
      </c>
      <c r="AB169" s="86">
        <v>30</v>
      </c>
      <c r="AC169" s="88">
        <f>+(Z169+Y169)*0.475*44/12</f>
        <v>395.28783409793914</v>
      </c>
      <c r="AD169" s="86">
        <f t="shared" si="16"/>
        <v>5929.3175114690875</v>
      </c>
      <c r="AE169" s="86">
        <f t="shared" si="20"/>
        <v>562.89039794965186</v>
      </c>
    </row>
    <row r="170" spans="1:31" hidden="1" x14ac:dyDescent="0.25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17"/>
        <v>223.65200000000004</v>
      </c>
      <c r="Z170" s="82">
        <f t="shared" si="19"/>
        <v>54.907867720650223</v>
      </c>
      <c r="AA170" s="82" t="str">
        <f t="shared" si="15"/>
        <v>Pin Laricio_F1_Classique_GS Pineraies des plaines du Centre et du Nord Ouest_36_</v>
      </c>
      <c r="AB170" s="79">
        <v>36</v>
      </c>
      <c r="AC170" s="82">
        <f t="shared" si="18"/>
        <v>485.15843628013255</v>
      </c>
      <c r="AD170" s="86">
        <f t="shared" si="16"/>
        <v>2641.3388111342147</v>
      </c>
      <c r="AE170" s="86">
        <f t="shared" si="20"/>
        <v>562.89039794965186</v>
      </c>
    </row>
    <row r="171" spans="1:31" hidden="1" x14ac:dyDescent="0.25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17"/>
        <v>173.42000000000002</v>
      </c>
      <c r="Z171" s="82">
        <f t="shared" si="19"/>
        <v>43.855099630972404</v>
      </c>
      <c r="AA171" s="82" t="str">
        <f t="shared" si="15"/>
        <v>Pin Laricio_F1_Classique_GS Pineraies des plaines du Centre et du Nord Ouest_36_</v>
      </c>
      <c r="AB171" s="79">
        <v>36</v>
      </c>
      <c r="AC171" s="82">
        <f t="shared" si="18"/>
        <v>378.42079852394363</v>
      </c>
      <c r="AD171" s="86">
        <f t="shared" si="16"/>
        <v>0</v>
      </c>
      <c r="AE171" s="86">
        <f t="shared" si="20"/>
        <v>562.89039794965186</v>
      </c>
    </row>
    <row r="172" spans="1:31" hidden="1" x14ac:dyDescent="0.25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17"/>
        <v>284.64800000000002</v>
      </c>
      <c r="Z172" s="82">
        <f t="shared" si="19"/>
        <v>67.948321729376303</v>
      </c>
      <c r="AA172" s="82" t="str">
        <f t="shared" si="15"/>
        <v>Pin Laricio_F1_Classique_GS Pineraies des plaines du Centre et du Nord Ouest_44_</v>
      </c>
      <c r="AB172" s="79">
        <v>44</v>
      </c>
      <c r="AC172" s="82">
        <f t="shared" si="18"/>
        <v>614.10526034533029</v>
      </c>
      <c r="AD172" s="86">
        <f t="shared" si="16"/>
        <v>3970.1042354770957</v>
      </c>
      <c r="AE172" s="86">
        <f t="shared" si="20"/>
        <v>562.89039794965186</v>
      </c>
    </row>
    <row r="173" spans="1:31" hidden="1" x14ac:dyDescent="0.25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17"/>
        <v>232.02400000000003</v>
      </c>
      <c r="Z173" s="82">
        <f t="shared" si="19"/>
        <v>56.720094243161071</v>
      </c>
      <c r="AA173" s="82" t="str">
        <f t="shared" si="15"/>
        <v>Pin Laricio_F1_Classique_GS Pineraies des plaines du Centre et du Nord Ouest_44_</v>
      </c>
      <c r="AB173" s="79">
        <v>44</v>
      </c>
      <c r="AC173" s="82">
        <f t="shared" si="18"/>
        <v>502.89596414017223</v>
      </c>
      <c r="AD173" s="86">
        <f t="shared" si="16"/>
        <v>0</v>
      </c>
      <c r="AE173" s="86">
        <f t="shared" si="20"/>
        <v>562.89039794965186</v>
      </c>
    </row>
    <row r="174" spans="1:31" hidden="1" x14ac:dyDescent="0.25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17"/>
        <v>365.37800000000004</v>
      </c>
      <c r="Z174" s="82">
        <f t="shared" si="19"/>
        <v>84.721033379606425</v>
      </c>
      <c r="AA174" s="82" t="str">
        <f t="shared" si="15"/>
        <v>Pin Laricio_F1_Classique_GS Pineraies des plaines du Centre et du Nord Ouest_54_</v>
      </c>
      <c r="AB174" s="79">
        <v>54</v>
      </c>
      <c r="AC174" s="82">
        <f t="shared" si="18"/>
        <v>783.92248313614789</v>
      </c>
      <c r="AD174" s="86">
        <f t="shared" si="16"/>
        <v>6434.0922363816007</v>
      </c>
      <c r="AE174" s="86">
        <f t="shared" si="20"/>
        <v>562.89039794965186</v>
      </c>
    </row>
    <row r="175" spans="1:31" hidden="1" x14ac:dyDescent="0.25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17"/>
        <v>308.56800000000004</v>
      </c>
      <c r="Z175" s="82">
        <f t="shared" si="19"/>
        <v>72.969691037219945</v>
      </c>
      <c r="AA175" s="82" t="str">
        <f t="shared" si="15"/>
        <v>Pin Laricio_F1_Classique_GS Pineraies des plaines du Centre et du Nord Ouest_54_</v>
      </c>
      <c r="AB175" s="79">
        <v>54</v>
      </c>
      <c r="AC175" s="82">
        <f t="shared" si="18"/>
        <v>664.5114785564914</v>
      </c>
      <c r="AD175" s="86">
        <f t="shared" si="16"/>
        <v>0</v>
      </c>
      <c r="AE175" s="86">
        <f t="shared" si="20"/>
        <v>562.89039794965186</v>
      </c>
    </row>
    <row r="176" spans="1:31" hidden="1" x14ac:dyDescent="0.25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17"/>
        <v>427.57000000000005</v>
      </c>
      <c r="Z176" s="82">
        <f t="shared" si="19"/>
        <v>97.344193108275022</v>
      </c>
      <c r="AA176" s="82" t="str">
        <f t="shared" si="15"/>
        <v>Pin Laricio_F1_Classique_GS Pineraies des plaines du Centre et du Nord Ouest_64_</v>
      </c>
      <c r="AB176" s="79">
        <v>64</v>
      </c>
      <c r="AC176" s="82">
        <f t="shared" si="18"/>
        <v>914.22555299691237</v>
      </c>
      <c r="AD176" s="86">
        <f t="shared" si="16"/>
        <v>7893.6851577670186</v>
      </c>
      <c r="AE176" s="86">
        <f t="shared" si="20"/>
        <v>562.89039794965186</v>
      </c>
    </row>
    <row r="177" spans="1:31" hidden="1" x14ac:dyDescent="0.25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17"/>
        <v>371.95600000000007</v>
      </c>
      <c r="Z177" s="82">
        <f t="shared" si="19"/>
        <v>86.067346758003751</v>
      </c>
      <c r="AA177" s="82" t="str">
        <f t="shared" si="15"/>
        <v>Pin Laricio_F1_Classique_GS Pineraies des plaines du Centre et du Nord Ouest_64_</v>
      </c>
      <c r="AB177" s="79">
        <v>64</v>
      </c>
      <c r="AC177" s="82">
        <f t="shared" si="18"/>
        <v>797.72399560352324</v>
      </c>
      <c r="AD177" s="86">
        <f t="shared" si="16"/>
        <v>0</v>
      </c>
      <c r="AE177" s="86">
        <f t="shared" si="20"/>
        <v>562.89039794965186</v>
      </c>
    </row>
    <row r="178" spans="1:31" hidden="1" x14ac:dyDescent="0.25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17"/>
        <v>433.55000000000007</v>
      </c>
      <c r="Z178" s="82">
        <f t="shared" si="19"/>
        <v>98.546202578313242</v>
      </c>
      <c r="AA178" s="82" t="str">
        <f t="shared" si="15"/>
        <v>Pin Laricio_F1_Classique_GS Pineraies des plaines du Centre et du Nord Ouest_70_</v>
      </c>
      <c r="AB178" s="79">
        <v>70</v>
      </c>
      <c r="AC178" s="82">
        <f t="shared" si="18"/>
        <v>926.73421949056228</v>
      </c>
      <c r="AD178" s="86">
        <f t="shared" si="16"/>
        <v>5173.3746452822561</v>
      </c>
      <c r="AE178" s="86">
        <f t="shared" si="20"/>
        <v>562.89039794965186</v>
      </c>
    </row>
    <row r="179" spans="1:31" hidden="1" x14ac:dyDescent="0.25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17"/>
        <v>433.55000000000007</v>
      </c>
      <c r="Z179" s="82">
        <f t="shared" si="19"/>
        <v>98.546202578313242</v>
      </c>
      <c r="AA179" s="82" t="str">
        <f t="shared" si="15"/>
        <v>Pin Laricio_F1_Classique_GS Pineraies des plaines du Centre et du Nord Ouest_70_</v>
      </c>
      <c r="AB179" s="79">
        <v>70</v>
      </c>
      <c r="AC179" s="82">
        <f t="shared" si="18"/>
        <v>926.73421949056228</v>
      </c>
      <c r="AD179" s="86">
        <f t="shared" si="16"/>
        <v>0</v>
      </c>
      <c r="AE179" s="86">
        <f t="shared" si="20"/>
        <v>562.89039794965186</v>
      </c>
    </row>
    <row r="180" spans="1:31" hidden="1" x14ac:dyDescent="0.25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17"/>
        <v>481.39000000000004</v>
      </c>
      <c r="Z180" s="82">
        <f t="shared" si="19"/>
        <v>108.09521531494514</v>
      </c>
      <c r="AA180" s="82" t="str">
        <f t="shared" si="15"/>
        <v>Pin Laricio_F1_Classique_GS Pineraies des plaines du Centre et du Nord Ouest_75_</v>
      </c>
      <c r="AB180" s="79">
        <v>75</v>
      </c>
      <c r="AC180" s="82">
        <f t="shared" si="18"/>
        <v>1026.6867500068627</v>
      </c>
      <c r="AD180" s="86">
        <f t="shared" si="16"/>
        <v>4883.552423743562</v>
      </c>
      <c r="AE180" s="86">
        <f t="shared" si="20"/>
        <v>562.89039794965186</v>
      </c>
    </row>
    <row r="181" spans="1:31" hidden="1" x14ac:dyDescent="0.25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17"/>
        <v>0</v>
      </c>
      <c r="Z181" s="82" t="e">
        <f t="shared" si="19"/>
        <v>#NUM!</v>
      </c>
      <c r="AA181" s="82" t="str">
        <f t="shared" si="15"/>
        <v>Pin Laricio_F1_Classique_GS Pineraies des plaines du Centre et du Nord Ouest_75_</v>
      </c>
      <c r="AB181" s="79">
        <v>75</v>
      </c>
      <c r="AC181" s="88">
        <v>0</v>
      </c>
      <c r="AD181" s="86">
        <f t="shared" si="16"/>
        <v>0</v>
      </c>
      <c r="AE181" s="86">
        <f t="shared" si="20"/>
        <v>562.89039794965186</v>
      </c>
    </row>
    <row r="182" spans="1:31" hidden="1" x14ac:dyDescent="0.25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17"/>
        <v>0</v>
      </c>
      <c r="Z182" s="88" t="e">
        <f t="shared" si="19"/>
        <v>#NUM!</v>
      </c>
      <c r="AA182" s="88" t="str">
        <f t="shared" si="15"/>
        <v>Pin Laricio_F2_Classique_GS Pineraies des plaines du Centre et du Nord Ouest_0_</v>
      </c>
      <c r="AB182" s="86">
        <v>0</v>
      </c>
      <c r="AC182" s="88">
        <v>0</v>
      </c>
      <c r="AD182" s="86">
        <f t="shared" si="16"/>
        <v>0</v>
      </c>
      <c r="AE182" s="86">
        <f>+SUM($AD$182:$AD$203)/$AB$203</f>
        <v>399.25429082580115</v>
      </c>
    </row>
    <row r="183" spans="1:31" hidden="1" x14ac:dyDescent="0.25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17"/>
        <v>61.594000000000008</v>
      </c>
      <c r="Z183" s="82">
        <f t="shared" si="19"/>
        <v>17.570665168564613</v>
      </c>
      <c r="AA183" s="82" t="str">
        <f t="shared" si="15"/>
        <v>Pin Laricio_F2_Classique_GS Pineraies des plaines du Centre et du Nord Ouest_20_</v>
      </c>
      <c r="AB183" s="79">
        <v>20</v>
      </c>
      <c r="AC183" s="82">
        <f t="shared" si="18"/>
        <v>137.8784585019167</v>
      </c>
      <c r="AD183" s="86">
        <f t="shared" si="16"/>
        <v>1378.784585019167</v>
      </c>
      <c r="AE183" s="86">
        <f t="shared" ref="AE183:AE203" si="21">+SUM($AD$182:$AD$203)/$AB$203</f>
        <v>399.25429082580115</v>
      </c>
    </row>
    <row r="184" spans="1:31" hidden="1" x14ac:dyDescent="0.25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17"/>
        <v>61.594000000000008</v>
      </c>
      <c r="Z184" s="82">
        <f t="shared" si="19"/>
        <v>17.570665168564613</v>
      </c>
      <c r="AA184" s="82" t="str">
        <f t="shared" si="15"/>
        <v>Pin Laricio_F2_Classique_GS Pineraies des plaines du Centre et du Nord Ouest_20_</v>
      </c>
      <c r="AB184" s="79">
        <v>20</v>
      </c>
      <c r="AC184" s="82">
        <f t="shared" si="18"/>
        <v>137.8784585019167</v>
      </c>
      <c r="AD184" s="86">
        <f t="shared" si="16"/>
        <v>0</v>
      </c>
      <c r="AE184" s="86">
        <f t="shared" si="21"/>
        <v>399.25429082580115</v>
      </c>
    </row>
    <row r="185" spans="1:31" hidden="1" x14ac:dyDescent="0.25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17"/>
        <v>73.554000000000016</v>
      </c>
      <c r="Z185" s="82">
        <f t="shared" si="19"/>
        <v>20.553481077376691</v>
      </c>
      <c r="AA185" s="82" t="str">
        <f t="shared" si="15"/>
        <v>Pin Laricio_F2_Classique_GS Pineraies des plaines du Centre et du Nord Ouest_21_</v>
      </c>
      <c r="AB185" s="79">
        <v>21</v>
      </c>
      <c r="AC185" s="82">
        <f t="shared" si="18"/>
        <v>163.90386287643108</v>
      </c>
      <c r="AD185" s="86">
        <f t="shared" si="16"/>
        <v>150.89116068917389</v>
      </c>
      <c r="AE185" s="86">
        <f t="shared" si="21"/>
        <v>399.25429082580115</v>
      </c>
    </row>
    <row r="186" spans="1:31" hidden="1" x14ac:dyDescent="0.25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17"/>
        <v>38.272000000000006</v>
      </c>
      <c r="Z186" s="82">
        <f t="shared" si="19"/>
        <v>11.539469830637579</v>
      </c>
      <c r="AA186" s="82" t="str">
        <f t="shared" si="15"/>
        <v>Pin Laricio_F2_Classique_GS Pineraies des plaines du Centre et du Nord Ouest_21_</v>
      </c>
      <c r="AB186" s="79">
        <v>21</v>
      </c>
      <c r="AC186" s="82">
        <f t="shared" si="18"/>
        <v>86.754976621693785</v>
      </c>
      <c r="AD186" s="86">
        <f t="shared" si="16"/>
        <v>0</v>
      </c>
      <c r="AE186" s="86">
        <f t="shared" si="21"/>
        <v>399.25429082580115</v>
      </c>
    </row>
    <row r="187" spans="1:31" hidden="1" x14ac:dyDescent="0.25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17"/>
        <v>98.072000000000017</v>
      </c>
      <c r="Z187" s="82">
        <f t="shared" si="19"/>
        <v>26.50215899830313</v>
      </c>
      <c r="AA187" s="82" t="str">
        <f t="shared" si="15"/>
        <v>Pin Laricio_F2_Classique_GS Pineraies des plaines du Centre et du Nord Ouest_27_</v>
      </c>
      <c r="AB187" s="79">
        <v>27</v>
      </c>
      <c r="AC187" s="82">
        <f t="shared" si="18"/>
        <v>216.96666025537797</v>
      </c>
      <c r="AD187" s="86">
        <f t="shared" si="16"/>
        <v>911.16491063121532</v>
      </c>
      <c r="AE187" s="86">
        <f t="shared" si="21"/>
        <v>399.25429082580115</v>
      </c>
    </row>
    <row r="188" spans="1:31" hidden="1" x14ac:dyDescent="0.25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17"/>
        <v>69.966000000000008</v>
      </c>
      <c r="Z188" s="82">
        <f t="shared" si="19"/>
        <v>19.665013934342461</v>
      </c>
      <c r="AA188" s="82" t="str">
        <f t="shared" si="15"/>
        <v>Pin Laricio_F2_Classique_GS Pineraies des plaines du Centre et du Nord Ouest_27_</v>
      </c>
      <c r="AB188" s="79">
        <v>27</v>
      </c>
      <c r="AC188" s="82">
        <f t="shared" si="18"/>
        <v>156.10734926897979</v>
      </c>
      <c r="AD188" s="86">
        <f t="shared" si="16"/>
        <v>0</v>
      </c>
      <c r="AE188" s="86">
        <f t="shared" si="21"/>
        <v>399.25429082580115</v>
      </c>
    </row>
    <row r="189" spans="1:31" hidden="1" x14ac:dyDescent="0.25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17"/>
        <v>101.74542857142859</v>
      </c>
      <c r="Z189" s="88">
        <f t="shared" si="19"/>
        <v>27.377402144542657</v>
      </c>
      <c r="AA189" s="88" t="str">
        <f t="shared" si="15"/>
        <v>Pin Laricio_F2_Classique_GS Pineraies des plaines du Centre et du Nord Ouest_30_</v>
      </c>
      <c r="AB189" s="86">
        <v>30</v>
      </c>
      <c r="AC189" s="88">
        <f t="shared" si="18"/>
        <v>224.88893016364992</v>
      </c>
      <c r="AD189" s="86">
        <f t="shared" si="16"/>
        <v>571.49441914894453</v>
      </c>
      <c r="AE189" s="86">
        <f t="shared" si="21"/>
        <v>399.25429082580115</v>
      </c>
    </row>
    <row r="190" spans="1:31" hidden="1" x14ac:dyDescent="0.25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17"/>
        <v>144.11800000000002</v>
      </c>
      <c r="Z190" s="82">
        <f t="shared" si="19"/>
        <v>37.238783899454766</v>
      </c>
      <c r="AA190" s="82" t="str">
        <f t="shared" si="15"/>
        <v>Pin Laricio_F2_Classique_GS Pineraies des plaines du Centre et du Nord Ouest_34_</v>
      </c>
      <c r="AB190" s="79">
        <v>34</v>
      </c>
      <c r="AC190" s="82">
        <f t="shared" si="18"/>
        <v>315.86306529155041</v>
      </c>
      <c r="AD190" s="86">
        <f t="shared" si="16"/>
        <v>1081.5039909104007</v>
      </c>
      <c r="AE190" s="86">
        <f t="shared" si="21"/>
        <v>399.25429082580115</v>
      </c>
    </row>
    <row r="191" spans="1:31" hidden="1" x14ac:dyDescent="0.25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17"/>
        <v>104.05200000000002</v>
      </c>
      <c r="Z191" s="82">
        <f t="shared" si="19"/>
        <v>27.925087771564417</v>
      </c>
      <c r="AA191" s="82" t="str">
        <f t="shared" si="15"/>
        <v>Pin Laricio_F2_Classique_GS Pineraies des plaines du Centre et du Nord Ouest_34_</v>
      </c>
      <c r="AB191" s="79">
        <v>34</v>
      </c>
      <c r="AC191" s="82">
        <f t="shared" si="18"/>
        <v>229.8600945354747</v>
      </c>
      <c r="AD191" s="86">
        <f t="shared" si="16"/>
        <v>0</v>
      </c>
      <c r="AE191" s="86">
        <f t="shared" si="21"/>
        <v>399.25429082580115</v>
      </c>
    </row>
    <row r="192" spans="1:31" hidden="1" x14ac:dyDescent="0.25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17"/>
        <v>188.96800000000002</v>
      </c>
      <c r="Z192" s="82">
        <f t="shared" si="19"/>
        <v>47.311720031947068</v>
      </c>
      <c r="AA192" s="82" t="str">
        <f t="shared" si="15"/>
        <v>Pin Laricio_F2_Classique_GS Pineraies des plaines du Centre et du Nord Ouest_42_</v>
      </c>
      <c r="AB192" s="79">
        <v>42</v>
      </c>
      <c r="AC192" s="82">
        <f t="shared" si="18"/>
        <v>411.52051238897451</v>
      </c>
      <c r="AD192" s="86">
        <f t="shared" si="16"/>
        <v>2565.522427697797</v>
      </c>
      <c r="AE192" s="86">
        <f t="shared" si="21"/>
        <v>399.25429082580115</v>
      </c>
    </row>
    <row r="193" spans="1:31" hidden="1" x14ac:dyDescent="0.25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17"/>
        <v>142.92200000000003</v>
      </c>
      <c r="Z193" s="82">
        <f t="shared" si="19"/>
        <v>36.965587791044591</v>
      </c>
      <c r="AA193" s="82" t="str">
        <f t="shared" si="15"/>
        <v>Pin Laricio_F2_Classique_GS Pineraies des plaines du Centre et du Nord Ouest_42_</v>
      </c>
      <c r="AB193" s="79">
        <v>42</v>
      </c>
      <c r="AC193" s="82">
        <f t="shared" si="18"/>
        <v>313.30421540273602</v>
      </c>
      <c r="AD193" s="86">
        <f t="shared" si="16"/>
        <v>0</v>
      </c>
      <c r="AE193" s="86">
        <f t="shared" si="21"/>
        <v>399.25429082580115</v>
      </c>
    </row>
    <row r="194" spans="1:31" hidden="1" x14ac:dyDescent="0.25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17"/>
        <v>243.98400000000004</v>
      </c>
      <c r="Z194" s="82">
        <f t="shared" si="19"/>
        <v>59.295884425255011</v>
      </c>
      <c r="AA194" s="82" t="str">
        <f t="shared" si="15"/>
        <v>Pin Laricio_F2_Classique_GS Pineraies des plaines du Centre et du Nord Ouest_52_</v>
      </c>
      <c r="AB194" s="79">
        <v>52</v>
      </c>
      <c r="AC194" s="82">
        <f t="shared" si="18"/>
        <v>528.21246537398576</v>
      </c>
      <c r="AD194" s="86">
        <f t="shared" si="16"/>
        <v>4207.5834038836092</v>
      </c>
      <c r="AE194" s="86">
        <f t="shared" si="21"/>
        <v>399.25429082580115</v>
      </c>
    </row>
    <row r="195" spans="1:31" hidden="1" x14ac:dyDescent="0.25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17"/>
        <v>196.74200000000002</v>
      </c>
      <c r="Z195" s="82">
        <f t="shared" si="19"/>
        <v>49.027474951150033</v>
      </c>
      <c r="AA195" s="82" t="str">
        <f t="shared" ref="AA195:AA258" si="22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18"/>
        <v>428.04850220658636</v>
      </c>
      <c r="AD195" s="86">
        <f t="shared" si="16"/>
        <v>0</v>
      </c>
      <c r="AE195" s="86">
        <f t="shared" si="21"/>
        <v>399.25429082580115</v>
      </c>
    </row>
    <row r="196" spans="1:31" hidden="1" x14ac:dyDescent="0.25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17"/>
        <v>288.83400000000006</v>
      </c>
      <c r="Z196" s="82">
        <f t="shared" si="19"/>
        <v>68.830498636563377</v>
      </c>
      <c r="AA196" s="82" t="str">
        <f t="shared" si="22"/>
        <v>Pin Laricio_F2_Classique_GS Pineraies des plaines du Centre et du Nord Ouest_62_</v>
      </c>
      <c r="AB196" s="79">
        <v>62</v>
      </c>
      <c r="AC196" s="82">
        <f t="shared" si="18"/>
        <v>622.932335125348</v>
      </c>
      <c r="AD196" s="86">
        <f t="shared" ref="AD196:AD259" si="23">+IF(AC196=0,0,(AC196+AC195)*(AB196-AB195)/2)</f>
        <v>5254.9041866596708</v>
      </c>
      <c r="AE196" s="86">
        <f t="shared" si="21"/>
        <v>399.25429082580115</v>
      </c>
    </row>
    <row r="197" spans="1:31" hidden="1" x14ac:dyDescent="0.25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17"/>
        <v>248.76800000000003</v>
      </c>
      <c r="Z197" s="82">
        <f t="shared" si="19"/>
        <v>60.322050791163747</v>
      </c>
      <c r="AA197" s="82" t="str">
        <f t="shared" si="22"/>
        <v>Pin Laricio_F2_Classique_GS Pineraies des plaines du Centre et du Nord Ouest_62_</v>
      </c>
      <c r="AB197" s="79">
        <v>62</v>
      </c>
      <c r="AC197" s="82">
        <f t="shared" si="18"/>
        <v>538.3318384612769</v>
      </c>
      <c r="AD197" s="86">
        <f t="shared" si="23"/>
        <v>0</v>
      </c>
      <c r="AE197" s="86">
        <f t="shared" si="21"/>
        <v>399.25429082580115</v>
      </c>
    </row>
    <row r="198" spans="1:31" hidden="1" x14ac:dyDescent="0.25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17"/>
        <v>328.90000000000003</v>
      </c>
      <c r="Z198" s="82">
        <f t="shared" si="19"/>
        <v>77.202204808855612</v>
      </c>
      <c r="AA198" s="82" t="str">
        <f t="shared" si="22"/>
        <v>Pin Laricio_F2_Classique_GS Pineraies des plaines du Centre et du Nord Ouest_72_</v>
      </c>
      <c r="AB198" s="79">
        <v>72</v>
      </c>
      <c r="AC198" s="82">
        <f t="shared" si="18"/>
        <v>707.29467337542349</v>
      </c>
      <c r="AD198" s="86">
        <f t="shared" si="23"/>
        <v>6228.132559183503</v>
      </c>
      <c r="AE198" s="86">
        <f t="shared" si="21"/>
        <v>399.25429082580115</v>
      </c>
    </row>
    <row r="199" spans="1:31" hidden="1" x14ac:dyDescent="0.25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17"/>
        <v>293.02000000000004</v>
      </c>
      <c r="Z199" s="82">
        <f t="shared" si="19"/>
        <v>69.71118854917674</v>
      </c>
      <c r="AA199" s="82" t="str">
        <f t="shared" si="22"/>
        <v>Pin Laricio_F2_Classique_GS Pineraies des plaines du Centre et du Nord Ouest_72_</v>
      </c>
      <c r="AB199" s="79">
        <v>72</v>
      </c>
      <c r="AC199" s="82">
        <f t="shared" si="18"/>
        <v>631.75682005648275</v>
      </c>
      <c r="AD199" s="86">
        <f t="shared" si="23"/>
        <v>0</v>
      </c>
      <c r="AE199" s="86">
        <f t="shared" si="21"/>
        <v>399.25429082580115</v>
      </c>
    </row>
    <row r="200" spans="1:31" hidden="1" x14ac:dyDescent="0.25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17"/>
        <v>347.43800000000005</v>
      </c>
      <c r="Z200" s="82">
        <f t="shared" si="19"/>
        <v>81.034743470048156</v>
      </c>
      <c r="AA200" s="82" t="str">
        <f t="shared" si="22"/>
        <v>Pin Laricio_F2_Classique_GS Pineraies des plaines du Centre et du Nord Ouest_80_</v>
      </c>
      <c r="AB200" s="79">
        <v>80</v>
      </c>
      <c r="AC200" s="82">
        <f t="shared" si="18"/>
        <v>746.25669487700054</v>
      </c>
      <c r="AD200" s="86">
        <f t="shared" si="23"/>
        <v>5512.0540597339332</v>
      </c>
      <c r="AE200" s="86">
        <f t="shared" si="21"/>
        <v>399.25429082580115</v>
      </c>
    </row>
    <row r="201" spans="1:31" hidden="1" x14ac:dyDescent="0.25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17"/>
        <v>347.43800000000005</v>
      </c>
      <c r="Z201" s="82">
        <f t="shared" si="19"/>
        <v>81.034743470048156</v>
      </c>
      <c r="AA201" s="82" t="str">
        <f t="shared" si="22"/>
        <v>Pin Laricio_F2_Classique_GS Pineraies des plaines du Centre et du Nord Ouest_80_</v>
      </c>
      <c r="AB201" s="79">
        <v>80</v>
      </c>
      <c r="AC201" s="82">
        <f t="shared" si="18"/>
        <v>746.25669487700054</v>
      </c>
      <c r="AD201" s="86">
        <f t="shared" si="23"/>
        <v>0</v>
      </c>
      <c r="AE201" s="86">
        <f t="shared" si="21"/>
        <v>399.25429082580115</v>
      </c>
    </row>
    <row r="202" spans="1:31" hidden="1" x14ac:dyDescent="0.25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17"/>
        <v>405.44400000000007</v>
      </c>
      <c r="Z202" s="82">
        <f t="shared" si="19"/>
        <v>92.879482837859186</v>
      </c>
      <c r="AA202" s="82" t="str">
        <f t="shared" si="22"/>
        <v>Pin Laricio_F2_Classique_GS Pineraies des plaines du Centre et du Nord Ouest_90_</v>
      </c>
      <c r="AB202" s="79">
        <v>90</v>
      </c>
      <c r="AC202" s="82">
        <f t="shared" si="18"/>
        <v>867.9133992759381</v>
      </c>
      <c r="AD202" s="86">
        <f t="shared" si="23"/>
        <v>8070.8504707646935</v>
      </c>
      <c r="AE202" s="86">
        <f t="shared" si="21"/>
        <v>399.25429082580115</v>
      </c>
    </row>
    <row r="203" spans="1:31" hidden="1" x14ac:dyDescent="0.25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17"/>
        <v>405.44400000000007</v>
      </c>
      <c r="Z203" s="82">
        <f t="shared" si="19"/>
        <v>92.879482837859186</v>
      </c>
      <c r="AA203" s="82" t="str">
        <f t="shared" si="22"/>
        <v>Pin Laricio_F2_Classique_GS Pineraies des plaines du Centre et du Nord Ouest_90_</v>
      </c>
      <c r="AB203" s="79">
        <v>90</v>
      </c>
      <c r="AC203" s="88">
        <v>0</v>
      </c>
      <c r="AD203" s="86">
        <f t="shared" si="23"/>
        <v>0</v>
      </c>
      <c r="AE203" s="86">
        <f t="shared" si="21"/>
        <v>399.25429082580115</v>
      </c>
    </row>
    <row r="204" spans="1:31" hidden="1" x14ac:dyDescent="0.25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17"/>
        <v>0</v>
      </c>
      <c r="Z204" s="88" t="e">
        <f t="shared" si="19"/>
        <v>#NUM!</v>
      </c>
      <c r="AA204" s="88" t="str">
        <f t="shared" si="22"/>
        <v>Pin Maritime_F1_Classique_GS Pineraies des plaines du Centre et du Nord Ouest_0_</v>
      </c>
      <c r="AB204" s="86">
        <v>0</v>
      </c>
      <c r="AC204" s="88">
        <v>0</v>
      </c>
      <c r="AD204" s="86">
        <f t="shared" si="23"/>
        <v>0</v>
      </c>
      <c r="AE204" s="86">
        <f>+SUM($AD$204:$AD$222)/$AB$222</f>
        <v>403.58514131240372</v>
      </c>
    </row>
    <row r="205" spans="1:31" hidden="1" x14ac:dyDescent="0.25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17"/>
        <v>34.684000000000005</v>
      </c>
      <c r="Z205" s="82">
        <f t="shared" si="19"/>
        <v>10.578161814566405</v>
      </c>
      <c r="AA205" s="82" t="str">
        <f t="shared" si="22"/>
        <v>Pin Maritime_F1_Classique_GS Pineraies des plaines du Centre et du Nord Ouest_10_</v>
      </c>
      <c r="AB205" s="79">
        <v>10</v>
      </c>
      <c r="AC205" s="82">
        <f t="shared" si="18"/>
        <v>78.831598493703169</v>
      </c>
      <c r="AD205" s="86">
        <f t="shared" si="23"/>
        <v>394.15799246851583</v>
      </c>
      <c r="AE205" s="86">
        <f t="shared" ref="AE205:AE222" si="24">+SUM($AD$204:$AD$222)/$AB$222</f>
        <v>403.58514131240372</v>
      </c>
    </row>
    <row r="206" spans="1:31" hidden="1" x14ac:dyDescent="0.25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17"/>
        <v>106.44400000000002</v>
      </c>
      <c r="Z206" s="82">
        <f t="shared" si="19"/>
        <v>28.491567625901922</v>
      </c>
      <c r="AA206" s="82" t="str">
        <f t="shared" si="22"/>
        <v>Pin Maritime_F1_Classique_GS Pineraies des plaines du Centre et du Nord Ouest_15_</v>
      </c>
      <c r="AB206" s="79">
        <v>15</v>
      </c>
      <c r="AC206" s="82">
        <f t="shared" si="18"/>
        <v>235.01278028177919</v>
      </c>
      <c r="AD206" s="86">
        <f t="shared" si="23"/>
        <v>784.61094693870587</v>
      </c>
      <c r="AE206" s="86">
        <f t="shared" si="24"/>
        <v>403.58514131240372</v>
      </c>
    </row>
    <row r="207" spans="1:31" hidden="1" x14ac:dyDescent="0.25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17"/>
        <v>72.956000000000017</v>
      </c>
      <c r="Z207" s="82">
        <f t="shared" si="19"/>
        <v>20.405760140212273</v>
      </c>
      <c r="AA207" s="82" t="str">
        <f t="shared" si="22"/>
        <v>Pin Maritime_F1_Classique_GS Pineraies des plaines du Centre et du Nord Ouest_15_</v>
      </c>
      <c r="AB207" s="79">
        <v>15</v>
      </c>
      <c r="AC207" s="82">
        <f t="shared" si="18"/>
        <v>162.60506557753638</v>
      </c>
      <c r="AD207" s="86">
        <f t="shared" si="23"/>
        <v>0</v>
      </c>
      <c r="AE207" s="86">
        <f t="shared" si="24"/>
        <v>403.58514131240372</v>
      </c>
    </row>
    <row r="208" spans="1:31" hidden="1" x14ac:dyDescent="0.25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17"/>
        <v>145.91200000000003</v>
      </c>
      <c r="Z208" s="82">
        <f t="shared" si="19"/>
        <v>37.648084239987625</v>
      </c>
      <c r="AA208" s="82" t="str">
        <f t="shared" si="22"/>
        <v>Pin Maritime_F1_Classique_GS Pineraies des plaines du Centre et du Nord Ouest_21_</v>
      </c>
      <c r="AB208" s="79">
        <v>21</v>
      </c>
      <c r="AC208" s="82">
        <f t="shared" si="18"/>
        <v>319.70048005131179</v>
      </c>
      <c r="AD208" s="86">
        <f t="shared" si="23"/>
        <v>1446.9166368865444</v>
      </c>
      <c r="AE208" s="86">
        <f t="shared" si="24"/>
        <v>403.58514131240372</v>
      </c>
    </row>
    <row r="209" spans="1:31" hidden="1" x14ac:dyDescent="0.25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17"/>
        <v>111.22800000000002</v>
      </c>
      <c r="Z209" s="82">
        <f t="shared" si="19"/>
        <v>29.620123744783829</v>
      </c>
      <c r="AA209" s="82" t="str">
        <f t="shared" si="22"/>
        <v>Pin Maritime_F1_Classique_GS Pineraies des plaines du Centre et du Nord Ouest_21_</v>
      </c>
      <c r="AB209" s="79">
        <v>21</v>
      </c>
      <c r="AC209" s="82">
        <f t="shared" si="18"/>
        <v>245.31048218883188</v>
      </c>
      <c r="AD209" s="86">
        <f t="shared" si="23"/>
        <v>0</v>
      </c>
      <c r="AE209" s="86">
        <f t="shared" si="24"/>
        <v>403.58514131240372</v>
      </c>
    </row>
    <row r="210" spans="1:31" hidden="1" x14ac:dyDescent="0.25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17"/>
        <v>203.32000000000002</v>
      </c>
      <c r="Z210" s="82">
        <f t="shared" si="19"/>
        <v>50.473102640215579</v>
      </c>
      <c r="AA210" s="82" t="str">
        <f t="shared" si="22"/>
        <v>Pin Maritime_F1_Classique_GS Pineraies des plaines du Centre et du Nord Ouest_27_</v>
      </c>
      <c r="AB210" s="79">
        <v>27</v>
      </c>
      <c r="AC210" s="82">
        <f t="shared" si="18"/>
        <v>442.02298709837549</v>
      </c>
      <c r="AD210" s="86">
        <f t="shared" si="23"/>
        <v>2062.0004078616221</v>
      </c>
      <c r="AE210" s="86">
        <f t="shared" si="24"/>
        <v>403.58514131240372</v>
      </c>
    </row>
    <row r="211" spans="1:31" hidden="1" x14ac:dyDescent="0.25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17"/>
        <v>156.07800000000003</v>
      </c>
      <c r="Z211" s="82">
        <f t="shared" si="19"/>
        <v>39.956623674978466</v>
      </c>
      <c r="AA211" s="82" t="str">
        <f t="shared" si="22"/>
        <v>Pin Maritime_F1_Classique_GS Pineraies des plaines du Centre et du Nord Ouest_27_</v>
      </c>
      <c r="AB211" s="79">
        <v>27</v>
      </c>
      <c r="AC211" s="82">
        <f t="shared" si="18"/>
        <v>341.42696956725422</v>
      </c>
      <c r="AD211" s="86">
        <f t="shared" si="23"/>
        <v>0</v>
      </c>
      <c r="AE211" s="86">
        <f t="shared" si="24"/>
        <v>403.58514131240372</v>
      </c>
    </row>
    <row r="212" spans="1:31" hidden="1" x14ac:dyDescent="0.25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17"/>
        <v>198.23700000000002</v>
      </c>
      <c r="Z212" s="88">
        <f t="shared" si="19"/>
        <v>49.356514254260809</v>
      </c>
      <c r="AA212" s="88" t="str">
        <f t="shared" si="22"/>
        <v>Pin Maritime_F1_Classique_GS Pineraies des plaines du Centre et du Nord Ouest_30_</v>
      </c>
      <c r="AB212" s="86">
        <v>30</v>
      </c>
      <c r="AC212" s="88">
        <f t="shared" si="18"/>
        <v>431.22537065950428</v>
      </c>
      <c r="AD212" s="86">
        <f t="shared" si="23"/>
        <v>1158.9785103401377</v>
      </c>
      <c r="AE212" s="86">
        <f t="shared" si="24"/>
        <v>403.58514131240372</v>
      </c>
    </row>
    <row r="213" spans="1:31" hidden="1" x14ac:dyDescent="0.25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17"/>
        <v>268.50200000000007</v>
      </c>
      <c r="Z213" s="82">
        <f t="shared" si="19"/>
        <v>64.531253013339168</v>
      </c>
      <c r="AA213" s="82" t="str">
        <f t="shared" si="22"/>
        <v>Pin Maritime_F1_Classique_GS Pineraies des plaines du Centre et du Nord Ouest_35_</v>
      </c>
      <c r="AB213" s="79">
        <v>35</v>
      </c>
      <c r="AC213" s="82">
        <f t="shared" si="18"/>
        <v>580.03291566489906</v>
      </c>
      <c r="AD213" s="86">
        <f t="shared" si="23"/>
        <v>2528.1457158110084</v>
      </c>
      <c r="AE213" s="86">
        <f t="shared" si="24"/>
        <v>403.58514131240372</v>
      </c>
    </row>
    <row r="214" spans="1:31" hidden="1" x14ac:dyDescent="0.25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25">+X214*W214*J214</f>
        <v>215.87800000000004</v>
      </c>
      <c r="Z214" s="82">
        <f t="shared" si="19"/>
        <v>53.218005570801431</v>
      </c>
      <c r="AA214" s="82" t="str">
        <f t="shared" si="22"/>
        <v>Pin Maritime_F1_Classique_GS Pineraies des plaines du Centre et du Nord Ouest_35_</v>
      </c>
      <c r="AB214" s="79">
        <v>35</v>
      </c>
      <c r="AC214" s="82">
        <f t="shared" ref="AC214:AC281" si="26">+(Z214+Y214)*0.475*44/12</f>
        <v>468.67554303581255</v>
      </c>
      <c r="AD214" s="86">
        <f t="shared" si="23"/>
        <v>0</v>
      </c>
      <c r="AE214" s="86">
        <f t="shared" si="24"/>
        <v>403.58514131240372</v>
      </c>
    </row>
    <row r="215" spans="1:31" hidden="1" x14ac:dyDescent="0.25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25"/>
        <v>318.13600000000002</v>
      </c>
      <c r="Z215" s="82">
        <f t="shared" ref="Z215:Z282" si="27">+EXP(-1.0587+0.8836*LN(Y215)+0.284)</f>
        <v>74.965380442161177</v>
      </c>
      <c r="AA215" s="82" t="str">
        <f t="shared" si="22"/>
        <v>Pin Maritime_F1_Classique_GS Pineraies des plaines du Centre et du Nord Ouest_43_</v>
      </c>
      <c r="AB215" s="79">
        <v>43</v>
      </c>
      <c r="AC215" s="82">
        <f t="shared" si="26"/>
        <v>684.65157093676407</v>
      </c>
      <c r="AD215" s="86">
        <f t="shared" si="23"/>
        <v>4613.3084558903065</v>
      </c>
      <c r="AE215" s="86">
        <f t="shared" si="24"/>
        <v>403.58514131240372</v>
      </c>
    </row>
    <row r="216" spans="1:31" hidden="1" x14ac:dyDescent="0.25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25"/>
        <v>264.91400000000004</v>
      </c>
      <c r="Z216" s="82">
        <f t="shared" si="27"/>
        <v>63.768700008671622</v>
      </c>
      <c r="AA216" s="82" t="str">
        <f t="shared" si="22"/>
        <v>Pin Maritime_F1_Classique_GS Pineraies des plaines du Centre et du Nord Ouest_43_</v>
      </c>
      <c r="AB216" s="79">
        <v>43</v>
      </c>
      <c r="AC216" s="82">
        <f t="shared" si="26"/>
        <v>572.4557025151031</v>
      </c>
      <c r="AD216" s="86">
        <f t="shared" si="23"/>
        <v>0</v>
      </c>
      <c r="AE216" s="86">
        <f t="shared" si="24"/>
        <v>403.58514131240372</v>
      </c>
    </row>
    <row r="217" spans="1:31" hidden="1" x14ac:dyDescent="0.25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25"/>
        <v>327.70400000000006</v>
      </c>
      <c r="Z217" s="82">
        <f t="shared" si="27"/>
        <v>76.954094537214459</v>
      </c>
      <c r="AA217" s="82" t="str">
        <f t="shared" si="22"/>
        <v>Pin Maritime_F1_Classique_GS Pineraies des plaines du Centre et du Nord Ouest_51_</v>
      </c>
      <c r="AB217" s="79">
        <v>51</v>
      </c>
      <c r="AC217" s="82">
        <f t="shared" si="26"/>
        <v>704.77951465231536</v>
      </c>
      <c r="AD217" s="86">
        <f t="shared" si="23"/>
        <v>5108.9408686696734</v>
      </c>
      <c r="AE217" s="86">
        <f t="shared" si="24"/>
        <v>403.58514131240372</v>
      </c>
    </row>
    <row r="218" spans="1:31" hidden="1" x14ac:dyDescent="0.25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25"/>
        <v>276.27600000000007</v>
      </c>
      <c r="Z218" s="82">
        <f t="shared" si="27"/>
        <v>66.179408416217214</v>
      </c>
      <c r="AA218" s="82" t="str">
        <f t="shared" si="22"/>
        <v>Pin Maritime_F1_Classique_GS Pineraies des plaines du Centre et du Nord Ouest_51_</v>
      </c>
      <c r="AB218" s="79">
        <v>51</v>
      </c>
      <c r="AC218" s="82">
        <f t="shared" si="26"/>
        <v>596.4431696582451</v>
      </c>
      <c r="AD218" s="86">
        <f t="shared" si="23"/>
        <v>0</v>
      </c>
      <c r="AE218" s="86">
        <f t="shared" si="24"/>
        <v>403.58514131240372</v>
      </c>
    </row>
    <row r="219" spans="1:31" hidden="1" x14ac:dyDescent="0.25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25"/>
        <v>325.91000000000003</v>
      </c>
      <c r="Z219" s="82">
        <f t="shared" si="27"/>
        <v>76.581731324699831</v>
      </c>
      <c r="AA219" s="82" t="str">
        <f t="shared" si="22"/>
        <v>Pin Maritime_F1_Classique_GS Pineraies des plaines du Centre et du Nord Ouest_56_</v>
      </c>
      <c r="AB219" s="79">
        <v>56</v>
      </c>
      <c r="AC219" s="82">
        <f t="shared" si="26"/>
        <v>701.00643205718552</v>
      </c>
      <c r="AD219" s="86">
        <f t="shared" si="23"/>
        <v>3243.6240042885765</v>
      </c>
      <c r="AE219" s="86">
        <f t="shared" si="24"/>
        <v>403.58514131240372</v>
      </c>
    </row>
    <row r="220" spans="1:31" hidden="1" x14ac:dyDescent="0.25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25"/>
        <v>325.91000000000003</v>
      </c>
      <c r="Z220" s="82">
        <f t="shared" si="27"/>
        <v>76.581731324699831</v>
      </c>
      <c r="AA220" s="82" t="str">
        <f t="shared" si="22"/>
        <v>Pin Maritime_F1_Classique_GS Pineraies des plaines du Centre et du Nord Ouest_56_</v>
      </c>
      <c r="AB220" s="79">
        <v>56</v>
      </c>
      <c r="AC220" s="82">
        <f t="shared" si="26"/>
        <v>701.00643205718552</v>
      </c>
      <c r="AD220" s="86">
        <f t="shared" si="23"/>
        <v>0</v>
      </c>
      <c r="AE220" s="86">
        <f t="shared" si="24"/>
        <v>403.58514131240372</v>
      </c>
    </row>
    <row r="221" spans="1:31" hidden="1" x14ac:dyDescent="0.25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25"/>
        <v>342.65400000000005</v>
      </c>
      <c r="Z221" s="82">
        <f t="shared" si="27"/>
        <v>80.048031236773483</v>
      </c>
      <c r="AA221" s="82" t="str">
        <f t="shared" si="22"/>
        <v>Pin Maritime_F1_Classique_GS Pineraies des plaines du Centre et du Nord Ouest_60_</v>
      </c>
      <c r="AB221" s="79">
        <v>60</v>
      </c>
      <c r="AC221" s="82">
        <f t="shared" si="26"/>
        <v>736.20603773738048</v>
      </c>
      <c r="AD221" s="86">
        <f t="shared" si="23"/>
        <v>2874.424939589132</v>
      </c>
      <c r="AE221" s="86">
        <f t="shared" si="24"/>
        <v>403.58514131240372</v>
      </c>
    </row>
    <row r="222" spans="1:31" hidden="1" x14ac:dyDescent="0.25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25"/>
        <v>342.65400000000005</v>
      </c>
      <c r="Z222" s="82">
        <f t="shared" si="27"/>
        <v>80.048031236773483</v>
      </c>
      <c r="AA222" s="82" t="str">
        <f t="shared" si="22"/>
        <v>Pin Maritime_F1_Classique_GS Pineraies des plaines du Centre et du Nord Ouest_60_</v>
      </c>
      <c r="AB222" s="79">
        <v>60</v>
      </c>
      <c r="AC222" s="88">
        <v>0</v>
      </c>
      <c r="AD222" s="86">
        <f t="shared" si="23"/>
        <v>0</v>
      </c>
      <c r="AE222" s="86">
        <f t="shared" si="24"/>
        <v>403.58514131240372</v>
      </c>
    </row>
    <row r="223" spans="1:31" hidden="1" x14ac:dyDescent="0.25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25"/>
        <v>#N/A</v>
      </c>
      <c r="Z223" s="82" t="e">
        <f t="shared" si="27"/>
        <v>#N/A</v>
      </c>
      <c r="AA223" s="82" t="str">
        <f t="shared" si="22"/>
        <v>Pin Laricio bis_F2_Classique_GS Pineraies des plaines du Centre et du Nord Ouest_20_</v>
      </c>
      <c r="AB223" s="79">
        <v>20</v>
      </c>
      <c r="AC223" s="82" t="e">
        <f t="shared" si="26"/>
        <v>#N/A</v>
      </c>
      <c r="AD223" s="86" t="e">
        <f t="shared" si="23"/>
        <v>#N/A</v>
      </c>
      <c r="AE223" s="81"/>
    </row>
    <row r="224" spans="1:31" hidden="1" x14ac:dyDescent="0.25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25"/>
        <v>#N/A</v>
      </c>
      <c r="Z224" s="82" t="e">
        <f t="shared" si="27"/>
        <v>#N/A</v>
      </c>
      <c r="AA224" s="82" t="str">
        <f t="shared" si="22"/>
        <v>Pin Laricio bis_F2_Classique_GS Pineraies des plaines du Centre et du Nord Ouest_20_</v>
      </c>
      <c r="AB224" s="79">
        <v>20</v>
      </c>
      <c r="AC224" s="82" t="e">
        <f t="shared" si="26"/>
        <v>#N/A</v>
      </c>
      <c r="AD224" s="86" t="e">
        <f t="shared" si="23"/>
        <v>#N/A</v>
      </c>
      <c r="AE224" s="81"/>
    </row>
    <row r="225" spans="1:31" hidden="1" x14ac:dyDescent="0.25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25"/>
        <v>#N/A</v>
      </c>
      <c r="Z225" s="82" t="e">
        <f t="shared" si="27"/>
        <v>#N/A</v>
      </c>
      <c r="AA225" s="82" t="str">
        <f t="shared" si="22"/>
        <v>Pin Laricio bis_F2_Classique_GS Pineraies des plaines du Centre et du Nord Ouest_21_</v>
      </c>
      <c r="AB225" s="79">
        <v>21</v>
      </c>
      <c r="AC225" s="82" t="e">
        <f t="shared" si="26"/>
        <v>#N/A</v>
      </c>
      <c r="AD225" s="86" t="e">
        <f t="shared" si="23"/>
        <v>#N/A</v>
      </c>
      <c r="AE225" s="81"/>
    </row>
    <row r="226" spans="1:31" hidden="1" x14ac:dyDescent="0.25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25"/>
        <v>#N/A</v>
      </c>
      <c r="Z226" s="82" t="e">
        <f t="shared" si="27"/>
        <v>#N/A</v>
      </c>
      <c r="AA226" s="82" t="str">
        <f t="shared" si="22"/>
        <v>Pin Laricio bis_F2_Classique_GS Pineraies des plaines du Centre et du Nord Ouest_21_</v>
      </c>
      <c r="AB226" s="79">
        <v>21</v>
      </c>
      <c r="AC226" s="82" t="e">
        <f t="shared" si="26"/>
        <v>#N/A</v>
      </c>
      <c r="AD226" s="86" t="e">
        <f t="shared" si="23"/>
        <v>#N/A</v>
      </c>
      <c r="AE226" s="81"/>
    </row>
    <row r="227" spans="1:31" hidden="1" x14ac:dyDescent="0.25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25"/>
        <v>#N/A</v>
      </c>
      <c r="Z227" s="82" t="e">
        <f t="shared" si="27"/>
        <v>#N/A</v>
      </c>
      <c r="AA227" s="82" t="str">
        <f t="shared" si="22"/>
        <v>Pin Laricio bis_F2_Classique_GS Pineraies des plaines du Centre et du Nord Ouest_27_</v>
      </c>
      <c r="AB227" s="79">
        <v>27</v>
      </c>
      <c r="AC227" s="82" t="e">
        <f t="shared" si="26"/>
        <v>#N/A</v>
      </c>
      <c r="AD227" s="86" t="e">
        <f t="shared" si="23"/>
        <v>#N/A</v>
      </c>
      <c r="AE227" s="81"/>
    </row>
    <row r="228" spans="1:31" hidden="1" x14ac:dyDescent="0.25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25"/>
        <v>#N/A</v>
      </c>
      <c r="Z228" s="82" t="e">
        <f t="shared" si="27"/>
        <v>#N/A</v>
      </c>
      <c r="AA228" s="82" t="str">
        <f t="shared" si="22"/>
        <v>Pin Laricio bis_F2_Classique_GS Pineraies des plaines du Centre et du Nord Ouest_27_</v>
      </c>
      <c r="AB228" s="79">
        <v>27</v>
      </c>
      <c r="AC228" s="82" t="e">
        <f t="shared" si="26"/>
        <v>#N/A</v>
      </c>
      <c r="AD228" s="86" t="e">
        <f t="shared" si="23"/>
        <v>#N/A</v>
      </c>
      <c r="AE228" s="81"/>
    </row>
    <row r="229" spans="1:31" hidden="1" x14ac:dyDescent="0.25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25"/>
        <v>#N/A</v>
      </c>
      <c r="Z229" s="82" t="e">
        <f t="shared" si="27"/>
        <v>#N/A</v>
      </c>
      <c r="AA229" s="82" t="str">
        <f t="shared" si="22"/>
        <v>Pin Laricio bis_F2_Classique_GS Pineraies des plaines du Centre et du Nord Ouest_34_</v>
      </c>
      <c r="AB229" s="79">
        <v>34</v>
      </c>
      <c r="AC229" s="82" t="e">
        <f t="shared" si="26"/>
        <v>#N/A</v>
      </c>
      <c r="AD229" s="86" t="e">
        <f t="shared" si="23"/>
        <v>#N/A</v>
      </c>
      <c r="AE229" s="81"/>
    </row>
    <row r="230" spans="1:31" hidden="1" x14ac:dyDescent="0.25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25"/>
        <v>#N/A</v>
      </c>
      <c r="Z230" s="82" t="e">
        <f t="shared" si="27"/>
        <v>#N/A</v>
      </c>
      <c r="AA230" s="82" t="str">
        <f t="shared" si="22"/>
        <v>Pin Laricio bis_F2_Classique_GS Pineraies des plaines du Centre et du Nord Ouest_34_</v>
      </c>
      <c r="AB230" s="79">
        <v>34</v>
      </c>
      <c r="AC230" s="82" t="e">
        <f t="shared" si="26"/>
        <v>#N/A</v>
      </c>
      <c r="AD230" s="86" t="e">
        <f t="shared" si="23"/>
        <v>#N/A</v>
      </c>
      <c r="AE230" s="81"/>
    </row>
    <row r="231" spans="1:31" hidden="1" x14ac:dyDescent="0.25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25"/>
        <v>#N/A</v>
      </c>
      <c r="Z231" s="82" t="e">
        <f t="shared" si="27"/>
        <v>#N/A</v>
      </c>
      <c r="AA231" s="82" t="str">
        <f t="shared" si="22"/>
        <v>Pin Laricio bis_F2_Classique_GS Pineraies des plaines du Centre et du Nord Ouest_42_</v>
      </c>
      <c r="AB231" s="79">
        <v>42</v>
      </c>
      <c r="AC231" s="82" t="e">
        <f t="shared" si="26"/>
        <v>#N/A</v>
      </c>
      <c r="AD231" s="86" t="e">
        <f t="shared" si="23"/>
        <v>#N/A</v>
      </c>
      <c r="AE231" s="81"/>
    </row>
    <row r="232" spans="1:31" hidden="1" x14ac:dyDescent="0.25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25"/>
        <v>#N/A</v>
      </c>
      <c r="Z232" s="82" t="e">
        <f t="shared" si="27"/>
        <v>#N/A</v>
      </c>
      <c r="AA232" s="82" t="str">
        <f t="shared" si="22"/>
        <v>Pin Laricio bis_F2_Classique_GS Pineraies des plaines du Centre et du Nord Ouest_42_</v>
      </c>
      <c r="AB232" s="79">
        <v>42</v>
      </c>
      <c r="AC232" s="82" t="e">
        <f t="shared" si="26"/>
        <v>#N/A</v>
      </c>
      <c r="AD232" s="86" t="e">
        <f t="shared" si="23"/>
        <v>#N/A</v>
      </c>
      <c r="AE232" s="81"/>
    </row>
    <row r="233" spans="1:31" hidden="1" x14ac:dyDescent="0.25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25"/>
        <v>#N/A</v>
      </c>
      <c r="Z233" s="82" t="e">
        <f t="shared" si="27"/>
        <v>#N/A</v>
      </c>
      <c r="AA233" s="82" t="str">
        <f t="shared" si="22"/>
        <v>Pin Laricio bis_F2_Classique_GS Pineraies des plaines du Centre et du Nord Ouest_52_</v>
      </c>
      <c r="AB233" s="79">
        <v>52</v>
      </c>
      <c r="AC233" s="82" t="e">
        <f t="shared" si="26"/>
        <v>#N/A</v>
      </c>
      <c r="AD233" s="86" t="e">
        <f t="shared" si="23"/>
        <v>#N/A</v>
      </c>
      <c r="AE233" s="81"/>
    </row>
    <row r="234" spans="1:31" hidden="1" x14ac:dyDescent="0.25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25"/>
        <v>#N/A</v>
      </c>
      <c r="Z234" s="82" t="e">
        <f t="shared" si="27"/>
        <v>#N/A</v>
      </c>
      <c r="AA234" s="82" t="str">
        <f t="shared" si="22"/>
        <v>Pin Laricio bis_F2_Classique_GS Pineraies des plaines du Centre et du Nord Ouest_52_</v>
      </c>
      <c r="AB234" s="79">
        <v>52</v>
      </c>
      <c r="AC234" s="82" t="e">
        <f t="shared" si="26"/>
        <v>#N/A</v>
      </c>
      <c r="AD234" s="86" t="e">
        <f t="shared" si="23"/>
        <v>#N/A</v>
      </c>
      <c r="AE234" s="81"/>
    </row>
    <row r="235" spans="1:31" hidden="1" x14ac:dyDescent="0.25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25"/>
        <v>#N/A</v>
      </c>
      <c r="Z235" s="82" t="e">
        <f t="shared" si="27"/>
        <v>#N/A</v>
      </c>
      <c r="AA235" s="82" t="str">
        <f t="shared" si="22"/>
        <v>Pin Laricio bis_F2_Classique_GS Pineraies des plaines du Centre et du Nord Ouest_62_</v>
      </c>
      <c r="AB235" s="79">
        <v>62</v>
      </c>
      <c r="AC235" s="82" t="e">
        <f t="shared" si="26"/>
        <v>#N/A</v>
      </c>
      <c r="AD235" s="86" t="e">
        <f t="shared" si="23"/>
        <v>#N/A</v>
      </c>
      <c r="AE235" s="81"/>
    </row>
    <row r="236" spans="1:31" hidden="1" x14ac:dyDescent="0.25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25"/>
        <v>#N/A</v>
      </c>
      <c r="Z236" s="82" t="e">
        <f t="shared" si="27"/>
        <v>#N/A</v>
      </c>
      <c r="AA236" s="82" t="str">
        <f t="shared" si="22"/>
        <v>Pin Laricio bis_F2_Classique_GS Pineraies des plaines du Centre et du Nord Ouest_62_</v>
      </c>
      <c r="AB236" s="79">
        <v>62</v>
      </c>
      <c r="AC236" s="82" t="e">
        <f t="shared" si="26"/>
        <v>#N/A</v>
      </c>
      <c r="AD236" s="86" t="e">
        <f t="shared" si="23"/>
        <v>#N/A</v>
      </c>
      <c r="AE236" s="81"/>
    </row>
    <row r="237" spans="1:31" hidden="1" x14ac:dyDescent="0.25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25"/>
        <v>#N/A</v>
      </c>
      <c r="Z237" s="82" t="e">
        <f t="shared" si="27"/>
        <v>#N/A</v>
      </c>
      <c r="AA237" s="82" t="str">
        <f t="shared" si="22"/>
        <v>Pin Laricio bis_F2_Classique_GS Pineraies des plaines du Centre et du Nord Ouest_72_</v>
      </c>
      <c r="AB237" s="79">
        <v>72</v>
      </c>
      <c r="AC237" s="82" t="e">
        <f t="shared" si="26"/>
        <v>#N/A</v>
      </c>
      <c r="AD237" s="86" t="e">
        <f t="shared" si="23"/>
        <v>#N/A</v>
      </c>
      <c r="AE237" s="81"/>
    </row>
    <row r="238" spans="1:31" hidden="1" x14ac:dyDescent="0.25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25"/>
        <v>#N/A</v>
      </c>
      <c r="Z238" s="82" t="e">
        <f t="shared" si="27"/>
        <v>#N/A</v>
      </c>
      <c r="AA238" s="82" t="str">
        <f t="shared" si="22"/>
        <v>Pin Laricio bis_F2_Classique_GS Pineraies des plaines du Centre et du Nord Ouest_72_</v>
      </c>
      <c r="AB238" s="79">
        <v>72</v>
      </c>
      <c r="AC238" s="82" t="e">
        <f t="shared" si="26"/>
        <v>#N/A</v>
      </c>
      <c r="AD238" s="86" t="e">
        <f t="shared" si="23"/>
        <v>#N/A</v>
      </c>
      <c r="AE238" s="81"/>
    </row>
    <row r="239" spans="1:31" hidden="1" x14ac:dyDescent="0.25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25"/>
        <v>#N/A</v>
      </c>
      <c r="Z239" s="82" t="e">
        <f t="shared" si="27"/>
        <v>#N/A</v>
      </c>
      <c r="AA239" s="82" t="str">
        <f t="shared" si="22"/>
        <v>Pin Laricio bis_F2_Classique_GS Pineraies des plaines du Centre et du Nord Ouest_80_</v>
      </c>
      <c r="AB239" s="79">
        <v>80</v>
      </c>
      <c r="AC239" s="82" t="e">
        <f t="shared" si="26"/>
        <v>#N/A</v>
      </c>
      <c r="AD239" s="86" t="e">
        <f t="shared" si="23"/>
        <v>#N/A</v>
      </c>
      <c r="AE239" s="81"/>
    </row>
    <row r="240" spans="1:31" hidden="1" x14ac:dyDescent="0.25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25"/>
        <v>#N/A</v>
      </c>
      <c r="Z240" s="82" t="e">
        <f t="shared" si="27"/>
        <v>#N/A</v>
      </c>
      <c r="AA240" s="82" t="str">
        <f t="shared" si="22"/>
        <v>Pin Laricio bis_F2_Classique_GS Pineraies des plaines du Centre et du Nord Ouest_80_</v>
      </c>
      <c r="AB240" s="79">
        <v>80</v>
      </c>
      <c r="AC240" s="82" t="e">
        <f t="shared" si="26"/>
        <v>#N/A</v>
      </c>
      <c r="AD240" s="86" t="e">
        <f t="shared" si="23"/>
        <v>#N/A</v>
      </c>
      <c r="AE240" s="81"/>
    </row>
    <row r="241" spans="1:31" hidden="1" x14ac:dyDescent="0.25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25"/>
        <v>#N/A</v>
      </c>
      <c r="Z241" s="82" t="e">
        <f t="shared" si="27"/>
        <v>#N/A</v>
      </c>
      <c r="AA241" s="82" t="str">
        <f t="shared" si="22"/>
        <v>Pin Laricio bis_F2_Classique_GS Pineraies des plaines du Centre et du Nord Ouest_90_</v>
      </c>
      <c r="AB241" s="79">
        <v>90</v>
      </c>
      <c r="AC241" s="82" t="e">
        <f t="shared" si="26"/>
        <v>#N/A</v>
      </c>
      <c r="AD241" s="86" t="e">
        <f t="shared" si="23"/>
        <v>#N/A</v>
      </c>
      <c r="AE241" s="81"/>
    </row>
    <row r="242" spans="1:31" hidden="1" x14ac:dyDescent="0.25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25"/>
        <v>#N/A</v>
      </c>
      <c r="Z242" s="82" t="e">
        <f t="shared" si="27"/>
        <v>#N/A</v>
      </c>
      <c r="AA242" s="82" t="str">
        <f t="shared" si="22"/>
        <v>Pin Laricio bis_F2_Classique_GS Pineraies des plaines du Centre et du Nord Ouest_90_</v>
      </c>
      <c r="AB242" s="79">
        <v>90</v>
      </c>
      <c r="AC242" s="82" t="e">
        <f t="shared" si="26"/>
        <v>#N/A</v>
      </c>
      <c r="AD242" s="86" t="e">
        <f t="shared" si="23"/>
        <v>#N/A</v>
      </c>
      <c r="AE242" s="81"/>
    </row>
    <row r="243" spans="1:31" hidden="1" x14ac:dyDescent="0.25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25"/>
        <v>0</v>
      </c>
      <c r="Z243" s="88" t="e">
        <f t="shared" si="27"/>
        <v>#NUM!</v>
      </c>
      <c r="AA243" s="88" t="str">
        <f t="shared" si="22"/>
        <v>Hêtre commun_F1_Entree 19-20m_GS Hêtraies et hêtraies sapinières des Pyrénées_0_</v>
      </c>
      <c r="AB243" s="86">
        <v>0</v>
      </c>
      <c r="AC243" s="88">
        <v>0</v>
      </c>
      <c r="AD243" s="86">
        <f t="shared" si="23"/>
        <v>0</v>
      </c>
      <c r="AE243" s="86">
        <f>+SUM($AD$243:$AD$262)/$AB$262</f>
        <v>382.7551119057016</v>
      </c>
    </row>
    <row r="244" spans="1:31" hidden="1" x14ac:dyDescent="0.25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25"/>
        <v>134.82857142857145</v>
      </c>
      <c r="Z244" s="88">
        <f t="shared" si="27"/>
        <v>35.109721203026325</v>
      </c>
      <c r="AA244" s="88" t="str">
        <f t="shared" si="22"/>
        <v>Hêtre commun_F1_Entree 19-20m_GS Hêtraies et hêtraies sapinières des Pyrénées_30_</v>
      </c>
      <c r="AB244" s="86">
        <v>30</v>
      </c>
      <c r="AC244" s="88">
        <f>+(Z244+Y244)*0.475*44/12</f>
        <v>295.97585966669948</v>
      </c>
      <c r="AD244" s="86">
        <f t="shared" si="23"/>
        <v>4439.6378950004919</v>
      </c>
      <c r="AE244" s="86">
        <f t="shared" ref="AE244:AE262" si="28">+SUM($AD$243:$AD$262)/$AB$262</f>
        <v>382.7551119057016</v>
      </c>
    </row>
    <row r="245" spans="1:31" hidden="1" x14ac:dyDescent="0.25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25"/>
        <v>188.76000000000002</v>
      </c>
      <c r="Z245" s="82">
        <f t="shared" si="27"/>
        <v>47.265702073783714</v>
      </c>
      <c r="AA245" s="82" t="str">
        <f t="shared" si="22"/>
        <v>Hêtre commun_F1_Entree 19-20m_GS Hêtraies et hêtraies sapinières des Pyrénées_42_</v>
      </c>
      <c r="AB245" s="79">
        <v>42</v>
      </c>
      <c r="AC245" s="82">
        <f t="shared" si="26"/>
        <v>411.07809777850667</v>
      </c>
      <c r="AD245" s="86">
        <f t="shared" si="23"/>
        <v>4242.3237446712374</v>
      </c>
      <c r="AE245" s="86">
        <f t="shared" si="28"/>
        <v>382.7551119057016</v>
      </c>
    </row>
    <row r="246" spans="1:31" hidden="1" x14ac:dyDescent="0.25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25"/>
        <v>113.25600000000001</v>
      </c>
      <c r="Z246" s="82">
        <f t="shared" si="27"/>
        <v>30.096816336106439</v>
      </c>
      <c r="AA246" s="82" t="str">
        <f t="shared" si="22"/>
        <v>Hêtre commun_F1_Entree 19-20m_GS Hêtraies et hêtraies sapinières des Pyrénées_42_</v>
      </c>
      <c r="AB246" s="79">
        <v>42</v>
      </c>
      <c r="AC246" s="82">
        <f t="shared" si="26"/>
        <v>249.67282178538542</v>
      </c>
      <c r="AD246" s="86">
        <f t="shared" si="23"/>
        <v>0</v>
      </c>
      <c r="AE246" s="86">
        <f t="shared" si="28"/>
        <v>382.7551119057016</v>
      </c>
    </row>
    <row r="247" spans="1:31" hidden="1" x14ac:dyDescent="0.25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25"/>
        <v>177.60600000000002</v>
      </c>
      <c r="Z247" s="82">
        <f t="shared" si="27"/>
        <v>44.789150937858665</v>
      </c>
      <c r="AA247" s="82" t="str">
        <f t="shared" si="22"/>
        <v>Hêtre commun_F1_Entree 19-20m_GS Hêtraies et hêtraies sapinières des Pyrénées_48_</v>
      </c>
      <c r="AB247" s="79">
        <v>48</v>
      </c>
      <c r="AC247" s="82">
        <f t="shared" si="26"/>
        <v>387.33822121677053</v>
      </c>
      <c r="AD247" s="86">
        <f t="shared" si="23"/>
        <v>1911.0331290064678</v>
      </c>
      <c r="AE247" s="86">
        <f t="shared" si="28"/>
        <v>382.7551119057016</v>
      </c>
    </row>
    <row r="248" spans="1:31" hidden="1" x14ac:dyDescent="0.25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25"/>
        <v>137.28000000000003</v>
      </c>
      <c r="Z248" s="82">
        <f t="shared" si="27"/>
        <v>35.673181961873446</v>
      </c>
      <c r="AA248" s="82" t="str">
        <f t="shared" si="22"/>
        <v>Hêtre commun_F1_Entree 19-20m_GS Hêtraies et hêtraies sapinières des Pyrénées_48_</v>
      </c>
      <c r="AB248" s="79">
        <v>48</v>
      </c>
      <c r="AC248" s="82">
        <f t="shared" si="26"/>
        <v>301.22679191692964</v>
      </c>
      <c r="AD248" s="86">
        <f t="shared" si="23"/>
        <v>0</v>
      </c>
      <c r="AE248" s="86">
        <f t="shared" si="28"/>
        <v>382.7551119057016</v>
      </c>
    </row>
    <row r="249" spans="1:31" hidden="1" x14ac:dyDescent="0.25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25"/>
        <v>195.62400000000002</v>
      </c>
      <c r="Z249" s="82">
        <f t="shared" si="27"/>
        <v>48.781220625276006</v>
      </c>
      <c r="AA249" s="82" t="str">
        <f t="shared" si="22"/>
        <v>Hêtre commun_F1_Entree 19-20m_GS Hêtraies et hêtraies sapinières des Pyrénées_54_</v>
      </c>
      <c r="AB249" s="79">
        <v>54</v>
      </c>
      <c r="AC249" s="82">
        <f t="shared" si="26"/>
        <v>425.67242592235567</v>
      </c>
      <c r="AD249" s="86">
        <f t="shared" si="23"/>
        <v>2180.6976535178555</v>
      </c>
      <c r="AE249" s="86">
        <f t="shared" si="28"/>
        <v>382.7551119057016</v>
      </c>
    </row>
    <row r="250" spans="1:31" hidden="1" x14ac:dyDescent="0.25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25"/>
        <v>152.72400000000002</v>
      </c>
      <c r="Z250" s="82">
        <f t="shared" si="27"/>
        <v>39.196974505553527</v>
      </c>
      <c r="AA250" s="82" t="str">
        <f t="shared" si="22"/>
        <v>Hêtre commun_F1_Entree 19-20m_GS Hêtraies et hêtraies sapinières des Pyrénées_54_</v>
      </c>
      <c r="AB250" s="79">
        <v>54</v>
      </c>
      <c r="AC250" s="82">
        <f t="shared" si="26"/>
        <v>334.26236393050573</v>
      </c>
      <c r="AD250" s="86">
        <f t="shared" si="23"/>
        <v>0</v>
      </c>
      <c r="AE250" s="86">
        <f t="shared" si="28"/>
        <v>382.7551119057016</v>
      </c>
    </row>
    <row r="251" spans="1:31" hidden="1" x14ac:dyDescent="0.25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25"/>
        <v>240.24000000000004</v>
      </c>
      <c r="Z251" s="82">
        <f t="shared" si="27"/>
        <v>58.491164647183133</v>
      </c>
      <c r="AA251" s="82" t="str">
        <f t="shared" si="22"/>
        <v>Hêtre commun_F1_Entree 19-20m_GS Hêtraies et hêtraies sapinières des Pyrénées_63_</v>
      </c>
      <c r="AB251" s="79">
        <v>63</v>
      </c>
      <c r="AC251" s="82">
        <f t="shared" si="26"/>
        <v>520.29011176051063</v>
      </c>
      <c r="AD251" s="86">
        <f t="shared" si="23"/>
        <v>3845.4861406095733</v>
      </c>
      <c r="AE251" s="86">
        <f t="shared" si="28"/>
        <v>382.7551119057016</v>
      </c>
    </row>
    <row r="252" spans="1:31" hidden="1" x14ac:dyDescent="0.25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25"/>
        <v>176.74800000000002</v>
      </c>
      <c r="Z252" s="82">
        <f t="shared" si="27"/>
        <v>44.597910160550732</v>
      </c>
      <c r="AA252" s="82" t="str">
        <f t="shared" si="22"/>
        <v>Hêtre commun_F1_Entree 19-20m_GS Hêtraies et hêtraies sapinières des Pyrénées_63_</v>
      </c>
      <c r="AB252" s="79">
        <v>63</v>
      </c>
      <c r="AC252" s="82">
        <f t="shared" si="26"/>
        <v>385.51079352962591</v>
      </c>
      <c r="AD252" s="86">
        <f t="shared" si="23"/>
        <v>0</v>
      </c>
      <c r="AE252" s="86">
        <f t="shared" si="28"/>
        <v>382.7551119057016</v>
      </c>
    </row>
    <row r="253" spans="1:31" hidden="1" x14ac:dyDescent="0.25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25"/>
        <v>259.97400000000005</v>
      </c>
      <c r="Z253" s="82">
        <f t="shared" si="27"/>
        <v>62.716835774589946</v>
      </c>
      <c r="AA253" s="82" t="str">
        <f t="shared" si="22"/>
        <v>Hêtre commun_F1_Entree 19-20m_GS Hêtraies et hêtraies sapinières des Pyrénées_72_</v>
      </c>
      <c r="AB253" s="79">
        <v>72</v>
      </c>
      <c r="AC253" s="82">
        <f t="shared" si="26"/>
        <v>562.01987230741088</v>
      </c>
      <c r="AD253" s="86">
        <f t="shared" si="23"/>
        <v>4263.8879962666661</v>
      </c>
      <c r="AE253" s="86">
        <f t="shared" si="28"/>
        <v>382.7551119057016</v>
      </c>
    </row>
    <row r="254" spans="1:31" hidden="1" x14ac:dyDescent="0.25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25"/>
        <v>194.76600000000002</v>
      </c>
      <c r="Z254" s="82">
        <f t="shared" si="27"/>
        <v>48.592123663984928</v>
      </c>
      <c r="AA254" s="82" t="str">
        <f t="shared" si="22"/>
        <v>Hêtre commun_F1_Entree 19-20m_GS Hêtraies et hêtraies sapinières des Pyrénées_72_</v>
      </c>
      <c r="AB254" s="79">
        <v>72</v>
      </c>
      <c r="AC254" s="82">
        <f t="shared" si="26"/>
        <v>423.84873204810714</v>
      </c>
      <c r="AD254" s="86">
        <f t="shared" si="23"/>
        <v>0</v>
      </c>
      <c r="AE254" s="86">
        <f t="shared" si="28"/>
        <v>382.7551119057016</v>
      </c>
    </row>
    <row r="255" spans="1:31" hidden="1" x14ac:dyDescent="0.25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25"/>
        <v>275.41800000000001</v>
      </c>
      <c r="Z255" s="82">
        <f t="shared" si="27"/>
        <v>65.997772680817278</v>
      </c>
      <c r="AA255" s="82" t="str">
        <f t="shared" si="22"/>
        <v>Hêtre commun_F1_Entree 19-20m_GS Hêtraies et hêtraies sapinières des Pyrénées_81_</v>
      </c>
      <c r="AB255" s="79">
        <v>81</v>
      </c>
      <c r="AC255" s="82">
        <f t="shared" si="26"/>
        <v>594.63247075242339</v>
      </c>
      <c r="AD255" s="86">
        <f t="shared" si="23"/>
        <v>4583.1654126023877</v>
      </c>
      <c r="AE255" s="86">
        <f t="shared" si="28"/>
        <v>382.7551119057016</v>
      </c>
    </row>
    <row r="256" spans="1:31" hidden="1" x14ac:dyDescent="0.25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25"/>
        <v>211.92600000000002</v>
      </c>
      <c r="Z256" s="82">
        <f t="shared" si="27"/>
        <v>52.356241262970116</v>
      </c>
      <c r="AA256" s="82" t="str">
        <f t="shared" si="22"/>
        <v>Hêtre commun_F1_Entree 19-20m_GS Hêtraies et hêtraies sapinières des Pyrénées_81_</v>
      </c>
      <c r="AB256" s="79">
        <v>81</v>
      </c>
      <c r="AC256" s="82">
        <f t="shared" si="26"/>
        <v>460.291570199673</v>
      </c>
      <c r="AD256" s="86">
        <f t="shared" si="23"/>
        <v>0</v>
      </c>
      <c r="AE256" s="86">
        <f t="shared" si="28"/>
        <v>382.7551119057016</v>
      </c>
    </row>
    <row r="257" spans="1:31" hidden="1" x14ac:dyDescent="0.25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25"/>
        <v>287.43</v>
      </c>
      <c r="Z257" s="82">
        <f t="shared" si="27"/>
        <v>68.534780142555803</v>
      </c>
      <c r="AA257" s="82" t="str">
        <f t="shared" si="22"/>
        <v>Hêtre commun_F1_Entree 19-20m_GS Hêtraies et hêtraies sapinières des Pyrénées_90_</v>
      </c>
      <c r="AB257" s="79">
        <v>90</v>
      </c>
      <c r="AC257" s="82">
        <f t="shared" si="26"/>
        <v>619.97199208161805</v>
      </c>
      <c r="AD257" s="86">
        <f t="shared" si="23"/>
        <v>4861.1860302658097</v>
      </c>
      <c r="AE257" s="86">
        <f t="shared" si="28"/>
        <v>382.7551119057016</v>
      </c>
    </row>
    <row r="258" spans="1:31" hidden="1" x14ac:dyDescent="0.25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25"/>
        <v>224.79600000000002</v>
      </c>
      <c r="Z258" s="82">
        <f t="shared" si="27"/>
        <v>55.155960692691153</v>
      </c>
      <c r="AA258" s="82" t="str">
        <f t="shared" si="22"/>
        <v>Hêtre commun_F1_Entree 19-20m_GS Hêtraies et hêtraies sapinières des Pyrénées_90_</v>
      </c>
      <c r="AB258" s="79">
        <v>90</v>
      </c>
      <c r="AC258" s="82">
        <f t="shared" si="26"/>
        <v>487.58299820643714</v>
      </c>
      <c r="AD258" s="86">
        <f t="shared" si="23"/>
        <v>0</v>
      </c>
      <c r="AE258" s="86">
        <f t="shared" si="28"/>
        <v>382.7551119057016</v>
      </c>
    </row>
    <row r="259" spans="1:31" hidden="1" x14ac:dyDescent="0.25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25"/>
        <v>295.15200000000004</v>
      </c>
      <c r="Z259" s="82">
        <f t="shared" si="27"/>
        <v>70.159174796274201</v>
      </c>
      <c r="AA259" s="82" t="str">
        <f t="shared" ref="AA259:AA322" si="29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26"/>
        <v>636.250296103511</v>
      </c>
      <c r="AD259" s="86">
        <f t="shared" si="23"/>
        <v>5057.2498243947666</v>
      </c>
      <c r="AE259" s="86">
        <f t="shared" si="28"/>
        <v>382.7551119057016</v>
      </c>
    </row>
    <row r="260" spans="1:31" hidden="1" x14ac:dyDescent="0.25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25"/>
        <v>229.94400000000002</v>
      </c>
      <c r="Z260" s="82">
        <f t="shared" si="27"/>
        <v>56.270572850262418</v>
      </c>
      <c r="AA260" s="82" t="str">
        <f t="shared" si="29"/>
        <v>Hêtre commun_F1_Entree 19-20m_GS Hêtraies et hêtraies sapinières des Pyrénées_99_</v>
      </c>
      <c r="AB260" s="79">
        <v>99</v>
      </c>
      <c r="AC260" s="82">
        <f t="shared" si="26"/>
        <v>498.49038104754032</v>
      </c>
      <c r="AD260" s="86">
        <f t="shared" ref="AD260:AD323" si="30">+IF(AC260=0,0,(AC260+AC259)*(AB260-AB259)/2)</f>
        <v>0</v>
      </c>
      <c r="AE260" s="86">
        <f t="shared" si="28"/>
        <v>382.7551119057016</v>
      </c>
    </row>
    <row r="261" spans="1:31" hidden="1" x14ac:dyDescent="0.25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25"/>
        <v>318.31800000000004</v>
      </c>
      <c r="Z261" s="82">
        <f t="shared" si="27"/>
        <v>75.003273580132586</v>
      </c>
      <c r="AA261" s="82" t="str">
        <f t="shared" si="29"/>
        <v>Hêtre commun_F1_Entree 19-20m_GS Hêtraies et hêtraies sapinières des Pyrénées_111_</v>
      </c>
      <c r="AB261" s="79">
        <v>111</v>
      </c>
      <c r="AC261" s="82">
        <f t="shared" si="26"/>
        <v>685.03455148539763</v>
      </c>
      <c r="AD261" s="86">
        <f t="shared" si="30"/>
        <v>7101.1495951976285</v>
      </c>
      <c r="AE261" s="86">
        <f t="shared" si="28"/>
        <v>382.7551119057016</v>
      </c>
    </row>
    <row r="262" spans="1:31" hidden="1" x14ac:dyDescent="0.25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25"/>
        <v>0</v>
      </c>
      <c r="Z262" s="82" t="e">
        <f t="shared" si="27"/>
        <v>#NUM!</v>
      </c>
      <c r="AA262" s="82" t="str">
        <f t="shared" si="29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0"/>
        <v>0</v>
      </c>
      <c r="AE262" s="86">
        <f t="shared" si="28"/>
        <v>382.7551119057016</v>
      </c>
    </row>
    <row r="263" spans="1:31" hidden="1" x14ac:dyDescent="0.25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25"/>
        <v>0</v>
      </c>
      <c r="Z263" s="88" t="e">
        <f t="shared" si="27"/>
        <v>#NUM!</v>
      </c>
      <c r="AA263" s="88" t="str">
        <f t="shared" si="29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0"/>
        <v>0</v>
      </c>
      <c r="AE263" s="86">
        <f>+SUM($AD$263:$AD$279)/$AB$279</f>
        <v>388.66856558899315</v>
      </c>
    </row>
    <row r="264" spans="1:31" hidden="1" x14ac:dyDescent="0.25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>+IF(I264=0,"ap","av_ap")</f>
        <v>av_ap</v>
      </c>
      <c r="W264" s="86">
        <f>+VLOOKUP(A264,infradensité!$A$2:$B$67,2,FALSE)</f>
        <v>0.55000000000000004</v>
      </c>
      <c r="X264" s="86">
        <v>1.56</v>
      </c>
      <c r="Y264" s="88">
        <f t="shared" si="25"/>
        <v>187.20000000000002</v>
      </c>
      <c r="Z264" s="88">
        <f t="shared" si="27"/>
        <v>46.920378730551299</v>
      </c>
      <c r="AA264" s="88" t="str">
        <f t="shared" si="29"/>
        <v>Hêtre commun_F2_Entree 19-20m_GS Hêtraies et hêtraies sapinières des Pyrénées_30_</v>
      </c>
      <c r="AB264" s="86">
        <v>30</v>
      </c>
      <c r="AC264" s="88">
        <f>+(Z264+Y264)*0.475*44/12</f>
        <v>407.75965962237683</v>
      </c>
      <c r="AD264" s="86">
        <f t="shared" si="30"/>
        <v>6116.3948943356527</v>
      </c>
      <c r="AE264" s="86">
        <f t="shared" ref="AE264:AE279" si="31">+SUM($AD$263:$AD$279)/$AB$279</f>
        <v>388.66856558899315</v>
      </c>
    </row>
    <row r="265" spans="1:31" hidden="1" x14ac:dyDescent="0.25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25"/>
        <v>205.92000000000002</v>
      </c>
      <c r="Z265" s="82">
        <f t="shared" si="27"/>
        <v>51.042987531485686</v>
      </c>
      <c r="AA265" s="82" t="str">
        <f t="shared" si="29"/>
        <v>Hêtre commun_F2_Entree 19-20m_GS Hêtraies et hêtraies sapinières des Pyrénées_57_</v>
      </c>
      <c r="AB265" s="79">
        <v>57</v>
      </c>
      <c r="AC265" s="88">
        <f t="shared" si="26"/>
        <v>447.54386995067085</v>
      </c>
      <c r="AD265" s="86">
        <f t="shared" si="30"/>
        <v>11546.597649236142</v>
      </c>
      <c r="AE265" s="86">
        <f t="shared" si="31"/>
        <v>388.66856558899315</v>
      </c>
    </row>
    <row r="266" spans="1:31" hidden="1" x14ac:dyDescent="0.25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25"/>
        <v>123.55200000000002</v>
      </c>
      <c r="Z266" s="82">
        <f t="shared" si="27"/>
        <v>32.502033262579566</v>
      </c>
      <c r="AA266" s="82" t="str">
        <f t="shared" si="29"/>
        <v>Hêtre commun_F2_Entree 19-20m_GS Hêtraies et hêtraies sapinières des Pyrénées_57_</v>
      </c>
      <c r="AB266" s="79">
        <v>57</v>
      </c>
      <c r="AC266" s="82">
        <f t="shared" si="26"/>
        <v>271.79410793232609</v>
      </c>
      <c r="AD266" s="86">
        <f t="shared" si="30"/>
        <v>0</v>
      </c>
      <c r="AE266" s="86">
        <f t="shared" si="31"/>
        <v>388.66856558899315</v>
      </c>
    </row>
    <row r="267" spans="1:31" hidden="1" x14ac:dyDescent="0.25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25"/>
        <v>193.05</v>
      </c>
      <c r="Z267" s="82">
        <f t="shared" si="27"/>
        <v>48.213638293804941</v>
      </c>
      <c r="AA267" s="82" t="str">
        <f t="shared" si="29"/>
        <v>Hêtre commun_F2_Entree 19-20m_GS Hêtraies et hêtraies sapinières des Pyrénées_66_</v>
      </c>
      <c r="AB267" s="79">
        <v>66</v>
      </c>
      <c r="AC267" s="82">
        <f t="shared" si="26"/>
        <v>420.20083669504356</v>
      </c>
      <c r="AD267" s="86">
        <f t="shared" si="30"/>
        <v>3113.9772508231636</v>
      </c>
      <c r="AE267" s="86">
        <f t="shared" si="31"/>
        <v>388.66856558899315</v>
      </c>
    </row>
    <row r="268" spans="1:31" hidden="1" x14ac:dyDescent="0.25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25"/>
        <v>138.13800000000001</v>
      </c>
      <c r="Z268" s="82">
        <f t="shared" si="27"/>
        <v>35.870115614757175</v>
      </c>
      <c r="AA268" s="82" t="str">
        <f t="shared" si="29"/>
        <v>Hêtre commun_F2_Entree 19-20m_GS Hêtraies et hêtraies sapinières des Pyrénées_66_</v>
      </c>
      <c r="AB268" s="79">
        <v>66</v>
      </c>
      <c r="AC268" s="82">
        <f t="shared" si="26"/>
        <v>303.06413469570208</v>
      </c>
      <c r="AD268" s="86">
        <f t="shared" si="30"/>
        <v>0</v>
      </c>
      <c r="AE268" s="86">
        <f t="shared" si="31"/>
        <v>388.66856558899315</v>
      </c>
    </row>
    <row r="269" spans="1:31" hidden="1" x14ac:dyDescent="0.25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25"/>
        <v>206.77800000000002</v>
      </c>
      <c r="Z269" s="82">
        <f t="shared" si="27"/>
        <v>51.230865296361095</v>
      </c>
      <c r="AA269" s="82" t="str">
        <f t="shared" si="29"/>
        <v>Hêtre commun_F2_Entree 19-20m_GS Hêtraies et hêtraies sapinières des Pyrénées_75_</v>
      </c>
      <c r="AB269" s="79">
        <v>75</v>
      </c>
      <c r="AC269" s="82">
        <f t="shared" si="26"/>
        <v>449.36544039116228</v>
      </c>
      <c r="AD269" s="86">
        <f t="shared" si="30"/>
        <v>3385.9330878908895</v>
      </c>
      <c r="AE269" s="86">
        <f t="shared" si="31"/>
        <v>388.66856558899315</v>
      </c>
    </row>
    <row r="270" spans="1:31" hidden="1" x14ac:dyDescent="0.25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25"/>
        <v>149.29200000000003</v>
      </c>
      <c r="Z270" s="82">
        <f t="shared" si="27"/>
        <v>38.417645803815446</v>
      </c>
      <c r="AA270" s="82" t="str">
        <f t="shared" si="29"/>
        <v>Hêtre commun_F2_Entree 19-20m_GS Hêtraies et hêtraies sapinières des Pyrénées_75_</v>
      </c>
      <c r="AB270" s="79">
        <v>75</v>
      </c>
      <c r="AC270" s="82">
        <f t="shared" si="26"/>
        <v>326.92763310831191</v>
      </c>
      <c r="AD270" s="86">
        <f t="shared" si="30"/>
        <v>0</v>
      </c>
      <c r="AE270" s="86">
        <f t="shared" si="31"/>
        <v>388.66856558899315</v>
      </c>
    </row>
    <row r="271" spans="1:31" hidden="1" x14ac:dyDescent="0.25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25"/>
        <v>216.21600000000004</v>
      </c>
      <c r="Z271" s="82">
        <f t="shared" si="27"/>
        <v>53.291623409473033</v>
      </c>
      <c r="AA271" s="82" t="str">
        <f t="shared" si="29"/>
        <v>Hêtre commun_F2_Entree 19-20m_GS Hêtraies et hêtraies sapinières des Pyrénées_84_</v>
      </c>
      <c r="AB271" s="79">
        <v>84</v>
      </c>
      <c r="AC271" s="82">
        <f t="shared" si="26"/>
        <v>469.39244410483224</v>
      </c>
      <c r="AD271" s="86">
        <f t="shared" si="30"/>
        <v>3583.4403474591486</v>
      </c>
      <c r="AE271" s="86">
        <f t="shared" si="31"/>
        <v>388.66856558899315</v>
      </c>
    </row>
    <row r="272" spans="1:31" hidden="1" x14ac:dyDescent="0.25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25"/>
        <v>167.31000000000003</v>
      </c>
      <c r="Z272" s="82">
        <f t="shared" si="27"/>
        <v>42.486994942347515</v>
      </c>
      <c r="AA272" s="82" t="str">
        <f t="shared" si="29"/>
        <v>Hêtre commun_F2_Entree 19-20m_GS Hêtraies et hêtraies sapinières des Pyrénées_84_</v>
      </c>
      <c r="AB272" s="79">
        <v>84</v>
      </c>
      <c r="AC272" s="82">
        <f t="shared" si="26"/>
        <v>365.39643285792198</v>
      </c>
      <c r="AD272" s="86">
        <f t="shared" si="30"/>
        <v>0</v>
      </c>
      <c r="AE272" s="86">
        <f t="shared" si="31"/>
        <v>388.66856558899315</v>
      </c>
    </row>
    <row r="273" spans="1:31" hidden="1" x14ac:dyDescent="0.25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25"/>
        <v>230.80200000000002</v>
      </c>
      <c r="Z273" s="82">
        <f t="shared" si="27"/>
        <v>56.456057535276258</v>
      </c>
      <c r="AA273" s="82" t="str">
        <f t="shared" si="29"/>
        <v>Hêtre commun_F2_Entree 19-20m_GS Hêtraies et hêtraies sapinières des Pyrénées_93_</v>
      </c>
      <c r="AB273" s="79">
        <v>93</v>
      </c>
      <c r="AC273" s="82">
        <f t="shared" si="26"/>
        <v>500.30778354060618</v>
      </c>
      <c r="AD273" s="86">
        <f t="shared" si="30"/>
        <v>3895.6689737933766</v>
      </c>
      <c r="AE273" s="86">
        <f t="shared" si="31"/>
        <v>388.66856558899315</v>
      </c>
    </row>
    <row r="274" spans="1:31" hidden="1" x14ac:dyDescent="0.25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25"/>
        <v>181.89600000000002</v>
      </c>
      <c r="Z274" s="82">
        <f t="shared" si="27"/>
        <v>45.743753647228822</v>
      </c>
      <c r="AA274" s="82" t="str">
        <f t="shared" si="29"/>
        <v>Hêtre commun_F2_Entree 19-20m_GS Hêtraies et hêtraies sapinières des Pyrénées_93_</v>
      </c>
      <c r="AB274" s="79">
        <v>93</v>
      </c>
      <c r="AC274" s="82">
        <f t="shared" si="26"/>
        <v>396.47257093559023</v>
      </c>
      <c r="AD274" s="86">
        <f t="shared" si="30"/>
        <v>0</v>
      </c>
      <c r="AE274" s="86">
        <f t="shared" si="31"/>
        <v>388.66856558899315</v>
      </c>
    </row>
    <row r="275" spans="1:31" hidden="1" x14ac:dyDescent="0.25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25"/>
        <v>263.40600000000001</v>
      </c>
      <c r="Z275" s="82">
        <f t="shared" si="27"/>
        <v>63.447848663121114</v>
      </c>
      <c r="AA275" s="82" t="str">
        <f t="shared" si="29"/>
        <v>Hêtre commun_F2_Entree 19-20m_GS Hêtraies et hêtraies sapinières des Pyrénées_105_</v>
      </c>
      <c r="AB275" s="79">
        <v>105</v>
      </c>
      <c r="AC275" s="82">
        <f t="shared" si="26"/>
        <v>569.27045308826928</v>
      </c>
      <c r="AD275" s="86">
        <f t="shared" si="30"/>
        <v>5794.4581441431574</v>
      </c>
      <c r="AE275" s="86">
        <f t="shared" si="31"/>
        <v>388.66856558899315</v>
      </c>
    </row>
    <row r="276" spans="1:31" hidden="1" x14ac:dyDescent="0.25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25"/>
        <v>199.05600000000001</v>
      </c>
      <c r="Z276" s="82">
        <f t="shared" si="27"/>
        <v>49.536648006253934</v>
      </c>
      <c r="AA276" s="82" t="str">
        <f t="shared" si="29"/>
        <v>Hêtre commun_F2_Entree 19-20m_GS Hêtraies et hêtraies sapinières des Pyrénées_105_</v>
      </c>
      <c r="AB276" s="79">
        <v>105</v>
      </c>
      <c r="AC276" s="82">
        <f t="shared" si="26"/>
        <v>432.96552861089231</v>
      </c>
      <c r="AD276" s="86">
        <f t="shared" si="30"/>
        <v>0</v>
      </c>
      <c r="AE276" s="86">
        <f t="shared" si="31"/>
        <v>388.66856558899315</v>
      </c>
    </row>
    <row r="277" spans="1:31" hidden="1" x14ac:dyDescent="0.25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25"/>
        <v>275.41800000000001</v>
      </c>
      <c r="Z277" s="82">
        <f t="shared" si="27"/>
        <v>65.997772680817278</v>
      </c>
      <c r="AA277" s="82" t="str">
        <f t="shared" si="29"/>
        <v>Hêtre commun_F2_Entree 19-20m_GS Hêtraies et hêtraies sapinières des Pyrénées_117_</v>
      </c>
      <c r="AB277" s="79">
        <v>117</v>
      </c>
      <c r="AC277" s="82">
        <f t="shared" si="26"/>
        <v>594.63247075242339</v>
      </c>
      <c r="AD277" s="86">
        <f t="shared" si="30"/>
        <v>6165.5879961798946</v>
      </c>
      <c r="AE277" s="86">
        <f t="shared" si="31"/>
        <v>388.66856558899315</v>
      </c>
    </row>
    <row r="278" spans="1:31" hidden="1" x14ac:dyDescent="0.25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25"/>
        <v>216.21600000000004</v>
      </c>
      <c r="Z278" s="82">
        <f t="shared" si="27"/>
        <v>53.291623409473033</v>
      </c>
      <c r="AA278" s="82" t="str">
        <f t="shared" si="29"/>
        <v>Hêtre commun_F2_Entree 19-20m_GS Hêtraies et hêtraies sapinières des Pyrénées_117_</v>
      </c>
      <c r="AB278" s="79">
        <v>117</v>
      </c>
      <c r="AC278" s="82">
        <f t="shared" si="26"/>
        <v>469.39244410483224</v>
      </c>
      <c r="AD278" s="86">
        <f t="shared" si="30"/>
        <v>0</v>
      </c>
      <c r="AE278" s="86">
        <f t="shared" si="31"/>
        <v>388.66856558899315</v>
      </c>
    </row>
    <row r="279" spans="1:31" hidden="1" x14ac:dyDescent="0.25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25"/>
        <v>287.43</v>
      </c>
      <c r="Z279" s="82">
        <f t="shared" si="27"/>
        <v>68.534780142555803</v>
      </c>
      <c r="AA279" s="82" t="str">
        <f t="shared" si="29"/>
        <v>Hêtre commun_F2_Entree 19-20m_GS Hêtraies et hêtraies sapinières des Pyrénées_129_</v>
      </c>
      <c r="AB279" s="79">
        <v>129</v>
      </c>
      <c r="AC279" s="82">
        <f t="shared" si="26"/>
        <v>619.97199208161805</v>
      </c>
      <c r="AD279" s="86">
        <f t="shared" si="30"/>
        <v>6536.1866171187021</v>
      </c>
      <c r="AE279" s="86">
        <f t="shared" si="31"/>
        <v>388.66856558899315</v>
      </c>
    </row>
    <row r="280" spans="1:31" hidden="1" x14ac:dyDescent="0.25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25"/>
        <v>0</v>
      </c>
      <c r="Z280" s="82" t="e">
        <f t="shared" si="27"/>
        <v>#NUM!</v>
      </c>
      <c r="AA280" s="82" t="str">
        <f t="shared" si="29"/>
        <v>Sapin pectiné_F1_Normal_GS Sapinières du Massif Central_47_</v>
      </c>
      <c r="AB280" s="79">
        <v>47</v>
      </c>
      <c r="AC280" s="82" t="e">
        <f t="shared" si="26"/>
        <v>#NUM!</v>
      </c>
      <c r="AD280" s="86" t="e">
        <f t="shared" si="30"/>
        <v>#NUM!</v>
      </c>
      <c r="AE280" s="81"/>
    </row>
    <row r="281" spans="1:31" hidden="1" x14ac:dyDescent="0.25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25"/>
        <v>0</v>
      </c>
      <c r="Z281" s="82" t="e">
        <f t="shared" si="27"/>
        <v>#NUM!</v>
      </c>
      <c r="AA281" s="82" t="str">
        <f t="shared" si="29"/>
        <v>Sapin pectiné_F1_Normal_GS Sapinières du Massif Central_53_</v>
      </c>
      <c r="AB281" s="79">
        <v>53</v>
      </c>
      <c r="AC281" s="82" t="e">
        <f t="shared" si="26"/>
        <v>#NUM!</v>
      </c>
      <c r="AD281" s="86" t="e">
        <f t="shared" si="30"/>
        <v>#NUM!</v>
      </c>
      <c r="AE281" s="81"/>
    </row>
    <row r="282" spans="1:31" hidden="1" x14ac:dyDescent="0.25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8" si="32">+X282*W282*J282</f>
        <v>0</v>
      </c>
      <c r="Z282" s="82" t="e">
        <f t="shared" si="27"/>
        <v>#NUM!</v>
      </c>
      <c r="AA282" s="82" t="str">
        <f t="shared" si="29"/>
        <v>Sapin pectiné_F1_Normal_GS Sapinières du Massif Central_60_</v>
      </c>
      <c r="AB282" s="79">
        <v>60</v>
      </c>
      <c r="AC282" s="82" t="e">
        <f t="shared" ref="AC282:AC348" si="33">+(Z282+Y282)*0.475*44/12</f>
        <v>#NUM!</v>
      </c>
      <c r="AD282" s="86" t="e">
        <f t="shared" si="30"/>
        <v>#NUM!</v>
      </c>
      <c r="AE282" s="81"/>
    </row>
    <row r="283" spans="1:31" hidden="1" x14ac:dyDescent="0.25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32"/>
        <v>0</v>
      </c>
      <c r="Z283" s="82" t="e">
        <f t="shared" ref="Z283:Z349" si="34">+EXP(-1.0587+0.8836*LN(Y283)+0.284)</f>
        <v>#NUM!</v>
      </c>
      <c r="AA283" s="82" t="str">
        <f t="shared" si="29"/>
        <v>Sapin pectiné_F1_Normal_GS Sapinières du Massif Central_68_</v>
      </c>
      <c r="AB283" s="79">
        <v>68</v>
      </c>
      <c r="AC283" s="82" t="e">
        <f t="shared" si="33"/>
        <v>#NUM!</v>
      </c>
      <c r="AD283" s="86" t="e">
        <f t="shared" si="30"/>
        <v>#NUM!</v>
      </c>
      <c r="AE283" s="81"/>
    </row>
    <row r="284" spans="1:31" hidden="1" x14ac:dyDescent="0.25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32"/>
        <v>0</v>
      </c>
      <c r="Z284" s="82" t="e">
        <f t="shared" si="34"/>
        <v>#NUM!</v>
      </c>
      <c r="AA284" s="82" t="str">
        <f t="shared" si="29"/>
        <v>Sapin pectiné_F1_Normal_GS Sapinières du Massif Central_76_</v>
      </c>
      <c r="AB284" s="79">
        <v>76</v>
      </c>
      <c r="AC284" s="82" t="e">
        <f t="shared" si="33"/>
        <v>#NUM!</v>
      </c>
      <c r="AD284" s="86" t="e">
        <f t="shared" si="30"/>
        <v>#NUM!</v>
      </c>
      <c r="AE284" s="81"/>
    </row>
    <row r="285" spans="1:31" hidden="1" x14ac:dyDescent="0.25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32"/>
        <v>0</v>
      </c>
      <c r="Z285" s="82" t="e">
        <f t="shared" si="34"/>
        <v>#NUM!</v>
      </c>
      <c r="AA285" s="82" t="str">
        <f t="shared" si="29"/>
        <v>Sapin pectiné_F1_Normal_GS Sapinières du Massif Central_84_</v>
      </c>
      <c r="AB285" s="79">
        <v>84</v>
      </c>
      <c r="AC285" s="82" t="e">
        <f t="shared" si="33"/>
        <v>#NUM!</v>
      </c>
      <c r="AD285" s="86" t="e">
        <f t="shared" si="30"/>
        <v>#NUM!</v>
      </c>
      <c r="AE285" s="81"/>
    </row>
    <row r="286" spans="1:31" hidden="1" x14ac:dyDescent="0.25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32"/>
        <v>0</v>
      </c>
      <c r="Z286" s="82" t="e">
        <f t="shared" si="34"/>
        <v>#NUM!</v>
      </c>
      <c r="AA286" s="82" t="str">
        <f t="shared" si="29"/>
        <v>Sapin pectiné_F1_Normal_GS Sapinières du Massif Central_89_</v>
      </c>
      <c r="AB286" s="79">
        <v>89</v>
      </c>
      <c r="AC286" s="82" t="e">
        <f t="shared" si="33"/>
        <v>#NUM!</v>
      </c>
      <c r="AD286" s="86" t="e">
        <f t="shared" si="30"/>
        <v>#NUM!</v>
      </c>
      <c r="AE286" s="81"/>
    </row>
    <row r="287" spans="1:31" hidden="1" x14ac:dyDescent="0.25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32"/>
        <v>0</v>
      </c>
      <c r="Z287" s="82" t="e">
        <f t="shared" si="34"/>
        <v>#NUM!</v>
      </c>
      <c r="AA287" s="82" t="str">
        <f t="shared" si="29"/>
        <v>Sapin pectiné_F1_Normal_GS Sapinières du Massif Central_94_</v>
      </c>
      <c r="AB287" s="79">
        <v>94</v>
      </c>
      <c r="AC287" s="82" t="e">
        <f t="shared" si="33"/>
        <v>#NUM!</v>
      </c>
      <c r="AD287" s="86" t="e">
        <f t="shared" si="30"/>
        <v>#NUM!</v>
      </c>
      <c r="AE287" s="81"/>
    </row>
    <row r="288" spans="1:31" hidden="1" x14ac:dyDescent="0.25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32"/>
        <v>0</v>
      </c>
      <c r="Z288" s="82" t="e">
        <f t="shared" si="34"/>
        <v>#NUM!</v>
      </c>
      <c r="AA288" s="82" t="str">
        <f t="shared" si="29"/>
        <v>Sapin pectiné_F2_Normal_GS Sapinières du Massif Central_57_</v>
      </c>
      <c r="AB288" s="79">
        <v>57</v>
      </c>
      <c r="AC288" s="82" t="e">
        <f t="shared" si="33"/>
        <v>#NUM!</v>
      </c>
      <c r="AD288" s="86" t="e">
        <f t="shared" si="30"/>
        <v>#NUM!</v>
      </c>
      <c r="AE288" s="81"/>
    </row>
    <row r="289" spans="1:31" hidden="1" x14ac:dyDescent="0.25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32"/>
        <v>0</v>
      </c>
      <c r="Z289" s="82" t="e">
        <f t="shared" si="34"/>
        <v>#NUM!</v>
      </c>
      <c r="AA289" s="82" t="str">
        <f t="shared" si="29"/>
        <v>Sapin pectiné_F2_Normal_GS Sapinières du Massif Central_64_</v>
      </c>
      <c r="AB289" s="79">
        <v>64</v>
      </c>
      <c r="AC289" s="82" t="e">
        <f t="shared" si="33"/>
        <v>#NUM!</v>
      </c>
      <c r="AD289" s="86" t="e">
        <f t="shared" si="30"/>
        <v>#NUM!</v>
      </c>
      <c r="AE289" s="81"/>
    </row>
    <row r="290" spans="1:31" hidden="1" x14ac:dyDescent="0.25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32"/>
        <v>0</v>
      </c>
      <c r="Z290" s="82" t="e">
        <f t="shared" si="34"/>
        <v>#NUM!</v>
      </c>
      <c r="AA290" s="82" t="str">
        <f t="shared" si="29"/>
        <v>Sapin pectiné_F2_Normal_GS Sapinières du Massif Central_72_</v>
      </c>
      <c r="AB290" s="79">
        <v>72</v>
      </c>
      <c r="AC290" s="82" t="e">
        <f t="shared" si="33"/>
        <v>#NUM!</v>
      </c>
      <c r="AD290" s="86" t="e">
        <f t="shared" si="30"/>
        <v>#NUM!</v>
      </c>
      <c r="AE290" s="81"/>
    </row>
    <row r="291" spans="1:31" hidden="1" x14ac:dyDescent="0.25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32"/>
        <v>0</v>
      </c>
      <c r="Z291" s="82" t="e">
        <f t="shared" si="34"/>
        <v>#NUM!</v>
      </c>
      <c r="AA291" s="82" t="str">
        <f t="shared" si="29"/>
        <v>Sapin pectiné_F2_Normal_GS Sapinières du Massif Central_80_</v>
      </c>
      <c r="AB291" s="79">
        <v>80</v>
      </c>
      <c r="AC291" s="82" t="e">
        <f t="shared" si="33"/>
        <v>#NUM!</v>
      </c>
      <c r="AD291" s="86" t="e">
        <f t="shared" si="30"/>
        <v>#NUM!</v>
      </c>
      <c r="AE291" s="81"/>
    </row>
    <row r="292" spans="1:31" hidden="1" x14ac:dyDescent="0.25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32"/>
        <v>0</v>
      </c>
      <c r="Z292" s="82" t="e">
        <f t="shared" si="34"/>
        <v>#NUM!</v>
      </c>
      <c r="AA292" s="82" t="str">
        <f t="shared" si="29"/>
        <v>Sapin pectiné_F2_Normal_GS Sapinières du Massif Central_88_</v>
      </c>
      <c r="AB292" s="79">
        <v>88</v>
      </c>
      <c r="AC292" s="82" t="e">
        <f t="shared" si="33"/>
        <v>#NUM!</v>
      </c>
      <c r="AD292" s="86" t="e">
        <f t="shared" si="30"/>
        <v>#NUM!</v>
      </c>
      <c r="AE292" s="81"/>
    </row>
    <row r="293" spans="1:31" hidden="1" x14ac:dyDescent="0.25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32"/>
        <v>0</v>
      </c>
      <c r="Z293" s="82" t="e">
        <f t="shared" si="34"/>
        <v>#NUM!</v>
      </c>
      <c r="AA293" s="82" t="str">
        <f t="shared" si="29"/>
        <v>Sapin pectiné_F2_Normal_GS Sapinières du Massif Central_96_</v>
      </c>
      <c r="AB293" s="79">
        <v>96</v>
      </c>
      <c r="AC293" s="82" t="e">
        <f t="shared" si="33"/>
        <v>#NUM!</v>
      </c>
      <c r="AD293" s="86" t="e">
        <f t="shared" si="30"/>
        <v>#NUM!</v>
      </c>
      <c r="AE293" s="81"/>
    </row>
    <row r="294" spans="1:31" hidden="1" x14ac:dyDescent="0.25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32"/>
        <v>0</v>
      </c>
      <c r="Z294" s="82" t="e">
        <f t="shared" si="34"/>
        <v>#NUM!</v>
      </c>
      <c r="AA294" s="82" t="str">
        <f t="shared" si="29"/>
        <v>Sapin pectiné_F2_Normal_GS Sapinières du Massif Central_101_</v>
      </c>
      <c r="AB294" s="79">
        <v>101</v>
      </c>
      <c r="AC294" s="82" t="e">
        <f t="shared" si="33"/>
        <v>#NUM!</v>
      </c>
      <c r="AD294" s="86" t="e">
        <f t="shared" si="30"/>
        <v>#NUM!</v>
      </c>
      <c r="AE294" s="81"/>
    </row>
    <row r="295" spans="1:31" hidden="1" x14ac:dyDescent="0.25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32"/>
        <v>0</v>
      </c>
      <c r="Z295" s="82" t="e">
        <f t="shared" si="34"/>
        <v>#NUM!</v>
      </c>
      <c r="AA295" s="82" t="str">
        <f t="shared" si="29"/>
        <v>Sapin pectiné_F2_Normal_GS Sapinières du Massif Central_106_</v>
      </c>
      <c r="AB295" s="79">
        <v>106</v>
      </c>
      <c r="AC295" s="82" t="e">
        <f t="shared" si="33"/>
        <v>#NUM!</v>
      </c>
      <c r="AD295" s="86" t="e">
        <f t="shared" si="30"/>
        <v>#NUM!</v>
      </c>
      <c r="AE295" s="81"/>
    </row>
    <row r="296" spans="1:31" hidden="1" x14ac:dyDescent="0.25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32"/>
        <v>0</v>
      </c>
      <c r="Z296" s="82" t="e">
        <f t="shared" si="34"/>
        <v>#NUM!</v>
      </c>
      <c r="AA296" s="82" t="str">
        <f t="shared" si="29"/>
        <v>Sapin pectiné_F3_Normal_GS Sapinières du Massif Central_67_</v>
      </c>
      <c r="AB296" s="79">
        <v>67</v>
      </c>
      <c r="AC296" s="82" t="e">
        <f t="shared" si="33"/>
        <v>#NUM!</v>
      </c>
      <c r="AD296" s="86" t="e">
        <f t="shared" si="30"/>
        <v>#NUM!</v>
      </c>
      <c r="AE296" s="81"/>
    </row>
    <row r="297" spans="1:31" hidden="1" x14ac:dyDescent="0.25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32"/>
        <v>0</v>
      </c>
      <c r="Z297" s="82" t="e">
        <f t="shared" si="34"/>
        <v>#NUM!</v>
      </c>
      <c r="AA297" s="82" t="str">
        <f t="shared" si="29"/>
        <v>Sapin pectiné_F3_Normal_GS Sapinières du Massif Central_77_</v>
      </c>
      <c r="AB297" s="79">
        <v>77</v>
      </c>
      <c r="AC297" s="82" t="e">
        <f t="shared" si="33"/>
        <v>#NUM!</v>
      </c>
      <c r="AD297" s="86" t="e">
        <f t="shared" si="30"/>
        <v>#NUM!</v>
      </c>
      <c r="AE297" s="81"/>
    </row>
    <row r="298" spans="1:31" hidden="1" x14ac:dyDescent="0.25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32"/>
        <v>0</v>
      </c>
      <c r="Z298" s="82" t="e">
        <f t="shared" si="34"/>
        <v>#NUM!</v>
      </c>
      <c r="AA298" s="82" t="str">
        <f t="shared" si="29"/>
        <v>Sapin pectiné_F3_Normal_GS Sapinières du Massif Central_87_</v>
      </c>
      <c r="AB298" s="79">
        <v>87</v>
      </c>
      <c r="AC298" s="82" t="e">
        <f t="shared" si="33"/>
        <v>#NUM!</v>
      </c>
      <c r="AD298" s="86" t="e">
        <f t="shared" si="30"/>
        <v>#NUM!</v>
      </c>
      <c r="AE298" s="81"/>
    </row>
    <row r="299" spans="1:31" hidden="1" x14ac:dyDescent="0.25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32"/>
        <v>0</v>
      </c>
      <c r="Z299" s="82" t="e">
        <f t="shared" si="34"/>
        <v>#NUM!</v>
      </c>
      <c r="AA299" s="82" t="str">
        <f t="shared" si="29"/>
        <v>Sapin pectiné_F3_Normal_GS Sapinières du Massif Central_97_</v>
      </c>
      <c r="AB299" s="79">
        <v>97</v>
      </c>
      <c r="AC299" s="82" t="e">
        <f t="shared" si="33"/>
        <v>#NUM!</v>
      </c>
      <c r="AD299" s="86" t="e">
        <f t="shared" si="30"/>
        <v>#NUM!</v>
      </c>
      <c r="AE299" s="81"/>
    </row>
    <row r="300" spans="1:31" hidden="1" x14ac:dyDescent="0.25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32"/>
        <v>0</v>
      </c>
      <c r="Z300" s="82" t="e">
        <f t="shared" si="34"/>
        <v>#NUM!</v>
      </c>
      <c r="AA300" s="82" t="str">
        <f t="shared" si="29"/>
        <v>Sapin pectiné_F3_Normal_GS Sapinières du Massif Central_107_</v>
      </c>
      <c r="AB300" s="79">
        <v>107</v>
      </c>
      <c r="AC300" s="82" t="e">
        <f t="shared" si="33"/>
        <v>#NUM!</v>
      </c>
      <c r="AD300" s="86" t="e">
        <f t="shared" si="30"/>
        <v>#NUM!</v>
      </c>
      <c r="AE300" s="81"/>
    </row>
    <row r="301" spans="1:31" hidden="1" x14ac:dyDescent="0.25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32"/>
        <v>0</v>
      </c>
      <c r="Z301" s="82" t="e">
        <f t="shared" si="34"/>
        <v>#NUM!</v>
      </c>
      <c r="AA301" s="82" t="str">
        <f t="shared" si="29"/>
        <v>Sapin pectiné_F3_Normal_GS Sapinières du Massif Central_117_</v>
      </c>
      <c r="AB301" s="79">
        <v>117</v>
      </c>
      <c r="AC301" s="82" t="e">
        <f t="shared" si="33"/>
        <v>#NUM!</v>
      </c>
      <c r="AD301" s="86" t="e">
        <f t="shared" si="30"/>
        <v>#NUM!</v>
      </c>
      <c r="AE301" s="81"/>
    </row>
    <row r="302" spans="1:31" hidden="1" x14ac:dyDescent="0.25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32"/>
        <v>0</v>
      </c>
      <c r="Z302" s="82" t="e">
        <f t="shared" si="34"/>
        <v>#NUM!</v>
      </c>
      <c r="AA302" s="82" t="str">
        <f t="shared" si="29"/>
        <v>Sapin pectiné_F3_Normal_GS Sapinières du Massif Central_122_</v>
      </c>
      <c r="AB302" s="79">
        <v>122</v>
      </c>
      <c r="AC302" s="82" t="e">
        <f t="shared" si="33"/>
        <v>#NUM!</v>
      </c>
      <c r="AD302" s="86" t="e">
        <f t="shared" si="30"/>
        <v>#NUM!</v>
      </c>
      <c r="AE302" s="81"/>
    </row>
    <row r="303" spans="1:31" hidden="1" x14ac:dyDescent="0.25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32"/>
        <v>0</v>
      </c>
      <c r="Z303" s="82" t="e">
        <f t="shared" si="34"/>
        <v>#NUM!</v>
      </c>
      <c r="AA303" s="82" t="str">
        <f t="shared" si="29"/>
        <v>Sapin pectiné_F3_Normal_GS Sapinières du Massif Central_127_</v>
      </c>
      <c r="AB303" s="79">
        <v>127</v>
      </c>
      <c r="AC303" s="82" t="e">
        <f t="shared" si="33"/>
        <v>#NUM!</v>
      </c>
      <c r="AD303" s="86" t="e">
        <f t="shared" si="30"/>
        <v>#NUM!</v>
      </c>
      <c r="AE303" s="81"/>
    </row>
    <row r="304" spans="1:31" hidden="1" x14ac:dyDescent="0.25">
      <c r="A304" s="79" t="s">
        <v>308</v>
      </c>
      <c r="B304" s="79" t="s">
        <v>9</v>
      </c>
      <c r="C304" s="79" t="s">
        <v>309</v>
      </c>
      <c r="D304" s="81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32"/>
        <v>0</v>
      </c>
      <c r="Z304" s="82" t="e">
        <f t="shared" si="34"/>
        <v>#NUM!</v>
      </c>
      <c r="AA304" s="82" t="str">
        <f t="shared" si="29"/>
        <v>Cèdre de l'Atlas_F1_CA1_d5_GSM Alpes du Sud_12_</v>
      </c>
      <c r="AB304" s="79">
        <v>12</v>
      </c>
      <c r="AC304" s="82" t="e">
        <f t="shared" si="33"/>
        <v>#NUM!</v>
      </c>
      <c r="AD304" s="86" t="e">
        <f t="shared" si="30"/>
        <v>#NUM!</v>
      </c>
      <c r="AE304" s="81"/>
    </row>
    <row r="305" spans="1:31" hidden="1" x14ac:dyDescent="0.25">
      <c r="A305" s="79" t="s">
        <v>308</v>
      </c>
      <c r="B305" s="79" t="s">
        <v>9</v>
      </c>
      <c r="C305" s="79" t="s">
        <v>309</v>
      </c>
      <c r="D305" s="81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32"/>
        <v>0</v>
      </c>
      <c r="Z305" s="82" t="e">
        <f t="shared" si="34"/>
        <v>#NUM!</v>
      </c>
      <c r="AA305" s="82" t="str">
        <f t="shared" si="29"/>
        <v>Cèdre de l'Atlas_F1_CA1_d5_GSM Alpes du Sud_40_</v>
      </c>
      <c r="AB305" s="79">
        <v>40</v>
      </c>
      <c r="AC305" s="82" t="e">
        <f t="shared" si="33"/>
        <v>#NUM!</v>
      </c>
      <c r="AD305" s="86" t="e">
        <f t="shared" si="30"/>
        <v>#NUM!</v>
      </c>
      <c r="AE305" s="81"/>
    </row>
    <row r="306" spans="1:31" hidden="1" x14ac:dyDescent="0.25">
      <c r="A306" s="79" t="s">
        <v>308</v>
      </c>
      <c r="B306" s="79" t="s">
        <v>9</v>
      </c>
      <c r="C306" s="79" t="s">
        <v>309</v>
      </c>
      <c r="D306" s="81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32"/>
        <v>0</v>
      </c>
      <c r="Z306" s="82" t="e">
        <f t="shared" si="34"/>
        <v>#NUM!</v>
      </c>
      <c r="AA306" s="82" t="str">
        <f t="shared" si="29"/>
        <v>Cèdre de l'Atlas_F1_CA1_d5_GSM Alpes du Sud_50_</v>
      </c>
      <c r="AB306" s="79">
        <v>50</v>
      </c>
      <c r="AC306" s="82" t="e">
        <f t="shared" si="33"/>
        <v>#NUM!</v>
      </c>
      <c r="AD306" s="86" t="e">
        <f t="shared" si="30"/>
        <v>#NUM!</v>
      </c>
      <c r="AE306" s="81"/>
    </row>
    <row r="307" spans="1:31" hidden="1" x14ac:dyDescent="0.25">
      <c r="A307" s="79" t="s">
        <v>308</v>
      </c>
      <c r="B307" s="79" t="s">
        <v>9</v>
      </c>
      <c r="C307" s="79" t="s">
        <v>309</v>
      </c>
      <c r="D307" s="81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32"/>
        <v>0</v>
      </c>
      <c r="Z307" s="82" t="e">
        <f t="shared" si="34"/>
        <v>#NUM!</v>
      </c>
      <c r="AA307" s="82" t="str">
        <f t="shared" si="29"/>
        <v>Cèdre de l'Atlas_F1_CA1_d5_GSM Alpes du Sud_60_</v>
      </c>
      <c r="AB307" s="79">
        <v>60</v>
      </c>
      <c r="AC307" s="82" t="e">
        <f t="shared" si="33"/>
        <v>#NUM!</v>
      </c>
      <c r="AD307" s="86" t="e">
        <f t="shared" si="30"/>
        <v>#NUM!</v>
      </c>
      <c r="AE307" s="81"/>
    </row>
    <row r="308" spans="1:31" hidden="1" x14ac:dyDescent="0.25">
      <c r="A308" s="79" t="s">
        <v>308</v>
      </c>
      <c r="B308" s="79" t="s">
        <v>9</v>
      </c>
      <c r="C308" s="79" t="s">
        <v>309</v>
      </c>
      <c r="D308" s="81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32"/>
        <v>0</v>
      </c>
      <c r="Z308" s="82" t="e">
        <f t="shared" si="34"/>
        <v>#NUM!</v>
      </c>
      <c r="AA308" s="82" t="str">
        <f t="shared" si="29"/>
        <v>Cèdre de l'Atlas_F1_CA1_d5_GSM Alpes du Sud_70_</v>
      </c>
      <c r="AB308" s="79">
        <v>70</v>
      </c>
      <c r="AC308" s="82" t="e">
        <f t="shared" si="33"/>
        <v>#NUM!</v>
      </c>
      <c r="AD308" s="86" t="e">
        <f t="shared" si="30"/>
        <v>#NUM!</v>
      </c>
      <c r="AE308" s="81"/>
    </row>
    <row r="309" spans="1:31" hidden="1" x14ac:dyDescent="0.25">
      <c r="A309" s="79" t="s">
        <v>308</v>
      </c>
      <c r="B309" s="79" t="s">
        <v>9</v>
      </c>
      <c r="C309" s="79" t="s">
        <v>309</v>
      </c>
      <c r="D309" s="81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32"/>
        <v>0</v>
      </c>
      <c r="Z309" s="82" t="e">
        <f t="shared" si="34"/>
        <v>#NUM!</v>
      </c>
      <c r="AA309" s="82" t="str">
        <f t="shared" si="29"/>
        <v>Cèdre de l'Atlas_F1_CA1_d5_GSM Alpes du Sud_80_</v>
      </c>
      <c r="AB309" s="79">
        <v>80</v>
      </c>
      <c r="AC309" s="82" t="e">
        <f t="shared" si="33"/>
        <v>#NUM!</v>
      </c>
      <c r="AD309" s="86" t="e">
        <f t="shared" si="30"/>
        <v>#NUM!</v>
      </c>
      <c r="AE309" s="81"/>
    </row>
    <row r="310" spans="1:31" hidden="1" x14ac:dyDescent="0.25">
      <c r="A310" s="79" t="s">
        <v>308</v>
      </c>
      <c r="B310" s="79" t="s">
        <v>9</v>
      </c>
      <c r="C310" s="79" t="s">
        <v>309</v>
      </c>
      <c r="D310" s="81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32"/>
        <v>0</v>
      </c>
      <c r="Z310" s="82" t="e">
        <f t="shared" si="34"/>
        <v>#NUM!</v>
      </c>
      <c r="AA310" s="82" t="str">
        <f t="shared" si="29"/>
        <v>Cèdre de l'Atlas_F1_CA1_d5_GSM Alpes du Sud_95_</v>
      </c>
      <c r="AB310" s="79">
        <v>95</v>
      </c>
      <c r="AC310" s="82" t="e">
        <f t="shared" si="33"/>
        <v>#NUM!</v>
      </c>
      <c r="AD310" s="86" t="e">
        <f t="shared" si="30"/>
        <v>#NUM!</v>
      </c>
      <c r="AE310" s="81"/>
    </row>
    <row r="311" spans="1:31" hidden="1" x14ac:dyDescent="0.25">
      <c r="A311" s="79" t="s">
        <v>308</v>
      </c>
      <c r="B311" s="79" t="s">
        <v>9</v>
      </c>
      <c r="C311" s="79" t="s">
        <v>309</v>
      </c>
      <c r="D311" s="81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32"/>
        <v>0</v>
      </c>
      <c r="Z311" s="82" t="e">
        <f t="shared" si="34"/>
        <v>#NUM!</v>
      </c>
      <c r="AA311" s="82" t="str">
        <f t="shared" si="29"/>
        <v>Cèdre de l'Atlas_F1_CA1_d5_GSM Alpes du Sud_105_</v>
      </c>
      <c r="AB311" s="79">
        <v>105</v>
      </c>
      <c r="AC311" s="82" t="e">
        <f t="shared" si="33"/>
        <v>#NUM!</v>
      </c>
      <c r="AD311" s="86" t="e">
        <f t="shared" si="30"/>
        <v>#NUM!</v>
      </c>
      <c r="AE311" s="81"/>
    </row>
    <row r="312" spans="1:31" hidden="1" x14ac:dyDescent="0.25">
      <c r="A312" s="79" t="s">
        <v>308</v>
      </c>
      <c r="B312" s="79" t="s">
        <v>10</v>
      </c>
      <c r="C312" s="79" t="s">
        <v>310</v>
      </c>
      <c r="D312" s="81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32"/>
        <v>0</v>
      </c>
      <c r="Z312" s="82" t="e">
        <f t="shared" si="34"/>
        <v>#NUM!</v>
      </c>
      <c r="AA312" s="82" t="str">
        <f t="shared" si="29"/>
        <v>Cèdre de l'Atlas_F2_CA2_d5_GSM Alpes du Sud_15_</v>
      </c>
      <c r="AB312" s="79">
        <v>15</v>
      </c>
      <c r="AC312" s="82" t="e">
        <f t="shared" si="33"/>
        <v>#NUM!</v>
      </c>
      <c r="AD312" s="86" t="e">
        <f t="shared" si="30"/>
        <v>#NUM!</v>
      </c>
      <c r="AE312" s="81"/>
    </row>
    <row r="313" spans="1:31" hidden="1" x14ac:dyDescent="0.25">
      <c r="A313" s="79" t="s">
        <v>308</v>
      </c>
      <c r="B313" s="79" t="s">
        <v>10</v>
      </c>
      <c r="C313" s="79" t="s">
        <v>310</v>
      </c>
      <c r="D313" s="81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32"/>
        <v>0</v>
      </c>
      <c r="Z313" s="82" t="e">
        <f t="shared" si="34"/>
        <v>#NUM!</v>
      </c>
      <c r="AA313" s="82" t="str">
        <f t="shared" si="29"/>
        <v>Cèdre de l'Atlas_F2_CA2_d5_GSM Alpes du Sud_45_</v>
      </c>
      <c r="AB313" s="79">
        <v>45</v>
      </c>
      <c r="AC313" s="82" t="e">
        <f t="shared" si="33"/>
        <v>#NUM!</v>
      </c>
      <c r="AD313" s="86" t="e">
        <f t="shared" si="30"/>
        <v>#NUM!</v>
      </c>
      <c r="AE313" s="81"/>
    </row>
    <row r="314" spans="1:31" hidden="1" x14ac:dyDescent="0.25">
      <c r="A314" s="79" t="s">
        <v>308</v>
      </c>
      <c r="B314" s="79" t="s">
        <v>10</v>
      </c>
      <c r="C314" s="79" t="s">
        <v>310</v>
      </c>
      <c r="D314" s="81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32"/>
        <v>0</v>
      </c>
      <c r="Z314" s="82" t="e">
        <f t="shared" si="34"/>
        <v>#NUM!</v>
      </c>
      <c r="AA314" s="82" t="str">
        <f t="shared" si="29"/>
        <v>Cèdre de l'Atlas_F2_CA2_d5_GSM Alpes du Sud_55_</v>
      </c>
      <c r="AB314" s="79">
        <v>55</v>
      </c>
      <c r="AC314" s="82" t="e">
        <f t="shared" si="33"/>
        <v>#NUM!</v>
      </c>
      <c r="AD314" s="86" t="e">
        <f t="shared" si="30"/>
        <v>#NUM!</v>
      </c>
      <c r="AE314" s="81"/>
    </row>
    <row r="315" spans="1:31" hidden="1" x14ac:dyDescent="0.25">
      <c r="A315" s="79" t="s">
        <v>308</v>
      </c>
      <c r="B315" s="79" t="s">
        <v>10</v>
      </c>
      <c r="C315" s="79" t="s">
        <v>310</v>
      </c>
      <c r="D315" s="81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32"/>
        <v>0</v>
      </c>
      <c r="Z315" s="82" t="e">
        <f t="shared" si="34"/>
        <v>#NUM!</v>
      </c>
      <c r="AA315" s="82" t="str">
        <f t="shared" si="29"/>
        <v>Cèdre de l'Atlas_F2_CA2_d5_GSM Alpes du Sud_65_</v>
      </c>
      <c r="AB315" s="79">
        <v>65</v>
      </c>
      <c r="AC315" s="82" t="e">
        <f t="shared" si="33"/>
        <v>#NUM!</v>
      </c>
      <c r="AD315" s="86" t="e">
        <f t="shared" si="30"/>
        <v>#NUM!</v>
      </c>
      <c r="AE315" s="81"/>
    </row>
    <row r="316" spans="1:31" hidden="1" x14ac:dyDescent="0.25">
      <c r="A316" s="79" t="s">
        <v>308</v>
      </c>
      <c r="B316" s="79" t="s">
        <v>10</v>
      </c>
      <c r="C316" s="79" t="s">
        <v>310</v>
      </c>
      <c r="D316" s="81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32"/>
        <v>0</v>
      </c>
      <c r="Z316" s="82" t="e">
        <f t="shared" si="34"/>
        <v>#NUM!</v>
      </c>
      <c r="AA316" s="82" t="str">
        <f t="shared" si="29"/>
        <v>Cèdre de l'Atlas_F2_CA2_d5_GSM Alpes du Sud_75_</v>
      </c>
      <c r="AB316" s="79">
        <v>75</v>
      </c>
      <c r="AC316" s="82" t="e">
        <f t="shared" si="33"/>
        <v>#NUM!</v>
      </c>
      <c r="AD316" s="86" t="e">
        <f t="shared" si="30"/>
        <v>#NUM!</v>
      </c>
      <c r="AE316" s="81"/>
    </row>
    <row r="317" spans="1:31" hidden="1" x14ac:dyDescent="0.25">
      <c r="A317" s="79" t="s">
        <v>308</v>
      </c>
      <c r="B317" s="79" t="s">
        <v>10</v>
      </c>
      <c r="C317" s="79" t="s">
        <v>310</v>
      </c>
      <c r="D317" s="81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32"/>
        <v>0</v>
      </c>
      <c r="Z317" s="82" t="e">
        <f t="shared" si="34"/>
        <v>#NUM!</v>
      </c>
      <c r="AA317" s="82" t="str">
        <f t="shared" si="29"/>
        <v>Cèdre de l'Atlas_F2_CA2_d5_GSM Alpes du Sud_90_</v>
      </c>
      <c r="AB317" s="79">
        <v>90</v>
      </c>
      <c r="AC317" s="82" t="e">
        <f t="shared" si="33"/>
        <v>#NUM!</v>
      </c>
      <c r="AD317" s="86" t="e">
        <f t="shared" si="30"/>
        <v>#NUM!</v>
      </c>
      <c r="AE317" s="81"/>
    </row>
    <row r="318" spans="1:31" hidden="1" x14ac:dyDescent="0.25">
      <c r="A318" s="79" t="s">
        <v>308</v>
      </c>
      <c r="B318" s="79" t="s">
        <v>10</v>
      </c>
      <c r="C318" s="79" t="s">
        <v>310</v>
      </c>
      <c r="D318" s="81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32"/>
        <v>0</v>
      </c>
      <c r="Z318" s="82" t="e">
        <f t="shared" si="34"/>
        <v>#NUM!</v>
      </c>
      <c r="AA318" s="82" t="str">
        <f t="shared" si="29"/>
        <v>Cèdre de l'Atlas_F2_CA2_d5_GSM Alpes du Sud_105_</v>
      </c>
      <c r="AB318" s="79">
        <v>105</v>
      </c>
      <c r="AC318" s="82" t="e">
        <f t="shared" si="33"/>
        <v>#NUM!</v>
      </c>
      <c r="AD318" s="86" t="e">
        <f t="shared" si="30"/>
        <v>#NUM!</v>
      </c>
      <c r="AE318" s="81"/>
    </row>
    <row r="319" spans="1:31" hidden="1" x14ac:dyDescent="0.25">
      <c r="A319" s="79" t="s">
        <v>308</v>
      </c>
      <c r="B319" s="79" t="s">
        <v>10</v>
      </c>
      <c r="C319" s="79" t="s">
        <v>310</v>
      </c>
      <c r="D319" s="81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32"/>
        <v>0</v>
      </c>
      <c r="Z319" s="82" t="e">
        <f t="shared" si="34"/>
        <v>#NUM!</v>
      </c>
      <c r="AA319" s="82" t="str">
        <f t="shared" si="29"/>
        <v>Cèdre de l'Atlas_F2_CA2_d5_GSM Alpes du Sud_115_</v>
      </c>
      <c r="AB319" s="79">
        <v>115</v>
      </c>
      <c r="AC319" s="82" t="e">
        <f t="shared" si="33"/>
        <v>#NUM!</v>
      </c>
      <c r="AD319" s="86" t="e">
        <f t="shared" si="30"/>
        <v>#NUM!</v>
      </c>
      <c r="AE319" s="81"/>
    </row>
    <row r="320" spans="1:31" hidden="1" x14ac:dyDescent="0.25">
      <c r="A320" s="79" t="s">
        <v>308</v>
      </c>
      <c r="B320" s="79" t="s">
        <v>144</v>
      </c>
      <c r="C320" s="79" t="s">
        <v>311</v>
      </c>
      <c r="D320" s="81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32"/>
        <v>0</v>
      </c>
      <c r="Z320" s="82" t="e">
        <f t="shared" si="34"/>
        <v>#NUM!</v>
      </c>
      <c r="AA320" s="82" t="str">
        <f t="shared" si="29"/>
        <v>Cèdre de l'Atlas_F3_CA3_d5_GSM Alpes du Sud_17_</v>
      </c>
      <c r="AB320" s="79">
        <v>17</v>
      </c>
      <c r="AC320" s="82" t="e">
        <f t="shared" si="33"/>
        <v>#NUM!</v>
      </c>
      <c r="AD320" s="86" t="e">
        <f t="shared" si="30"/>
        <v>#NUM!</v>
      </c>
      <c r="AE320" s="81"/>
    </row>
    <row r="321" spans="1:31" hidden="1" x14ac:dyDescent="0.25">
      <c r="A321" s="79" t="s">
        <v>308</v>
      </c>
      <c r="B321" s="79" t="s">
        <v>144</v>
      </c>
      <c r="C321" s="79" t="s">
        <v>311</v>
      </c>
      <c r="D321" s="81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32"/>
        <v>0</v>
      </c>
      <c r="Z321" s="82" t="e">
        <f t="shared" si="34"/>
        <v>#NUM!</v>
      </c>
      <c r="AA321" s="82" t="str">
        <f t="shared" si="29"/>
        <v>Cèdre de l'Atlas_F3_CA3_d5_GSM Alpes du Sud_50_</v>
      </c>
      <c r="AB321" s="79">
        <v>50</v>
      </c>
      <c r="AC321" s="82" t="e">
        <f t="shared" si="33"/>
        <v>#NUM!</v>
      </c>
      <c r="AD321" s="86" t="e">
        <f t="shared" si="30"/>
        <v>#NUM!</v>
      </c>
      <c r="AE321" s="81"/>
    </row>
    <row r="322" spans="1:31" hidden="1" x14ac:dyDescent="0.25">
      <c r="A322" s="79" t="s">
        <v>308</v>
      </c>
      <c r="B322" s="79" t="s">
        <v>144</v>
      </c>
      <c r="C322" s="79" t="s">
        <v>311</v>
      </c>
      <c r="D322" s="81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32"/>
        <v>0</v>
      </c>
      <c r="Z322" s="82" t="e">
        <f t="shared" si="34"/>
        <v>#NUM!</v>
      </c>
      <c r="AA322" s="82" t="str">
        <f t="shared" si="29"/>
        <v>Cèdre de l'Atlas_F3_CA3_d5_GSM Alpes du Sud_60_</v>
      </c>
      <c r="AB322" s="79">
        <v>60</v>
      </c>
      <c r="AC322" s="82" t="e">
        <f t="shared" si="33"/>
        <v>#NUM!</v>
      </c>
      <c r="AD322" s="86" t="e">
        <f t="shared" si="30"/>
        <v>#NUM!</v>
      </c>
      <c r="AE322" s="81"/>
    </row>
    <row r="323" spans="1:31" hidden="1" x14ac:dyDescent="0.25">
      <c r="A323" s="79" t="s">
        <v>308</v>
      </c>
      <c r="B323" s="79" t="s">
        <v>144</v>
      </c>
      <c r="C323" s="79" t="s">
        <v>311</v>
      </c>
      <c r="D323" s="81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32"/>
        <v>0</v>
      </c>
      <c r="Z323" s="82" t="e">
        <f t="shared" si="34"/>
        <v>#NUM!</v>
      </c>
      <c r="AA323" s="82" t="str">
        <f t="shared" ref="AA323:AA365" si="35">+_xlfn.CONCAT(A323,"_",B323,"_",C323,"_",D323,"_",AB323,"_")</f>
        <v>Cèdre de l'Atlas_F3_CA3_d5_GSM Alpes du Sud_75_</v>
      </c>
      <c r="AB323" s="79">
        <v>75</v>
      </c>
      <c r="AC323" s="82" t="e">
        <f t="shared" si="33"/>
        <v>#NUM!</v>
      </c>
      <c r="AD323" s="86" t="e">
        <f t="shared" si="30"/>
        <v>#NUM!</v>
      </c>
      <c r="AE323" s="81"/>
    </row>
    <row r="324" spans="1:31" hidden="1" x14ac:dyDescent="0.25">
      <c r="A324" s="79" t="s">
        <v>308</v>
      </c>
      <c r="B324" s="79" t="s">
        <v>144</v>
      </c>
      <c r="C324" s="79" t="s">
        <v>311</v>
      </c>
      <c r="D324" s="81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32"/>
        <v>0</v>
      </c>
      <c r="Z324" s="82" t="e">
        <f t="shared" si="34"/>
        <v>#NUM!</v>
      </c>
      <c r="AA324" s="82" t="str">
        <f t="shared" si="35"/>
        <v>Cèdre de l'Atlas_F3_CA3_d5_GSM Alpes du Sud_90_</v>
      </c>
      <c r="AB324" s="79">
        <v>90</v>
      </c>
      <c r="AC324" s="82" t="e">
        <f t="shared" si="33"/>
        <v>#NUM!</v>
      </c>
      <c r="AD324" s="86" t="e">
        <f t="shared" ref="AD324:AD391" si="36">+IF(AC324=0,0,(AC324+AC323)*(AB324-AB323)/2)</f>
        <v>#NUM!</v>
      </c>
      <c r="AE324" s="81"/>
    </row>
    <row r="325" spans="1:31" hidden="1" x14ac:dyDescent="0.25">
      <c r="A325" s="79" t="s">
        <v>308</v>
      </c>
      <c r="B325" s="79" t="s">
        <v>144</v>
      </c>
      <c r="C325" s="79" t="s">
        <v>311</v>
      </c>
      <c r="D325" s="81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32"/>
        <v>0</v>
      </c>
      <c r="Z325" s="82" t="e">
        <f t="shared" si="34"/>
        <v>#NUM!</v>
      </c>
      <c r="AA325" s="82" t="str">
        <f t="shared" si="35"/>
        <v>Cèdre de l'Atlas_F3_CA3_d5_GSM Alpes du Sud_105_</v>
      </c>
      <c r="AB325" s="79">
        <v>105</v>
      </c>
      <c r="AC325" s="82" t="e">
        <f t="shared" si="33"/>
        <v>#NUM!</v>
      </c>
      <c r="AD325" s="86" t="e">
        <f t="shared" si="36"/>
        <v>#NUM!</v>
      </c>
      <c r="AE325" s="81"/>
    </row>
    <row r="326" spans="1:31" hidden="1" x14ac:dyDescent="0.25">
      <c r="A326" s="79" t="s">
        <v>308</v>
      </c>
      <c r="B326" s="79" t="s">
        <v>144</v>
      </c>
      <c r="C326" s="79" t="s">
        <v>311</v>
      </c>
      <c r="D326" s="81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32"/>
        <v>0</v>
      </c>
      <c r="Z326" s="82" t="e">
        <f t="shared" si="34"/>
        <v>#NUM!</v>
      </c>
      <c r="AA326" s="82" t="str">
        <f t="shared" si="35"/>
        <v>Cèdre de l'Atlas_F3_CA3_d5_GSM Alpes du Sud_120_</v>
      </c>
      <c r="AB326" s="79">
        <v>120</v>
      </c>
      <c r="AC326" s="82" t="e">
        <f t="shared" si="33"/>
        <v>#NUM!</v>
      </c>
      <c r="AD326" s="86" t="e">
        <f t="shared" si="36"/>
        <v>#NUM!</v>
      </c>
      <c r="AE326" s="81"/>
    </row>
    <row r="327" spans="1:31" hidden="1" x14ac:dyDescent="0.25">
      <c r="A327" s="79" t="s">
        <v>308</v>
      </c>
      <c r="B327" s="79" t="s">
        <v>144</v>
      </c>
      <c r="C327" s="79" t="s">
        <v>311</v>
      </c>
      <c r="D327" s="81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32"/>
        <v>0</v>
      </c>
      <c r="Z327" s="82" t="e">
        <f t="shared" si="34"/>
        <v>#NUM!</v>
      </c>
      <c r="AA327" s="82" t="str">
        <f t="shared" si="35"/>
        <v>Cèdre de l'Atlas_F3_CA3_d5_GSM Alpes du Sud_130_</v>
      </c>
      <c r="AB327" s="79">
        <v>130</v>
      </c>
      <c r="AC327" s="82" t="e">
        <f t="shared" si="33"/>
        <v>#NUM!</v>
      </c>
      <c r="AD327" s="86" t="e">
        <f t="shared" si="36"/>
        <v>#NUM!</v>
      </c>
      <c r="AE327" s="81"/>
    </row>
    <row r="328" spans="1:31" x14ac:dyDescent="0.25">
      <c r="A328" s="79" t="s">
        <v>312</v>
      </c>
      <c r="B328" s="79" t="s">
        <v>9</v>
      </c>
      <c r="C328" s="79" t="s">
        <v>313</v>
      </c>
      <c r="D328" s="81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381">
        <f t="shared" ref="M328:M337" si="37">+H328-P328</f>
        <v>4900</v>
      </c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32"/>
        <v>0</v>
      </c>
      <c r="Z328" s="82" t="e">
        <f t="shared" si="34"/>
        <v>#NUM!</v>
      </c>
      <c r="AA328" s="82" t="str">
        <f t="shared" si="35"/>
        <v>Mélèze d'Europe_F1_ME1_d5_GSM Alpes du Sud__</v>
      </c>
      <c r="AB328" s="79"/>
      <c r="AC328" s="82">
        <v>0</v>
      </c>
      <c r="AD328" s="86">
        <f>+IF(AC328=0,0,(AC328+AC327)*(AB328-AB327)/2)</f>
        <v>0</v>
      </c>
      <c r="AE328" s="81"/>
    </row>
    <row r="329" spans="1:31" x14ac:dyDescent="0.25">
      <c r="A329" s="79" t="s">
        <v>312</v>
      </c>
      <c r="B329" s="79" t="s">
        <v>9</v>
      </c>
      <c r="C329" s="79" t="s">
        <v>313</v>
      </c>
      <c r="D329" s="81" t="s">
        <v>227</v>
      </c>
      <c r="E329" s="79">
        <v>159</v>
      </c>
      <c r="F329" s="86">
        <v>30</v>
      </c>
      <c r="G329" s="86"/>
      <c r="H329" s="86">
        <v>1100</v>
      </c>
      <c r="I329" s="86"/>
      <c r="J329" s="86">
        <f>+J330/35*30</f>
        <v>141.42857142857144</v>
      </c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1">
        <f>+VLOOKUP(A329,infradensité!$A$2:$B$67,2,FALSE)</f>
        <v>0.48</v>
      </c>
      <c r="X329" s="81">
        <v>1.3</v>
      </c>
      <c r="Y329" s="82">
        <f t="shared" si="32"/>
        <v>88.251428571428576</v>
      </c>
      <c r="Z329" s="82">
        <f t="shared" si="34"/>
        <v>24.143031338015341</v>
      </c>
      <c r="AA329" s="82" t="str">
        <f t="shared" si="35"/>
        <v>Mélèze d'Europe_F1_ME1_d5_GSM Alpes du Sud_30_</v>
      </c>
      <c r="AB329" s="86">
        <v>30</v>
      </c>
      <c r="AC329" s="82">
        <f t="shared" si="33"/>
        <v>195.7536843422815</v>
      </c>
      <c r="AD329" s="86">
        <f t="shared" si="36"/>
        <v>2936.3052651342227</v>
      </c>
      <c r="AE329" s="86">
        <f>+SUM(AD328:AD336)/$AB$336</f>
        <v>358.80627918049646</v>
      </c>
    </row>
    <row r="330" spans="1:31" x14ac:dyDescent="0.25">
      <c r="A330" s="79" t="s">
        <v>312</v>
      </c>
      <c r="B330" s="79" t="s">
        <v>9</v>
      </c>
      <c r="C330" s="79" t="s">
        <v>313</v>
      </c>
      <c r="D330" s="81" t="s">
        <v>227</v>
      </c>
      <c r="E330" s="79">
        <v>159</v>
      </c>
      <c r="F330" s="79">
        <v>35</v>
      </c>
      <c r="G330" s="79">
        <v>16.5</v>
      </c>
      <c r="H330" s="83">
        <v>1100</v>
      </c>
      <c r="I330" s="83"/>
      <c r="J330" s="83">
        <f>O330/M330*H330</f>
        <v>165</v>
      </c>
      <c r="K330" s="83"/>
      <c r="L330" s="83"/>
      <c r="M330" s="381">
        <f t="shared" si="37"/>
        <v>440</v>
      </c>
      <c r="N330" s="84"/>
      <c r="O330" s="84">
        <v>66</v>
      </c>
      <c r="P330" s="85">
        <v>660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32"/>
        <v>102.96</v>
      </c>
      <c r="Z330" s="82">
        <f t="shared" si="34"/>
        <v>27.665975080374633</v>
      </c>
      <c r="AA330" s="82" t="str">
        <f t="shared" si="35"/>
        <v>Mélèze d'Europe_F1_ME1_d5_GSM Alpes du Sud_35_</v>
      </c>
      <c r="AB330" s="79">
        <v>35</v>
      </c>
      <c r="AC330" s="82">
        <f t="shared" si="33"/>
        <v>227.50690659831912</v>
      </c>
      <c r="AD330" s="86">
        <f t="shared" si="36"/>
        <v>1058.1514773515016</v>
      </c>
      <c r="AE330" s="81"/>
    </row>
    <row r="331" spans="1:31" x14ac:dyDescent="0.25">
      <c r="A331" s="79" t="s">
        <v>312</v>
      </c>
      <c r="B331" s="79" t="s">
        <v>9</v>
      </c>
      <c r="C331" s="79" t="s">
        <v>313</v>
      </c>
      <c r="D331" s="81" t="s">
        <v>227</v>
      </c>
      <c r="E331" s="79">
        <v>159</v>
      </c>
      <c r="F331" s="79">
        <v>50</v>
      </c>
      <c r="G331" s="79">
        <v>21.3</v>
      </c>
      <c r="H331" s="83">
        <v>660</v>
      </c>
      <c r="I331" s="83"/>
      <c r="J331" s="380">
        <f t="shared" ref="J331:J336" si="38">O331/M331*H331</f>
        <v>264</v>
      </c>
      <c r="K331" s="83"/>
      <c r="L331" s="83"/>
      <c r="M331" s="381">
        <f t="shared" si="37"/>
        <v>200</v>
      </c>
      <c r="N331" s="84"/>
      <c r="O331" s="84">
        <v>80</v>
      </c>
      <c r="P331" s="85">
        <v>460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32"/>
        <v>164.73599999999999</v>
      </c>
      <c r="Z331" s="82">
        <f t="shared" si="34"/>
        <v>41.908913144700328</v>
      </c>
      <c r="AA331" s="82" t="str">
        <f t="shared" si="35"/>
        <v>Mélèze d'Europe_F1_ME1_d5_GSM Alpes du Sud_50_</v>
      </c>
      <c r="AB331" s="79">
        <v>50</v>
      </c>
      <c r="AC331" s="82">
        <f t="shared" si="33"/>
        <v>359.90655706035301</v>
      </c>
      <c r="AD331" s="86">
        <f t="shared" si="36"/>
        <v>4405.6009774400409</v>
      </c>
      <c r="AE331" s="81"/>
    </row>
    <row r="332" spans="1:31" x14ac:dyDescent="0.25">
      <c r="A332" s="79" t="s">
        <v>312</v>
      </c>
      <c r="B332" s="79" t="s">
        <v>9</v>
      </c>
      <c r="C332" s="79" t="s">
        <v>313</v>
      </c>
      <c r="D332" s="81" t="s">
        <v>227</v>
      </c>
      <c r="E332" s="79">
        <v>159</v>
      </c>
      <c r="F332" s="79">
        <v>65</v>
      </c>
      <c r="G332" s="79">
        <v>25.1</v>
      </c>
      <c r="H332" s="83">
        <v>460</v>
      </c>
      <c r="I332" s="83"/>
      <c r="J332" s="380">
        <f t="shared" si="38"/>
        <v>322</v>
      </c>
      <c r="K332" s="83"/>
      <c r="L332" s="83"/>
      <c r="M332" s="381">
        <f t="shared" si="37"/>
        <v>140</v>
      </c>
      <c r="N332" s="84"/>
      <c r="O332" s="84">
        <v>98</v>
      </c>
      <c r="P332" s="85">
        <v>320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32"/>
        <v>200.928</v>
      </c>
      <c r="Z332" s="82">
        <f t="shared" si="34"/>
        <v>49.948059057189042</v>
      </c>
      <c r="AA332" s="82" t="str">
        <f t="shared" si="35"/>
        <v>Mélèze d'Europe_F1_ME1_d5_GSM Alpes du Sud_65_</v>
      </c>
      <c r="AB332" s="79">
        <v>65</v>
      </c>
      <c r="AC332" s="82">
        <f t="shared" si="33"/>
        <v>436.94246952460418</v>
      </c>
      <c r="AD332" s="86">
        <f>+IF(AC332=0,0,(AC332+AC331)*(AB332-AB331)/2)</f>
        <v>5976.3676993871786</v>
      </c>
      <c r="AE332" s="81"/>
    </row>
    <row r="333" spans="1:31" x14ac:dyDescent="0.25">
      <c r="A333" s="79" t="s">
        <v>312</v>
      </c>
      <c r="B333" s="79" t="s">
        <v>9</v>
      </c>
      <c r="C333" s="79" t="s">
        <v>313</v>
      </c>
      <c r="D333" s="81" t="s">
        <v>227</v>
      </c>
      <c r="E333" s="79">
        <v>159</v>
      </c>
      <c r="F333" s="79">
        <v>80</v>
      </c>
      <c r="G333" s="79">
        <v>28</v>
      </c>
      <c r="H333" s="83">
        <v>320</v>
      </c>
      <c r="I333" s="83"/>
      <c r="J333" s="380">
        <f t="shared" si="38"/>
        <v>384</v>
      </c>
      <c r="K333" s="83"/>
      <c r="L333" s="83"/>
      <c r="M333" s="381">
        <f t="shared" si="37"/>
        <v>80</v>
      </c>
      <c r="N333" s="84"/>
      <c r="O333" s="84">
        <v>96</v>
      </c>
      <c r="P333" s="85">
        <v>240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32"/>
        <v>239.61599999999999</v>
      </c>
      <c r="Z333" s="82">
        <f t="shared" si="34"/>
        <v>58.356903313490157</v>
      </c>
      <c r="AA333" s="82" t="str">
        <f t="shared" si="35"/>
        <v>Mélèze d'Europe_F1_ME1_d5_GSM Alpes du Sud_80_</v>
      </c>
      <c r="AB333" s="79">
        <v>80</v>
      </c>
      <c r="AC333" s="82">
        <f t="shared" si="33"/>
        <v>518.96947327099531</v>
      </c>
      <c r="AD333" s="86">
        <f t="shared" si="36"/>
        <v>7169.3395709669967</v>
      </c>
      <c r="AE333" s="81"/>
    </row>
    <row r="334" spans="1:31" x14ac:dyDescent="0.25">
      <c r="A334" s="79" t="s">
        <v>312</v>
      </c>
      <c r="B334" s="79" t="s">
        <v>9</v>
      </c>
      <c r="C334" s="79" t="s">
        <v>313</v>
      </c>
      <c r="D334" s="81" t="s">
        <v>227</v>
      </c>
      <c r="E334" s="79">
        <v>159</v>
      </c>
      <c r="F334" s="79">
        <v>100</v>
      </c>
      <c r="G334" s="79">
        <v>31</v>
      </c>
      <c r="H334" s="83">
        <v>240</v>
      </c>
      <c r="I334" s="83"/>
      <c r="J334" s="380">
        <f t="shared" si="38"/>
        <v>360</v>
      </c>
      <c r="K334" s="83"/>
      <c r="L334" s="83"/>
      <c r="M334" s="381">
        <f t="shared" si="37"/>
        <v>60</v>
      </c>
      <c r="N334" s="84"/>
      <c r="O334" s="84">
        <v>90</v>
      </c>
      <c r="P334" s="85">
        <v>180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32"/>
        <v>224.64</v>
      </c>
      <c r="Z334" s="82">
        <f t="shared" si="34"/>
        <v>55.122138502719949</v>
      </c>
      <c r="AA334" s="82" t="str">
        <f t="shared" si="35"/>
        <v>Mélèze d'Europe_F1_ME1_d5_GSM Alpes du Sud_100_</v>
      </c>
      <c r="AB334" s="79">
        <v>100</v>
      </c>
      <c r="AC334" s="82">
        <f t="shared" si="33"/>
        <v>487.25239122557053</v>
      </c>
      <c r="AD334" s="86">
        <f t="shared" si="36"/>
        <v>10062.218644965658</v>
      </c>
      <c r="AE334" s="81"/>
    </row>
    <row r="335" spans="1:31" x14ac:dyDescent="0.25">
      <c r="A335" s="79" t="s">
        <v>312</v>
      </c>
      <c r="B335" s="79" t="s">
        <v>9</v>
      </c>
      <c r="C335" s="79" t="s">
        <v>313</v>
      </c>
      <c r="D335" s="81" t="s">
        <v>227</v>
      </c>
      <c r="E335" s="79">
        <v>159</v>
      </c>
      <c r="F335" s="79">
        <v>120</v>
      </c>
      <c r="G335" s="79">
        <v>33.299999999999997</v>
      </c>
      <c r="H335" s="83">
        <v>180</v>
      </c>
      <c r="I335" s="83"/>
      <c r="J335" s="380">
        <f t="shared" si="38"/>
        <v>382.5</v>
      </c>
      <c r="K335" s="83"/>
      <c r="L335" s="83"/>
      <c r="M335" s="381">
        <f t="shared" si="37"/>
        <v>80</v>
      </c>
      <c r="N335" s="84"/>
      <c r="O335" s="84">
        <v>170</v>
      </c>
      <c r="P335" s="85">
        <v>100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32"/>
        <v>238.68</v>
      </c>
      <c r="Z335" s="82">
        <f t="shared" si="34"/>
        <v>58.155434955547463</v>
      </c>
      <c r="AA335" s="82" t="str">
        <f t="shared" si="35"/>
        <v>Mélèze d'Europe_F1_ME1_d5_GSM Alpes du Sud_120_</v>
      </c>
      <c r="AB335" s="79">
        <v>120</v>
      </c>
      <c r="AC335" s="82">
        <f t="shared" si="33"/>
        <v>516.98838254757857</v>
      </c>
      <c r="AD335" s="86">
        <f t="shared" si="36"/>
        <v>10042.407737731492</v>
      </c>
      <c r="AE335" s="81"/>
    </row>
    <row r="336" spans="1:31" x14ac:dyDescent="0.25">
      <c r="A336" s="79" t="s">
        <v>312</v>
      </c>
      <c r="B336" s="79" t="s">
        <v>9</v>
      </c>
      <c r="C336" s="79" t="s">
        <v>313</v>
      </c>
      <c r="D336" s="81" t="s">
        <v>227</v>
      </c>
      <c r="E336" s="79">
        <v>159</v>
      </c>
      <c r="F336" s="79">
        <v>140</v>
      </c>
      <c r="G336" s="79">
        <v>35.299999999999997</v>
      </c>
      <c r="H336" s="83">
        <v>100</v>
      </c>
      <c r="I336" s="83"/>
      <c r="J336" s="380">
        <f t="shared" si="38"/>
        <v>250</v>
      </c>
      <c r="K336" s="83"/>
      <c r="L336" s="83"/>
      <c r="M336" s="381">
        <f t="shared" si="37"/>
        <v>100</v>
      </c>
      <c r="N336" s="84"/>
      <c r="O336" s="84">
        <v>250</v>
      </c>
      <c r="P336" s="85">
        <v>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32"/>
        <v>156</v>
      </c>
      <c r="Z336" s="82">
        <f t="shared" si="34"/>
        <v>39.938979147366325</v>
      </c>
      <c r="AA336" s="82" t="str">
        <f t="shared" si="35"/>
        <v>Mélèze d'Europe_F1_ME1_d5_GSM Alpes du Sud_140_</v>
      </c>
      <c r="AB336" s="79">
        <v>140</v>
      </c>
      <c r="AC336" s="82">
        <f t="shared" si="33"/>
        <v>341.26038868166296</v>
      </c>
      <c r="AD336" s="86">
        <f t="shared" si="36"/>
        <v>8582.4877122924154</v>
      </c>
      <c r="AE336" s="81"/>
    </row>
    <row r="337" spans="1:31" x14ac:dyDescent="0.25">
      <c r="A337" s="79" t="s">
        <v>312</v>
      </c>
      <c r="B337" s="79" t="s">
        <v>10</v>
      </c>
      <c r="C337" s="79" t="s">
        <v>314</v>
      </c>
      <c r="D337" s="81" t="s">
        <v>227</v>
      </c>
      <c r="E337" s="79">
        <v>160</v>
      </c>
      <c r="F337" s="79"/>
      <c r="G337" s="79">
        <v>4</v>
      </c>
      <c r="H337" s="83">
        <v>6000</v>
      </c>
      <c r="I337" s="83"/>
      <c r="J337" s="83"/>
      <c r="K337" s="83"/>
      <c r="L337" s="83"/>
      <c r="M337" s="381">
        <f t="shared" si="37"/>
        <v>4900</v>
      </c>
      <c r="N337" s="84"/>
      <c r="O337" s="84"/>
      <c r="P337" s="85">
        <v>1100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32"/>
        <v>0</v>
      </c>
      <c r="Z337" s="82" t="e">
        <f t="shared" si="34"/>
        <v>#NUM!</v>
      </c>
      <c r="AA337" s="82" t="str">
        <f t="shared" si="35"/>
        <v>Mélèze d'Europe_F2_ME2_d6_GSM Alpes du Sud__</v>
      </c>
      <c r="AB337" s="79"/>
      <c r="AC337" s="82">
        <v>0</v>
      </c>
      <c r="AD337" s="86">
        <f t="shared" si="36"/>
        <v>0</v>
      </c>
      <c r="AE337" s="81"/>
    </row>
    <row r="338" spans="1:31" x14ac:dyDescent="0.25">
      <c r="A338" s="79" t="s">
        <v>312</v>
      </c>
      <c r="B338" s="79" t="s">
        <v>10</v>
      </c>
      <c r="C338" s="79" t="s">
        <v>314</v>
      </c>
      <c r="D338" s="81" t="s">
        <v>227</v>
      </c>
      <c r="E338" s="79">
        <v>160</v>
      </c>
      <c r="F338" s="86">
        <v>30</v>
      </c>
      <c r="G338" s="86"/>
      <c r="H338" s="86">
        <v>1100</v>
      </c>
      <c r="I338" s="86"/>
      <c r="J338" s="86">
        <f>+J339/50*30</f>
        <v>85.5</v>
      </c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1">
        <f>+VLOOKUP(A338,infradensité!$A$2:$B$67,2,FALSE)</f>
        <v>0.48</v>
      </c>
      <c r="X338" s="81">
        <v>1.3</v>
      </c>
      <c r="Y338" s="82">
        <f t="shared" si="32"/>
        <v>53.351999999999997</v>
      </c>
      <c r="Z338" s="82">
        <f t="shared" si="34"/>
        <v>15.476132071622843</v>
      </c>
      <c r="AA338" s="82" t="str">
        <f t="shared" si="35"/>
        <v>Mélèze d'Europe_F2_ME2_d6_GSM Alpes du Sud_30_</v>
      </c>
      <c r="AB338" s="86">
        <v>30</v>
      </c>
      <c r="AC338" s="82">
        <f t="shared" si="33"/>
        <v>119.87566335807644</v>
      </c>
      <c r="AD338" s="86">
        <f t="shared" si="36"/>
        <v>1798.1349503711465</v>
      </c>
      <c r="AE338" s="86">
        <f>+SUM(AD338:AD346)/190</f>
        <v>328.73363148746614</v>
      </c>
    </row>
    <row r="339" spans="1:31" x14ac:dyDescent="0.25">
      <c r="A339" s="79" t="s">
        <v>312</v>
      </c>
      <c r="B339" s="79" t="s">
        <v>10</v>
      </c>
      <c r="C339" s="79" t="s">
        <v>314</v>
      </c>
      <c r="D339" s="81" t="s">
        <v>227</v>
      </c>
      <c r="E339" s="79">
        <v>160</v>
      </c>
      <c r="F339" s="79">
        <v>50</v>
      </c>
      <c r="G339" s="79">
        <v>16.399999999999999</v>
      </c>
      <c r="H339" s="83">
        <v>1100</v>
      </c>
      <c r="I339" s="83"/>
      <c r="J339" s="83">
        <f>+O339/M339*H339</f>
        <v>142.5</v>
      </c>
      <c r="K339" s="83"/>
      <c r="L339" s="83"/>
      <c r="M339" s="84">
        <f>+H339-P339</f>
        <v>440</v>
      </c>
      <c r="N339" s="84"/>
      <c r="O339" s="84">
        <v>57</v>
      </c>
      <c r="P339" s="85">
        <v>660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32"/>
        <v>88.92</v>
      </c>
      <c r="Z339" s="82">
        <f t="shared" si="34"/>
        <v>24.30457227046648</v>
      </c>
      <c r="AA339" s="82" t="str">
        <f t="shared" si="35"/>
        <v>Mélèze d'Europe_F2_ME2_d6_GSM Alpes du Sud_50_</v>
      </c>
      <c r="AB339" s="79">
        <v>50</v>
      </c>
      <c r="AC339" s="82">
        <f t="shared" si="33"/>
        <v>197.19946337106242</v>
      </c>
      <c r="AD339" s="86">
        <f>+IF(AC339=0,0,(AC339+AC337)*(AB339-AB337)/2)</f>
        <v>4929.9865842765603</v>
      </c>
      <c r="AE339" s="81"/>
    </row>
    <row r="340" spans="1:31" x14ac:dyDescent="0.25">
      <c r="A340" s="79" t="s">
        <v>312</v>
      </c>
      <c r="B340" s="79" t="s">
        <v>10</v>
      </c>
      <c r="C340" s="79" t="s">
        <v>314</v>
      </c>
      <c r="D340" s="81" t="s">
        <v>227</v>
      </c>
      <c r="E340" s="79">
        <v>160</v>
      </c>
      <c r="F340" s="79">
        <v>70</v>
      </c>
      <c r="G340" s="79">
        <v>20.100000000000001</v>
      </c>
      <c r="H340" s="83">
        <v>660</v>
      </c>
      <c r="I340" s="83"/>
      <c r="J340" s="380">
        <f t="shared" ref="J340:J346" si="39">+O340/M340*H340</f>
        <v>264</v>
      </c>
      <c r="K340" s="83"/>
      <c r="L340" s="83"/>
      <c r="M340" s="381">
        <f t="shared" ref="M340:M346" si="40">+H340-P340</f>
        <v>180</v>
      </c>
      <c r="N340" s="84"/>
      <c r="O340" s="84">
        <v>72</v>
      </c>
      <c r="P340" s="85">
        <v>480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32"/>
        <v>164.73599999999999</v>
      </c>
      <c r="Z340" s="82">
        <f t="shared" si="34"/>
        <v>41.908913144700328</v>
      </c>
      <c r="AA340" s="82" t="str">
        <f t="shared" si="35"/>
        <v>Mélèze d'Europe_F2_ME2_d6_GSM Alpes du Sud_70_</v>
      </c>
      <c r="AB340" s="79">
        <v>70</v>
      </c>
      <c r="AC340" s="82">
        <f t="shared" si="33"/>
        <v>359.90655706035301</v>
      </c>
      <c r="AD340" s="86">
        <f t="shared" si="36"/>
        <v>5571.0602043141544</v>
      </c>
      <c r="AE340" s="81"/>
    </row>
    <row r="341" spans="1:31" x14ac:dyDescent="0.25">
      <c r="A341" s="79" t="s">
        <v>312</v>
      </c>
      <c r="B341" s="79" t="s">
        <v>10</v>
      </c>
      <c r="C341" s="79" t="s">
        <v>314</v>
      </c>
      <c r="D341" s="81" t="s">
        <v>227</v>
      </c>
      <c r="E341" s="79">
        <v>160</v>
      </c>
      <c r="F341" s="79">
        <v>90</v>
      </c>
      <c r="G341" s="79">
        <v>22.8</v>
      </c>
      <c r="H341" s="83">
        <v>480</v>
      </c>
      <c r="I341" s="83"/>
      <c r="J341" s="380">
        <f t="shared" si="39"/>
        <v>266.18181818181819</v>
      </c>
      <c r="K341" s="83"/>
      <c r="L341" s="83"/>
      <c r="M341" s="381">
        <f t="shared" si="40"/>
        <v>110</v>
      </c>
      <c r="N341" s="84"/>
      <c r="O341" s="84">
        <v>61</v>
      </c>
      <c r="P341" s="85">
        <v>370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32"/>
        <v>166.09745454545455</v>
      </c>
      <c r="Z341" s="82">
        <f t="shared" si="34"/>
        <v>42.214805365584709</v>
      </c>
      <c r="AA341" s="82" t="str">
        <f t="shared" si="35"/>
        <v>Mélèze d'Europe_F2_ME2_d6_GSM Alpes du Sud_90_</v>
      </c>
      <c r="AB341" s="79">
        <v>90</v>
      </c>
      <c r="AC341" s="82">
        <f t="shared" si="33"/>
        <v>362.81051934505996</v>
      </c>
      <c r="AD341" s="86">
        <f t="shared" si="36"/>
        <v>7227.1707640541299</v>
      </c>
      <c r="AE341" s="81"/>
    </row>
    <row r="342" spans="1:31" x14ac:dyDescent="0.25">
      <c r="A342" s="79" t="s">
        <v>312</v>
      </c>
      <c r="B342" s="79" t="s">
        <v>10</v>
      </c>
      <c r="C342" s="79" t="s">
        <v>314</v>
      </c>
      <c r="D342" s="81" t="s">
        <v>227</v>
      </c>
      <c r="E342" s="79">
        <v>160</v>
      </c>
      <c r="F342" s="79">
        <v>110</v>
      </c>
      <c r="G342" s="79">
        <v>25</v>
      </c>
      <c r="H342" s="83">
        <v>370</v>
      </c>
      <c r="I342" s="83"/>
      <c r="J342" s="380">
        <f t="shared" si="39"/>
        <v>261.46666666666664</v>
      </c>
      <c r="K342" s="83"/>
      <c r="L342" s="83"/>
      <c r="M342" s="381">
        <f t="shared" si="40"/>
        <v>75</v>
      </c>
      <c r="N342" s="84"/>
      <c r="O342" s="84">
        <v>53</v>
      </c>
      <c r="P342" s="85">
        <v>295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32"/>
        <v>163.15519999999998</v>
      </c>
      <c r="Z342" s="82">
        <f t="shared" si="34"/>
        <v>41.553368726232286</v>
      </c>
      <c r="AA342" s="82" t="str">
        <f t="shared" si="35"/>
        <v>Mélèze d'Europe_F2_ME2_d6_GSM Alpes du Sud_110_</v>
      </c>
      <c r="AB342" s="79">
        <v>110</v>
      </c>
      <c r="AC342" s="82">
        <f t="shared" si="33"/>
        <v>356.53409053152114</v>
      </c>
      <c r="AD342" s="86">
        <f t="shared" si="36"/>
        <v>7193.4460987658113</v>
      </c>
      <c r="AE342" s="81"/>
    </row>
    <row r="343" spans="1:31" x14ac:dyDescent="0.25">
      <c r="A343" s="79" t="s">
        <v>312</v>
      </c>
      <c r="B343" s="79" t="s">
        <v>10</v>
      </c>
      <c r="C343" s="79" t="s">
        <v>314</v>
      </c>
      <c r="D343" s="81" t="s">
        <v>227</v>
      </c>
      <c r="E343" s="79">
        <v>160</v>
      </c>
      <c r="F343" s="79">
        <v>130</v>
      </c>
      <c r="G343" s="79">
        <v>26.9</v>
      </c>
      <c r="H343" s="83">
        <v>295</v>
      </c>
      <c r="I343" s="83"/>
      <c r="J343" s="380">
        <f t="shared" si="39"/>
        <v>327.18181818181819</v>
      </c>
      <c r="K343" s="83"/>
      <c r="L343" s="83"/>
      <c r="M343" s="381">
        <f t="shared" si="40"/>
        <v>55</v>
      </c>
      <c r="N343" s="84"/>
      <c r="O343" s="84">
        <v>61</v>
      </c>
      <c r="P343" s="85">
        <v>240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32"/>
        <v>204.16145454545455</v>
      </c>
      <c r="Z343" s="82">
        <f t="shared" si="34"/>
        <v>50.65763044319268</v>
      </c>
      <c r="AA343" s="82" t="str">
        <f t="shared" si="35"/>
        <v>Mélèze d'Europe_F2_ME2_d6_GSM Alpes du Sud_130_</v>
      </c>
      <c r="AB343" s="79">
        <v>130</v>
      </c>
      <c r="AC343" s="82">
        <f t="shared" si="33"/>
        <v>443.80990635522721</v>
      </c>
      <c r="AD343" s="86">
        <f t="shared" si="36"/>
        <v>8003.439968867483</v>
      </c>
      <c r="AE343" s="81"/>
    </row>
    <row r="344" spans="1:31" x14ac:dyDescent="0.25">
      <c r="A344" s="79" t="s">
        <v>312</v>
      </c>
      <c r="B344" s="79" t="s">
        <v>10</v>
      </c>
      <c r="C344" s="79" t="s">
        <v>314</v>
      </c>
      <c r="D344" s="81" t="s">
        <v>227</v>
      </c>
      <c r="E344" s="79">
        <v>160</v>
      </c>
      <c r="F344" s="79">
        <v>150</v>
      </c>
      <c r="G344" s="79">
        <v>28.6</v>
      </c>
      <c r="H344" s="83">
        <v>240</v>
      </c>
      <c r="I344" s="83"/>
      <c r="J344" s="380">
        <f t="shared" si="39"/>
        <v>360</v>
      </c>
      <c r="K344" s="83"/>
      <c r="L344" s="83"/>
      <c r="M344" s="381">
        <f t="shared" si="40"/>
        <v>50</v>
      </c>
      <c r="N344" s="84"/>
      <c r="O344" s="84">
        <v>75</v>
      </c>
      <c r="P344" s="85">
        <v>190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32"/>
        <v>224.64</v>
      </c>
      <c r="Z344" s="82">
        <f t="shared" si="34"/>
        <v>55.122138502719949</v>
      </c>
      <c r="AA344" s="82" t="str">
        <f t="shared" si="35"/>
        <v>Mélèze d'Europe_F2_ME2_d6_GSM Alpes du Sud_150_</v>
      </c>
      <c r="AB344" s="79">
        <v>150</v>
      </c>
      <c r="AC344" s="82">
        <f t="shared" si="33"/>
        <v>487.25239122557053</v>
      </c>
      <c r="AD344" s="86">
        <f t="shared" si="36"/>
        <v>9310.6229758079789</v>
      </c>
      <c r="AE344" s="81"/>
    </row>
    <row r="345" spans="1:31" x14ac:dyDescent="0.25">
      <c r="A345" s="79" t="s">
        <v>312</v>
      </c>
      <c r="B345" s="79" t="s">
        <v>10</v>
      </c>
      <c r="C345" s="79" t="s">
        <v>314</v>
      </c>
      <c r="D345" s="81" t="s">
        <v>227</v>
      </c>
      <c r="E345" s="79">
        <v>160</v>
      </c>
      <c r="F345" s="79">
        <v>170</v>
      </c>
      <c r="G345" s="79">
        <v>30.2</v>
      </c>
      <c r="H345" s="83">
        <v>190</v>
      </c>
      <c r="I345" s="83"/>
      <c r="J345" s="380">
        <f t="shared" si="39"/>
        <v>380</v>
      </c>
      <c r="K345" s="83"/>
      <c r="L345" s="83"/>
      <c r="M345" s="381">
        <f t="shared" si="40"/>
        <v>90</v>
      </c>
      <c r="N345" s="84"/>
      <c r="O345" s="84">
        <v>180</v>
      </c>
      <c r="P345" s="85">
        <v>100</v>
      </c>
      <c r="Q345" s="85"/>
      <c r="R345" s="85"/>
      <c r="S345" s="85"/>
      <c r="T345" s="80"/>
      <c r="U345" s="80"/>
      <c r="V345" s="81" t="s">
        <v>53</v>
      </c>
      <c r="W345" s="81">
        <f>+VLOOKUP(A345,infradensité!$A$2:$B$67,2,FALSE)</f>
        <v>0.48</v>
      </c>
      <c r="X345" s="81">
        <v>1.3</v>
      </c>
      <c r="Y345" s="82">
        <f t="shared" si="32"/>
        <v>237.12</v>
      </c>
      <c r="Z345" s="82">
        <f t="shared" si="34"/>
        <v>57.819449746919268</v>
      </c>
      <c r="AA345" s="82" t="str">
        <f t="shared" si="35"/>
        <v>Mélèze d'Europe_F2_ME2_d6_GSM Alpes du Sud_170_</v>
      </c>
      <c r="AB345" s="79">
        <v>170</v>
      </c>
      <c r="AC345" s="82">
        <f t="shared" si="33"/>
        <v>513.6862083092177</v>
      </c>
      <c r="AD345" s="86">
        <f t="shared" si="36"/>
        <v>10009.385995347882</v>
      </c>
      <c r="AE345" s="81"/>
    </row>
    <row r="346" spans="1:31" x14ac:dyDescent="0.25">
      <c r="A346" s="79" t="s">
        <v>312</v>
      </c>
      <c r="B346" s="79" t="s">
        <v>10</v>
      </c>
      <c r="C346" s="79" t="s">
        <v>314</v>
      </c>
      <c r="D346" s="81" t="s">
        <v>227</v>
      </c>
      <c r="E346" s="79">
        <v>160</v>
      </c>
      <c r="F346" s="79">
        <v>190</v>
      </c>
      <c r="G346" s="79">
        <v>31.7</v>
      </c>
      <c r="H346" s="83">
        <v>100</v>
      </c>
      <c r="I346" s="83"/>
      <c r="J346" s="380">
        <f t="shared" si="39"/>
        <v>240</v>
      </c>
      <c r="K346" s="83"/>
      <c r="L346" s="83"/>
      <c r="M346" s="381">
        <f t="shared" si="40"/>
        <v>100</v>
      </c>
      <c r="N346" s="84"/>
      <c r="O346" s="84">
        <v>240</v>
      </c>
      <c r="P346" s="85">
        <v>0</v>
      </c>
      <c r="Q346" s="85"/>
      <c r="R346" s="85"/>
      <c r="S346" s="85"/>
      <c r="T346" s="80"/>
      <c r="U346" s="80"/>
      <c r="V346" s="81" t="s">
        <v>53</v>
      </c>
      <c r="W346" s="81">
        <f>+VLOOKUP(A346,infradensité!$A$2:$B$67,2,FALSE)</f>
        <v>0.48</v>
      </c>
      <c r="X346" s="81">
        <v>1.3</v>
      </c>
      <c r="Y346" s="82">
        <f t="shared" si="32"/>
        <v>149.76</v>
      </c>
      <c r="Z346" s="82">
        <f t="shared" si="34"/>
        <v>38.524039677774802</v>
      </c>
      <c r="AA346" s="82" t="str">
        <f t="shared" si="35"/>
        <v>Mélèze d'Europe_F2_ME2_d6_GSM Alpes du Sud_190_</v>
      </c>
      <c r="AB346" s="79">
        <v>190</v>
      </c>
      <c r="AC346" s="82">
        <f t="shared" si="33"/>
        <v>327.92803577212442</v>
      </c>
      <c r="AD346" s="86">
        <f t="shared" si="36"/>
        <v>8416.1424408134208</v>
      </c>
      <c r="AE346" s="81"/>
    </row>
    <row r="347" spans="1:31" s="1" customFormat="1" hidden="1" x14ac:dyDescent="0.25">
      <c r="A347" s="86" t="s">
        <v>236</v>
      </c>
      <c r="B347" s="86" t="s">
        <v>10</v>
      </c>
      <c r="C347" s="86" t="s">
        <v>18</v>
      </c>
      <c r="D347" s="87" t="s">
        <v>235</v>
      </c>
      <c r="E347" s="86">
        <v>333</v>
      </c>
      <c r="F347" s="86">
        <v>20</v>
      </c>
      <c r="G347" s="86"/>
      <c r="H347" s="90"/>
      <c r="I347" s="86"/>
      <c r="J347" s="86">
        <v>0</v>
      </c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>
        <f>+VLOOKUP(A347,infradensité!$A$2:$B$67,2,FALSE)</f>
        <v>0.46</v>
      </c>
      <c r="X347" s="86">
        <v>1.3</v>
      </c>
      <c r="Y347" s="88">
        <f t="shared" si="32"/>
        <v>0</v>
      </c>
      <c r="Z347" s="88" t="e">
        <f t="shared" si="34"/>
        <v>#NUM!</v>
      </c>
      <c r="AA347" s="88" t="str">
        <f t="shared" si="35"/>
        <v>Pin Maritime_F2_Classique_GS Pineraies des plaines du Centre et du Nord Ouest_0_</v>
      </c>
      <c r="AB347" s="86">
        <v>0</v>
      </c>
      <c r="AC347" s="88">
        <v>0</v>
      </c>
      <c r="AD347" s="86">
        <f t="shared" si="36"/>
        <v>0</v>
      </c>
      <c r="AE347" s="86">
        <f>+SUM($AD$347:$AD$365)/$AB$365</f>
        <v>484.32967082766908</v>
      </c>
    </row>
    <row r="348" spans="1:31" s="1" customFormat="1" hidden="1" x14ac:dyDescent="0.25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20</v>
      </c>
      <c r="G348" s="79"/>
      <c r="H348" s="91"/>
      <c r="I348" s="83"/>
      <c r="J348" s="83">
        <v>103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32"/>
        <v>61.594000000000008</v>
      </c>
      <c r="Z348" s="82">
        <f t="shared" si="34"/>
        <v>17.570665168564613</v>
      </c>
      <c r="AA348" s="82" t="str">
        <f t="shared" si="35"/>
        <v>Pin Maritime_F2_Classique_GS Pineraies des plaines du Centre et du Nord Ouest_20_</v>
      </c>
      <c r="AB348" s="79">
        <f t="shared" ref="AB348:AB365" si="41">F348</f>
        <v>20</v>
      </c>
      <c r="AC348" s="82">
        <f t="shared" si="33"/>
        <v>137.8784585019167</v>
      </c>
      <c r="AD348" s="86">
        <f t="shared" si="36"/>
        <v>1378.784585019167</v>
      </c>
      <c r="AE348" s="86">
        <f t="shared" ref="AE348:AE364" si="42">+SUM($AD$347:$AD$365)/$AB$365</f>
        <v>484.32967082766908</v>
      </c>
    </row>
    <row r="349" spans="1:31" s="1" customFormat="1" hidden="1" x14ac:dyDescent="0.25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21</v>
      </c>
      <c r="G349" s="79"/>
      <c r="H349" s="83"/>
      <c r="I349" s="83"/>
      <c r="J349" s="83">
        <v>127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ref="Y349:Y412" si="43">+X349*W349*J349</f>
        <v>75.946000000000012</v>
      </c>
      <c r="Z349" s="82">
        <f t="shared" si="34"/>
        <v>21.142979995226831</v>
      </c>
      <c r="AA349" s="82" t="str">
        <f t="shared" si="35"/>
        <v>Pin Maritime_F2_Classique_GS Pineraies des plaines du Centre et du Nord Ouest_21_</v>
      </c>
      <c r="AB349" s="79">
        <f t="shared" si="41"/>
        <v>21</v>
      </c>
      <c r="AC349" s="82">
        <f t="shared" ref="AC349:AC412" si="44">+(Z349+Y349)*0.475*44/12</f>
        <v>169.09664015835344</v>
      </c>
      <c r="AD349" s="86">
        <f t="shared" si="36"/>
        <v>153.48754933013507</v>
      </c>
      <c r="AE349" s="86">
        <f t="shared" si="42"/>
        <v>484.32967082766908</v>
      </c>
    </row>
    <row r="350" spans="1:31" s="1" customFormat="1" hidden="1" x14ac:dyDescent="0.25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21</v>
      </c>
      <c r="G350" s="79"/>
      <c r="H350" s="83"/>
      <c r="I350" s="83"/>
      <c r="J350" s="83">
        <v>82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43"/>
        <v>49.036000000000008</v>
      </c>
      <c r="Z350" s="82">
        <f t="shared" ref="Z350:Z413" si="45">+EXP(-1.0587+0.8836*LN(Y350)+0.284)</f>
        <v>14.364521080802803</v>
      </c>
      <c r="AA350" s="82" t="str">
        <f t="shared" si="35"/>
        <v>Pin Maritime_F2_Classique_GS Pineraies des plaines du Centre et du Nord Ouest_21_</v>
      </c>
      <c r="AB350" s="79">
        <f t="shared" si="41"/>
        <v>21</v>
      </c>
      <c r="AC350" s="82">
        <f t="shared" si="44"/>
        <v>110.42257421573156</v>
      </c>
      <c r="AD350" s="86">
        <f t="shared" si="36"/>
        <v>0</v>
      </c>
      <c r="AE350" s="86">
        <f t="shared" si="42"/>
        <v>484.32967082766908</v>
      </c>
    </row>
    <row r="351" spans="1:31" s="1" customFormat="1" hidden="1" x14ac:dyDescent="0.25">
      <c r="A351" s="79" t="s">
        <v>236</v>
      </c>
      <c r="B351" s="79" t="s">
        <v>10</v>
      </c>
      <c r="C351" s="79" t="s">
        <v>18</v>
      </c>
      <c r="D351" s="89" t="s">
        <v>235</v>
      </c>
      <c r="E351" s="79">
        <v>333</v>
      </c>
      <c r="F351" s="79">
        <v>27</v>
      </c>
      <c r="G351" s="79"/>
      <c r="H351" s="83"/>
      <c r="I351" s="83"/>
      <c r="J351" s="83">
        <v>193</v>
      </c>
      <c r="K351" s="83"/>
      <c r="L351" s="83"/>
      <c r="M351" s="84"/>
      <c r="N351" s="84"/>
      <c r="O351" s="84"/>
      <c r="P351" s="85"/>
      <c r="Q351" s="85"/>
      <c r="R351" s="85"/>
      <c r="S351" s="85"/>
      <c r="T351" s="80"/>
      <c r="U351" s="80"/>
      <c r="V351" s="81"/>
      <c r="W351" s="81">
        <f>+VLOOKUP(A351,infradensité!$A$2:$B$67,2,FALSE)</f>
        <v>0.46</v>
      </c>
      <c r="X351" s="81">
        <v>1.3</v>
      </c>
      <c r="Y351" s="82">
        <f t="shared" si="43"/>
        <v>115.41400000000002</v>
      </c>
      <c r="Z351" s="82">
        <f t="shared" si="45"/>
        <v>30.602976534547519</v>
      </c>
      <c r="AA351" s="82" t="str">
        <f t="shared" si="35"/>
        <v>Pin Maritime_F2_Classique_GS Pineraies des plaines du Centre et du Nord Ouest_27_</v>
      </c>
      <c r="AB351" s="79">
        <f t="shared" si="41"/>
        <v>27</v>
      </c>
      <c r="AC351" s="82">
        <f t="shared" si="44"/>
        <v>254.31290079767027</v>
      </c>
      <c r="AD351" s="86">
        <f t="shared" si="36"/>
        <v>1094.2064250402054</v>
      </c>
      <c r="AE351" s="86">
        <f t="shared" si="42"/>
        <v>484.32967082766908</v>
      </c>
    </row>
    <row r="352" spans="1:31" s="1" customFormat="1" hidden="1" x14ac:dyDescent="0.25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27</v>
      </c>
      <c r="G352" s="79"/>
      <c r="H352" s="83"/>
      <c r="I352" s="83"/>
      <c r="J352" s="83">
        <v>143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43"/>
        <v>85.51400000000001</v>
      </c>
      <c r="Z352" s="82">
        <f t="shared" si="45"/>
        <v>23.480111436812177</v>
      </c>
      <c r="AA352" s="82" t="str">
        <f t="shared" si="35"/>
        <v>Pin Maritime_F2_Classique_GS Pineraies des plaines du Centre et du Nord Ouest_27_</v>
      </c>
      <c r="AB352" s="79">
        <f t="shared" si="41"/>
        <v>27</v>
      </c>
      <c r="AC352" s="82">
        <f t="shared" si="44"/>
        <v>189.83141075244791</v>
      </c>
      <c r="AD352" s="86">
        <f t="shared" si="36"/>
        <v>0</v>
      </c>
      <c r="AE352" s="86">
        <f t="shared" si="42"/>
        <v>484.32967082766908</v>
      </c>
    </row>
    <row r="353" spans="1:31" s="1" customFormat="1" hidden="1" x14ac:dyDescent="0.25">
      <c r="A353" s="86" t="s">
        <v>236</v>
      </c>
      <c r="B353" s="86" t="s">
        <v>10</v>
      </c>
      <c r="C353" s="86" t="s">
        <v>18</v>
      </c>
      <c r="D353" s="87" t="s">
        <v>235</v>
      </c>
      <c r="E353" s="86">
        <v>333</v>
      </c>
      <c r="F353" s="86">
        <v>30</v>
      </c>
      <c r="G353" s="86"/>
      <c r="H353" s="86"/>
      <c r="I353" s="86"/>
      <c r="J353" s="86">
        <f>+(J354-J352)/7*3+J352</f>
        <v>203.85714285714286</v>
      </c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>
        <f>+VLOOKUP(A353,infradensité!$A$2:$B$67,2,FALSE)</f>
        <v>0.46</v>
      </c>
      <c r="X353" s="86">
        <v>1.3</v>
      </c>
      <c r="Y353" s="88">
        <f t="shared" si="43"/>
        <v>121.90657142857145</v>
      </c>
      <c r="Z353" s="88">
        <f t="shared" si="45"/>
        <v>32.119266994659604</v>
      </c>
      <c r="AA353" s="88" t="str">
        <f t="shared" si="35"/>
        <v>Pin Maritime_F2_Classique_GS Pineraies des plaines du Centre et du Nord Ouest_30_</v>
      </c>
      <c r="AB353" s="86">
        <f t="shared" si="41"/>
        <v>30</v>
      </c>
      <c r="AC353" s="88">
        <f t="shared" si="44"/>
        <v>268.26166858712742</v>
      </c>
      <c r="AD353" s="86">
        <f t="shared" si="36"/>
        <v>687.13961900936295</v>
      </c>
      <c r="AE353" s="86">
        <f t="shared" si="42"/>
        <v>484.32967082766908</v>
      </c>
    </row>
    <row r="354" spans="1:31" s="1" customFormat="1" hidden="1" x14ac:dyDescent="0.25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34</v>
      </c>
      <c r="G354" s="79"/>
      <c r="H354" s="83"/>
      <c r="I354" s="83"/>
      <c r="J354" s="83">
        <v>285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43"/>
        <v>170.43000000000004</v>
      </c>
      <c r="Z354" s="82">
        <f t="shared" si="45"/>
        <v>43.186315117079396</v>
      </c>
      <c r="AA354" s="82" t="str">
        <f t="shared" si="35"/>
        <v>Pin Maritime_F2_Classique_GS Pineraies des plaines du Centre et du Nord Ouest_34_</v>
      </c>
      <c r="AB354" s="79">
        <f t="shared" si="41"/>
        <v>34</v>
      </c>
      <c r="AC354" s="82">
        <f t="shared" si="44"/>
        <v>372.04841549558</v>
      </c>
      <c r="AD354" s="86">
        <f t="shared" si="36"/>
        <v>1280.6201681654147</v>
      </c>
      <c r="AE354" s="86">
        <f t="shared" si="42"/>
        <v>484.32967082766908</v>
      </c>
    </row>
    <row r="355" spans="1:31" s="1" customFormat="1" hidden="1" x14ac:dyDescent="0.25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34</v>
      </c>
      <c r="G355" s="79"/>
      <c r="H355" s="83"/>
      <c r="I355" s="83"/>
      <c r="J355" s="83">
        <v>209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43"/>
        <v>124.98200000000001</v>
      </c>
      <c r="Z355" s="82">
        <f t="shared" si="45"/>
        <v>32.834203796212122</v>
      </c>
      <c r="AA355" s="82" t="str">
        <f t="shared" si="35"/>
        <v>Pin Maritime_F2_Classique_GS Pineraies des plaines du Centre et du Nord Ouest_34_</v>
      </c>
      <c r="AB355" s="79">
        <f t="shared" si="41"/>
        <v>34</v>
      </c>
      <c r="AC355" s="82">
        <f t="shared" si="44"/>
        <v>274.86322161173609</v>
      </c>
      <c r="AD355" s="86">
        <f t="shared" si="36"/>
        <v>0</v>
      </c>
      <c r="AE355" s="86">
        <f t="shared" si="42"/>
        <v>484.32967082766908</v>
      </c>
    </row>
    <row r="356" spans="1:31" s="1" customFormat="1" hidden="1" x14ac:dyDescent="0.25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42</v>
      </c>
      <c r="G356" s="79"/>
      <c r="H356" s="83"/>
      <c r="I356" s="83"/>
      <c r="J356" s="83">
        <v>374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43"/>
        <v>223.65200000000004</v>
      </c>
      <c r="Z356" s="82">
        <f t="shared" si="45"/>
        <v>54.907867720650223</v>
      </c>
      <c r="AA356" s="82" t="str">
        <f t="shared" si="35"/>
        <v>Pin Maritime_F2_Classique_GS Pineraies des plaines du Centre et du Nord Ouest_42_</v>
      </c>
      <c r="AB356" s="79">
        <f t="shared" si="41"/>
        <v>42</v>
      </c>
      <c r="AC356" s="82">
        <f t="shared" si="44"/>
        <v>485.15843628013255</v>
      </c>
      <c r="AD356" s="86">
        <f t="shared" si="36"/>
        <v>3040.0866315674748</v>
      </c>
      <c r="AE356" s="86">
        <f t="shared" si="42"/>
        <v>484.32967082766908</v>
      </c>
    </row>
    <row r="357" spans="1:31" s="1" customFormat="1" hidden="1" x14ac:dyDescent="0.25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42</v>
      </c>
      <c r="G357" s="79"/>
      <c r="H357" s="83"/>
      <c r="I357" s="83"/>
      <c r="J357" s="83">
        <v>290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43"/>
        <v>173.42000000000002</v>
      </c>
      <c r="Z357" s="82">
        <f t="shared" si="45"/>
        <v>43.855099630972404</v>
      </c>
      <c r="AA357" s="82" t="str">
        <f t="shared" si="35"/>
        <v>Pin Maritime_F2_Classique_GS Pineraies des plaines du Centre et du Nord Ouest_42_</v>
      </c>
      <c r="AB357" s="79">
        <f t="shared" si="41"/>
        <v>42</v>
      </c>
      <c r="AC357" s="82">
        <f t="shared" si="44"/>
        <v>378.42079852394363</v>
      </c>
      <c r="AD357" s="86">
        <f t="shared" si="36"/>
        <v>0</v>
      </c>
      <c r="AE357" s="86">
        <f t="shared" si="42"/>
        <v>484.32967082766908</v>
      </c>
    </row>
    <row r="358" spans="1:31" s="1" customFormat="1" hidden="1" x14ac:dyDescent="0.25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52</v>
      </c>
      <c r="G358" s="79"/>
      <c r="H358" s="83"/>
      <c r="I358" s="83"/>
      <c r="J358" s="83">
        <v>476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43"/>
        <v>284.64800000000002</v>
      </c>
      <c r="Z358" s="82">
        <f t="shared" si="45"/>
        <v>67.948321729376303</v>
      </c>
      <c r="AA358" s="82" t="str">
        <f t="shared" si="35"/>
        <v>Pin Maritime_F2_Classique_GS Pineraies des plaines du Centre et du Nord Ouest_52_</v>
      </c>
      <c r="AB358" s="79">
        <f t="shared" si="41"/>
        <v>52</v>
      </c>
      <c r="AC358" s="82">
        <f t="shared" si="44"/>
        <v>614.10526034533029</v>
      </c>
      <c r="AD358" s="86">
        <f t="shared" si="36"/>
        <v>4962.6302943463697</v>
      </c>
      <c r="AE358" s="86">
        <f t="shared" si="42"/>
        <v>484.32967082766908</v>
      </c>
    </row>
    <row r="359" spans="1:31" s="1" customFormat="1" hidden="1" x14ac:dyDescent="0.25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52</v>
      </c>
      <c r="G359" s="79"/>
      <c r="H359" s="83"/>
      <c r="I359" s="83"/>
      <c r="J359" s="83">
        <v>388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43"/>
        <v>232.02400000000003</v>
      </c>
      <c r="Z359" s="82">
        <f t="shared" si="45"/>
        <v>56.720094243161071</v>
      </c>
      <c r="AA359" s="82" t="str">
        <f t="shared" si="35"/>
        <v>Pin Maritime_F2_Classique_GS Pineraies des plaines du Centre et du Nord Ouest_52_</v>
      </c>
      <c r="AB359" s="79">
        <f t="shared" si="41"/>
        <v>52</v>
      </c>
      <c r="AC359" s="82">
        <f t="shared" si="44"/>
        <v>502.89596414017223</v>
      </c>
      <c r="AD359" s="86">
        <f t="shared" si="36"/>
        <v>0</v>
      </c>
      <c r="AE359" s="86">
        <f t="shared" si="42"/>
        <v>484.32967082766908</v>
      </c>
    </row>
    <row r="360" spans="1:31" s="1" customFormat="1" hidden="1" x14ac:dyDescent="0.25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62</v>
      </c>
      <c r="G360" s="79"/>
      <c r="H360" s="83"/>
      <c r="I360" s="83"/>
      <c r="J360" s="83">
        <v>611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43"/>
        <v>365.37800000000004</v>
      </c>
      <c r="Z360" s="82">
        <f t="shared" si="45"/>
        <v>84.721033379606425</v>
      </c>
      <c r="AA360" s="82" t="str">
        <f t="shared" si="35"/>
        <v>Pin Maritime_F2_Classique_GS Pineraies des plaines du Centre et du Nord Ouest_62_</v>
      </c>
      <c r="AB360" s="79">
        <f t="shared" si="41"/>
        <v>62</v>
      </c>
      <c r="AC360" s="82">
        <f t="shared" si="44"/>
        <v>783.92248313614789</v>
      </c>
      <c r="AD360" s="86">
        <f t="shared" si="36"/>
        <v>6434.0922363816007</v>
      </c>
      <c r="AE360" s="86">
        <f t="shared" si="42"/>
        <v>484.32967082766908</v>
      </c>
    </row>
    <row r="361" spans="1:31" s="1" customFormat="1" hidden="1" x14ac:dyDescent="0.25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62</v>
      </c>
      <c r="G361" s="79"/>
      <c r="H361" s="83"/>
      <c r="I361" s="83"/>
      <c r="J361" s="83">
        <v>516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43"/>
        <v>308.56800000000004</v>
      </c>
      <c r="Z361" s="82">
        <f t="shared" si="45"/>
        <v>72.969691037219945</v>
      </c>
      <c r="AA361" s="82" t="str">
        <f t="shared" si="35"/>
        <v>Pin Maritime_F2_Classique_GS Pineraies des plaines du Centre et du Nord Ouest_62_</v>
      </c>
      <c r="AB361" s="79">
        <f t="shared" si="41"/>
        <v>62</v>
      </c>
      <c r="AC361" s="82">
        <f t="shared" si="44"/>
        <v>664.5114785564914</v>
      </c>
      <c r="AD361" s="86">
        <f t="shared" si="36"/>
        <v>0</v>
      </c>
      <c r="AE361" s="86">
        <f t="shared" si="42"/>
        <v>484.32967082766908</v>
      </c>
    </row>
    <row r="362" spans="1:31" s="1" customFormat="1" hidden="1" x14ac:dyDescent="0.25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72</v>
      </c>
      <c r="G362" s="79"/>
      <c r="H362" s="83"/>
      <c r="I362" s="83"/>
      <c r="J362" s="83">
        <v>715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43"/>
        <v>427.57000000000005</v>
      </c>
      <c r="Z362" s="82">
        <f t="shared" si="45"/>
        <v>97.344193108275022</v>
      </c>
      <c r="AA362" s="82" t="str">
        <f t="shared" si="35"/>
        <v>Pin Maritime_F2_Classique_GS Pineraies des plaines du Centre et du Nord Ouest_72_</v>
      </c>
      <c r="AB362" s="79">
        <f t="shared" si="41"/>
        <v>72</v>
      </c>
      <c r="AC362" s="82">
        <f t="shared" si="44"/>
        <v>914.22555299691237</v>
      </c>
      <c r="AD362" s="86">
        <f t="shared" si="36"/>
        <v>7893.6851577670186</v>
      </c>
      <c r="AE362" s="86">
        <f t="shared" si="42"/>
        <v>484.32967082766908</v>
      </c>
    </row>
    <row r="363" spans="1:31" s="1" customFormat="1" hidden="1" x14ac:dyDescent="0.25">
      <c r="A363" s="79" t="s">
        <v>236</v>
      </c>
      <c r="B363" s="79" t="s">
        <v>10</v>
      </c>
      <c r="C363" s="79" t="s">
        <v>18</v>
      </c>
      <c r="D363" s="89" t="s">
        <v>235</v>
      </c>
      <c r="E363" s="79">
        <v>333</v>
      </c>
      <c r="F363" s="79">
        <v>72</v>
      </c>
      <c r="G363" s="79"/>
      <c r="H363" s="83"/>
      <c r="I363" s="83"/>
      <c r="J363" s="83">
        <v>622</v>
      </c>
      <c r="K363" s="83"/>
      <c r="L363" s="83"/>
      <c r="M363" s="84"/>
      <c r="N363" s="84"/>
      <c r="O363" s="84"/>
      <c r="P363" s="85"/>
      <c r="Q363" s="85"/>
      <c r="R363" s="85"/>
      <c r="S363" s="85"/>
      <c r="T363" s="80"/>
      <c r="U363" s="80"/>
      <c r="V363" s="81"/>
      <c r="W363" s="81">
        <f>+VLOOKUP(A363,infradensité!$A$2:$B$67,2,FALSE)</f>
        <v>0.46</v>
      </c>
      <c r="X363" s="81">
        <v>1.3</v>
      </c>
      <c r="Y363" s="82">
        <f t="shared" si="43"/>
        <v>371.95600000000007</v>
      </c>
      <c r="Z363" s="82">
        <f t="shared" si="45"/>
        <v>86.067346758003751</v>
      </c>
      <c r="AA363" s="82" t="str">
        <f t="shared" si="35"/>
        <v>Pin Maritime_F2_Classique_GS Pineraies des plaines du Centre et du Nord Ouest_72_</v>
      </c>
      <c r="AB363" s="79">
        <f t="shared" si="41"/>
        <v>72</v>
      </c>
      <c r="AC363" s="82">
        <f t="shared" si="44"/>
        <v>797.72399560352324</v>
      </c>
      <c r="AD363" s="86">
        <f t="shared" si="36"/>
        <v>0</v>
      </c>
      <c r="AE363" s="86">
        <f t="shared" si="42"/>
        <v>484.32967082766908</v>
      </c>
    </row>
    <row r="364" spans="1:31" s="1" customFormat="1" hidden="1" x14ac:dyDescent="0.25">
      <c r="A364" s="79" t="s">
        <v>236</v>
      </c>
      <c r="B364" s="79" t="s">
        <v>10</v>
      </c>
      <c r="C364" s="79" t="s">
        <v>18</v>
      </c>
      <c r="D364" s="89" t="s">
        <v>235</v>
      </c>
      <c r="E364" s="79">
        <v>333</v>
      </c>
      <c r="F364" s="79">
        <v>80</v>
      </c>
      <c r="G364" s="79"/>
      <c r="H364" s="83"/>
      <c r="I364" s="83"/>
      <c r="J364" s="83">
        <v>725</v>
      </c>
      <c r="K364" s="83"/>
      <c r="L364" s="83"/>
      <c r="M364" s="84"/>
      <c r="N364" s="84"/>
      <c r="O364" s="84"/>
      <c r="P364" s="85"/>
      <c r="Q364" s="85"/>
      <c r="R364" s="85"/>
      <c r="S364" s="85"/>
      <c r="T364" s="80"/>
      <c r="U364" s="80"/>
      <c r="V364" s="81"/>
      <c r="W364" s="81">
        <f>+VLOOKUP(A364,infradensité!$A$2:$B$67,2,FALSE)</f>
        <v>0.46</v>
      </c>
      <c r="X364" s="81">
        <v>1.3</v>
      </c>
      <c r="Y364" s="82">
        <f t="shared" si="43"/>
        <v>433.55000000000007</v>
      </c>
      <c r="Z364" s="82">
        <f t="shared" si="45"/>
        <v>98.546202578313242</v>
      </c>
      <c r="AA364" s="82" t="str">
        <f t="shared" si="35"/>
        <v>Pin Maritime_F2_Classique_GS Pineraies des plaines du Centre et du Nord Ouest_80_</v>
      </c>
      <c r="AB364" s="79">
        <f t="shared" si="41"/>
        <v>80</v>
      </c>
      <c r="AC364" s="82">
        <f t="shared" si="44"/>
        <v>926.73421949056228</v>
      </c>
      <c r="AD364" s="86">
        <f t="shared" si="36"/>
        <v>6897.8328603763421</v>
      </c>
      <c r="AE364" s="86">
        <f t="shared" si="42"/>
        <v>484.32967082766908</v>
      </c>
    </row>
    <row r="365" spans="1:31" s="1" customFormat="1" hidden="1" x14ac:dyDescent="0.25">
      <c r="A365" s="330" t="s">
        <v>236</v>
      </c>
      <c r="B365" s="330" t="s">
        <v>10</v>
      </c>
      <c r="C365" s="330" t="s">
        <v>18</v>
      </c>
      <c r="D365" s="331" t="s">
        <v>235</v>
      </c>
      <c r="E365" s="330">
        <v>333</v>
      </c>
      <c r="F365" s="330">
        <v>90</v>
      </c>
      <c r="G365" s="330"/>
      <c r="H365" s="332"/>
      <c r="I365" s="332"/>
      <c r="J365" s="332">
        <v>805</v>
      </c>
      <c r="K365" s="332"/>
      <c r="L365" s="332"/>
      <c r="M365" s="333"/>
      <c r="N365" s="333"/>
      <c r="O365" s="333"/>
      <c r="P365" s="334"/>
      <c r="Q365" s="334"/>
      <c r="R365" s="334"/>
      <c r="S365" s="334"/>
      <c r="T365" s="335"/>
      <c r="U365" s="335"/>
      <c r="V365" s="336"/>
      <c r="W365" s="336">
        <f>+VLOOKUP(A365,infradensité!$A$2:$B$67,2,FALSE)</f>
        <v>0.46</v>
      </c>
      <c r="X365" s="336">
        <v>1.3</v>
      </c>
      <c r="Y365" s="337">
        <f t="shared" si="43"/>
        <v>481.39000000000004</v>
      </c>
      <c r="Z365" s="337">
        <f t="shared" si="45"/>
        <v>108.09521531494514</v>
      </c>
      <c r="AA365" s="337" t="str">
        <f t="shared" si="35"/>
        <v>Pin Maritime_F2_Classique_GS Pineraies des plaines du Centre et du Nord Ouest_90_</v>
      </c>
      <c r="AB365" s="330">
        <f t="shared" si="41"/>
        <v>90</v>
      </c>
      <c r="AC365" s="337">
        <f t="shared" si="44"/>
        <v>1026.6867500068627</v>
      </c>
      <c r="AD365" s="338">
        <f t="shared" si="36"/>
        <v>9767.1048474871241</v>
      </c>
      <c r="AE365" s="338">
        <f>+SUM($AD$347:$AD$365)/$AB$365</f>
        <v>484.32967082766908</v>
      </c>
    </row>
    <row r="366" spans="1:31" s="339" customFormat="1" hidden="1" x14ac:dyDescent="0.25">
      <c r="A366" s="327" t="s">
        <v>389</v>
      </c>
      <c r="B366" s="327" t="s">
        <v>9</v>
      </c>
      <c r="C366" s="327" t="s">
        <v>18</v>
      </c>
      <c r="D366" s="327" t="s">
        <v>137</v>
      </c>
      <c r="E366" s="327">
        <v>13</v>
      </c>
      <c r="F366" s="327">
        <v>0</v>
      </c>
      <c r="G366" s="327"/>
      <c r="J366" s="339">
        <v>0</v>
      </c>
      <c r="W366" s="336">
        <f>+VLOOKUP(A366,infradensité!$A$2:$B$67,2,FALSE)</f>
        <v>0.57999999999999996</v>
      </c>
      <c r="X366" s="336">
        <v>1.3</v>
      </c>
      <c r="Y366" s="337">
        <f>+X366*W366*J366</f>
        <v>0</v>
      </c>
      <c r="Z366" s="337" t="e">
        <f>+EXP(-1.0587+0.8836*LN(Y366)+0.284)</f>
        <v>#NUM!</v>
      </c>
      <c r="AA366" s="337" t="str">
        <f>+_xlfn.CONCAT(A366,"_",B366,"_",C366,"_",D366,"_",AB366,"_")</f>
        <v>Chêne sessile_F1_Classique_Guide chênaie atlantique_0_</v>
      </c>
      <c r="AB366" s="330">
        <f>F366</f>
        <v>0</v>
      </c>
      <c r="AC366" s="337">
        <v>0</v>
      </c>
      <c r="AD366" s="338">
        <f t="shared" si="36"/>
        <v>0</v>
      </c>
      <c r="AE366" s="338">
        <f>+SUM($AD$366:$AD$400)/$AB$400</f>
        <v>387.26639397599007</v>
      </c>
    </row>
    <row r="367" spans="1:31" s="339" customFormat="1" hidden="1" x14ac:dyDescent="0.25">
      <c r="A367" s="327" t="s">
        <v>389</v>
      </c>
      <c r="B367" s="327" t="s">
        <v>9</v>
      </c>
      <c r="C367" s="327" t="s">
        <v>18</v>
      </c>
      <c r="D367" s="327" t="s">
        <v>137</v>
      </c>
      <c r="E367" s="327">
        <v>13</v>
      </c>
      <c r="F367" s="327">
        <v>29</v>
      </c>
      <c r="G367" s="327"/>
      <c r="J367" s="339">
        <f>144/45*F367</f>
        <v>92.800000000000011</v>
      </c>
      <c r="W367" s="336">
        <f>+VLOOKUP(A367,infradensité!$A$2:$B$67,2,FALSE)</f>
        <v>0.57999999999999996</v>
      </c>
      <c r="X367" s="336">
        <v>1.3</v>
      </c>
      <c r="Y367" s="337">
        <f t="shared" si="43"/>
        <v>69.97120000000001</v>
      </c>
      <c r="Z367" s="337">
        <f t="shared" si="45"/>
        <v>19.666305345056259</v>
      </c>
      <c r="AA367" s="337" t="str">
        <f t="shared" ref="AA367:AA430" si="46">+_xlfn.CONCAT(A367,"_",B367,"_",C367,"_",D367,"_",AB367,"_")</f>
        <v>Chêne sessile_F1_Classique_Guide chênaie atlantique_29_</v>
      </c>
      <c r="AB367" s="330">
        <f t="shared" ref="AB367:AB430" si="47">F367</f>
        <v>29</v>
      </c>
      <c r="AC367" s="337">
        <f t="shared" si="44"/>
        <v>156.11865514263965</v>
      </c>
      <c r="AD367" s="338">
        <f t="shared" si="36"/>
        <v>2263.720499568275</v>
      </c>
      <c r="AE367" s="338">
        <f t="shared" ref="AE367:AE400" si="48">+SUM($AD$366:$AD$400)/$AB$400</f>
        <v>387.26639397599007</v>
      </c>
    </row>
    <row r="368" spans="1:31" s="339" customFormat="1" hidden="1" x14ac:dyDescent="0.25">
      <c r="A368" s="327" t="s">
        <v>389</v>
      </c>
      <c r="B368" s="327" t="s">
        <v>9</v>
      </c>
      <c r="C368" s="327" t="s">
        <v>18</v>
      </c>
      <c r="D368" s="327" t="s">
        <v>137</v>
      </c>
      <c r="E368" s="327">
        <v>13</v>
      </c>
      <c r="F368" s="327">
        <v>29</v>
      </c>
      <c r="G368" s="327"/>
      <c r="J368" s="339">
        <f>144/45*F368</f>
        <v>92.800000000000011</v>
      </c>
      <c r="W368" s="336">
        <f>+VLOOKUP(A368,infradensité!$A$2:$B$67,2,FALSE)</f>
        <v>0.57999999999999996</v>
      </c>
      <c r="X368" s="336">
        <v>1.3</v>
      </c>
      <c r="Y368" s="337">
        <f t="shared" si="43"/>
        <v>69.97120000000001</v>
      </c>
      <c r="Z368" s="337">
        <f t="shared" si="45"/>
        <v>19.666305345056259</v>
      </c>
      <c r="AA368" s="337" t="str">
        <f t="shared" si="46"/>
        <v>Chêne sessile_F1_Classique_Guide chênaie atlantique_29_</v>
      </c>
      <c r="AB368" s="330">
        <f t="shared" si="47"/>
        <v>29</v>
      </c>
      <c r="AC368" s="337">
        <f t="shared" si="44"/>
        <v>156.11865514263965</v>
      </c>
      <c r="AD368" s="338">
        <f t="shared" si="36"/>
        <v>0</v>
      </c>
      <c r="AE368" s="338">
        <f t="shared" si="48"/>
        <v>387.26639397599007</v>
      </c>
    </row>
    <row r="369" spans="1:31" s="339" customFormat="1" hidden="1" x14ac:dyDescent="0.25">
      <c r="A369" s="327" t="s">
        <v>389</v>
      </c>
      <c r="B369" s="327" t="s">
        <v>9</v>
      </c>
      <c r="C369" s="327" t="s">
        <v>18</v>
      </c>
      <c r="D369" s="327" t="s">
        <v>137</v>
      </c>
      <c r="E369" s="327">
        <v>13</v>
      </c>
      <c r="F369" s="327">
        <v>30</v>
      </c>
      <c r="G369" s="327"/>
      <c r="J369" s="339">
        <f>144/45*F369</f>
        <v>96</v>
      </c>
      <c r="W369" s="336">
        <f>+VLOOKUP(A369,infradensité!$A$2:$B$67,2,FALSE)</f>
        <v>0.57999999999999996</v>
      </c>
      <c r="X369" s="336">
        <v>1.3</v>
      </c>
      <c r="Y369" s="337">
        <f>+X369*W369*J369</f>
        <v>72.384</v>
      </c>
      <c r="Z369" s="337">
        <f>+EXP(-1.0587+0.8836*LN(Y369)+0.284)</f>
        <v>20.264329923804397</v>
      </c>
      <c r="AA369" s="337" t="str">
        <f>+_xlfn.CONCAT(A369,"_",B369,"_",C369,"_",D369,"_",AB369,"_")</f>
        <v>Chêne sessile_F1_Classique_Guide chênaie atlantique_30_</v>
      </c>
      <c r="AB369" s="330">
        <f>F369</f>
        <v>30</v>
      </c>
      <c r="AC369" s="337">
        <f>+(Z369+Y369)*0.475*44/12</f>
        <v>161.362507950626</v>
      </c>
      <c r="AD369" s="338">
        <f t="shared" si="36"/>
        <v>158.74058154663282</v>
      </c>
      <c r="AE369" s="338">
        <f t="shared" si="48"/>
        <v>387.26639397599007</v>
      </c>
    </row>
    <row r="370" spans="1:31" s="339" customFormat="1" hidden="1" x14ac:dyDescent="0.25">
      <c r="A370" s="327" t="s">
        <v>389</v>
      </c>
      <c r="B370" s="327" t="s">
        <v>9</v>
      </c>
      <c r="C370" s="327" t="s">
        <v>18</v>
      </c>
      <c r="D370" s="327" t="s">
        <v>137</v>
      </c>
      <c r="E370" s="327">
        <v>13</v>
      </c>
      <c r="F370" s="327">
        <v>37</v>
      </c>
      <c r="G370" s="327"/>
      <c r="J370" s="339">
        <f>144/45*F370</f>
        <v>118.4</v>
      </c>
      <c r="W370" s="336">
        <f>+VLOOKUP(A370,infradensité!$A$2:$B$67,2,FALSE)</f>
        <v>0.57999999999999996</v>
      </c>
      <c r="X370" s="336">
        <v>1.3</v>
      </c>
      <c r="Y370" s="337">
        <f t="shared" si="43"/>
        <v>89.273600000000002</v>
      </c>
      <c r="Z370" s="337">
        <f t="shared" si="45"/>
        <v>24.389952263746558</v>
      </c>
      <c r="AA370" s="337" t="str">
        <f t="shared" si="46"/>
        <v>Chêne sessile_F1_Classique_Guide chênaie atlantique_37_</v>
      </c>
      <c r="AB370" s="330">
        <f t="shared" si="47"/>
        <v>37</v>
      </c>
      <c r="AC370" s="337">
        <f t="shared" si="44"/>
        <v>197.96402019269192</v>
      </c>
      <c r="AD370" s="338">
        <f t="shared" si="36"/>
        <v>1257.6428485016127</v>
      </c>
      <c r="AE370" s="338">
        <f t="shared" si="48"/>
        <v>387.26639397599007</v>
      </c>
    </row>
    <row r="371" spans="1:31" s="339" customFormat="1" hidden="1" x14ac:dyDescent="0.25">
      <c r="A371" s="327" t="s">
        <v>389</v>
      </c>
      <c r="B371" s="327" t="s">
        <v>9</v>
      </c>
      <c r="C371" s="327" t="s">
        <v>18</v>
      </c>
      <c r="D371" s="327" t="s">
        <v>137</v>
      </c>
      <c r="E371" s="327">
        <v>13</v>
      </c>
      <c r="F371" s="327">
        <v>37</v>
      </c>
      <c r="G371" s="327"/>
      <c r="J371" s="339">
        <f>144/45*F371</f>
        <v>118.4</v>
      </c>
      <c r="W371" s="336">
        <f>+VLOOKUP(A371,infradensité!$A$2:$B$67,2,FALSE)</f>
        <v>0.57999999999999996</v>
      </c>
      <c r="X371" s="336">
        <v>1.3</v>
      </c>
      <c r="Y371" s="337">
        <f t="shared" si="43"/>
        <v>89.273600000000002</v>
      </c>
      <c r="Z371" s="337">
        <f t="shared" si="45"/>
        <v>24.389952263746558</v>
      </c>
      <c r="AA371" s="337" t="str">
        <f t="shared" si="46"/>
        <v>Chêne sessile_F1_Classique_Guide chênaie atlantique_37_</v>
      </c>
      <c r="AB371" s="330">
        <f t="shared" si="47"/>
        <v>37</v>
      </c>
      <c r="AC371" s="337">
        <f t="shared" si="44"/>
        <v>197.96402019269192</v>
      </c>
      <c r="AD371" s="338">
        <f t="shared" si="36"/>
        <v>0</v>
      </c>
      <c r="AE371" s="338">
        <f t="shared" si="48"/>
        <v>387.26639397599007</v>
      </c>
    </row>
    <row r="372" spans="1:31" s="339" customFormat="1" hidden="1" x14ac:dyDescent="0.25">
      <c r="A372" s="327" t="s">
        <v>389</v>
      </c>
      <c r="B372" s="327" t="s">
        <v>9</v>
      </c>
      <c r="C372" s="327" t="s">
        <v>18</v>
      </c>
      <c r="D372" s="327" t="s">
        <v>137</v>
      </c>
      <c r="E372" s="327">
        <v>13</v>
      </c>
      <c r="F372" s="327">
        <v>45</v>
      </c>
      <c r="G372" s="327"/>
      <c r="J372" s="339">
        <v>144</v>
      </c>
      <c r="W372" s="336">
        <f>+VLOOKUP(A372,infradensité!$A$2:$B$67,2,FALSE)</f>
        <v>0.57999999999999996</v>
      </c>
      <c r="X372" s="336">
        <v>1.3</v>
      </c>
      <c r="Y372" s="337">
        <f t="shared" si="43"/>
        <v>108.57599999999999</v>
      </c>
      <c r="Z372" s="337">
        <f t="shared" si="45"/>
        <v>28.995225061228002</v>
      </c>
      <c r="AA372" s="337" t="str">
        <f t="shared" si="46"/>
        <v>Chêne sessile_F1_Classique_Guide chênaie atlantique_45_</v>
      </c>
      <c r="AB372" s="330">
        <f t="shared" si="47"/>
        <v>45</v>
      </c>
      <c r="AC372" s="337">
        <f t="shared" si="44"/>
        <v>239.60321698163875</v>
      </c>
      <c r="AD372" s="338">
        <f t="shared" si="36"/>
        <v>1750.2689486973227</v>
      </c>
      <c r="AE372" s="338">
        <f t="shared" si="48"/>
        <v>387.26639397599007</v>
      </c>
    </row>
    <row r="373" spans="1:31" s="339" customFormat="1" hidden="1" x14ac:dyDescent="0.25">
      <c r="A373" s="327" t="s">
        <v>389</v>
      </c>
      <c r="B373" s="327" t="s">
        <v>9</v>
      </c>
      <c r="C373" s="327" t="s">
        <v>18</v>
      </c>
      <c r="D373" s="327" t="s">
        <v>137</v>
      </c>
      <c r="E373" s="327">
        <v>13</v>
      </c>
      <c r="F373" s="327">
        <v>45</v>
      </c>
      <c r="G373" s="327"/>
      <c r="J373" s="339">
        <v>104</v>
      </c>
      <c r="O373" s="339">
        <f>J372-J373</f>
        <v>40</v>
      </c>
      <c r="W373" s="336">
        <f>+VLOOKUP(A373,infradensité!$A$2:$B$67,2,FALSE)</f>
        <v>0.57999999999999996</v>
      </c>
      <c r="X373" s="336">
        <v>1.3</v>
      </c>
      <c r="Y373" s="337">
        <f t="shared" si="43"/>
        <v>78.415999999999997</v>
      </c>
      <c r="Z373" s="337">
        <f t="shared" si="45"/>
        <v>21.749438265868008</v>
      </c>
      <c r="AA373" s="337" t="str">
        <f t="shared" si="46"/>
        <v>Chêne sessile_F1_Classique_Guide chênaie atlantique_45_</v>
      </c>
      <c r="AB373" s="330">
        <f t="shared" si="47"/>
        <v>45</v>
      </c>
      <c r="AC373" s="337">
        <f t="shared" si="44"/>
        <v>174.45480497972014</v>
      </c>
      <c r="AD373" s="338">
        <f t="shared" si="36"/>
        <v>0</v>
      </c>
      <c r="AE373" s="338">
        <f t="shared" si="48"/>
        <v>387.26639397599007</v>
      </c>
    </row>
    <row r="374" spans="1:31" s="339" customFormat="1" hidden="1" x14ac:dyDescent="0.25">
      <c r="A374" s="327" t="s">
        <v>389</v>
      </c>
      <c r="B374" s="327" t="s">
        <v>9</v>
      </c>
      <c r="C374" s="327" t="s">
        <v>18</v>
      </c>
      <c r="D374" s="327" t="s">
        <v>137</v>
      </c>
      <c r="E374" s="327">
        <v>13</v>
      </c>
      <c r="F374" s="327">
        <v>53</v>
      </c>
      <c r="G374" s="327"/>
      <c r="J374" s="339">
        <v>171</v>
      </c>
      <c r="W374" s="336">
        <f>+VLOOKUP(A374,infradensité!$A$2:$B$67,2,FALSE)</f>
        <v>0.57999999999999996</v>
      </c>
      <c r="X374" s="336">
        <v>1.3</v>
      </c>
      <c r="Y374" s="337">
        <f t="shared" si="43"/>
        <v>128.934</v>
      </c>
      <c r="Z374" s="337">
        <f t="shared" si="45"/>
        <v>33.749920116221382</v>
      </c>
      <c r="AA374" s="337" t="str">
        <f t="shared" si="46"/>
        <v>Chêne sessile_F1_Classique_Guide chênaie atlantique_53_</v>
      </c>
      <c r="AB374" s="330">
        <f t="shared" si="47"/>
        <v>53</v>
      </c>
      <c r="AC374" s="337">
        <f t="shared" si="44"/>
        <v>283.34116086908551</v>
      </c>
      <c r="AD374" s="338">
        <f t="shared" si="36"/>
        <v>1831.1838633952225</v>
      </c>
      <c r="AE374" s="338">
        <f t="shared" si="48"/>
        <v>387.26639397599007</v>
      </c>
    </row>
    <row r="375" spans="1:31" s="339" customFormat="1" hidden="1" x14ac:dyDescent="0.25">
      <c r="A375" s="327" t="s">
        <v>389</v>
      </c>
      <c r="B375" s="327" t="s">
        <v>9</v>
      </c>
      <c r="C375" s="327" t="s">
        <v>18</v>
      </c>
      <c r="D375" s="327" t="s">
        <v>137</v>
      </c>
      <c r="E375" s="327">
        <v>13</v>
      </c>
      <c r="F375" s="327">
        <v>53</v>
      </c>
      <c r="G375" s="327"/>
      <c r="J375" s="339">
        <v>131</v>
      </c>
      <c r="O375" s="339">
        <f>J374-J375</f>
        <v>40</v>
      </c>
      <c r="W375" s="336">
        <f>+VLOOKUP(A375,infradensité!$A$2:$B$67,2,FALSE)</f>
        <v>0.57999999999999996</v>
      </c>
      <c r="X375" s="336">
        <v>1.3</v>
      </c>
      <c r="Y375" s="337">
        <f t="shared" si="43"/>
        <v>98.774000000000001</v>
      </c>
      <c r="Z375" s="337">
        <f t="shared" si="45"/>
        <v>26.669710590727203</v>
      </c>
      <c r="AA375" s="337" t="str">
        <f t="shared" si="46"/>
        <v>Chêne sessile_F1_Classique_Guide chênaie atlantique_53_</v>
      </c>
      <c r="AB375" s="330">
        <f t="shared" si="47"/>
        <v>53</v>
      </c>
      <c r="AC375" s="337">
        <f t="shared" si="44"/>
        <v>218.48112927884986</v>
      </c>
      <c r="AD375" s="338">
        <f t="shared" si="36"/>
        <v>0</v>
      </c>
      <c r="AE375" s="338">
        <f t="shared" si="48"/>
        <v>387.26639397599007</v>
      </c>
    </row>
    <row r="376" spans="1:31" s="339" customFormat="1" hidden="1" x14ac:dyDescent="0.25">
      <c r="A376" s="327" t="s">
        <v>389</v>
      </c>
      <c r="B376" s="327" t="s">
        <v>9</v>
      </c>
      <c r="C376" s="327" t="s">
        <v>18</v>
      </c>
      <c r="D376" s="327" t="s">
        <v>137</v>
      </c>
      <c r="E376" s="327">
        <v>13</v>
      </c>
      <c r="F376" s="327">
        <v>61</v>
      </c>
      <c r="G376" s="327"/>
      <c r="J376" s="339">
        <v>197</v>
      </c>
      <c r="W376" s="336">
        <f>+VLOOKUP(A376,infradensité!$A$2:$B$67,2,FALSE)</f>
        <v>0.57999999999999996</v>
      </c>
      <c r="X376" s="336">
        <v>1.3</v>
      </c>
      <c r="Y376" s="337">
        <f t="shared" si="43"/>
        <v>148.53800000000001</v>
      </c>
      <c r="Z376" s="337">
        <f t="shared" si="45"/>
        <v>38.246151719709118</v>
      </c>
      <c r="AA376" s="337" t="str">
        <f t="shared" si="46"/>
        <v>Chêne sessile_F1_Classique_Guide chênaie atlantique_61_</v>
      </c>
      <c r="AB376" s="330">
        <f t="shared" si="47"/>
        <v>61</v>
      </c>
      <c r="AC376" s="337">
        <f t="shared" si="44"/>
        <v>325.31573091182673</v>
      </c>
      <c r="AD376" s="338">
        <f t="shared" si="36"/>
        <v>2175.1874407627065</v>
      </c>
      <c r="AE376" s="338">
        <f t="shared" si="48"/>
        <v>387.26639397599007</v>
      </c>
    </row>
    <row r="377" spans="1:31" s="339" customFormat="1" hidden="1" x14ac:dyDescent="0.25">
      <c r="A377" s="327" t="s">
        <v>389</v>
      </c>
      <c r="B377" s="327" t="s">
        <v>9</v>
      </c>
      <c r="C377" s="327" t="s">
        <v>18</v>
      </c>
      <c r="D377" s="327" t="s">
        <v>137</v>
      </c>
      <c r="E377" s="327">
        <v>13</v>
      </c>
      <c r="F377" s="327">
        <v>61</v>
      </c>
      <c r="G377" s="327"/>
      <c r="J377" s="339">
        <v>155</v>
      </c>
      <c r="O377" s="339">
        <f>J376-J377</f>
        <v>42</v>
      </c>
      <c r="W377" s="336">
        <f>+VLOOKUP(A377,infradensité!$A$2:$B$67,2,FALSE)</f>
        <v>0.57999999999999996</v>
      </c>
      <c r="X377" s="336">
        <v>1.3</v>
      </c>
      <c r="Y377" s="337">
        <f t="shared" si="43"/>
        <v>116.87</v>
      </c>
      <c r="Z377" s="337">
        <f t="shared" si="45"/>
        <v>30.943859078317832</v>
      </c>
      <c r="AA377" s="337" t="str">
        <f t="shared" si="46"/>
        <v>Chêne sessile_F1_Classique_Guide chênaie atlantique_61_</v>
      </c>
      <c r="AB377" s="330">
        <f t="shared" si="47"/>
        <v>61</v>
      </c>
      <c r="AC377" s="337">
        <f t="shared" si="44"/>
        <v>257.44247122807025</v>
      </c>
      <c r="AD377" s="338">
        <f t="shared" si="36"/>
        <v>0</v>
      </c>
      <c r="AE377" s="338">
        <f t="shared" si="48"/>
        <v>387.26639397599007</v>
      </c>
    </row>
    <row r="378" spans="1:31" s="339" customFormat="1" hidden="1" x14ac:dyDescent="0.25">
      <c r="A378" s="327" t="s">
        <v>389</v>
      </c>
      <c r="B378" s="327" t="s">
        <v>9</v>
      </c>
      <c r="C378" s="327" t="s">
        <v>18</v>
      </c>
      <c r="D378" s="327" t="s">
        <v>137</v>
      </c>
      <c r="E378" s="327">
        <v>13</v>
      </c>
      <c r="F378" s="327">
        <v>69</v>
      </c>
      <c r="G378" s="327"/>
      <c r="J378" s="339">
        <v>218</v>
      </c>
      <c r="W378" s="336">
        <f>+VLOOKUP(A378,infradensité!$A$2:$B$67,2,FALSE)</f>
        <v>0.57999999999999996</v>
      </c>
      <c r="X378" s="336">
        <v>1.3</v>
      </c>
      <c r="Y378" s="337">
        <f t="shared" si="43"/>
        <v>164.37200000000001</v>
      </c>
      <c r="Z378" s="337">
        <f t="shared" si="45"/>
        <v>41.827079694043114</v>
      </c>
      <c r="AA378" s="337" t="str">
        <f t="shared" si="46"/>
        <v>Chêne sessile_F1_Classique_Guide chênaie atlantique_69_</v>
      </c>
      <c r="AB378" s="330">
        <f t="shared" si="47"/>
        <v>69</v>
      </c>
      <c r="AC378" s="337">
        <f t="shared" si="44"/>
        <v>359.1300638004584</v>
      </c>
      <c r="AD378" s="338">
        <f t="shared" si="36"/>
        <v>2466.2901401141144</v>
      </c>
      <c r="AE378" s="338">
        <f t="shared" si="48"/>
        <v>387.26639397599007</v>
      </c>
    </row>
    <row r="379" spans="1:31" s="339" customFormat="1" hidden="1" x14ac:dyDescent="0.25">
      <c r="A379" s="327" t="s">
        <v>389</v>
      </c>
      <c r="B379" s="327" t="s">
        <v>9</v>
      </c>
      <c r="C379" s="327" t="s">
        <v>18</v>
      </c>
      <c r="D379" s="327" t="s">
        <v>137</v>
      </c>
      <c r="E379" s="327">
        <v>13</v>
      </c>
      <c r="F379" s="327">
        <v>69</v>
      </c>
      <c r="G379" s="327"/>
      <c r="J379" s="339">
        <v>177</v>
      </c>
      <c r="O379" s="339">
        <f>J378-J379</f>
        <v>41</v>
      </c>
      <c r="W379" s="336">
        <f>+VLOOKUP(A379,infradensité!$A$2:$B$67,2,FALSE)</f>
        <v>0.57999999999999996</v>
      </c>
      <c r="X379" s="336">
        <v>1.3</v>
      </c>
      <c r="Y379" s="337">
        <f t="shared" si="43"/>
        <v>133.458</v>
      </c>
      <c r="Z379" s="337">
        <f t="shared" si="45"/>
        <v>34.794176665003405</v>
      </c>
      <c r="AA379" s="337" t="str">
        <f t="shared" si="46"/>
        <v>Chêne sessile_F1_Classique_Guide chênaie atlantique_69_</v>
      </c>
      <c r="AB379" s="330">
        <f t="shared" si="47"/>
        <v>69</v>
      </c>
      <c r="AC379" s="337">
        <f t="shared" si="44"/>
        <v>293.03920769154757</v>
      </c>
      <c r="AD379" s="338">
        <f t="shared" si="36"/>
        <v>0</v>
      </c>
      <c r="AE379" s="338">
        <f t="shared" si="48"/>
        <v>387.26639397599007</v>
      </c>
    </row>
    <row r="380" spans="1:31" s="339" customFormat="1" hidden="1" x14ac:dyDescent="0.25">
      <c r="A380" s="327" t="s">
        <v>389</v>
      </c>
      <c r="B380" s="327" t="s">
        <v>9</v>
      </c>
      <c r="C380" s="327" t="s">
        <v>18</v>
      </c>
      <c r="D380" s="327" t="s">
        <v>137</v>
      </c>
      <c r="E380" s="327">
        <v>13</v>
      </c>
      <c r="F380" s="327">
        <v>77</v>
      </c>
      <c r="G380" s="327"/>
      <c r="J380" s="339">
        <v>238</v>
      </c>
      <c r="W380" s="336">
        <f>+VLOOKUP(A380,infradensité!$A$2:$B$67,2,FALSE)</f>
        <v>0.57999999999999996</v>
      </c>
      <c r="X380" s="336">
        <v>1.3</v>
      </c>
      <c r="Y380" s="337">
        <f t="shared" si="43"/>
        <v>179.452</v>
      </c>
      <c r="Z380" s="337">
        <f t="shared" si="45"/>
        <v>45.2002446357697</v>
      </c>
      <c r="AA380" s="337" t="str">
        <f t="shared" si="46"/>
        <v>Chêne sessile_F1_Classique_Guide chênaie atlantique_77_</v>
      </c>
      <c r="AB380" s="330">
        <f t="shared" si="47"/>
        <v>77</v>
      </c>
      <c r="AC380" s="337">
        <f t="shared" si="44"/>
        <v>391.2693260739656</v>
      </c>
      <c r="AD380" s="338">
        <f t="shared" si="36"/>
        <v>2737.2341350620527</v>
      </c>
      <c r="AE380" s="338">
        <f t="shared" si="48"/>
        <v>387.26639397599007</v>
      </c>
    </row>
    <row r="381" spans="1:31" s="339" customFormat="1" hidden="1" x14ac:dyDescent="0.25">
      <c r="A381" s="327" t="s">
        <v>389</v>
      </c>
      <c r="B381" s="327" t="s">
        <v>9</v>
      </c>
      <c r="C381" s="327" t="s">
        <v>18</v>
      </c>
      <c r="D381" s="327" t="s">
        <v>137</v>
      </c>
      <c r="E381" s="327">
        <v>13</v>
      </c>
      <c r="F381" s="327">
        <v>77</v>
      </c>
      <c r="G381" s="327"/>
      <c r="J381" s="339">
        <v>194</v>
      </c>
      <c r="O381" s="339">
        <f>J380-J381</f>
        <v>44</v>
      </c>
      <c r="W381" s="336">
        <f>+VLOOKUP(A381,infradensité!$A$2:$B$67,2,FALSE)</f>
        <v>0.57999999999999996</v>
      </c>
      <c r="X381" s="336">
        <v>1.3</v>
      </c>
      <c r="Y381" s="337">
        <f t="shared" si="43"/>
        <v>146.27600000000001</v>
      </c>
      <c r="Z381" s="337">
        <f t="shared" si="45"/>
        <v>37.73105899165121</v>
      </c>
      <c r="AA381" s="337" t="str">
        <f t="shared" si="46"/>
        <v>Chêne sessile_F1_Classique_Guide chênaie atlantique_77_</v>
      </c>
      <c r="AB381" s="330">
        <f t="shared" si="47"/>
        <v>77</v>
      </c>
      <c r="AC381" s="337">
        <f t="shared" si="44"/>
        <v>320.47896107712586</v>
      </c>
      <c r="AD381" s="338">
        <f t="shared" si="36"/>
        <v>0</v>
      </c>
      <c r="AE381" s="338">
        <f t="shared" si="48"/>
        <v>387.26639397599007</v>
      </c>
    </row>
    <row r="382" spans="1:31" s="339" customFormat="1" hidden="1" x14ac:dyDescent="0.25">
      <c r="A382" s="327" t="s">
        <v>389</v>
      </c>
      <c r="B382" s="327" t="s">
        <v>9</v>
      </c>
      <c r="C382" s="327" t="s">
        <v>18</v>
      </c>
      <c r="D382" s="327" t="s">
        <v>137</v>
      </c>
      <c r="E382" s="327">
        <v>13</v>
      </c>
      <c r="F382" s="327">
        <v>85</v>
      </c>
      <c r="G382" s="327"/>
      <c r="J382" s="339">
        <v>251</v>
      </c>
      <c r="W382" s="336">
        <f>+VLOOKUP(A382,infradensité!$A$2:$B$67,2,FALSE)</f>
        <v>0.57999999999999996</v>
      </c>
      <c r="X382" s="336">
        <v>1.3</v>
      </c>
      <c r="Y382" s="337">
        <f t="shared" si="43"/>
        <v>189.25399999999999</v>
      </c>
      <c r="Z382" s="337">
        <f t="shared" si="45"/>
        <v>47.374985099497351</v>
      </c>
      <c r="AA382" s="337" t="str">
        <f t="shared" si="46"/>
        <v>Chêne sessile_F1_Classique_Guide chênaie atlantique_85_</v>
      </c>
      <c r="AB382" s="330">
        <f t="shared" si="47"/>
        <v>85</v>
      </c>
      <c r="AC382" s="337">
        <f t="shared" si="44"/>
        <v>412.12881571495791</v>
      </c>
      <c r="AD382" s="338">
        <f t="shared" si="36"/>
        <v>2930.4311071683351</v>
      </c>
      <c r="AE382" s="338">
        <f t="shared" si="48"/>
        <v>387.26639397599007</v>
      </c>
    </row>
    <row r="383" spans="1:31" s="339" customFormat="1" hidden="1" x14ac:dyDescent="0.25">
      <c r="A383" s="327" t="s">
        <v>389</v>
      </c>
      <c r="B383" s="327" t="s">
        <v>9</v>
      </c>
      <c r="C383" s="327" t="s">
        <v>18</v>
      </c>
      <c r="D383" s="327" t="s">
        <v>137</v>
      </c>
      <c r="E383" s="327">
        <v>13</v>
      </c>
      <c r="F383" s="327">
        <v>85</v>
      </c>
      <c r="G383" s="327"/>
      <c r="J383" s="339">
        <v>217</v>
      </c>
      <c r="O383" s="339">
        <f>J382-J383</f>
        <v>34</v>
      </c>
      <c r="W383" s="336">
        <f>+VLOOKUP(A383,infradensité!$A$2:$B$67,2,FALSE)</f>
        <v>0.57999999999999996</v>
      </c>
      <c r="X383" s="336">
        <v>1.3</v>
      </c>
      <c r="Y383" s="337">
        <f t="shared" si="43"/>
        <v>163.61799999999999</v>
      </c>
      <c r="Z383" s="337">
        <f t="shared" si="45"/>
        <v>41.657500375789056</v>
      </c>
      <c r="AA383" s="337" t="str">
        <f t="shared" si="46"/>
        <v>Chêne sessile_F1_Classique_Guide chênaie atlantique_85_</v>
      </c>
      <c r="AB383" s="330">
        <f t="shared" si="47"/>
        <v>85</v>
      </c>
      <c r="AC383" s="337">
        <f t="shared" si="44"/>
        <v>357.52149648783256</v>
      </c>
      <c r="AD383" s="338">
        <f t="shared" si="36"/>
        <v>0</v>
      </c>
      <c r="AE383" s="338">
        <f t="shared" si="48"/>
        <v>387.26639397599007</v>
      </c>
    </row>
    <row r="384" spans="1:31" s="339" customFormat="1" hidden="1" x14ac:dyDescent="0.25">
      <c r="A384" s="327" t="s">
        <v>389</v>
      </c>
      <c r="B384" s="327" t="s">
        <v>9</v>
      </c>
      <c r="C384" s="327" t="s">
        <v>18</v>
      </c>
      <c r="D384" s="327" t="s">
        <v>137</v>
      </c>
      <c r="E384" s="327">
        <v>13</v>
      </c>
      <c r="F384" s="327">
        <v>95</v>
      </c>
      <c r="G384" s="327"/>
      <c r="J384" s="339">
        <v>287</v>
      </c>
      <c r="W384" s="336">
        <f>+VLOOKUP(A384,infradensité!$A$2:$B$67,2,FALSE)</f>
        <v>0.57999999999999996</v>
      </c>
      <c r="X384" s="336">
        <v>1.3</v>
      </c>
      <c r="Y384" s="337">
        <f t="shared" si="43"/>
        <v>216.398</v>
      </c>
      <c r="Z384" s="337">
        <f t="shared" si="45"/>
        <v>53.331258234647343</v>
      </c>
      <c r="AA384" s="337" t="str">
        <f t="shared" si="46"/>
        <v>Chêne sessile_F1_Classique_Guide chênaie atlantique_95_</v>
      </c>
      <c r="AB384" s="330">
        <f t="shared" si="47"/>
        <v>95</v>
      </c>
      <c r="AC384" s="337">
        <f t="shared" si="44"/>
        <v>469.77845809201079</v>
      </c>
      <c r="AD384" s="338">
        <f t="shared" si="36"/>
        <v>4136.4997728992166</v>
      </c>
      <c r="AE384" s="338">
        <f t="shared" si="48"/>
        <v>387.26639397599007</v>
      </c>
    </row>
    <row r="385" spans="1:31" s="339" customFormat="1" hidden="1" x14ac:dyDescent="0.25">
      <c r="A385" s="327" t="s">
        <v>389</v>
      </c>
      <c r="B385" s="327" t="s">
        <v>9</v>
      </c>
      <c r="C385" s="327" t="s">
        <v>18</v>
      </c>
      <c r="D385" s="327" t="s">
        <v>137</v>
      </c>
      <c r="E385" s="327">
        <v>13</v>
      </c>
      <c r="F385" s="327">
        <v>95</v>
      </c>
      <c r="G385" s="327"/>
      <c r="J385" s="339">
        <v>255</v>
      </c>
      <c r="O385" s="339">
        <f>J384-J385</f>
        <v>32</v>
      </c>
      <c r="W385" s="336">
        <f>+VLOOKUP(A385,infradensité!$A$2:$B$67,2,FALSE)</f>
        <v>0.57999999999999996</v>
      </c>
      <c r="X385" s="336">
        <v>1.3</v>
      </c>
      <c r="Y385" s="337">
        <f t="shared" si="43"/>
        <v>192.27</v>
      </c>
      <c r="Z385" s="337">
        <f t="shared" si="45"/>
        <v>48.041470197986364</v>
      </c>
      <c r="AA385" s="337" t="str">
        <f t="shared" si="46"/>
        <v>Chêne sessile_F1_Classique_Guide chênaie atlantique_95_</v>
      </c>
      <c r="AB385" s="330">
        <f t="shared" si="47"/>
        <v>95</v>
      </c>
      <c r="AC385" s="337">
        <f t="shared" si="44"/>
        <v>418.54247726149293</v>
      </c>
      <c r="AD385" s="338">
        <f t="shared" si="36"/>
        <v>0</v>
      </c>
      <c r="AE385" s="338">
        <f t="shared" si="48"/>
        <v>387.26639397599007</v>
      </c>
    </row>
    <row r="386" spans="1:31" s="339" customFormat="1" hidden="1" x14ac:dyDescent="0.25">
      <c r="A386" s="327" t="s">
        <v>389</v>
      </c>
      <c r="B386" s="327" t="s">
        <v>9</v>
      </c>
      <c r="C386" s="327" t="s">
        <v>18</v>
      </c>
      <c r="D386" s="327" t="s">
        <v>137</v>
      </c>
      <c r="E386" s="327">
        <v>13</v>
      </c>
      <c r="F386" s="327">
        <v>105</v>
      </c>
      <c r="G386" s="327"/>
      <c r="J386" s="339">
        <v>323</v>
      </c>
      <c r="W386" s="336">
        <f>+VLOOKUP(A386,infradensité!$A$2:$B$67,2,FALSE)</f>
        <v>0.57999999999999996</v>
      </c>
      <c r="X386" s="336">
        <v>1.3</v>
      </c>
      <c r="Y386" s="337">
        <f t="shared" si="43"/>
        <v>243.542</v>
      </c>
      <c r="Z386" s="337">
        <f t="shared" si="45"/>
        <v>59.200958027901123</v>
      </c>
      <c r="AA386" s="337" t="str">
        <f t="shared" si="46"/>
        <v>Chêne sessile_F1_Classique_Guide chênaie atlantique_105_</v>
      </c>
      <c r="AB386" s="330">
        <f t="shared" si="47"/>
        <v>105</v>
      </c>
      <c r="AC386" s="337">
        <f t="shared" si="44"/>
        <v>527.27731856526111</v>
      </c>
      <c r="AD386" s="338">
        <f t="shared" si="36"/>
        <v>4729.0989791337697</v>
      </c>
      <c r="AE386" s="338">
        <f t="shared" si="48"/>
        <v>387.26639397599007</v>
      </c>
    </row>
    <row r="387" spans="1:31" s="339" customFormat="1" hidden="1" x14ac:dyDescent="0.25">
      <c r="A387" s="327" t="s">
        <v>389</v>
      </c>
      <c r="B387" s="327" t="s">
        <v>9</v>
      </c>
      <c r="C387" s="327" t="s">
        <v>18</v>
      </c>
      <c r="D387" s="327" t="s">
        <v>137</v>
      </c>
      <c r="E387" s="327">
        <v>13</v>
      </c>
      <c r="F387" s="327">
        <v>105</v>
      </c>
      <c r="G387" s="327"/>
      <c r="J387" s="339">
        <v>280</v>
      </c>
      <c r="O387" s="339">
        <f>J386-J387</f>
        <v>43</v>
      </c>
      <c r="W387" s="336">
        <f>+VLOOKUP(A387,infradensité!$A$2:$B$67,2,FALSE)</f>
        <v>0.57999999999999996</v>
      </c>
      <c r="X387" s="336">
        <v>1.3</v>
      </c>
      <c r="Y387" s="337">
        <f t="shared" si="43"/>
        <v>211.12</v>
      </c>
      <c r="Z387" s="337">
        <f t="shared" si="45"/>
        <v>52.180258057609798</v>
      </c>
      <c r="AA387" s="337" t="str">
        <f t="shared" si="46"/>
        <v>Chêne sessile_F1_Classique_Guide chênaie atlantique_105_</v>
      </c>
      <c r="AB387" s="330">
        <f t="shared" si="47"/>
        <v>105</v>
      </c>
      <c r="AC387" s="337">
        <f t="shared" si="44"/>
        <v>458.58128278367047</v>
      </c>
      <c r="AD387" s="338">
        <f t="shared" si="36"/>
        <v>0</v>
      </c>
      <c r="AE387" s="338">
        <f t="shared" si="48"/>
        <v>387.26639397599007</v>
      </c>
    </row>
    <row r="388" spans="1:31" s="339" customFormat="1" hidden="1" x14ac:dyDescent="0.25">
      <c r="A388" s="327" t="s">
        <v>389</v>
      </c>
      <c r="B388" s="327" t="s">
        <v>9</v>
      </c>
      <c r="C388" s="327" t="s">
        <v>18</v>
      </c>
      <c r="D388" s="327" t="s">
        <v>137</v>
      </c>
      <c r="E388" s="327">
        <v>13</v>
      </c>
      <c r="F388" s="327">
        <v>115</v>
      </c>
      <c r="G388" s="327"/>
      <c r="J388" s="339">
        <v>348</v>
      </c>
      <c r="W388" s="336">
        <f>+VLOOKUP(A388,infradensité!$A$2:$B$67,2,FALSE)</f>
        <v>0.57999999999999996</v>
      </c>
      <c r="X388" s="336">
        <v>1.3</v>
      </c>
      <c r="Y388" s="337">
        <f t="shared" si="43"/>
        <v>262.392</v>
      </c>
      <c r="Z388" s="337">
        <f t="shared" si="45"/>
        <v>63.231983614474942</v>
      </c>
      <c r="AA388" s="337" t="str">
        <f t="shared" si="46"/>
        <v>Chêne sessile_F1_Classique_Guide chênaie atlantique_115_</v>
      </c>
      <c r="AB388" s="330">
        <f t="shared" si="47"/>
        <v>115</v>
      </c>
      <c r="AC388" s="337">
        <f t="shared" si="44"/>
        <v>567.12843812854373</v>
      </c>
      <c r="AD388" s="338">
        <f t="shared" si="36"/>
        <v>5128.5486045610705</v>
      </c>
      <c r="AE388" s="338">
        <f t="shared" si="48"/>
        <v>387.26639397599007</v>
      </c>
    </row>
    <row r="389" spans="1:31" s="339" customFormat="1" hidden="1" x14ac:dyDescent="0.25">
      <c r="A389" s="327" t="s">
        <v>389</v>
      </c>
      <c r="B389" s="327" t="s">
        <v>9</v>
      </c>
      <c r="C389" s="327" t="s">
        <v>18</v>
      </c>
      <c r="D389" s="327" t="s">
        <v>137</v>
      </c>
      <c r="E389" s="327">
        <v>13</v>
      </c>
      <c r="F389" s="327">
        <v>115</v>
      </c>
      <c r="G389" s="327"/>
      <c r="J389" s="339">
        <v>305</v>
      </c>
      <c r="O389" s="339">
        <f>J388-J389</f>
        <v>43</v>
      </c>
      <c r="W389" s="336">
        <f>+VLOOKUP(A389,infradensité!$A$2:$B$67,2,FALSE)</f>
        <v>0.57999999999999996</v>
      </c>
      <c r="X389" s="336">
        <v>1.3</v>
      </c>
      <c r="Y389" s="337">
        <f t="shared" si="43"/>
        <v>229.97</v>
      </c>
      <c r="Z389" s="337">
        <f t="shared" si="45"/>
        <v>56.276194780495985</v>
      </c>
      <c r="AA389" s="337" t="str">
        <f t="shared" si="46"/>
        <v>Chêne sessile_F1_Classique_Guide chênaie atlantique_115_</v>
      </c>
      <c r="AB389" s="330">
        <f t="shared" si="47"/>
        <v>115</v>
      </c>
      <c r="AC389" s="337">
        <f t="shared" si="44"/>
        <v>498.54545590936385</v>
      </c>
      <c r="AD389" s="338">
        <f t="shared" si="36"/>
        <v>0</v>
      </c>
      <c r="AE389" s="338">
        <f t="shared" si="48"/>
        <v>387.26639397599007</v>
      </c>
    </row>
    <row r="390" spans="1:31" s="339" customFormat="1" hidden="1" x14ac:dyDescent="0.25">
      <c r="A390" s="327" t="s">
        <v>389</v>
      </c>
      <c r="B390" s="327" t="s">
        <v>9</v>
      </c>
      <c r="C390" s="327" t="s">
        <v>18</v>
      </c>
      <c r="D390" s="327" t="s">
        <v>137</v>
      </c>
      <c r="E390" s="327">
        <v>13</v>
      </c>
      <c r="F390" s="327">
        <v>125</v>
      </c>
      <c r="G390" s="327"/>
      <c r="J390" s="339">
        <v>372</v>
      </c>
      <c r="W390" s="336">
        <f>+VLOOKUP(A390,infradensité!$A$2:$B$67,2,FALSE)</f>
        <v>0.57999999999999996</v>
      </c>
      <c r="X390" s="336">
        <v>1.3</v>
      </c>
      <c r="Y390" s="337">
        <f t="shared" si="43"/>
        <v>280.488</v>
      </c>
      <c r="Z390" s="337">
        <f t="shared" si="45"/>
        <v>67.070126855467564</v>
      </c>
      <c r="AA390" s="337" t="str">
        <f t="shared" si="46"/>
        <v>Chêne sessile_F1_Classique_Guide chênaie atlantique_125_</v>
      </c>
      <c r="AB390" s="330">
        <f t="shared" si="47"/>
        <v>125</v>
      </c>
      <c r="AC390" s="337">
        <f t="shared" si="44"/>
        <v>605.33040427327262</v>
      </c>
      <c r="AD390" s="338">
        <f t="shared" si="36"/>
        <v>5519.3793009131823</v>
      </c>
      <c r="AE390" s="338">
        <f t="shared" si="48"/>
        <v>387.26639397599007</v>
      </c>
    </row>
    <row r="391" spans="1:31" s="339" customFormat="1" hidden="1" x14ac:dyDescent="0.25">
      <c r="A391" s="327" t="s">
        <v>389</v>
      </c>
      <c r="B391" s="327" t="s">
        <v>9</v>
      </c>
      <c r="C391" s="327" t="s">
        <v>18</v>
      </c>
      <c r="D391" s="327" t="s">
        <v>137</v>
      </c>
      <c r="E391" s="327">
        <v>13</v>
      </c>
      <c r="F391" s="327">
        <v>125</v>
      </c>
      <c r="G391" s="327"/>
      <c r="J391" s="339">
        <v>326</v>
      </c>
      <c r="O391" s="339">
        <f>J390-J391</f>
        <v>46</v>
      </c>
      <c r="W391" s="336">
        <f>+VLOOKUP(A391,infradensité!$A$2:$B$67,2,FALSE)</f>
        <v>0.57999999999999996</v>
      </c>
      <c r="X391" s="336">
        <v>1.3</v>
      </c>
      <c r="Y391" s="337">
        <f t="shared" si="43"/>
        <v>245.804</v>
      </c>
      <c r="Z391" s="337">
        <f t="shared" si="45"/>
        <v>59.686547383038381</v>
      </c>
      <c r="AA391" s="337" t="str">
        <f t="shared" si="46"/>
        <v>Chêne sessile_F1_Classique_Guide chênaie atlantique_125_</v>
      </c>
      <c r="AB391" s="330">
        <f t="shared" si="47"/>
        <v>125</v>
      </c>
      <c r="AC391" s="337">
        <f t="shared" si="44"/>
        <v>532.06270335879185</v>
      </c>
      <c r="AD391" s="338">
        <f t="shared" si="36"/>
        <v>0</v>
      </c>
      <c r="AE391" s="338">
        <f t="shared" si="48"/>
        <v>387.26639397599007</v>
      </c>
    </row>
    <row r="392" spans="1:31" s="339" customFormat="1" hidden="1" x14ac:dyDescent="0.25">
      <c r="A392" s="327" t="s">
        <v>389</v>
      </c>
      <c r="B392" s="327" t="s">
        <v>9</v>
      </c>
      <c r="C392" s="327" t="s">
        <v>18</v>
      </c>
      <c r="D392" s="327" t="s">
        <v>137</v>
      </c>
      <c r="E392" s="327">
        <v>13</v>
      </c>
      <c r="F392" s="327">
        <v>135</v>
      </c>
      <c r="G392" s="327"/>
      <c r="J392" s="339">
        <v>393</v>
      </c>
      <c r="W392" s="336">
        <f>+VLOOKUP(A392,infradensité!$A$2:$B$67,2,FALSE)</f>
        <v>0.57999999999999996</v>
      </c>
      <c r="X392" s="336">
        <v>1.3</v>
      </c>
      <c r="Y392" s="337">
        <f t="shared" si="43"/>
        <v>296.322</v>
      </c>
      <c r="Z392" s="337">
        <f t="shared" si="45"/>
        <v>70.404860706775452</v>
      </c>
      <c r="AA392" s="337" t="str">
        <f t="shared" si="46"/>
        <v>Chêne sessile_F1_Classique_Guide chênaie atlantique_135_</v>
      </c>
      <c r="AB392" s="330">
        <f t="shared" si="47"/>
        <v>135</v>
      </c>
      <c r="AC392" s="337">
        <f t="shared" si="44"/>
        <v>638.71594906430062</v>
      </c>
      <c r="AD392" s="338">
        <f t="shared" ref="AD392:AD455" si="49">+IF(AC392=0,0,(AC392+AC391)*(AB392-AB391)/2)</f>
        <v>5853.8932621154618</v>
      </c>
      <c r="AE392" s="338">
        <f t="shared" si="48"/>
        <v>387.26639397599007</v>
      </c>
    </row>
    <row r="393" spans="1:31" s="339" customFormat="1" hidden="1" x14ac:dyDescent="0.25">
      <c r="A393" s="327" t="s">
        <v>389</v>
      </c>
      <c r="B393" s="327" t="s">
        <v>9</v>
      </c>
      <c r="C393" s="327" t="s">
        <v>18</v>
      </c>
      <c r="D393" s="327" t="s">
        <v>137</v>
      </c>
      <c r="E393" s="327">
        <v>13</v>
      </c>
      <c r="F393" s="327">
        <v>135</v>
      </c>
      <c r="G393" s="327"/>
      <c r="J393" s="339">
        <v>343</v>
      </c>
      <c r="O393" s="339">
        <f>J392-J393</f>
        <v>50</v>
      </c>
      <c r="W393" s="336">
        <f>+VLOOKUP(A393,infradensité!$A$2:$B$67,2,FALSE)</f>
        <v>0.57999999999999996</v>
      </c>
      <c r="X393" s="336">
        <v>1.3</v>
      </c>
      <c r="Y393" s="337">
        <f t="shared" si="43"/>
        <v>258.62200000000001</v>
      </c>
      <c r="Z393" s="337">
        <f t="shared" si="45"/>
        <v>62.42855325803675</v>
      </c>
      <c r="AA393" s="337" t="str">
        <f t="shared" si="46"/>
        <v>Chêne sessile_F1_Classique_Guide chênaie atlantique_135_</v>
      </c>
      <c r="AB393" s="330">
        <f t="shared" si="47"/>
        <v>135</v>
      </c>
      <c r="AC393" s="337">
        <f t="shared" si="44"/>
        <v>559.16304692441395</v>
      </c>
      <c r="AD393" s="338">
        <f t="shared" si="49"/>
        <v>0</v>
      </c>
      <c r="AE393" s="338">
        <f t="shared" si="48"/>
        <v>387.26639397599007</v>
      </c>
    </row>
    <row r="394" spans="1:31" s="339" customFormat="1" hidden="1" x14ac:dyDescent="0.25">
      <c r="A394" s="327" t="s">
        <v>389</v>
      </c>
      <c r="B394" s="327" t="s">
        <v>9</v>
      </c>
      <c r="C394" s="327" t="s">
        <v>18</v>
      </c>
      <c r="D394" s="327" t="s">
        <v>137</v>
      </c>
      <c r="E394" s="327">
        <v>13</v>
      </c>
      <c r="F394" s="327">
        <v>145</v>
      </c>
      <c r="G394" s="327"/>
      <c r="J394" s="339">
        <v>411</v>
      </c>
      <c r="W394" s="336">
        <f>+VLOOKUP(A394,infradensité!$A$2:$B$67,2,FALSE)</f>
        <v>0.57999999999999996</v>
      </c>
      <c r="X394" s="336">
        <v>1.3</v>
      </c>
      <c r="Y394" s="337">
        <f t="shared" si="43"/>
        <v>309.89400000000001</v>
      </c>
      <c r="Z394" s="337">
        <f t="shared" si="45"/>
        <v>73.246692712267546</v>
      </c>
      <c r="AA394" s="337" t="str">
        <f t="shared" si="46"/>
        <v>Chêne sessile_F1_Classique_Guide chênaie atlantique_145_</v>
      </c>
      <c r="AB394" s="330">
        <f t="shared" si="47"/>
        <v>145</v>
      </c>
      <c r="AC394" s="337">
        <f t="shared" si="44"/>
        <v>667.30337314053259</v>
      </c>
      <c r="AD394" s="338">
        <f t="shared" si="49"/>
        <v>6132.3321003247329</v>
      </c>
      <c r="AE394" s="338">
        <f t="shared" si="48"/>
        <v>387.26639397599007</v>
      </c>
    </row>
    <row r="395" spans="1:31" s="339" customFormat="1" hidden="1" x14ac:dyDescent="0.25">
      <c r="A395" s="327" t="s">
        <v>389</v>
      </c>
      <c r="B395" s="327" t="s">
        <v>9</v>
      </c>
      <c r="C395" s="327" t="s">
        <v>18</v>
      </c>
      <c r="D395" s="327" t="s">
        <v>137</v>
      </c>
      <c r="E395" s="327">
        <v>13</v>
      </c>
      <c r="F395" s="327">
        <v>145</v>
      </c>
      <c r="G395" s="327"/>
      <c r="J395" s="339">
        <v>367</v>
      </c>
      <c r="O395" s="339">
        <f>J394-J395</f>
        <v>44</v>
      </c>
      <c r="W395" s="336">
        <f>+VLOOKUP(A395,infradensité!$A$2:$B$67,2,FALSE)</f>
        <v>0.57999999999999996</v>
      </c>
      <c r="X395" s="336">
        <v>1.3</v>
      </c>
      <c r="Y395" s="337">
        <f t="shared" si="43"/>
        <v>276.71800000000002</v>
      </c>
      <c r="Z395" s="337">
        <f t="shared" si="45"/>
        <v>66.272952706018444</v>
      </c>
      <c r="AA395" s="337" t="str">
        <f t="shared" si="46"/>
        <v>Chêne sessile_F1_Classique_Guide chênaie atlantique_145_</v>
      </c>
      <c r="AB395" s="330">
        <f t="shared" si="47"/>
        <v>145</v>
      </c>
      <c r="AC395" s="337">
        <f t="shared" si="44"/>
        <v>597.3759092963154</v>
      </c>
      <c r="AD395" s="338">
        <f t="shared" si="49"/>
        <v>0</v>
      </c>
      <c r="AE395" s="338">
        <f t="shared" si="48"/>
        <v>387.26639397599007</v>
      </c>
    </row>
    <row r="396" spans="1:31" s="339" customFormat="1" hidden="1" x14ac:dyDescent="0.25">
      <c r="A396" s="327" t="s">
        <v>389</v>
      </c>
      <c r="B396" s="327" t="s">
        <v>9</v>
      </c>
      <c r="C396" s="327" t="s">
        <v>18</v>
      </c>
      <c r="D396" s="327" t="s">
        <v>137</v>
      </c>
      <c r="E396" s="327">
        <v>13</v>
      </c>
      <c r="F396" s="327">
        <v>155</v>
      </c>
      <c r="G396" s="327"/>
      <c r="J396" s="339">
        <v>435</v>
      </c>
      <c r="W396" s="336">
        <f>+VLOOKUP(A396,infradensité!$A$2:$B$67,2,FALSE)</f>
        <v>0.57999999999999996</v>
      </c>
      <c r="X396" s="336">
        <v>1.3</v>
      </c>
      <c r="Y396" s="337">
        <f t="shared" si="43"/>
        <v>327.99</v>
      </c>
      <c r="Z396" s="337">
        <f t="shared" si="45"/>
        <v>77.013434829027545</v>
      </c>
      <c r="AA396" s="337" t="str">
        <f t="shared" si="46"/>
        <v>Chêne sessile_F1_Classique_Guide chênaie atlantique_155_</v>
      </c>
      <c r="AB396" s="330">
        <f t="shared" si="47"/>
        <v>155</v>
      </c>
      <c r="AC396" s="337">
        <f t="shared" si="44"/>
        <v>705.38098232722302</v>
      </c>
      <c r="AD396" s="338">
        <f t="shared" si="49"/>
        <v>6513.7844581176923</v>
      </c>
      <c r="AE396" s="338">
        <f t="shared" si="48"/>
        <v>387.26639397599007</v>
      </c>
    </row>
    <row r="397" spans="1:31" s="339" customFormat="1" hidden="1" x14ac:dyDescent="0.25">
      <c r="A397" s="327" t="s">
        <v>389</v>
      </c>
      <c r="B397" s="327" t="s">
        <v>9</v>
      </c>
      <c r="C397" s="327" t="s">
        <v>18</v>
      </c>
      <c r="D397" s="327" t="s">
        <v>137</v>
      </c>
      <c r="E397" s="327">
        <v>13</v>
      </c>
      <c r="F397" s="327">
        <v>155</v>
      </c>
      <c r="G397" s="327"/>
      <c r="J397" s="339">
        <v>384</v>
      </c>
      <c r="O397" s="339">
        <f>J396-J397</f>
        <v>51</v>
      </c>
      <c r="W397" s="336">
        <f>+VLOOKUP(A397,infradensité!$A$2:$B$67,2,FALSE)</f>
        <v>0.57999999999999996</v>
      </c>
      <c r="X397" s="336">
        <v>1.3</v>
      </c>
      <c r="Y397" s="337">
        <f t="shared" si="43"/>
        <v>289.536</v>
      </c>
      <c r="Z397" s="337">
        <f t="shared" si="45"/>
        <v>68.97829509904436</v>
      </c>
      <c r="AA397" s="337" t="str">
        <f t="shared" si="46"/>
        <v>Chêne sessile_F1_Classique_Guide chênaie atlantique_155_</v>
      </c>
      <c r="AB397" s="330">
        <f t="shared" si="47"/>
        <v>155</v>
      </c>
      <c r="AC397" s="337">
        <f t="shared" si="44"/>
        <v>624.41239729750225</v>
      </c>
      <c r="AD397" s="338">
        <f t="shared" si="49"/>
        <v>0</v>
      </c>
      <c r="AE397" s="338">
        <f t="shared" si="48"/>
        <v>387.26639397599007</v>
      </c>
    </row>
    <row r="398" spans="1:31" s="339" customFormat="1" hidden="1" x14ac:dyDescent="0.25">
      <c r="A398" s="327" t="s">
        <v>389</v>
      </c>
      <c r="B398" s="327" t="s">
        <v>9</v>
      </c>
      <c r="C398" s="327" t="s">
        <v>18</v>
      </c>
      <c r="D398" s="327" t="s">
        <v>137</v>
      </c>
      <c r="E398" s="327">
        <v>13</v>
      </c>
      <c r="F398" s="327">
        <v>165</v>
      </c>
      <c r="G398" s="327"/>
      <c r="J398" s="339">
        <v>452</v>
      </c>
      <c r="W398" s="336">
        <f>+VLOOKUP(A398,infradensité!$A$2:$B$67,2,FALSE)</f>
        <v>0.57999999999999996</v>
      </c>
      <c r="X398" s="336">
        <v>1.3</v>
      </c>
      <c r="Y398" s="337">
        <f t="shared" si="43"/>
        <v>340.80799999999999</v>
      </c>
      <c r="Z398" s="337">
        <f t="shared" si="45"/>
        <v>79.66686126863695</v>
      </c>
      <c r="AA398" s="337" t="str">
        <f t="shared" si="46"/>
        <v>Chêne sessile_F1_Classique_Guide chênaie atlantique_165_</v>
      </c>
      <c r="AB398" s="330">
        <f t="shared" si="47"/>
        <v>165</v>
      </c>
      <c r="AC398" s="337">
        <f t="shared" si="44"/>
        <v>732.32705004287584</v>
      </c>
      <c r="AD398" s="338">
        <f t="shared" si="49"/>
        <v>6783.6972367018907</v>
      </c>
      <c r="AE398" s="338">
        <f t="shared" si="48"/>
        <v>387.26639397599007</v>
      </c>
    </row>
    <row r="399" spans="1:31" s="339" customFormat="1" hidden="1" x14ac:dyDescent="0.25">
      <c r="A399" s="327" t="s">
        <v>389</v>
      </c>
      <c r="B399" s="327" t="s">
        <v>9</v>
      </c>
      <c r="C399" s="327" t="s">
        <v>18</v>
      </c>
      <c r="D399" s="327" t="s">
        <v>137</v>
      </c>
      <c r="E399" s="327">
        <v>13</v>
      </c>
      <c r="F399" s="327">
        <v>165</v>
      </c>
      <c r="G399" s="327"/>
      <c r="J399" s="339">
        <v>407</v>
      </c>
      <c r="O399" s="339">
        <f>J398-J399</f>
        <v>45</v>
      </c>
      <c r="W399" s="336">
        <f>+VLOOKUP(A399,infradensité!$A$2:$B$67,2,FALSE)</f>
        <v>0.57999999999999996</v>
      </c>
      <c r="X399" s="336">
        <v>1.3</v>
      </c>
      <c r="Y399" s="337">
        <f t="shared" si="43"/>
        <v>306.87799999999999</v>
      </c>
      <c r="Z399" s="337">
        <f t="shared" si="45"/>
        <v>72.616448717142134</v>
      </c>
      <c r="AA399" s="337" t="str">
        <f t="shared" si="46"/>
        <v>Chêne sessile_F1_Classique_Guide chênaie atlantique_165_</v>
      </c>
      <c r="AB399" s="330">
        <f t="shared" si="47"/>
        <v>165</v>
      </c>
      <c r="AC399" s="337">
        <f t="shared" si="44"/>
        <v>660.95283151568913</v>
      </c>
      <c r="AD399" s="338">
        <f t="shared" si="49"/>
        <v>0</v>
      </c>
      <c r="AE399" s="338">
        <f t="shared" si="48"/>
        <v>387.26639397599007</v>
      </c>
    </row>
    <row r="400" spans="1:31" s="339" customFormat="1" hidden="1" x14ac:dyDescent="0.25">
      <c r="A400" s="327" t="s">
        <v>389</v>
      </c>
      <c r="B400" s="327" t="s">
        <v>9</v>
      </c>
      <c r="C400" s="327" t="s">
        <v>18</v>
      </c>
      <c r="D400" s="327" t="s">
        <v>137</v>
      </c>
      <c r="E400" s="327">
        <v>13</v>
      </c>
      <c r="F400" s="327">
        <v>170</v>
      </c>
      <c r="G400" s="327"/>
      <c r="J400" s="339">
        <v>448</v>
      </c>
      <c r="W400" s="336">
        <f>+VLOOKUP(A400,infradensité!$A$2:$B$67,2,FALSE)</f>
        <v>0.57999999999999996</v>
      </c>
      <c r="X400" s="336">
        <v>1.3</v>
      </c>
      <c r="Y400" s="337">
        <f t="shared" si="43"/>
        <v>337.79200000000003</v>
      </c>
      <c r="Z400" s="337">
        <f t="shared" si="45"/>
        <v>79.043586804777973</v>
      </c>
      <c r="AA400" s="337" t="str">
        <f t="shared" si="46"/>
        <v>Chêne sessile_F1_Classique_Guide chênaie atlantique_170_</v>
      </c>
      <c r="AB400" s="330">
        <f t="shared" si="47"/>
        <v>170</v>
      </c>
      <c r="AC400" s="337">
        <f t="shared" si="44"/>
        <v>725.98864701832156</v>
      </c>
      <c r="AD400" s="338">
        <f t="shared" si="49"/>
        <v>3467.3536963350266</v>
      </c>
      <c r="AE400" s="338">
        <f t="shared" si="48"/>
        <v>387.26639397599007</v>
      </c>
    </row>
    <row r="401" spans="1:31" s="342" customFormat="1" hidden="1" x14ac:dyDescent="0.25">
      <c r="A401" s="327" t="s">
        <v>389</v>
      </c>
      <c r="B401" s="328" t="s">
        <v>10</v>
      </c>
      <c r="C401" s="328" t="s">
        <v>18</v>
      </c>
      <c r="D401" s="327" t="s">
        <v>137</v>
      </c>
      <c r="E401" s="341">
        <v>14</v>
      </c>
      <c r="F401" s="341">
        <v>0</v>
      </c>
      <c r="G401" s="341"/>
      <c r="J401" s="342">
        <v>0</v>
      </c>
      <c r="W401" s="336">
        <f>+VLOOKUP(A401,infradensité!$A$2:$B$67,2,FALSE)</f>
        <v>0.57999999999999996</v>
      </c>
      <c r="X401" s="336">
        <v>1.3</v>
      </c>
      <c r="Y401" s="337">
        <f t="shared" si="43"/>
        <v>0</v>
      </c>
      <c r="Z401" s="337" t="e">
        <f t="shared" si="45"/>
        <v>#NUM!</v>
      </c>
      <c r="AA401" s="343" t="str">
        <f t="shared" si="46"/>
        <v>Chêne sessile_F2_Classique_Guide chênaie atlantique_0_</v>
      </c>
      <c r="AB401" s="344">
        <f t="shared" si="47"/>
        <v>0</v>
      </c>
      <c r="AC401" s="337">
        <v>0</v>
      </c>
      <c r="AD401" s="338">
        <f t="shared" si="49"/>
        <v>0</v>
      </c>
      <c r="AE401" s="345">
        <f>+SUM($AD$401:$AD$433)/$AB$433</f>
        <v>322.9899998590148</v>
      </c>
    </row>
    <row r="402" spans="1:31" s="342" customFormat="1" hidden="1" x14ac:dyDescent="0.25">
      <c r="A402" s="327" t="s">
        <v>389</v>
      </c>
      <c r="B402" s="328" t="s">
        <v>10</v>
      </c>
      <c r="C402" s="328" t="s">
        <v>18</v>
      </c>
      <c r="D402" s="327" t="s">
        <v>137</v>
      </c>
      <c r="E402" s="341">
        <v>14</v>
      </c>
      <c r="F402" s="341">
        <v>30</v>
      </c>
      <c r="G402" s="341"/>
      <c r="J402" s="329">
        <f>+($J$407/$F$407)*F402</f>
        <v>73.269230769230774</v>
      </c>
      <c r="W402" s="336">
        <f>+VLOOKUP(A402,infradensité!$A$2:$B$67,2,FALSE)</f>
        <v>0.57999999999999996</v>
      </c>
      <c r="X402" s="336">
        <v>1.3</v>
      </c>
      <c r="Y402" s="337">
        <f t="shared" si="43"/>
        <v>55.245000000000005</v>
      </c>
      <c r="Z402" s="337">
        <f t="shared" si="45"/>
        <v>15.960340049529075</v>
      </c>
      <c r="AA402" s="343" t="str">
        <f t="shared" si="46"/>
        <v>Chêne sessile_F2_Classique_Guide chênaie atlantique_30_</v>
      </c>
      <c r="AB402" s="344">
        <f t="shared" si="47"/>
        <v>30</v>
      </c>
      <c r="AC402" s="337">
        <f t="shared" si="44"/>
        <v>124.01596725292983</v>
      </c>
      <c r="AD402" s="338">
        <f t="shared" si="49"/>
        <v>1860.2395087939474</v>
      </c>
      <c r="AE402" s="345">
        <f t="shared" ref="AE402:AE433" si="50">+SUM($AD$401:$AD$433)/$AB$433</f>
        <v>322.9899998590148</v>
      </c>
    </row>
    <row r="403" spans="1:31" s="329" customFormat="1" hidden="1" x14ac:dyDescent="0.25">
      <c r="A403" s="327" t="s">
        <v>389</v>
      </c>
      <c r="B403" s="328" t="s">
        <v>10</v>
      </c>
      <c r="C403" s="328" t="s">
        <v>18</v>
      </c>
      <c r="D403" s="327" t="s">
        <v>137</v>
      </c>
      <c r="E403" s="328">
        <v>14</v>
      </c>
      <c r="F403" s="340">
        <v>36</v>
      </c>
      <c r="G403" s="328"/>
      <c r="J403" s="329">
        <f>+($J$407/$F$407)*F403</f>
        <v>87.923076923076934</v>
      </c>
      <c r="W403" s="336">
        <f>+VLOOKUP(A403,infradensité!$A$2:$B$67,2,FALSE)</f>
        <v>0.57999999999999996</v>
      </c>
      <c r="X403" s="336">
        <v>1.3</v>
      </c>
      <c r="Y403" s="337">
        <f t="shared" si="43"/>
        <v>66.294000000000011</v>
      </c>
      <c r="Z403" s="337">
        <f t="shared" si="45"/>
        <v>18.750233876262516</v>
      </c>
      <c r="AA403" s="343" t="str">
        <f t="shared" si="46"/>
        <v>Chêne sessile_F2_Classique_Guide chênaie atlantique_36_</v>
      </c>
      <c r="AB403" s="344">
        <f t="shared" si="47"/>
        <v>36</v>
      </c>
      <c r="AC403" s="337">
        <f t="shared" si="44"/>
        <v>148.11870733449055</v>
      </c>
      <c r="AD403" s="338">
        <f t="shared" si="49"/>
        <v>816.40402376226109</v>
      </c>
      <c r="AE403" s="345">
        <f t="shared" si="50"/>
        <v>322.9899998590148</v>
      </c>
    </row>
    <row r="404" spans="1:31" s="329" customFormat="1" hidden="1" x14ac:dyDescent="0.25">
      <c r="A404" s="327" t="s">
        <v>389</v>
      </c>
      <c r="B404" s="328" t="s">
        <v>10</v>
      </c>
      <c r="C404" s="328" t="s">
        <v>18</v>
      </c>
      <c r="D404" s="327" t="s">
        <v>137</v>
      </c>
      <c r="E404" s="328">
        <v>14</v>
      </c>
      <c r="F404" s="328">
        <v>36</v>
      </c>
      <c r="G404" s="328"/>
      <c r="J404" s="329">
        <f>+($J$407/$F$407)*F404</f>
        <v>87.923076923076934</v>
      </c>
      <c r="W404" s="336">
        <f>+VLOOKUP(A404,infradensité!$A$2:$B$67,2,FALSE)</f>
        <v>0.57999999999999996</v>
      </c>
      <c r="X404" s="336">
        <v>1.3</v>
      </c>
      <c r="Y404" s="337">
        <f t="shared" si="43"/>
        <v>66.294000000000011</v>
      </c>
      <c r="Z404" s="337">
        <f t="shared" si="45"/>
        <v>18.750233876262516</v>
      </c>
      <c r="AA404" s="343" t="str">
        <f t="shared" si="46"/>
        <v>Chêne sessile_F2_Classique_Guide chênaie atlantique_36_</v>
      </c>
      <c r="AB404" s="344">
        <f t="shared" si="47"/>
        <v>36</v>
      </c>
      <c r="AC404" s="337">
        <f t="shared" si="44"/>
        <v>148.11870733449055</v>
      </c>
      <c r="AD404" s="338">
        <f t="shared" si="49"/>
        <v>0</v>
      </c>
      <c r="AE404" s="345">
        <f t="shared" si="50"/>
        <v>322.9899998590148</v>
      </c>
    </row>
    <row r="405" spans="1:31" s="329" customFormat="1" hidden="1" x14ac:dyDescent="0.25">
      <c r="A405" s="327" t="s">
        <v>389</v>
      </c>
      <c r="B405" s="328" t="s">
        <v>10</v>
      </c>
      <c r="C405" s="328" t="s">
        <v>18</v>
      </c>
      <c r="D405" s="327" t="s">
        <v>137</v>
      </c>
      <c r="E405" s="328">
        <v>14</v>
      </c>
      <c r="F405" s="328">
        <v>44</v>
      </c>
      <c r="G405" s="328"/>
      <c r="J405" s="329">
        <f>+($J$407/$F$407)*F405</f>
        <v>107.46153846153847</v>
      </c>
      <c r="W405" s="336">
        <f>+VLOOKUP(A405,infradensité!$A$2:$B$67,2,FALSE)</f>
        <v>0.57999999999999996</v>
      </c>
      <c r="X405" s="336">
        <v>1.3</v>
      </c>
      <c r="Y405" s="337">
        <f t="shared" si="43"/>
        <v>81.02600000000001</v>
      </c>
      <c r="Z405" s="337">
        <f t="shared" si="45"/>
        <v>22.387860102762506</v>
      </c>
      <c r="AA405" s="343" t="str">
        <f t="shared" si="46"/>
        <v>Chêne sessile_F2_Classique_Guide chênaie atlantique_44_</v>
      </c>
      <c r="AB405" s="344">
        <f t="shared" si="47"/>
        <v>44</v>
      </c>
      <c r="AC405" s="337">
        <f t="shared" si="44"/>
        <v>180.11247301231137</v>
      </c>
      <c r="AD405" s="338">
        <f t="shared" si="49"/>
        <v>1312.9247213872077</v>
      </c>
      <c r="AE405" s="345">
        <f t="shared" si="50"/>
        <v>322.9899998590148</v>
      </c>
    </row>
    <row r="406" spans="1:31" s="329" customFormat="1" hidden="1" x14ac:dyDescent="0.25">
      <c r="A406" s="327" t="s">
        <v>389</v>
      </c>
      <c r="B406" s="328" t="s">
        <v>10</v>
      </c>
      <c r="C406" s="328" t="s">
        <v>18</v>
      </c>
      <c r="D406" s="327" t="s">
        <v>137</v>
      </c>
      <c r="E406" s="328">
        <v>14</v>
      </c>
      <c r="F406" s="328">
        <v>44</v>
      </c>
      <c r="G406" s="328"/>
      <c r="J406" s="329">
        <f>+($J$407/$F$407)*F406</f>
        <v>107.46153846153847</v>
      </c>
      <c r="W406" s="336">
        <f>+VLOOKUP(A406,infradensité!$A$2:$B$67,2,FALSE)</f>
        <v>0.57999999999999996</v>
      </c>
      <c r="X406" s="336">
        <v>1.3</v>
      </c>
      <c r="Y406" s="337">
        <f t="shared" si="43"/>
        <v>81.02600000000001</v>
      </c>
      <c r="Z406" s="337">
        <f t="shared" si="45"/>
        <v>22.387860102762506</v>
      </c>
      <c r="AA406" s="343" t="str">
        <f t="shared" si="46"/>
        <v>Chêne sessile_F2_Classique_Guide chênaie atlantique_44_</v>
      </c>
      <c r="AB406" s="344">
        <f t="shared" si="47"/>
        <v>44</v>
      </c>
      <c r="AC406" s="337">
        <f t="shared" si="44"/>
        <v>180.11247301231137</v>
      </c>
      <c r="AD406" s="338">
        <f t="shared" si="49"/>
        <v>0</v>
      </c>
      <c r="AE406" s="345">
        <f t="shared" si="50"/>
        <v>322.9899998590148</v>
      </c>
    </row>
    <row r="407" spans="1:31" s="329" customFormat="1" hidden="1" x14ac:dyDescent="0.25">
      <c r="A407" s="327" t="s">
        <v>389</v>
      </c>
      <c r="B407" s="328" t="s">
        <v>10</v>
      </c>
      <c r="C407" s="328" t="s">
        <v>18</v>
      </c>
      <c r="D407" s="327" t="s">
        <v>137</v>
      </c>
      <c r="E407" s="328">
        <v>14</v>
      </c>
      <c r="F407" s="328">
        <v>52</v>
      </c>
      <c r="G407" s="328"/>
      <c r="J407" s="329">
        <v>127</v>
      </c>
      <c r="W407" s="336">
        <f>+VLOOKUP(A407,infradensité!$A$2:$B$67,2,FALSE)</f>
        <v>0.57999999999999996</v>
      </c>
      <c r="X407" s="336">
        <v>1.3</v>
      </c>
      <c r="Y407" s="337">
        <f t="shared" si="43"/>
        <v>95.757999999999996</v>
      </c>
      <c r="Z407" s="337">
        <f t="shared" si="45"/>
        <v>25.948864241262225</v>
      </c>
      <c r="AA407" s="343" t="str">
        <f t="shared" si="46"/>
        <v>Chêne sessile_F2_Classique_Guide chênaie atlantique_52_</v>
      </c>
      <c r="AB407" s="344">
        <f t="shared" si="47"/>
        <v>52</v>
      </c>
      <c r="AC407" s="337">
        <f t="shared" si="44"/>
        <v>211.9727885535317</v>
      </c>
      <c r="AD407" s="338">
        <f t="shared" si="49"/>
        <v>1568.3410462633724</v>
      </c>
      <c r="AE407" s="345">
        <f t="shared" si="50"/>
        <v>322.9899998590148</v>
      </c>
    </row>
    <row r="408" spans="1:31" s="329" customFormat="1" hidden="1" x14ac:dyDescent="0.25">
      <c r="A408" s="327" t="s">
        <v>389</v>
      </c>
      <c r="B408" s="328" t="s">
        <v>10</v>
      </c>
      <c r="C408" s="328" t="s">
        <v>18</v>
      </c>
      <c r="D408" s="327" t="s">
        <v>137</v>
      </c>
      <c r="E408" s="328">
        <v>14</v>
      </c>
      <c r="F408" s="328">
        <v>52</v>
      </c>
      <c r="G408" s="328"/>
      <c r="J408" s="329">
        <v>98</v>
      </c>
      <c r="O408" s="329">
        <f>J407-J408</f>
        <v>29</v>
      </c>
      <c r="W408" s="336">
        <f>+VLOOKUP(A408,infradensité!$A$2:$B$67,2,FALSE)</f>
        <v>0.57999999999999996</v>
      </c>
      <c r="X408" s="336">
        <v>1.3</v>
      </c>
      <c r="Y408" s="337">
        <f t="shared" si="43"/>
        <v>73.891999999999996</v>
      </c>
      <c r="Z408" s="337">
        <f t="shared" si="45"/>
        <v>20.636913630302118</v>
      </c>
      <c r="AA408" s="343" t="str">
        <f t="shared" si="46"/>
        <v>Chêne sessile_F2_Classique_Guide chênaie atlantique_52_</v>
      </c>
      <c r="AB408" s="344">
        <f t="shared" si="47"/>
        <v>52</v>
      </c>
      <c r="AC408" s="337">
        <f t="shared" si="44"/>
        <v>164.6378579061095</v>
      </c>
      <c r="AD408" s="338">
        <f t="shared" si="49"/>
        <v>0</v>
      </c>
      <c r="AE408" s="345">
        <f t="shared" si="50"/>
        <v>322.9899998590148</v>
      </c>
    </row>
    <row r="409" spans="1:31" s="329" customFormat="1" hidden="1" x14ac:dyDescent="0.25">
      <c r="A409" s="327" t="s">
        <v>389</v>
      </c>
      <c r="B409" s="328" t="s">
        <v>10</v>
      </c>
      <c r="C409" s="328" t="s">
        <v>18</v>
      </c>
      <c r="D409" s="327" t="s">
        <v>137</v>
      </c>
      <c r="E409" s="328">
        <v>14</v>
      </c>
      <c r="F409" s="328">
        <v>60</v>
      </c>
      <c r="G409" s="328"/>
      <c r="J409" s="329">
        <v>147</v>
      </c>
      <c r="W409" s="336">
        <f>+VLOOKUP(A409,infradensité!$A$2:$B$67,2,FALSE)</f>
        <v>0.57999999999999996</v>
      </c>
      <c r="X409" s="336">
        <v>1.3</v>
      </c>
      <c r="Y409" s="337">
        <f t="shared" si="43"/>
        <v>110.83799999999999</v>
      </c>
      <c r="Z409" s="337">
        <f t="shared" si="45"/>
        <v>29.528336615603067</v>
      </c>
      <c r="AA409" s="343" t="str">
        <f t="shared" si="46"/>
        <v>Chêne sessile_F2_Classique_Guide chênaie atlantique_60_</v>
      </c>
      <c r="AB409" s="344">
        <f t="shared" si="47"/>
        <v>60</v>
      </c>
      <c r="AC409" s="337">
        <f t="shared" si="44"/>
        <v>244.4713696055087</v>
      </c>
      <c r="AD409" s="338">
        <f t="shared" si="49"/>
        <v>1636.4369100464728</v>
      </c>
      <c r="AE409" s="345">
        <f t="shared" si="50"/>
        <v>322.9899998590148</v>
      </c>
    </row>
    <row r="410" spans="1:31" s="329" customFormat="1" hidden="1" x14ac:dyDescent="0.25">
      <c r="A410" s="327" t="s">
        <v>389</v>
      </c>
      <c r="B410" s="328" t="s">
        <v>10</v>
      </c>
      <c r="C410" s="328" t="s">
        <v>18</v>
      </c>
      <c r="D410" s="327" t="s">
        <v>137</v>
      </c>
      <c r="E410" s="328">
        <v>14</v>
      </c>
      <c r="F410" s="328">
        <v>60</v>
      </c>
      <c r="G410" s="328"/>
      <c r="J410" s="329">
        <v>117</v>
      </c>
      <c r="O410" s="329">
        <f t="shared" ref="O410:O432" si="51">J409-J410</f>
        <v>30</v>
      </c>
      <c r="W410" s="336">
        <f>+VLOOKUP(A410,infradensité!$A$2:$B$67,2,FALSE)</f>
        <v>0.57999999999999996</v>
      </c>
      <c r="X410" s="336">
        <v>1.3</v>
      </c>
      <c r="Y410" s="337">
        <f t="shared" si="43"/>
        <v>88.218000000000004</v>
      </c>
      <c r="Z410" s="337">
        <f t="shared" si="45"/>
        <v>24.134950560421586</v>
      </c>
      <c r="AA410" s="343" t="str">
        <f t="shared" si="46"/>
        <v>Chêne sessile_F2_Classique_Guide chênaie atlantique_60_</v>
      </c>
      <c r="AB410" s="344">
        <f t="shared" si="47"/>
        <v>60</v>
      </c>
      <c r="AC410" s="337">
        <f t="shared" si="44"/>
        <v>195.68138889273428</v>
      </c>
      <c r="AD410" s="338">
        <f t="shared" si="49"/>
        <v>0</v>
      </c>
      <c r="AE410" s="345">
        <f t="shared" si="50"/>
        <v>322.9899998590148</v>
      </c>
    </row>
    <row r="411" spans="1:31" s="329" customFormat="1" hidden="1" x14ac:dyDescent="0.25">
      <c r="A411" s="327" t="s">
        <v>389</v>
      </c>
      <c r="B411" s="328" t="s">
        <v>10</v>
      </c>
      <c r="C411" s="328" t="s">
        <v>18</v>
      </c>
      <c r="D411" s="327" t="s">
        <v>137</v>
      </c>
      <c r="E411" s="328">
        <v>14</v>
      </c>
      <c r="F411" s="328">
        <v>68</v>
      </c>
      <c r="G411" s="328"/>
      <c r="J411" s="329">
        <v>165</v>
      </c>
      <c r="W411" s="336">
        <f>+VLOOKUP(A411,infradensité!$A$2:$B$67,2,FALSE)</f>
        <v>0.57999999999999996</v>
      </c>
      <c r="X411" s="336">
        <v>1.3</v>
      </c>
      <c r="Y411" s="337">
        <f t="shared" si="43"/>
        <v>124.41</v>
      </c>
      <c r="Z411" s="337">
        <f t="shared" si="45"/>
        <v>32.701388952140334</v>
      </c>
      <c r="AA411" s="343" t="str">
        <f t="shared" si="46"/>
        <v>Chêne sessile_F2_Classique_Guide chênaie atlantique_68_</v>
      </c>
      <c r="AB411" s="344">
        <f t="shared" si="47"/>
        <v>68</v>
      </c>
      <c r="AC411" s="337">
        <f t="shared" si="44"/>
        <v>273.63566909164439</v>
      </c>
      <c r="AD411" s="338">
        <f t="shared" si="49"/>
        <v>1877.2682319375147</v>
      </c>
      <c r="AE411" s="345">
        <f t="shared" si="50"/>
        <v>322.9899998590148</v>
      </c>
    </row>
    <row r="412" spans="1:31" s="329" customFormat="1" hidden="1" x14ac:dyDescent="0.25">
      <c r="A412" s="327" t="s">
        <v>389</v>
      </c>
      <c r="B412" s="328" t="s">
        <v>10</v>
      </c>
      <c r="C412" s="328" t="s">
        <v>18</v>
      </c>
      <c r="D412" s="327" t="s">
        <v>137</v>
      </c>
      <c r="E412" s="328">
        <v>14</v>
      </c>
      <c r="F412" s="328">
        <v>68</v>
      </c>
      <c r="G412" s="328"/>
      <c r="J412" s="329">
        <v>135</v>
      </c>
      <c r="O412" s="329">
        <f t="shared" si="51"/>
        <v>30</v>
      </c>
      <c r="W412" s="336">
        <f>+VLOOKUP(A412,infradensité!$A$2:$B$67,2,FALSE)</f>
        <v>0.57999999999999996</v>
      </c>
      <c r="X412" s="336">
        <v>1.3</v>
      </c>
      <c r="Y412" s="337">
        <f t="shared" si="43"/>
        <v>101.79</v>
      </c>
      <c r="Z412" s="337">
        <f t="shared" si="45"/>
        <v>27.38799903683508</v>
      </c>
      <c r="AA412" s="343" t="str">
        <f t="shared" si="46"/>
        <v>Chêne sessile_F2_Classique_Guide chênaie atlantique_68_</v>
      </c>
      <c r="AB412" s="344">
        <f t="shared" si="47"/>
        <v>68</v>
      </c>
      <c r="AC412" s="337">
        <f t="shared" si="44"/>
        <v>224.98501498915439</v>
      </c>
      <c r="AD412" s="338">
        <f t="shared" si="49"/>
        <v>0</v>
      </c>
      <c r="AE412" s="345">
        <f t="shared" si="50"/>
        <v>322.9899998590148</v>
      </c>
    </row>
    <row r="413" spans="1:31" s="329" customFormat="1" hidden="1" x14ac:dyDescent="0.25">
      <c r="A413" s="327" t="s">
        <v>389</v>
      </c>
      <c r="B413" s="328" t="s">
        <v>10</v>
      </c>
      <c r="C413" s="328" t="s">
        <v>18</v>
      </c>
      <c r="D413" s="327" t="s">
        <v>137</v>
      </c>
      <c r="E413" s="328">
        <v>14</v>
      </c>
      <c r="F413" s="328">
        <v>78</v>
      </c>
      <c r="G413" s="328"/>
      <c r="J413" s="329">
        <v>194</v>
      </c>
      <c r="W413" s="336">
        <f>+VLOOKUP(A413,infradensité!$A$2:$B$67,2,FALSE)</f>
        <v>0.57999999999999996</v>
      </c>
      <c r="X413" s="336">
        <v>1.3</v>
      </c>
      <c r="Y413" s="337">
        <f t="shared" ref="Y413:Y476" si="52">+X413*W413*J413</f>
        <v>146.27600000000001</v>
      </c>
      <c r="Z413" s="337">
        <f t="shared" si="45"/>
        <v>37.73105899165121</v>
      </c>
      <c r="AA413" s="343" t="str">
        <f t="shared" si="46"/>
        <v>Chêne sessile_F2_Classique_Guide chênaie atlantique_78_</v>
      </c>
      <c r="AB413" s="344">
        <f t="shared" si="47"/>
        <v>78</v>
      </c>
      <c r="AC413" s="337">
        <f t="shared" ref="AC413:AC476" si="53">+(Z413+Y413)*0.475*44/12</f>
        <v>320.47896107712586</v>
      </c>
      <c r="AD413" s="338">
        <f t="shared" si="49"/>
        <v>2727.3198803314012</v>
      </c>
      <c r="AE413" s="345">
        <f t="shared" si="50"/>
        <v>322.9899998590148</v>
      </c>
    </row>
    <row r="414" spans="1:31" s="329" customFormat="1" hidden="1" x14ac:dyDescent="0.25">
      <c r="A414" s="327" t="s">
        <v>389</v>
      </c>
      <c r="B414" s="328" t="s">
        <v>10</v>
      </c>
      <c r="C414" s="328" t="s">
        <v>18</v>
      </c>
      <c r="D414" s="327" t="s">
        <v>137</v>
      </c>
      <c r="E414" s="328">
        <v>14</v>
      </c>
      <c r="F414" s="328">
        <v>78</v>
      </c>
      <c r="G414" s="328"/>
      <c r="J414" s="329">
        <v>162</v>
      </c>
      <c r="O414" s="329">
        <f t="shared" si="51"/>
        <v>32</v>
      </c>
      <c r="W414" s="336">
        <f>+VLOOKUP(A414,infradensité!$A$2:$B$67,2,FALSE)</f>
        <v>0.57999999999999996</v>
      </c>
      <c r="X414" s="336">
        <v>1.3</v>
      </c>
      <c r="Y414" s="337">
        <f t="shared" si="52"/>
        <v>122.148</v>
      </c>
      <c r="Z414" s="337">
        <f t="shared" ref="Z414:Z477" si="54">+EXP(-1.0587+0.8836*LN(Y414)+0.284)</f>
        <v>32.175466547071615</v>
      </c>
      <c r="AA414" s="343" t="str">
        <f t="shared" si="46"/>
        <v>Chêne sessile_F2_Classique_Guide chênaie atlantique_78_</v>
      </c>
      <c r="AB414" s="344">
        <f t="shared" si="47"/>
        <v>78</v>
      </c>
      <c r="AC414" s="337">
        <f t="shared" si="53"/>
        <v>268.78003756948306</v>
      </c>
      <c r="AD414" s="338">
        <f t="shared" si="49"/>
        <v>0</v>
      </c>
      <c r="AE414" s="345">
        <f t="shared" si="50"/>
        <v>322.9899998590148</v>
      </c>
    </row>
    <row r="415" spans="1:31" s="329" customFormat="1" hidden="1" x14ac:dyDescent="0.25">
      <c r="A415" s="327" t="s">
        <v>389</v>
      </c>
      <c r="B415" s="328" t="s">
        <v>10</v>
      </c>
      <c r="C415" s="328" t="s">
        <v>18</v>
      </c>
      <c r="D415" s="327" t="s">
        <v>137</v>
      </c>
      <c r="E415" s="328">
        <v>14</v>
      </c>
      <c r="F415" s="328">
        <v>88</v>
      </c>
      <c r="G415" s="328"/>
      <c r="J415" s="329">
        <v>219</v>
      </c>
      <c r="W415" s="336">
        <f>+VLOOKUP(A415,infradensité!$A$2:$B$67,2,FALSE)</f>
        <v>0.57999999999999996</v>
      </c>
      <c r="X415" s="336">
        <v>1.3</v>
      </c>
      <c r="Y415" s="337">
        <f t="shared" si="52"/>
        <v>165.126</v>
      </c>
      <c r="Z415" s="337">
        <f t="shared" si="54"/>
        <v>41.996568490108949</v>
      </c>
      <c r="AA415" s="343" t="str">
        <f t="shared" si="46"/>
        <v>Chêne sessile_F2_Classique_Guide chênaie atlantique_88_</v>
      </c>
      <c r="AB415" s="344">
        <f t="shared" si="47"/>
        <v>88</v>
      </c>
      <c r="AC415" s="337">
        <f t="shared" si="53"/>
        <v>360.73847345360645</v>
      </c>
      <c r="AD415" s="338">
        <f t="shared" si="49"/>
        <v>3147.5925551154478</v>
      </c>
      <c r="AE415" s="345">
        <f t="shared" si="50"/>
        <v>322.9899998590148</v>
      </c>
    </row>
    <row r="416" spans="1:31" s="329" customFormat="1" hidden="1" x14ac:dyDescent="0.25">
      <c r="A416" s="327" t="s">
        <v>389</v>
      </c>
      <c r="B416" s="328" t="s">
        <v>10</v>
      </c>
      <c r="C416" s="328" t="s">
        <v>18</v>
      </c>
      <c r="D416" s="327" t="s">
        <v>137</v>
      </c>
      <c r="E416" s="328">
        <v>14</v>
      </c>
      <c r="F416" s="328">
        <v>88</v>
      </c>
      <c r="G416" s="328"/>
      <c r="J416" s="329">
        <v>184</v>
      </c>
      <c r="O416" s="329">
        <f t="shared" si="51"/>
        <v>35</v>
      </c>
      <c r="W416" s="336">
        <f>+VLOOKUP(A416,infradensité!$A$2:$B$67,2,FALSE)</f>
        <v>0.57999999999999996</v>
      </c>
      <c r="X416" s="336">
        <v>1.3</v>
      </c>
      <c r="Y416" s="337">
        <f t="shared" si="52"/>
        <v>138.73599999999999</v>
      </c>
      <c r="Z416" s="337">
        <f t="shared" si="54"/>
        <v>36.007288175538044</v>
      </c>
      <c r="AA416" s="343" t="str">
        <f t="shared" si="46"/>
        <v>Chêne sessile_F2_Classique_Guide chênaie atlantique_88_</v>
      </c>
      <c r="AB416" s="344">
        <f t="shared" si="47"/>
        <v>88</v>
      </c>
      <c r="AC416" s="337">
        <f t="shared" si="53"/>
        <v>304.34456023906205</v>
      </c>
      <c r="AD416" s="338">
        <f t="shared" si="49"/>
        <v>0</v>
      </c>
      <c r="AE416" s="345">
        <f t="shared" si="50"/>
        <v>322.9899998590148</v>
      </c>
    </row>
    <row r="417" spans="1:31" s="329" customFormat="1" hidden="1" x14ac:dyDescent="0.25">
      <c r="A417" s="327" t="s">
        <v>389</v>
      </c>
      <c r="B417" s="328" t="s">
        <v>10</v>
      </c>
      <c r="C417" s="328" t="s">
        <v>18</v>
      </c>
      <c r="D417" s="327" t="s">
        <v>137</v>
      </c>
      <c r="E417" s="328">
        <v>14</v>
      </c>
      <c r="F417" s="328">
        <v>98</v>
      </c>
      <c r="G417" s="328"/>
      <c r="J417" s="329">
        <v>241</v>
      </c>
      <c r="W417" s="336">
        <f>+VLOOKUP(A417,infradensité!$A$2:$B$67,2,FALSE)</f>
        <v>0.57999999999999996</v>
      </c>
      <c r="X417" s="336">
        <v>1.3</v>
      </c>
      <c r="Y417" s="337">
        <f t="shared" si="52"/>
        <v>181.714</v>
      </c>
      <c r="Z417" s="337">
        <f t="shared" si="54"/>
        <v>45.703309000661321</v>
      </c>
      <c r="AA417" s="343" t="str">
        <f t="shared" si="46"/>
        <v>Chêne sessile_F2_Classique_Guide chênaie atlantique_98_</v>
      </c>
      <c r="AB417" s="344">
        <f t="shared" si="47"/>
        <v>98</v>
      </c>
      <c r="AC417" s="337">
        <f t="shared" si="53"/>
        <v>396.08514650948513</v>
      </c>
      <c r="AD417" s="338">
        <f t="shared" si="49"/>
        <v>3502.1485337427362</v>
      </c>
      <c r="AE417" s="345">
        <f t="shared" si="50"/>
        <v>322.9899998590148</v>
      </c>
    </row>
    <row r="418" spans="1:31" s="329" customFormat="1" hidden="1" x14ac:dyDescent="0.25">
      <c r="A418" s="327" t="s">
        <v>389</v>
      </c>
      <c r="B418" s="328" t="s">
        <v>10</v>
      </c>
      <c r="C418" s="328" t="s">
        <v>18</v>
      </c>
      <c r="D418" s="327" t="s">
        <v>137</v>
      </c>
      <c r="E418" s="328">
        <v>14</v>
      </c>
      <c r="F418" s="328">
        <v>98</v>
      </c>
      <c r="G418" s="328"/>
      <c r="J418" s="329">
        <v>207</v>
      </c>
      <c r="O418" s="329">
        <f t="shared" si="51"/>
        <v>34</v>
      </c>
      <c r="W418" s="336">
        <f>+VLOOKUP(A418,infradensité!$A$2:$B$67,2,FALSE)</f>
        <v>0.57999999999999996</v>
      </c>
      <c r="X418" s="336">
        <v>1.3</v>
      </c>
      <c r="Y418" s="337">
        <f t="shared" si="52"/>
        <v>156.078</v>
      </c>
      <c r="Z418" s="337">
        <f t="shared" si="54"/>
        <v>39.956623674978466</v>
      </c>
      <c r="AA418" s="343" t="str">
        <f t="shared" si="46"/>
        <v>Chêne sessile_F2_Classique_Guide chênaie atlantique_98_</v>
      </c>
      <c r="AB418" s="344">
        <f t="shared" si="47"/>
        <v>98</v>
      </c>
      <c r="AC418" s="337">
        <f t="shared" si="53"/>
        <v>341.42696956725416</v>
      </c>
      <c r="AD418" s="338">
        <f t="shared" si="49"/>
        <v>0</v>
      </c>
      <c r="AE418" s="345">
        <f t="shared" si="50"/>
        <v>322.9899998590148</v>
      </c>
    </row>
    <row r="419" spans="1:31" s="329" customFormat="1" hidden="1" x14ac:dyDescent="0.25">
      <c r="A419" s="327" t="s">
        <v>389</v>
      </c>
      <c r="B419" s="328" t="s">
        <v>10</v>
      </c>
      <c r="C419" s="328" t="s">
        <v>18</v>
      </c>
      <c r="D419" s="327" t="s">
        <v>137</v>
      </c>
      <c r="E419" s="328">
        <v>14</v>
      </c>
      <c r="F419" s="328">
        <v>108</v>
      </c>
      <c r="G419" s="328"/>
      <c r="J419" s="329">
        <v>263</v>
      </c>
      <c r="W419" s="336">
        <f>+VLOOKUP(A419,infradensité!$A$2:$B$67,2,FALSE)</f>
        <v>0.57999999999999996</v>
      </c>
      <c r="X419" s="336">
        <v>1.3</v>
      </c>
      <c r="Y419" s="337">
        <f t="shared" si="52"/>
        <v>198.30199999999999</v>
      </c>
      <c r="Z419" s="337">
        <f t="shared" si="54"/>
        <v>49.370813744014384</v>
      </c>
      <c r="AA419" s="343" t="str">
        <f t="shared" si="46"/>
        <v>Chêne sessile_F2_Classique_Guide chênaie atlantique_108_</v>
      </c>
      <c r="AB419" s="344">
        <f t="shared" si="47"/>
        <v>108</v>
      </c>
      <c r="AC419" s="337">
        <f t="shared" si="53"/>
        <v>431.36348393749171</v>
      </c>
      <c r="AD419" s="338">
        <f t="shared" si="49"/>
        <v>3863.9522675237295</v>
      </c>
      <c r="AE419" s="345">
        <f t="shared" si="50"/>
        <v>322.9899998590148</v>
      </c>
    </row>
    <row r="420" spans="1:31" s="329" customFormat="1" hidden="1" x14ac:dyDescent="0.25">
      <c r="A420" s="327" t="s">
        <v>389</v>
      </c>
      <c r="B420" s="328" t="s">
        <v>10</v>
      </c>
      <c r="C420" s="328" t="s">
        <v>18</v>
      </c>
      <c r="D420" s="327" t="s">
        <v>137</v>
      </c>
      <c r="E420" s="328">
        <v>14</v>
      </c>
      <c r="F420" s="328">
        <v>108</v>
      </c>
      <c r="G420" s="328"/>
      <c r="J420" s="329">
        <v>225</v>
      </c>
      <c r="O420" s="329">
        <f t="shared" si="51"/>
        <v>38</v>
      </c>
      <c r="W420" s="336">
        <f>+VLOOKUP(A420,infradensité!$A$2:$B$67,2,FALSE)</f>
        <v>0.57999999999999996</v>
      </c>
      <c r="X420" s="336">
        <v>1.3</v>
      </c>
      <c r="Y420" s="337">
        <f t="shared" si="52"/>
        <v>169.65</v>
      </c>
      <c r="Z420" s="337">
        <f t="shared" si="54"/>
        <v>43.01162582831487</v>
      </c>
      <c r="AA420" s="343" t="str">
        <f t="shared" si="46"/>
        <v>Chêne sessile_F2_Classique_Guide chênaie atlantique_108_</v>
      </c>
      <c r="AB420" s="344">
        <f t="shared" si="47"/>
        <v>108</v>
      </c>
      <c r="AC420" s="337">
        <f t="shared" si="53"/>
        <v>370.38566498431504</v>
      </c>
      <c r="AD420" s="338">
        <f t="shared" si="49"/>
        <v>0</v>
      </c>
      <c r="AE420" s="345">
        <f t="shared" si="50"/>
        <v>322.9899998590148</v>
      </c>
    </row>
    <row r="421" spans="1:31" s="329" customFormat="1" hidden="1" x14ac:dyDescent="0.25">
      <c r="A421" s="327" t="s">
        <v>389</v>
      </c>
      <c r="B421" s="328" t="s">
        <v>10</v>
      </c>
      <c r="C421" s="328" t="s">
        <v>18</v>
      </c>
      <c r="D421" s="327" t="s">
        <v>137</v>
      </c>
      <c r="E421" s="328">
        <v>14</v>
      </c>
      <c r="F421" s="328">
        <v>118</v>
      </c>
      <c r="G421" s="328"/>
      <c r="J421" s="329">
        <v>281</v>
      </c>
      <c r="W421" s="336">
        <f>+VLOOKUP(A421,infradensité!$A$2:$B$67,2,FALSE)</f>
        <v>0.57999999999999996</v>
      </c>
      <c r="X421" s="336">
        <v>1.3</v>
      </c>
      <c r="Y421" s="337">
        <f t="shared" si="52"/>
        <v>211.874</v>
      </c>
      <c r="Z421" s="337">
        <f t="shared" si="54"/>
        <v>52.344889861796688</v>
      </c>
      <c r="AA421" s="343" t="str">
        <f t="shared" si="46"/>
        <v>Chêne sessile_F2_Classique_Guide chênaie atlantique_118_</v>
      </c>
      <c r="AB421" s="344">
        <f t="shared" si="47"/>
        <v>118</v>
      </c>
      <c r="AC421" s="337">
        <f t="shared" si="53"/>
        <v>460.18123317596252</v>
      </c>
      <c r="AD421" s="338">
        <f t="shared" si="49"/>
        <v>4152.8344908013878</v>
      </c>
      <c r="AE421" s="345">
        <f t="shared" si="50"/>
        <v>322.9899998590148</v>
      </c>
    </row>
    <row r="422" spans="1:31" s="329" customFormat="1" hidden="1" x14ac:dyDescent="0.25">
      <c r="A422" s="327" t="s">
        <v>389</v>
      </c>
      <c r="B422" s="328" t="s">
        <v>10</v>
      </c>
      <c r="C422" s="328" t="s">
        <v>18</v>
      </c>
      <c r="D422" s="327" t="s">
        <v>137</v>
      </c>
      <c r="E422" s="328">
        <v>14</v>
      </c>
      <c r="F422" s="328">
        <v>118</v>
      </c>
      <c r="G422" s="328"/>
      <c r="J422" s="329">
        <v>241</v>
      </c>
      <c r="O422" s="329">
        <f t="shared" si="51"/>
        <v>40</v>
      </c>
      <c r="W422" s="336">
        <f>+VLOOKUP(A422,infradensité!$A$2:$B$67,2,FALSE)</f>
        <v>0.57999999999999996</v>
      </c>
      <c r="X422" s="336">
        <v>1.3</v>
      </c>
      <c r="Y422" s="337">
        <f t="shared" si="52"/>
        <v>181.714</v>
      </c>
      <c r="Z422" s="337">
        <f t="shared" si="54"/>
        <v>45.703309000661321</v>
      </c>
      <c r="AA422" s="343" t="str">
        <f t="shared" si="46"/>
        <v>Chêne sessile_F2_Classique_Guide chênaie atlantique_118_</v>
      </c>
      <c r="AB422" s="344">
        <f t="shared" si="47"/>
        <v>118</v>
      </c>
      <c r="AC422" s="337">
        <f t="shared" si="53"/>
        <v>396.08514650948513</v>
      </c>
      <c r="AD422" s="338">
        <f t="shared" si="49"/>
        <v>0</v>
      </c>
      <c r="AE422" s="345">
        <f t="shared" si="50"/>
        <v>322.9899998590148</v>
      </c>
    </row>
    <row r="423" spans="1:31" s="329" customFormat="1" hidden="1" x14ac:dyDescent="0.25">
      <c r="A423" s="327" t="s">
        <v>389</v>
      </c>
      <c r="B423" s="328" t="s">
        <v>10</v>
      </c>
      <c r="C423" s="328" t="s">
        <v>18</v>
      </c>
      <c r="D423" s="327" t="s">
        <v>137</v>
      </c>
      <c r="E423" s="328">
        <v>14</v>
      </c>
      <c r="F423" s="328">
        <v>128</v>
      </c>
      <c r="G423" s="328"/>
      <c r="J423" s="329">
        <v>297</v>
      </c>
      <c r="W423" s="336">
        <f>+VLOOKUP(A423,infradensité!$A$2:$B$67,2,FALSE)</f>
        <v>0.57999999999999996</v>
      </c>
      <c r="X423" s="336">
        <v>1.3</v>
      </c>
      <c r="Y423" s="337">
        <f t="shared" si="52"/>
        <v>223.93799999999999</v>
      </c>
      <c r="Z423" s="337">
        <f t="shared" si="54"/>
        <v>54.969904783066404</v>
      </c>
      <c r="AA423" s="343" t="str">
        <f t="shared" si="46"/>
        <v>Chêne sessile_F2_Classique_Guide chênaie atlantique_128_</v>
      </c>
      <c r="AB423" s="344">
        <f t="shared" si="47"/>
        <v>128</v>
      </c>
      <c r="AC423" s="337">
        <f t="shared" si="53"/>
        <v>485.76460083050716</v>
      </c>
      <c r="AD423" s="338">
        <f t="shared" si="49"/>
        <v>4409.2487366999612</v>
      </c>
      <c r="AE423" s="345">
        <f t="shared" si="50"/>
        <v>322.9899998590148</v>
      </c>
    </row>
    <row r="424" spans="1:31" s="329" customFormat="1" hidden="1" x14ac:dyDescent="0.25">
      <c r="A424" s="327" t="s">
        <v>389</v>
      </c>
      <c r="B424" s="328" t="s">
        <v>10</v>
      </c>
      <c r="C424" s="328" t="s">
        <v>18</v>
      </c>
      <c r="D424" s="327" t="s">
        <v>137</v>
      </c>
      <c r="E424" s="328">
        <v>14</v>
      </c>
      <c r="F424" s="328">
        <v>128</v>
      </c>
      <c r="G424" s="328"/>
      <c r="J424" s="329">
        <v>258</v>
      </c>
      <c r="O424" s="329">
        <f t="shared" si="51"/>
        <v>39</v>
      </c>
      <c r="W424" s="336">
        <f>+VLOOKUP(A424,infradensité!$A$2:$B$67,2,FALSE)</f>
        <v>0.57999999999999996</v>
      </c>
      <c r="X424" s="336">
        <v>1.3</v>
      </c>
      <c r="Y424" s="337">
        <f t="shared" si="52"/>
        <v>194.53200000000001</v>
      </c>
      <c r="Z424" s="337">
        <f t="shared" si="54"/>
        <v>48.540534952652621</v>
      </c>
      <c r="AA424" s="343" t="str">
        <f t="shared" si="46"/>
        <v>Chêne sessile_F2_Classique_Guide chênaie atlantique_128_</v>
      </c>
      <c r="AB424" s="344">
        <f t="shared" si="47"/>
        <v>128</v>
      </c>
      <c r="AC424" s="337">
        <f t="shared" si="53"/>
        <v>423.35133170920335</v>
      </c>
      <c r="AD424" s="338">
        <f t="shared" si="49"/>
        <v>0</v>
      </c>
      <c r="AE424" s="345">
        <f t="shared" si="50"/>
        <v>322.9899998590148</v>
      </c>
    </row>
    <row r="425" spans="1:31" s="329" customFormat="1" hidden="1" x14ac:dyDescent="0.25">
      <c r="A425" s="327" t="s">
        <v>389</v>
      </c>
      <c r="B425" s="328" t="s">
        <v>10</v>
      </c>
      <c r="C425" s="328" t="s">
        <v>18</v>
      </c>
      <c r="D425" s="327" t="s">
        <v>137</v>
      </c>
      <c r="E425" s="328">
        <v>14</v>
      </c>
      <c r="F425" s="328">
        <v>138</v>
      </c>
      <c r="G425" s="328"/>
      <c r="J425" s="329">
        <v>315</v>
      </c>
      <c r="W425" s="336">
        <f>+VLOOKUP(A425,infradensité!$A$2:$B$67,2,FALSE)</f>
        <v>0.57999999999999996</v>
      </c>
      <c r="X425" s="336">
        <v>1.3</v>
      </c>
      <c r="Y425" s="337">
        <f t="shared" si="52"/>
        <v>237.51</v>
      </c>
      <c r="Z425" s="337">
        <f t="shared" si="54"/>
        <v>57.9034701060217</v>
      </c>
      <c r="AA425" s="343" t="str">
        <f t="shared" si="46"/>
        <v>Chêne sessile_F2_Classique_Guide chênaie atlantique_138_</v>
      </c>
      <c r="AB425" s="344">
        <f t="shared" si="47"/>
        <v>138</v>
      </c>
      <c r="AC425" s="337">
        <f t="shared" si="53"/>
        <v>514.5117937679878</v>
      </c>
      <c r="AD425" s="338">
        <f t="shared" si="49"/>
        <v>4689.3156273859558</v>
      </c>
      <c r="AE425" s="345">
        <f t="shared" si="50"/>
        <v>322.9899998590148</v>
      </c>
    </row>
    <row r="426" spans="1:31" s="329" customFormat="1" hidden="1" x14ac:dyDescent="0.25">
      <c r="A426" s="327" t="s">
        <v>389</v>
      </c>
      <c r="B426" s="328" t="s">
        <v>10</v>
      </c>
      <c r="C426" s="328" t="s">
        <v>18</v>
      </c>
      <c r="D426" s="327" t="s">
        <v>137</v>
      </c>
      <c r="E426" s="328">
        <v>14</v>
      </c>
      <c r="F426" s="328">
        <v>138</v>
      </c>
      <c r="G426" s="328"/>
      <c r="J426" s="329">
        <v>276</v>
      </c>
      <c r="O426" s="329">
        <f t="shared" si="51"/>
        <v>39</v>
      </c>
      <c r="W426" s="336">
        <f>+VLOOKUP(A426,infradensité!$A$2:$B$67,2,FALSE)</f>
        <v>0.57999999999999996</v>
      </c>
      <c r="X426" s="336">
        <v>1.3</v>
      </c>
      <c r="Y426" s="337">
        <f t="shared" si="52"/>
        <v>208.10400000000001</v>
      </c>
      <c r="Z426" s="337">
        <f t="shared" si="54"/>
        <v>51.52104354893045</v>
      </c>
      <c r="AA426" s="343" t="str">
        <f t="shared" si="46"/>
        <v>Chêne sessile_F2_Classique_Guide chênaie atlantique_138_</v>
      </c>
      <c r="AB426" s="344">
        <f t="shared" si="47"/>
        <v>138</v>
      </c>
      <c r="AC426" s="337">
        <f t="shared" si="53"/>
        <v>452.18028418105388</v>
      </c>
      <c r="AD426" s="338">
        <f t="shared" si="49"/>
        <v>0</v>
      </c>
      <c r="AE426" s="345">
        <f t="shared" si="50"/>
        <v>322.9899998590148</v>
      </c>
    </row>
    <row r="427" spans="1:31" s="329" customFormat="1" hidden="1" x14ac:dyDescent="0.25">
      <c r="A427" s="327" t="s">
        <v>389</v>
      </c>
      <c r="B427" s="328" t="s">
        <v>10</v>
      </c>
      <c r="C427" s="328" t="s">
        <v>18</v>
      </c>
      <c r="D427" s="327" t="s">
        <v>137</v>
      </c>
      <c r="E427" s="328">
        <v>14</v>
      </c>
      <c r="F427" s="328">
        <v>148</v>
      </c>
      <c r="G427" s="328"/>
      <c r="J427" s="329">
        <v>333</v>
      </c>
      <c r="W427" s="336">
        <f>+VLOOKUP(A427,infradensité!$A$2:$B$67,2,FALSE)</f>
        <v>0.57999999999999996</v>
      </c>
      <c r="X427" s="336">
        <v>1.3</v>
      </c>
      <c r="Y427" s="337">
        <f t="shared" si="52"/>
        <v>251.08199999999999</v>
      </c>
      <c r="Z427" s="337">
        <f t="shared" si="54"/>
        <v>60.817576600008699</v>
      </c>
      <c r="AA427" s="343" t="str">
        <f t="shared" si="46"/>
        <v>Chêne sessile_F2_Classique_Guide chênaie atlantique_148_</v>
      </c>
      <c r="AB427" s="344">
        <f t="shared" si="47"/>
        <v>148</v>
      </c>
      <c r="AC427" s="337">
        <f t="shared" si="53"/>
        <v>543.22509591168171</v>
      </c>
      <c r="AD427" s="338">
        <f t="shared" si="49"/>
        <v>4977.0269004636784</v>
      </c>
      <c r="AE427" s="345">
        <f t="shared" si="50"/>
        <v>322.9899998590148</v>
      </c>
    </row>
    <row r="428" spans="1:31" s="329" customFormat="1" hidden="1" x14ac:dyDescent="0.25">
      <c r="A428" s="327" t="s">
        <v>389</v>
      </c>
      <c r="B428" s="328" t="s">
        <v>10</v>
      </c>
      <c r="C428" s="328" t="s">
        <v>18</v>
      </c>
      <c r="D428" s="327" t="s">
        <v>137</v>
      </c>
      <c r="E428" s="328">
        <v>14</v>
      </c>
      <c r="F428" s="328">
        <v>148</v>
      </c>
      <c r="G428" s="328"/>
      <c r="J428" s="329">
        <v>293</v>
      </c>
      <c r="O428" s="329">
        <f t="shared" si="51"/>
        <v>40</v>
      </c>
      <c r="W428" s="336">
        <f>+VLOOKUP(A428,infradensité!$A$2:$B$67,2,FALSE)</f>
        <v>0.57999999999999996</v>
      </c>
      <c r="X428" s="336">
        <v>1.3</v>
      </c>
      <c r="Y428" s="337">
        <f t="shared" si="52"/>
        <v>220.922</v>
      </c>
      <c r="Z428" s="337">
        <f t="shared" si="54"/>
        <v>54.315229063403009</v>
      </c>
      <c r="AA428" s="343" t="str">
        <f t="shared" si="46"/>
        <v>Chêne sessile_F2_Classique_Guide chênaie atlantique_148_</v>
      </c>
      <c r="AB428" s="344">
        <f t="shared" si="47"/>
        <v>148</v>
      </c>
      <c r="AC428" s="337">
        <f t="shared" si="53"/>
        <v>479.37150728542679</v>
      </c>
      <c r="AD428" s="338">
        <f t="shared" si="49"/>
        <v>0</v>
      </c>
      <c r="AE428" s="345">
        <f t="shared" si="50"/>
        <v>322.9899998590148</v>
      </c>
    </row>
    <row r="429" spans="1:31" s="329" customFormat="1" hidden="1" x14ac:dyDescent="0.25">
      <c r="A429" s="327" t="s">
        <v>389</v>
      </c>
      <c r="B429" s="328" t="s">
        <v>10</v>
      </c>
      <c r="C429" s="328" t="s">
        <v>18</v>
      </c>
      <c r="D429" s="327" t="s">
        <v>137</v>
      </c>
      <c r="E429" s="328">
        <v>14</v>
      </c>
      <c r="F429" s="328">
        <v>158</v>
      </c>
      <c r="G429" s="328"/>
      <c r="J429" s="329">
        <v>351</v>
      </c>
      <c r="W429" s="336">
        <f>+VLOOKUP(A429,infradensité!$A$2:$B$67,2,FALSE)</f>
        <v>0.57999999999999996</v>
      </c>
      <c r="X429" s="336">
        <v>1.3</v>
      </c>
      <c r="Y429" s="337">
        <f t="shared" si="52"/>
        <v>264.654</v>
      </c>
      <c r="Z429" s="337">
        <f t="shared" si="54"/>
        <v>63.713396011211117</v>
      </c>
      <c r="AA429" s="343" t="str">
        <f t="shared" si="46"/>
        <v>Chêne sessile_F2_Classique_Guide chênaie atlantique_158_</v>
      </c>
      <c r="AB429" s="344">
        <f t="shared" si="47"/>
        <v>158</v>
      </c>
      <c r="AC429" s="337">
        <f t="shared" si="53"/>
        <v>571.90654805285931</v>
      </c>
      <c r="AD429" s="338">
        <f t="shared" si="49"/>
        <v>5256.3902766914307</v>
      </c>
      <c r="AE429" s="345">
        <f t="shared" si="50"/>
        <v>322.9899998590148</v>
      </c>
    </row>
    <row r="430" spans="1:31" s="329" customFormat="1" hidden="1" x14ac:dyDescent="0.25">
      <c r="A430" s="327" t="s">
        <v>389</v>
      </c>
      <c r="B430" s="328" t="s">
        <v>10</v>
      </c>
      <c r="C430" s="328" t="s">
        <v>18</v>
      </c>
      <c r="D430" s="327" t="s">
        <v>137</v>
      </c>
      <c r="E430" s="328">
        <v>14</v>
      </c>
      <c r="F430" s="328">
        <v>158</v>
      </c>
      <c r="G430" s="328"/>
      <c r="J430" s="329">
        <v>310</v>
      </c>
      <c r="O430" s="329">
        <f t="shared" si="51"/>
        <v>41</v>
      </c>
      <c r="W430" s="336">
        <f>+VLOOKUP(A430,infradensité!$A$2:$B$67,2,FALSE)</f>
        <v>0.57999999999999996</v>
      </c>
      <c r="X430" s="336">
        <v>1.3</v>
      </c>
      <c r="Y430" s="337">
        <f t="shared" si="52"/>
        <v>233.74</v>
      </c>
      <c r="Z430" s="337">
        <f t="shared" si="54"/>
        <v>57.090596247628781</v>
      </c>
      <c r="AA430" s="343" t="str">
        <f t="shared" si="46"/>
        <v>Chêne sessile_F2_Classique_Guide chênaie atlantique_158_</v>
      </c>
      <c r="AB430" s="344">
        <f t="shared" si="47"/>
        <v>158</v>
      </c>
      <c r="AC430" s="337">
        <f t="shared" si="53"/>
        <v>506.5299551312869</v>
      </c>
      <c r="AD430" s="338">
        <f t="shared" si="49"/>
        <v>0</v>
      </c>
      <c r="AE430" s="345">
        <f t="shared" si="50"/>
        <v>322.9899998590148</v>
      </c>
    </row>
    <row r="431" spans="1:31" s="329" customFormat="1" hidden="1" x14ac:dyDescent="0.25">
      <c r="A431" s="327" t="s">
        <v>389</v>
      </c>
      <c r="B431" s="328" t="s">
        <v>10</v>
      </c>
      <c r="C431" s="328" t="s">
        <v>18</v>
      </c>
      <c r="D431" s="327" t="s">
        <v>137</v>
      </c>
      <c r="E431" s="328">
        <v>14</v>
      </c>
      <c r="F431" s="328">
        <v>168</v>
      </c>
      <c r="G431" s="328"/>
      <c r="J431" s="329">
        <v>369</v>
      </c>
      <c r="W431" s="336">
        <f>+VLOOKUP(A431,infradensité!$A$2:$B$67,2,FALSE)</f>
        <v>0.57999999999999996</v>
      </c>
      <c r="X431" s="336">
        <v>1.3</v>
      </c>
      <c r="Y431" s="337">
        <f t="shared" si="52"/>
        <v>278.226</v>
      </c>
      <c r="Z431" s="337">
        <f t="shared" si="54"/>
        <v>66.591973118559736</v>
      </c>
      <c r="AA431" s="343" t="str">
        <f t="shared" ref="AA431:AA494" si="55">+_xlfn.CONCAT(A431,"_",B431,"_",C431,"_",D431,"_",AB431,"_")</f>
        <v>Chêne sessile_F2_Classique_Guide chênaie atlantique_168_</v>
      </c>
      <c r="AB431" s="344">
        <f t="shared" ref="AB431:AB494" si="56">F431</f>
        <v>168</v>
      </c>
      <c r="AC431" s="337">
        <f t="shared" si="53"/>
        <v>600.55796984815822</v>
      </c>
      <c r="AD431" s="338">
        <f t="shared" si="49"/>
        <v>5535.4396248972262</v>
      </c>
      <c r="AE431" s="345">
        <f t="shared" si="50"/>
        <v>322.9899998590148</v>
      </c>
    </row>
    <row r="432" spans="1:31" s="329" customFormat="1" hidden="1" x14ac:dyDescent="0.25">
      <c r="A432" s="327" t="s">
        <v>389</v>
      </c>
      <c r="B432" s="328" t="s">
        <v>10</v>
      </c>
      <c r="C432" s="328" t="s">
        <v>18</v>
      </c>
      <c r="D432" s="327" t="s">
        <v>137</v>
      </c>
      <c r="E432" s="328">
        <v>14</v>
      </c>
      <c r="F432" s="328">
        <v>168</v>
      </c>
      <c r="G432" s="328"/>
      <c r="J432" s="329">
        <v>328</v>
      </c>
      <c r="O432" s="329">
        <f t="shared" si="51"/>
        <v>41</v>
      </c>
      <c r="W432" s="336">
        <f>+VLOOKUP(A432,infradensité!$A$2:$B$67,2,FALSE)</f>
        <v>0.57999999999999996</v>
      </c>
      <c r="X432" s="336">
        <v>1.3</v>
      </c>
      <c r="Y432" s="337">
        <f t="shared" si="52"/>
        <v>247.31200000000001</v>
      </c>
      <c r="Z432" s="337">
        <f t="shared" si="54"/>
        <v>60.009984471215603</v>
      </c>
      <c r="AA432" s="343" t="str">
        <f t="shared" si="55"/>
        <v>Chêne sessile_F2_Classique_Guide chênaie atlantique_168_</v>
      </c>
      <c r="AB432" s="344">
        <f t="shared" si="56"/>
        <v>168</v>
      </c>
      <c r="AC432" s="337">
        <f t="shared" si="53"/>
        <v>535.25245628736718</v>
      </c>
      <c r="AD432" s="338">
        <f t="shared" si="49"/>
        <v>0</v>
      </c>
      <c r="AE432" s="345">
        <f t="shared" si="50"/>
        <v>322.9899998590148</v>
      </c>
    </row>
    <row r="433" spans="1:31" s="329" customFormat="1" hidden="1" x14ac:dyDescent="0.25">
      <c r="A433" s="327" t="s">
        <v>389</v>
      </c>
      <c r="B433" s="328" t="s">
        <v>10</v>
      </c>
      <c r="C433" s="328" t="s">
        <v>18</v>
      </c>
      <c r="D433" s="327" t="s">
        <v>137</v>
      </c>
      <c r="E433" s="328">
        <v>14</v>
      </c>
      <c r="F433" s="328">
        <v>180</v>
      </c>
      <c r="G433" s="328"/>
      <c r="J433" s="329">
        <v>368</v>
      </c>
      <c r="W433" s="336">
        <f>+VLOOKUP(A433,infradensité!$A$2:$B$67,2,FALSE)</f>
        <v>0.57999999999999996</v>
      </c>
      <c r="X433" s="336">
        <v>1.3</v>
      </c>
      <c r="Y433" s="337">
        <f t="shared" si="52"/>
        <v>277.47199999999998</v>
      </c>
      <c r="Z433" s="337">
        <f t="shared" si="54"/>
        <v>66.432488139207578</v>
      </c>
      <c r="AA433" s="343" t="str">
        <f t="shared" si="55"/>
        <v>Chêne sessile_F2_Classique_Guide chênaie atlantique_180_</v>
      </c>
      <c r="AB433" s="344">
        <f t="shared" si="56"/>
        <v>180</v>
      </c>
      <c r="AC433" s="337">
        <f t="shared" si="53"/>
        <v>598.96698350911981</v>
      </c>
      <c r="AD433" s="338">
        <f t="shared" si="49"/>
        <v>6805.3166387789224</v>
      </c>
      <c r="AE433" s="345">
        <f t="shared" si="50"/>
        <v>322.9899998590148</v>
      </c>
    </row>
    <row r="434" spans="1:31" hidden="1" x14ac:dyDescent="0.25">
      <c r="A434" s="92" t="s">
        <v>308</v>
      </c>
      <c r="B434" s="92" t="s">
        <v>10</v>
      </c>
      <c r="C434" s="92" t="s">
        <v>18</v>
      </c>
      <c r="D434" s="92" t="s">
        <v>1510</v>
      </c>
      <c r="F434" s="92">
        <v>0</v>
      </c>
      <c r="J434" s="4">
        <v>0</v>
      </c>
      <c r="W434" s="336">
        <f>+VLOOKUP(A434,infradensité!$A$2:$B$67,2,FALSE)</f>
        <v>0.36</v>
      </c>
      <c r="X434" s="336">
        <v>1.3</v>
      </c>
      <c r="Y434" s="337">
        <f t="shared" si="52"/>
        <v>0</v>
      </c>
      <c r="Z434" s="337" t="e">
        <f t="shared" si="54"/>
        <v>#NUM!</v>
      </c>
      <c r="AA434" s="95" t="str">
        <f t="shared" si="55"/>
        <v>Cèdre de l'Atlas_F2_Classique_INRA_0_</v>
      </c>
      <c r="AB434" s="1">
        <f t="shared" si="56"/>
        <v>0</v>
      </c>
      <c r="AC434" s="337">
        <v>0</v>
      </c>
      <c r="AD434" s="338">
        <f t="shared" si="49"/>
        <v>0</v>
      </c>
      <c r="AE434" s="1">
        <f>+SUM($AD$434:$AD$544)/110</f>
        <v>307.81205601511681</v>
      </c>
    </row>
    <row r="435" spans="1:31" hidden="1" x14ac:dyDescent="0.25">
      <c r="A435" s="92" t="s">
        <v>308</v>
      </c>
      <c r="B435" s="92" t="s">
        <v>10</v>
      </c>
      <c r="C435" s="92" t="s">
        <v>18</v>
      </c>
      <c r="D435" s="92" t="s">
        <v>1510</v>
      </c>
      <c r="F435" s="92">
        <v>1</v>
      </c>
      <c r="J435">
        <v>7.15</v>
      </c>
      <c r="W435" s="336">
        <f>+VLOOKUP(A435,infradensité!$A$2:$B$67,2,FALSE)</f>
        <v>0.36</v>
      </c>
      <c r="X435" s="336">
        <v>1.3</v>
      </c>
      <c r="Y435" s="337">
        <f t="shared" si="52"/>
        <v>3.3462000000000001</v>
      </c>
      <c r="Z435" s="337">
        <f t="shared" si="54"/>
        <v>1.3398189597210337</v>
      </c>
      <c r="AA435" s="95" t="str">
        <f t="shared" si="55"/>
        <v>Cèdre de l'Atlas_F2_Classique_INRA_1_</v>
      </c>
      <c r="AB435" s="1">
        <f t="shared" si="56"/>
        <v>1</v>
      </c>
      <c r="AC435" s="337">
        <f t="shared" si="53"/>
        <v>8.161483021514135</v>
      </c>
      <c r="AD435" s="338">
        <f t="shared" si="49"/>
        <v>4.0807415107570675</v>
      </c>
      <c r="AE435" s="1">
        <f t="shared" ref="AE435:AE498" si="57">+SUM($AD$434:$AD$544)/110</f>
        <v>307.81205601511681</v>
      </c>
    </row>
    <row r="436" spans="1:31" hidden="1" x14ac:dyDescent="0.25">
      <c r="A436" s="92" t="s">
        <v>308</v>
      </c>
      <c r="B436" s="92" t="s">
        <v>10</v>
      </c>
      <c r="C436" s="92" t="s">
        <v>18</v>
      </c>
      <c r="D436" s="92" t="s">
        <v>1510</v>
      </c>
      <c r="F436" s="92">
        <v>2</v>
      </c>
      <c r="J436">
        <v>14.3</v>
      </c>
      <c r="W436" s="336">
        <f>+VLOOKUP(A436,infradensité!$A$2:$B$67,2,FALSE)</f>
        <v>0.36</v>
      </c>
      <c r="X436" s="336">
        <v>1.3</v>
      </c>
      <c r="Y436" s="337">
        <f t="shared" si="52"/>
        <v>6.6924000000000001</v>
      </c>
      <c r="Z436" s="337">
        <f t="shared" si="54"/>
        <v>2.4719303135641653</v>
      </c>
      <c r="AA436" s="95" t="str">
        <f t="shared" si="55"/>
        <v>Cèdre de l'Atlas_F2_Classique_INRA_2_</v>
      </c>
      <c r="AB436" s="1">
        <f t="shared" si="56"/>
        <v>2</v>
      </c>
      <c r="AC436" s="337">
        <f t="shared" si="53"/>
        <v>15.961208629457587</v>
      </c>
      <c r="AD436" s="338">
        <f t="shared" si="49"/>
        <v>12.061345825485862</v>
      </c>
      <c r="AE436" s="1">
        <f t="shared" si="57"/>
        <v>307.81205601511681</v>
      </c>
    </row>
    <row r="437" spans="1:31" hidden="1" x14ac:dyDescent="0.25">
      <c r="A437" s="92" t="s">
        <v>308</v>
      </c>
      <c r="B437" s="92" t="s">
        <v>10</v>
      </c>
      <c r="C437" s="92" t="s">
        <v>18</v>
      </c>
      <c r="D437" s="92" t="s">
        <v>1510</v>
      </c>
      <c r="F437" s="92">
        <v>3</v>
      </c>
      <c r="J437">
        <v>21.450000000000003</v>
      </c>
      <c r="W437" s="336">
        <f>+VLOOKUP(A437,infradensité!$A$2:$B$67,2,FALSE)</f>
        <v>0.36</v>
      </c>
      <c r="X437" s="336">
        <v>1.3</v>
      </c>
      <c r="Y437" s="337">
        <f t="shared" si="52"/>
        <v>10.038600000000001</v>
      </c>
      <c r="Z437" s="337">
        <f t="shared" si="54"/>
        <v>3.5369625369783226</v>
      </c>
      <c r="AA437" s="95" t="str">
        <f t="shared" si="55"/>
        <v>Cèdre de l'Atlas_F2_Classique_INRA_3_</v>
      </c>
      <c r="AB437" s="1">
        <f t="shared" si="56"/>
        <v>3</v>
      </c>
      <c r="AC437" s="337">
        <f t="shared" si="53"/>
        <v>23.64410475190391</v>
      </c>
      <c r="AD437" s="338">
        <f t="shared" si="49"/>
        <v>19.802656690680749</v>
      </c>
      <c r="AE437" s="1">
        <f t="shared" si="57"/>
        <v>307.81205601511681</v>
      </c>
    </row>
    <row r="438" spans="1:31" hidden="1" x14ac:dyDescent="0.25">
      <c r="A438" s="92" t="s">
        <v>308</v>
      </c>
      <c r="B438" s="92" t="s">
        <v>10</v>
      </c>
      <c r="C438" s="92" t="s">
        <v>18</v>
      </c>
      <c r="D438" s="92" t="s">
        <v>1510</v>
      </c>
      <c r="F438" s="92">
        <v>4</v>
      </c>
      <c r="J438">
        <v>28.6</v>
      </c>
      <c r="W438" s="336">
        <f>+VLOOKUP(A438,infradensité!$A$2:$B$67,2,FALSE)</f>
        <v>0.36</v>
      </c>
      <c r="X438" s="336">
        <v>1.3</v>
      </c>
      <c r="Y438" s="337">
        <f t="shared" si="52"/>
        <v>13.3848</v>
      </c>
      <c r="Z438" s="337">
        <f t="shared" si="54"/>
        <v>4.5606456236368675</v>
      </c>
      <c r="AA438" s="95" t="str">
        <f t="shared" si="55"/>
        <v>Cèdre de l'Atlas_F2_Classique_INRA_4_</v>
      </c>
      <c r="AB438" s="1">
        <f t="shared" si="56"/>
        <v>4</v>
      </c>
      <c r="AC438" s="337">
        <f t="shared" si="53"/>
        <v>31.254984461167542</v>
      </c>
      <c r="AD438" s="338">
        <f t="shared" si="49"/>
        <v>27.449544606535724</v>
      </c>
      <c r="AE438" s="1">
        <f t="shared" si="57"/>
        <v>307.81205601511681</v>
      </c>
    </row>
    <row r="439" spans="1:31" hidden="1" x14ac:dyDescent="0.25">
      <c r="A439" s="92" t="s">
        <v>308</v>
      </c>
      <c r="B439" s="92" t="s">
        <v>10</v>
      </c>
      <c r="C439" s="92" t="s">
        <v>18</v>
      </c>
      <c r="D439" s="92" t="s">
        <v>1510</v>
      </c>
      <c r="F439" s="92">
        <v>5</v>
      </c>
      <c r="J439">
        <v>35.75</v>
      </c>
      <c r="W439" s="336">
        <f>+VLOOKUP(A439,infradensité!$A$2:$B$67,2,FALSE)</f>
        <v>0.36</v>
      </c>
      <c r="X439" s="336">
        <v>1.3</v>
      </c>
      <c r="Y439" s="337">
        <f t="shared" si="52"/>
        <v>16.730999999999998</v>
      </c>
      <c r="Z439" s="337">
        <f t="shared" si="54"/>
        <v>5.5546412501575304</v>
      </c>
      <c r="AA439" s="95" t="str">
        <f t="shared" si="55"/>
        <v>Cèdre de l'Atlas_F2_Classique_INRA_5_</v>
      </c>
      <c r="AB439" s="1">
        <f t="shared" si="56"/>
        <v>5</v>
      </c>
      <c r="AC439" s="337">
        <f t="shared" si="53"/>
        <v>38.814158510691023</v>
      </c>
      <c r="AD439" s="338">
        <f t="shared" si="49"/>
        <v>35.034571485929284</v>
      </c>
      <c r="AE439" s="1">
        <f t="shared" si="57"/>
        <v>307.81205601511681</v>
      </c>
    </row>
    <row r="440" spans="1:31" hidden="1" x14ac:dyDescent="0.25">
      <c r="A440" s="92" t="s">
        <v>308</v>
      </c>
      <c r="B440" s="92" t="s">
        <v>10</v>
      </c>
      <c r="C440" s="92" t="s">
        <v>18</v>
      </c>
      <c r="D440" s="92" t="s">
        <v>1510</v>
      </c>
      <c r="F440" s="92">
        <v>6</v>
      </c>
      <c r="J440">
        <v>42.900000000000006</v>
      </c>
      <c r="W440" s="336">
        <f>+VLOOKUP(A440,infradensité!$A$2:$B$67,2,FALSE)</f>
        <v>0.36</v>
      </c>
      <c r="X440" s="336">
        <v>1.3</v>
      </c>
      <c r="Y440" s="337">
        <f t="shared" si="52"/>
        <v>20.077200000000001</v>
      </c>
      <c r="Z440" s="337">
        <f t="shared" si="54"/>
        <v>6.5256017237716613</v>
      </c>
      <c r="AA440" s="95" t="str">
        <f t="shared" si="55"/>
        <v>Cèdre de l'Atlas_F2_Classique_INRA_6_</v>
      </c>
      <c r="AB440" s="1">
        <f t="shared" si="56"/>
        <v>6</v>
      </c>
      <c r="AC440" s="337">
        <f t="shared" si="53"/>
        <v>46.333213002235645</v>
      </c>
      <c r="AD440" s="338">
        <f t="shared" si="49"/>
        <v>42.573685756463334</v>
      </c>
      <c r="AE440" s="1">
        <f t="shared" si="57"/>
        <v>307.81205601511681</v>
      </c>
    </row>
    <row r="441" spans="1:31" hidden="1" x14ac:dyDescent="0.25">
      <c r="A441" s="92" t="s">
        <v>308</v>
      </c>
      <c r="B441" s="92" t="s">
        <v>10</v>
      </c>
      <c r="C441" s="92" t="s">
        <v>18</v>
      </c>
      <c r="D441" s="92" t="s">
        <v>1510</v>
      </c>
      <c r="F441" s="92">
        <v>7</v>
      </c>
      <c r="J441">
        <v>50.050000000000004</v>
      </c>
      <c r="W441" s="336">
        <f>+VLOOKUP(A441,infradensité!$A$2:$B$67,2,FALSE)</f>
        <v>0.36</v>
      </c>
      <c r="X441" s="336">
        <v>1.3</v>
      </c>
      <c r="Y441" s="337">
        <f t="shared" si="52"/>
        <v>23.423400000000001</v>
      </c>
      <c r="Z441" s="337">
        <f t="shared" si="54"/>
        <v>7.477815529736108</v>
      </c>
      <c r="AA441" s="95" t="str">
        <f t="shared" si="55"/>
        <v>Cèdre de l'Atlas_F2_Classique_INRA_7_</v>
      </c>
      <c r="AB441" s="1">
        <f t="shared" si="56"/>
        <v>7</v>
      </c>
      <c r="AC441" s="337">
        <f t="shared" si="53"/>
        <v>53.819617047623723</v>
      </c>
      <c r="AD441" s="338">
        <f t="shared" si="49"/>
        <v>50.076415024929688</v>
      </c>
      <c r="AE441" s="1">
        <f t="shared" si="57"/>
        <v>307.81205601511681</v>
      </c>
    </row>
    <row r="442" spans="1:31" hidden="1" x14ac:dyDescent="0.25">
      <c r="A442" s="92" t="s">
        <v>308</v>
      </c>
      <c r="B442" s="92" t="s">
        <v>10</v>
      </c>
      <c r="C442" s="92" t="s">
        <v>18</v>
      </c>
      <c r="D442" s="92" t="s">
        <v>1510</v>
      </c>
      <c r="F442" s="92">
        <v>8</v>
      </c>
      <c r="J442">
        <v>57.2</v>
      </c>
      <c r="W442" s="336">
        <f>+VLOOKUP(A442,infradensité!$A$2:$B$67,2,FALSE)</f>
        <v>0.36</v>
      </c>
      <c r="X442" s="336">
        <v>1.3</v>
      </c>
      <c r="Y442" s="337">
        <f t="shared" si="52"/>
        <v>26.769600000000001</v>
      </c>
      <c r="Z442" s="337">
        <f t="shared" si="54"/>
        <v>8.4142697673415618</v>
      </c>
      <c r="AA442" s="95" t="str">
        <f t="shared" si="55"/>
        <v>Cèdre de l'Atlas_F2_Classique_INRA_8_</v>
      </c>
      <c r="AB442" s="1">
        <f t="shared" si="56"/>
        <v>8</v>
      </c>
      <c r="AC442" s="337">
        <f t="shared" si="53"/>
        <v>61.278573178119878</v>
      </c>
      <c r="AD442" s="338">
        <f t="shared" si="49"/>
        <v>57.549095112871797</v>
      </c>
      <c r="AE442" s="1">
        <f t="shared" si="57"/>
        <v>307.81205601511681</v>
      </c>
    </row>
    <row r="443" spans="1:31" hidden="1" x14ac:dyDescent="0.25">
      <c r="A443" s="92" t="s">
        <v>308</v>
      </c>
      <c r="B443" s="92" t="s">
        <v>10</v>
      </c>
      <c r="C443" s="92" t="s">
        <v>18</v>
      </c>
      <c r="D443" s="92" t="s">
        <v>1510</v>
      </c>
      <c r="F443" s="92">
        <v>9</v>
      </c>
      <c r="J443">
        <v>64.350000000000009</v>
      </c>
      <c r="W443" s="336">
        <f>+VLOOKUP(A443,infradensité!$A$2:$B$67,2,FALSE)</f>
        <v>0.36</v>
      </c>
      <c r="X443" s="336">
        <v>1.3</v>
      </c>
      <c r="Y443" s="337">
        <f t="shared" si="52"/>
        <v>30.115800000000004</v>
      </c>
      <c r="Z443" s="337">
        <f t="shared" si="54"/>
        <v>9.3371599925656295</v>
      </c>
      <c r="AA443" s="95" t="str">
        <f t="shared" si="55"/>
        <v>Cèdre de l'Atlas_F2_Classique_INRA_9_</v>
      </c>
      <c r="AB443" s="1">
        <f t="shared" si="56"/>
        <v>9</v>
      </c>
      <c r="AC443" s="337">
        <f t="shared" si="53"/>
        <v>68.713905320385138</v>
      </c>
      <c r="AD443" s="338">
        <f t="shared" si="49"/>
        <v>64.996239249252511</v>
      </c>
      <c r="AE443" s="1">
        <f t="shared" si="57"/>
        <v>307.81205601511681</v>
      </c>
    </row>
    <row r="444" spans="1:31" hidden="1" x14ac:dyDescent="0.25">
      <c r="A444" s="92" t="s">
        <v>308</v>
      </c>
      <c r="B444" s="92" t="s">
        <v>10</v>
      </c>
      <c r="C444" s="92" t="s">
        <v>18</v>
      </c>
      <c r="D444" s="92" t="s">
        <v>1510</v>
      </c>
      <c r="F444" s="92">
        <v>10</v>
      </c>
      <c r="J444">
        <v>71.5</v>
      </c>
      <c r="W444" s="336">
        <f>+VLOOKUP(A444,infradensité!$A$2:$B$67,2,FALSE)</f>
        <v>0.36</v>
      </c>
      <c r="X444" s="336">
        <v>1.3</v>
      </c>
      <c r="Y444" s="337">
        <f t="shared" si="52"/>
        <v>33.461999999999996</v>
      </c>
      <c r="Z444" s="337">
        <f t="shared" si="54"/>
        <v>10.248165237262528</v>
      </c>
      <c r="AA444" s="95" t="str">
        <f t="shared" si="55"/>
        <v>Cèdre de l'Atlas_F2_Classique_INRA_10_</v>
      </c>
      <c r="AB444" s="1">
        <f t="shared" si="56"/>
        <v>10</v>
      </c>
      <c r="AC444" s="337">
        <f t="shared" si="53"/>
        <v>76.128537788232222</v>
      </c>
      <c r="AD444" s="338">
        <f t="shared" si="49"/>
        <v>72.421221554308687</v>
      </c>
      <c r="AE444" s="1">
        <f t="shared" si="57"/>
        <v>307.81205601511681</v>
      </c>
    </row>
    <row r="445" spans="1:31" hidden="1" x14ac:dyDescent="0.25">
      <c r="A445" s="92" t="s">
        <v>308</v>
      </c>
      <c r="B445" s="92" t="s">
        <v>10</v>
      </c>
      <c r="C445" s="92" t="s">
        <v>18</v>
      </c>
      <c r="D445" s="92" t="s">
        <v>1510</v>
      </c>
      <c r="F445" s="92">
        <v>11</v>
      </c>
      <c r="J445">
        <v>78.650000000000006</v>
      </c>
      <c r="W445" s="336">
        <f>+VLOOKUP(A445,infradensité!$A$2:$B$67,2,FALSE)</f>
        <v>0.36</v>
      </c>
      <c r="X445" s="336">
        <v>1.3</v>
      </c>
      <c r="Y445" s="337">
        <f t="shared" si="52"/>
        <v>36.808199999999999</v>
      </c>
      <c r="Z445" s="337">
        <f t="shared" si="54"/>
        <v>11.148609294698469</v>
      </c>
      <c r="AA445" s="95" t="str">
        <f t="shared" si="55"/>
        <v>Cèdre de l'Atlas_F2_Classique_INRA_11_</v>
      </c>
      <c r="AB445" s="1">
        <f t="shared" si="56"/>
        <v>11</v>
      </c>
      <c r="AC445" s="337">
        <f t="shared" si="53"/>
        <v>83.524776188266486</v>
      </c>
      <c r="AD445" s="338">
        <f t="shared" si="49"/>
        <v>79.826656988249354</v>
      </c>
      <c r="AE445" s="1">
        <f t="shared" si="57"/>
        <v>307.81205601511681</v>
      </c>
    </row>
    <row r="446" spans="1:31" hidden="1" x14ac:dyDescent="0.25">
      <c r="A446" s="92" t="s">
        <v>308</v>
      </c>
      <c r="B446" s="92" t="s">
        <v>10</v>
      </c>
      <c r="C446" s="92" t="s">
        <v>18</v>
      </c>
      <c r="D446" s="92" t="s">
        <v>1510</v>
      </c>
      <c r="F446" s="92">
        <v>12</v>
      </c>
      <c r="J446">
        <v>85.800000000000011</v>
      </c>
      <c r="W446" s="336">
        <f>+VLOOKUP(A446,infradensité!$A$2:$B$67,2,FALSE)</f>
        <v>0.36</v>
      </c>
      <c r="X446" s="336">
        <v>1.3</v>
      </c>
      <c r="Y446" s="337">
        <f t="shared" si="52"/>
        <v>40.154400000000003</v>
      </c>
      <c r="Z446" s="337">
        <f t="shared" si="54"/>
        <v>12.039561463286329</v>
      </c>
      <c r="AA446" s="95" t="str">
        <f t="shared" si="55"/>
        <v>Cèdre de l'Atlas_F2_Classique_INRA_12_</v>
      </c>
      <c r="AB446" s="1">
        <f t="shared" si="56"/>
        <v>12</v>
      </c>
      <c r="AC446" s="337">
        <f t="shared" si="53"/>
        <v>90.90448288189036</v>
      </c>
      <c r="AD446" s="338">
        <f t="shared" si="49"/>
        <v>87.214629535078416</v>
      </c>
      <c r="AE446" s="1">
        <f t="shared" si="57"/>
        <v>307.81205601511681</v>
      </c>
    </row>
    <row r="447" spans="1:31" hidden="1" x14ac:dyDescent="0.25">
      <c r="A447" s="92" t="s">
        <v>308</v>
      </c>
      <c r="B447" s="92" t="s">
        <v>10</v>
      </c>
      <c r="C447" s="92" t="s">
        <v>18</v>
      </c>
      <c r="D447" s="92" t="s">
        <v>1510</v>
      </c>
      <c r="F447" s="92">
        <v>13</v>
      </c>
      <c r="J447">
        <v>92.95</v>
      </c>
      <c r="W447" s="336">
        <f>+VLOOKUP(A447,infradensité!$A$2:$B$67,2,FALSE)</f>
        <v>0.36</v>
      </c>
      <c r="X447" s="336">
        <v>1.3</v>
      </c>
      <c r="Y447" s="337">
        <f t="shared" si="52"/>
        <v>43.500599999999999</v>
      </c>
      <c r="Z447" s="337">
        <f t="shared" si="54"/>
        <v>12.921902662385671</v>
      </c>
      <c r="AA447" s="95" t="str">
        <f t="shared" si="55"/>
        <v>Cèdre de l'Atlas_F2_Classique_INRA_13_</v>
      </c>
      <c r="AB447" s="1">
        <f t="shared" si="56"/>
        <v>13</v>
      </c>
      <c r="AC447" s="337">
        <f t="shared" si="53"/>
        <v>98.269192136988366</v>
      </c>
      <c r="AD447" s="338">
        <f t="shared" si="49"/>
        <v>94.586837509439363</v>
      </c>
      <c r="AE447" s="1">
        <f t="shared" si="57"/>
        <v>307.81205601511681</v>
      </c>
    </row>
    <row r="448" spans="1:31" hidden="1" x14ac:dyDescent="0.25">
      <c r="A448" s="92" t="s">
        <v>308</v>
      </c>
      <c r="B448" s="92" t="s">
        <v>10</v>
      </c>
      <c r="C448" s="92" t="s">
        <v>18</v>
      </c>
      <c r="D448" s="92" t="s">
        <v>1510</v>
      </c>
      <c r="F448" s="92">
        <v>14</v>
      </c>
      <c r="J448">
        <v>100.10000000000001</v>
      </c>
      <c r="W448" s="336">
        <f>+VLOOKUP(A448,infradensité!$A$2:$B$67,2,FALSE)</f>
        <v>0.36</v>
      </c>
      <c r="X448" s="336">
        <v>1.3</v>
      </c>
      <c r="Y448" s="337">
        <f t="shared" si="52"/>
        <v>46.846800000000002</v>
      </c>
      <c r="Z448" s="337">
        <f t="shared" si="54"/>
        <v>13.796370586548711</v>
      </c>
      <c r="AA448" s="95" t="str">
        <f t="shared" si="55"/>
        <v>Cèdre de l'Atlas_F2_Classique_INRA_14_</v>
      </c>
      <c r="AB448" s="1">
        <f t="shared" si="56"/>
        <v>14</v>
      </c>
      <c r="AC448" s="337">
        <f t="shared" si="53"/>
        <v>105.62018877157233</v>
      </c>
      <c r="AD448" s="338">
        <f t="shared" si="49"/>
        <v>101.94469045428035</v>
      </c>
      <c r="AE448" s="1">
        <f t="shared" si="57"/>
        <v>307.81205601511681</v>
      </c>
    </row>
    <row r="449" spans="1:31" hidden="1" x14ac:dyDescent="0.25">
      <c r="A449" s="92" t="s">
        <v>308</v>
      </c>
      <c r="B449" s="92" t="s">
        <v>10</v>
      </c>
      <c r="C449" s="92" t="s">
        <v>18</v>
      </c>
      <c r="D449" s="92" t="s">
        <v>1510</v>
      </c>
      <c r="F449" s="92">
        <v>15</v>
      </c>
      <c r="J449">
        <v>107.25</v>
      </c>
      <c r="W449" s="336">
        <f>+VLOOKUP(A449,infradensité!$A$2:$B$67,2,FALSE)</f>
        <v>0.36</v>
      </c>
      <c r="X449" s="336">
        <v>1.3</v>
      </c>
      <c r="Y449" s="337">
        <f t="shared" si="52"/>
        <v>50.192999999999998</v>
      </c>
      <c r="Z449" s="337">
        <f t="shared" si="54"/>
        <v>14.663591573784165</v>
      </c>
      <c r="AA449" s="95" t="str">
        <f t="shared" si="55"/>
        <v>Cèdre de l'Atlas_F2_Classique_INRA_15_</v>
      </c>
      <c r="AB449" s="1">
        <f t="shared" si="56"/>
        <v>15</v>
      </c>
      <c r="AC449" s="337">
        <f t="shared" si="53"/>
        <v>112.95856365767406</v>
      </c>
      <c r="AD449" s="338">
        <f t="shared" si="49"/>
        <v>109.28937621462319</v>
      </c>
      <c r="AE449" s="1">
        <f t="shared" si="57"/>
        <v>307.81205601511681</v>
      </c>
    </row>
    <row r="450" spans="1:31" hidden="1" x14ac:dyDescent="0.25">
      <c r="A450" s="92" t="s">
        <v>308</v>
      </c>
      <c r="B450" s="92" t="s">
        <v>10</v>
      </c>
      <c r="C450" s="92" t="s">
        <v>18</v>
      </c>
      <c r="D450" s="92" t="s">
        <v>1510</v>
      </c>
      <c r="F450" s="92">
        <v>16</v>
      </c>
      <c r="J450">
        <v>114.4</v>
      </c>
      <c r="W450" s="336">
        <f>+VLOOKUP(A450,infradensité!$A$2:$B$67,2,FALSE)</f>
        <v>0.36</v>
      </c>
      <c r="X450" s="336">
        <v>1.3</v>
      </c>
      <c r="Y450" s="337">
        <f t="shared" si="52"/>
        <v>53.539200000000001</v>
      </c>
      <c r="Z450" s="337">
        <f t="shared" si="54"/>
        <v>15.524103725721874</v>
      </c>
      <c r="AA450" s="95" t="str">
        <f t="shared" si="55"/>
        <v>Cèdre de l'Atlas_F2_Classique_INRA_16_</v>
      </c>
      <c r="AB450" s="1">
        <f t="shared" si="56"/>
        <v>16</v>
      </c>
      <c r="AC450" s="337">
        <f t="shared" si="53"/>
        <v>120.28525398896561</v>
      </c>
      <c r="AD450" s="338">
        <f t="shared" si="49"/>
        <v>116.62190882331984</v>
      </c>
      <c r="AE450" s="1">
        <f t="shared" si="57"/>
        <v>307.81205601511681</v>
      </c>
    </row>
    <row r="451" spans="1:31" hidden="1" x14ac:dyDescent="0.25">
      <c r="A451" s="92" t="s">
        <v>308</v>
      </c>
      <c r="B451" s="92" t="s">
        <v>10</v>
      </c>
      <c r="C451" s="92" t="s">
        <v>18</v>
      </c>
      <c r="D451" s="92" t="s">
        <v>1510</v>
      </c>
      <c r="F451" s="92">
        <v>17</v>
      </c>
      <c r="J451">
        <v>121.55000000000001</v>
      </c>
      <c r="W451" s="336">
        <f>+VLOOKUP(A451,infradensité!$A$2:$B$67,2,FALSE)</f>
        <v>0.36</v>
      </c>
      <c r="X451" s="336">
        <v>1.3</v>
      </c>
      <c r="Y451" s="337">
        <f t="shared" si="52"/>
        <v>56.885400000000004</v>
      </c>
      <c r="Z451" s="337">
        <f t="shared" si="54"/>
        <v>16.37837407958768</v>
      </c>
      <c r="AA451" s="95" t="str">
        <f t="shared" si="55"/>
        <v>Cèdre de l'Atlas_F2_Classique_INRA_17_</v>
      </c>
      <c r="AB451" s="1">
        <f t="shared" si="56"/>
        <v>17</v>
      </c>
      <c r="AC451" s="337">
        <f t="shared" si="53"/>
        <v>127.6010731886152</v>
      </c>
      <c r="AD451" s="338">
        <f t="shared" si="49"/>
        <v>123.94316358879041</v>
      </c>
      <c r="AE451" s="1">
        <f t="shared" si="57"/>
        <v>307.81205601511681</v>
      </c>
    </row>
    <row r="452" spans="1:31" hidden="1" x14ac:dyDescent="0.25">
      <c r="A452" s="92" t="s">
        <v>308</v>
      </c>
      <c r="B452" s="92" t="s">
        <v>10</v>
      </c>
      <c r="C452" s="92" t="s">
        <v>18</v>
      </c>
      <c r="D452" s="92" t="s">
        <v>1510</v>
      </c>
      <c r="F452" s="92">
        <v>18</v>
      </c>
      <c r="J452">
        <v>128.70000000000002</v>
      </c>
      <c r="W452" s="336">
        <f>+VLOOKUP(A452,infradensité!$A$2:$B$67,2,FALSE)</f>
        <v>0.36</v>
      </c>
      <c r="X452" s="336">
        <v>1.3</v>
      </c>
      <c r="Y452" s="337">
        <f t="shared" si="52"/>
        <v>60.231600000000007</v>
      </c>
      <c r="Z452" s="337">
        <f t="shared" si="54"/>
        <v>17.226811623136925</v>
      </c>
      <c r="AA452" s="95" t="str">
        <f t="shared" si="55"/>
        <v>Cèdre de l'Atlas_F2_Classique_INRA_18_</v>
      </c>
      <c r="AB452" s="1">
        <f t="shared" si="56"/>
        <v>18</v>
      </c>
      <c r="AC452" s="337">
        <f t="shared" si="53"/>
        <v>134.90673357696349</v>
      </c>
      <c r="AD452" s="338">
        <f t="shared" si="49"/>
        <v>131.25390338278936</v>
      </c>
      <c r="AE452" s="1">
        <f t="shared" si="57"/>
        <v>307.81205601511681</v>
      </c>
    </row>
    <row r="453" spans="1:31" hidden="1" x14ac:dyDescent="0.25">
      <c r="A453" s="92" t="s">
        <v>308</v>
      </c>
      <c r="B453" s="92" t="s">
        <v>10</v>
      </c>
      <c r="C453" s="92" t="s">
        <v>18</v>
      </c>
      <c r="D453" s="92" t="s">
        <v>1510</v>
      </c>
      <c r="F453" s="92">
        <v>19</v>
      </c>
      <c r="J453">
        <v>135.85</v>
      </c>
      <c r="W453" s="336">
        <f>+VLOOKUP(A453,infradensité!$A$2:$B$67,2,FALSE)</f>
        <v>0.36</v>
      </c>
      <c r="X453" s="336">
        <v>1.3</v>
      </c>
      <c r="Y453" s="337">
        <f t="shared" si="52"/>
        <v>63.577799999999996</v>
      </c>
      <c r="Z453" s="337">
        <f t="shared" si="54"/>
        <v>18.069777334463559</v>
      </c>
      <c r="AA453" s="95" t="str">
        <f t="shared" si="55"/>
        <v>Cèdre de l'Atlas_F2_Classique_INRA_19_</v>
      </c>
      <c r="AB453" s="1">
        <f t="shared" si="56"/>
        <v>19</v>
      </c>
      <c r="AC453" s="337">
        <f t="shared" si="53"/>
        <v>142.20286385752405</v>
      </c>
      <c r="AD453" s="338">
        <f t="shared" si="49"/>
        <v>138.55479871724378</v>
      </c>
      <c r="AE453" s="1">
        <f t="shared" si="57"/>
        <v>307.81205601511681</v>
      </c>
    </row>
    <row r="454" spans="1:31" hidden="1" x14ac:dyDescent="0.25">
      <c r="A454" s="92" t="s">
        <v>308</v>
      </c>
      <c r="B454" s="92" t="s">
        <v>10</v>
      </c>
      <c r="C454" s="92" t="s">
        <v>18</v>
      </c>
      <c r="D454" s="92" t="s">
        <v>1510</v>
      </c>
      <c r="F454" s="92">
        <v>20</v>
      </c>
      <c r="J454">
        <v>143</v>
      </c>
      <c r="W454" s="336">
        <f>+VLOOKUP(A454,infradensité!$A$2:$B$67,2,FALSE)</f>
        <v>0.36</v>
      </c>
      <c r="X454" s="336">
        <v>1.3</v>
      </c>
      <c r="Y454" s="337">
        <f t="shared" si="52"/>
        <v>66.923999999999992</v>
      </c>
      <c r="Z454" s="337">
        <f t="shared" si="54"/>
        <v>18.90759204786767</v>
      </c>
      <c r="AA454" s="95" t="str">
        <f t="shared" si="55"/>
        <v>Cèdre de l'Atlas_F2_Classique_INRA_20_</v>
      </c>
      <c r="AB454" s="1">
        <f t="shared" si="56"/>
        <v>20</v>
      </c>
      <c r="AC454" s="337">
        <f t="shared" si="53"/>
        <v>149.49002281670283</v>
      </c>
      <c r="AD454" s="338">
        <f t="shared" si="49"/>
        <v>145.84644333711344</v>
      </c>
      <c r="AE454" s="1">
        <f t="shared" si="57"/>
        <v>307.81205601511681</v>
      </c>
    </row>
    <row r="455" spans="1:31" hidden="1" x14ac:dyDescent="0.25">
      <c r="A455" s="92" t="s">
        <v>308</v>
      </c>
      <c r="B455" s="92" t="s">
        <v>10</v>
      </c>
      <c r="C455" s="92" t="s">
        <v>18</v>
      </c>
      <c r="D455" s="92" t="s">
        <v>1510</v>
      </c>
      <c r="F455" s="92">
        <v>21</v>
      </c>
      <c r="J455">
        <v>150.15</v>
      </c>
      <c r="W455" s="336">
        <f>+VLOOKUP(A455,infradensité!$A$2:$B$67,2,FALSE)</f>
        <v>0.36</v>
      </c>
      <c r="X455" s="336">
        <v>1.3</v>
      </c>
      <c r="Y455" s="337">
        <f t="shared" si="52"/>
        <v>70.270200000000003</v>
      </c>
      <c r="Z455" s="337">
        <f t="shared" si="54"/>
        <v>19.740542701842557</v>
      </c>
      <c r="AA455" s="95" t="str">
        <f t="shared" si="55"/>
        <v>Cèdre de l'Atlas_F2_Classique_INRA_21_</v>
      </c>
      <c r="AB455" s="1">
        <f t="shared" si="56"/>
        <v>21</v>
      </c>
      <c r="AC455" s="337">
        <f t="shared" si="53"/>
        <v>156.76871020570911</v>
      </c>
      <c r="AD455" s="338">
        <f t="shared" si="49"/>
        <v>153.12936651120597</v>
      </c>
      <c r="AE455" s="1">
        <f t="shared" si="57"/>
        <v>307.81205601511681</v>
      </c>
    </row>
    <row r="456" spans="1:31" hidden="1" x14ac:dyDescent="0.25">
      <c r="A456" s="92" t="s">
        <v>308</v>
      </c>
      <c r="B456" s="92" t="s">
        <v>10</v>
      </c>
      <c r="C456" s="92" t="s">
        <v>18</v>
      </c>
      <c r="D456" s="92" t="s">
        <v>1510</v>
      </c>
      <c r="F456" s="92">
        <v>22</v>
      </c>
      <c r="J456">
        <v>157.30000000000001</v>
      </c>
      <c r="W456" s="336">
        <f>+VLOOKUP(A456,infradensité!$A$2:$B$67,2,FALSE)</f>
        <v>0.36</v>
      </c>
      <c r="X456" s="336">
        <v>1.3</v>
      </c>
      <c r="Y456" s="337">
        <f t="shared" si="52"/>
        <v>73.616399999999999</v>
      </c>
      <c r="Z456" s="337">
        <f t="shared" si="54"/>
        <v>20.568887363249718</v>
      </c>
      <c r="AA456" s="95" t="str">
        <f t="shared" si="55"/>
        <v>Cèdre de l'Atlas_F2_Classique_INRA_22_</v>
      </c>
      <c r="AB456" s="1">
        <f t="shared" si="56"/>
        <v>22</v>
      </c>
      <c r="AC456" s="337">
        <f t="shared" si="53"/>
        <v>164.03937549099325</v>
      </c>
      <c r="AD456" s="338">
        <f t="shared" ref="AD456:AD519" si="58">+IF(AC456=0,0,(AC456+AC455)*(AB456-AB455)/2)</f>
        <v>160.4040428483512</v>
      </c>
      <c r="AE456" s="1">
        <f t="shared" si="57"/>
        <v>307.81205601511681</v>
      </c>
    </row>
    <row r="457" spans="1:31" hidden="1" x14ac:dyDescent="0.25">
      <c r="A457" s="92" t="s">
        <v>308</v>
      </c>
      <c r="B457" s="92" t="s">
        <v>10</v>
      </c>
      <c r="C457" s="92" t="s">
        <v>18</v>
      </c>
      <c r="D457" s="92" t="s">
        <v>1510</v>
      </c>
      <c r="F457" s="92">
        <v>23</v>
      </c>
      <c r="J457">
        <v>164.45000000000002</v>
      </c>
      <c r="W457" s="336">
        <f>+VLOOKUP(A457,infradensité!$A$2:$B$67,2,FALSE)</f>
        <v>0.36</v>
      </c>
      <c r="X457" s="336">
        <v>1.3</v>
      </c>
      <c r="Y457" s="337">
        <f t="shared" si="52"/>
        <v>76.962600000000009</v>
      </c>
      <c r="Z457" s="337">
        <f t="shared" si="54"/>
        <v>21.39285931218528</v>
      </c>
      <c r="AA457" s="95" t="str">
        <f t="shared" si="55"/>
        <v>Cèdre de l'Atlas_F2_Classique_INRA_23_</v>
      </c>
      <c r="AB457" s="1">
        <f t="shared" si="56"/>
        <v>23</v>
      </c>
      <c r="AC457" s="337">
        <f t="shared" si="53"/>
        <v>171.3024249687227</v>
      </c>
      <c r="AD457" s="338">
        <f t="shared" si="58"/>
        <v>167.67090022985798</v>
      </c>
      <c r="AE457" s="1">
        <f t="shared" si="57"/>
        <v>307.81205601511681</v>
      </c>
    </row>
    <row r="458" spans="1:31" hidden="1" x14ac:dyDescent="0.25">
      <c r="A458" s="92" t="s">
        <v>308</v>
      </c>
      <c r="B458" s="92" t="s">
        <v>10</v>
      </c>
      <c r="C458" s="92" t="s">
        <v>18</v>
      </c>
      <c r="D458" s="92" t="s">
        <v>1510</v>
      </c>
      <c r="F458" s="92">
        <v>24</v>
      </c>
      <c r="J458">
        <v>171.60000000000002</v>
      </c>
      <c r="W458" s="336">
        <f>+VLOOKUP(A458,infradensité!$A$2:$B$67,2,FALSE)</f>
        <v>0.36</v>
      </c>
      <c r="X458" s="336">
        <v>1.3</v>
      </c>
      <c r="Y458" s="337">
        <f t="shared" si="52"/>
        <v>80.308800000000005</v>
      </c>
      <c r="Z458" s="337">
        <f t="shared" si="54"/>
        <v>22.212670396389218</v>
      </c>
      <c r="AA458" s="95" t="str">
        <f t="shared" si="55"/>
        <v>Cèdre de l'Atlas_F2_Classique_INRA_24_</v>
      </c>
      <c r="AB458" s="1">
        <f t="shared" si="56"/>
        <v>24</v>
      </c>
      <c r="AC458" s="337">
        <f t="shared" si="53"/>
        <v>178.55822760704453</v>
      </c>
      <c r="AD458" s="338">
        <f t="shared" si="58"/>
        <v>174.93032628788362</v>
      </c>
      <c r="AE458" s="1">
        <f t="shared" si="57"/>
        <v>307.81205601511681</v>
      </c>
    </row>
    <row r="459" spans="1:31" hidden="1" x14ac:dyDescent="0.25">
      <c r="A459" s="92" t="s">
        <v>308</v>
      </c>
      <c r="B459" s="92" t="s">
        <v>10</v>
      </c>
      <c r="C459" s="92" t="s">
        <v>18</v>
      </c>
      <c r="D459" s="92" t="s">
        <v>1510</v>
      </c>
      <c r="F459" s="92">
        <v>25</v>
      </c>
      <c r="J459">
        <v>178.75</v>
      </c>
      <c r="W459" s="336">
        <f>+VLOOKUP(A459,infradensité!$A$2:$B$67,2,FALSE)</f>
        <v>0.36</v>
      </c>
      <c r="X459" s="336">
        <v>1.3</v>
      </c>
      <c r="Y459" s="337">
        <f t="shared" si="52"/>
        <v>83.655000000000001</v>
      </c>
      <c r="Z459" s="337">
        <f t="shared" si="54"/>
        <v>23.028513810832905</v>
      </c>
      <c r="AA459" s="95" t="str">
        <f t="shared" si="55"/>
        <v>Cèdre de l'Atlas_F2_Classique_INRA_25_</v>
      </c>
      <c r="AB459" s="1">
        <f t="shared" si="56"/>
        <v>25</v>
      </c>
      <c r="AC459" s="337">
        <f t="shared" si="53"/>
        <v>185.80711988720063</v>
      </c>
      <c r="AD459" s="338">
        <f t="shared" si="58"/>
        <v>182.18267374712258</v>
      </c>
      <c r="AE459" s="1">
        <f t="shared" si="57"/>
        <v>307.81205601511681</v>
      </c>
    </row>
    <row r="460" spans="1:31" hidden="1" x14ac:dyDescent="0.25">
      <c r="A460" s="92" t="s">
        <v>308</v>
      </c>
      <c r="B460" s="92" t="s">
        <v>10</v>
      </c>
      <c r="C460" s="92" t="s">
        <v>18</v>
      </c>
      <c r="D460" s="92" t="s">
        <v>1510</v>
      </c>
      <c r="F460" s="92">
        <v>26</v>
      </c>
      <c r="J460">
        <v>185.9</v>
      </c>
      <c r="W460" s="336">
        <f>+VLOOKUP(A460,infradensité!$A$2:$B$67,2,FALSE)</f>
        <v>0.36</v>
      </c>
      <c r="X460" s="336">
        <v>1.3</v>
      </c>
      <c r="Y460" s="337">
        <f t="shared" si="52"/>
        <v>87.001199999999997</v>
      </c>
      <c r="Z460" s="337">
        <f t="shared" si="54"/>
        <v>23.840566420053747</v>
      </c>
      <c r="AA460" s="95" t="str">
        <f t="shared" si="55"/>
        <v>Cèdre de l'Atlas_F2_Classique_INRA_26_</v>
      </c>
      <c r="AB460" s="1">
        <f t="shared" si="56"/>
        <v>26</v>
      </c>
      <c r="AC460" s="337">
        <f t="shared" si="53"/>
        <v>193.04940984826024</v>
      </c>
      <c r="AD460" s="338">
        <f t="shared" si="58"/>
        <v>189.42826486773043</v>
      </c>
      <c r="AE460" s="1">
        <f t="shared" si="57"/>
        <v>307.81205601511681</v>
      </c>
    </row>
    <row r="461" spans="1:31" hidden="1" x14ac:dyDescent="0.25">
      <c r="A461" s="92" t="s">
        <v>308</v>
      </c>
      <c r="B461" s="92" t="s">
        <v>10</v>
      </c>
      <c r="C461" s="92" t="s">
        <v>18</v>
      </c>
      <c r="D461" s="92" t="s">
        <v>1510</v>
      </c>
      <c r="F461" s="92">
        <v>27</v>
      </c>
      <c r="J461">
        <v>193.05</v>
      </c>
      <c r="W461" s="336">
        <f>+VLOOKUP(A461,infradensité!$A$2:$B$67,2,FALSE)</f>
        <v>0.36</v>
      </c>
      <c r="X461" s="336">
        <v>1.3</v>
      </c>
      <c r="Y461" s="337">
        <f t="shared" si="52"/>
        <v>90.347399999999993</v>
      </c>
      <c r="Z461" s="337">
        <f t="shared" si="54"/>
        <v>24.64899071315849</v>
      </c>
      <c r="AA461" s="95" t="str">
        <f t="shared" si="55"/>
        <v>Cèdre de l'Atlas_F2_Classique_INRA_27_</v>
      </c>
      <c r="AB461" s="1">
        <f t="shared" si="56"/>
        <v>27</v>
      </c>
      <c r="AC461" s="337">
        <f t="shared" si="53"/>
        <v>200.28538049208433</v>
      </c>
      <c r="AD461" s="338">
        <f t="shared" si="58"/>
        <v>196.66739517017228</v>
      </c>
      <c r="AE461" s="1">
        <f t="shared" si="57"/>
        <v>307.81205601511681</v>
      </c>
    </row>
    <row r="462" spans="1:31" hidden="1" x14ac:dyDescent="0.25">
      <c r="A462" s="92" t="s">
        <v>308</v>
      </c>
      <c r="B462" s="92" t="s">
        <v>10</v>
      </c>
      <c r="C462" s="92" t="s">
        <v>18</v>
      </c>
      <c r="D462" s="92" t="s">
        <v>1510</v>
      </c>
      <c r="F462" s="92">
        <v>28</v>
      </c>
      <c r="J462">
        <v>200.20000000000002</v>
      </c>
      <c r="W462" s="336">
        <f>+VLOOKUP(A462,infradensité!$A$2:$B$67,2,FALSE)</f>
        <v>0.36</v>
      </c>
      <c r="X462" s="336">
        <v>1.3</v>
      </c>
      <c r="Y462" s="337">
        <f t="shared" si="52"/>
        <v>93.693600000000004</v>
      </c>
      <c r="Z462" s="337">
        <f t="shared" si="54"/>
        <v>25.453936461054091</v>
      </c>
      <c r="AA462" s="95" t="str">
        <f t="shared" si="55"/>
        <v>Cèdre de l'Atlas_F2_Classique_INRA_28_</v>
      </c>
      <c r="AB462" s="1">
        <f t="shared" si="56"/>
        <v>28</v>
      </c>
      <c r="AC462" s="337">
        <f t="shared" si="53"/>
        <v>207.51529266966921</v>
      </c>
      <c r="AD462" s="338">
        <f t="shared" si="58"/>
        <v>203.90033658087677</v>
      </c>
      <c r="AE462" s="1">
        <f t="shared" si="57"/>
        <v>307.81205601511681</v>
      </c>
    </row>
    <row r="463" spans="1:31" hidden="1" x14ac:dyDescent="0.25">
      <c r="A463" s="92" t="s">
        <v>308</v>
      </c>
      <c r="B463" s="92" t="s">
        <v>10</v>
      </c>
      <c r="C463" s="92" t="s">
        <v>18</v>
      </c>
      <c r="D463" s="92" t="s">
        <v>1510</v>
      </c>
      <c r="F463" s="92">
        <v>29</v>
      </c>
      <c r="J463">
        <v>207.35000000000002</v>
      </c>
      <c r="W463" s="336">
        <f>+VLOOKUP(A463,infradensité!$A$2:$B$67,2,FALSE)</f>
        <v>0.36</v>
      </c>
      <c r="X463" s="336">
        <v>1.3</v>
      </c>
      <c r="Y463" s="337">
        <f t="shared" si="52"/>
        <v>97.0398</v>
      </c>
      <c r="Z463" s="337">
        <f t="shared" si="54"/>
        <v>26.255542130278698</v>
      </c>
      <c r="AA463" s="95" t="str">
        <f t="shared" si="55"/>
        <v>Cèdre de l'Atlas_F2_Classique_INRA_29_</v>
      </c>
      <c r="AB463" s="1">
        <f t="shared" si="56"/>
        <v>29</v>
      </c>
      <c r="AC463" s="337">
        <f t="shared" si="53"/>
        <v>214.73938754356871</v>
      </c>
      <c r="AD463" s="338">
        <f t="shared" si="58"/>
        <v>211.12734010661896</v>
      </c>
      <c r="AE463" s="1">
        <f t="shared" si="57"/>
        <v>307.81205601511681</v>
      </c>
    </row>
    <row r="464" spans="1:31" hidden="1" x14ac:dyDescent="0.25">
      <c r="A464" s="92" t="s">
        <v>308</v>
      </c>
      <c r="B464" s="92" t="s">
        <v>10</v>
      </c>
      <c r="C464" s="92" t="s">
        <v>18</v>
      </c>
      <c r="D464" s="92" t="s">
        <v>1510</v>
      </c>
      <c r="F464" s="92">
        <v>30</v>
      </c>
      <c r="J464">
        <v>214.5</v>
      </c>
      <c r="W464" s="336">
        <f>+VLOOKUP(A464,infradensité!$A$2:$B$67,2,FALSE)</f>
        <v>0.36</v>
      </c>
      <c r="X464" s="336">
        <v>1.3</v>
      </c>
      <c r="Y464" s="337">
        <f t="shared" si="52"/>
        <v>100.386</v>
      </c>
      <c r="Z464" s="337">
        <f t="shared" si="54"/>
        <v>27.05393609634266</v>
      </c>
      <c r="AA464" s="95" t="str">
        <f t="shared" si="55"/>
        <v>Cèdre de l'Atlas_F2_Classique_INRA_30_</v>
      </c>
      <c r="AB464" s="1">
        <f t="shared" si="56"/>
        <v>30</v>
      </c>
      <c r="AC464" s="337">
        <f t="shared" si="53"/>
        <v>221.95788870113009</v>
      </c>
      <c r="AD464" s="338">
        <f t="shared" si="58"/>
        <v>218.3486381223494</v>
      </c>
      <c r="AE464" s="1">
        <f t="shared" si="57"/>
        <v>307.81205601511681</v>
      </c>
    </row>
    <row r="465" spans="1:31" hidden="1" x14ac:dyDescent="0.25">
      <c r="A465" s="92" t="s">
        <v>308</v>
      </c>
      <c r="B465" s="92" t="s">
        <v>10</v>
      </c>
      <c r="C465" s="92" t="s">
        <v>18</v>
      </c>
      <c r="D465" s="92" t="s">
        <v>1510</v>
      </c>
      <c r="F465" s="92">
        <v>31</v>
      </c>
      <c r="J465">
        <v>222.86666666666667</v>
      </c>
      <c r="W465" s="336">
        <f>+VLOOKUP(A465,infradensité!$A$2:$B$67,2,FALSE)</f>
        <v>0.36</v>
      </c>
      <c r="X465" s="336">
        <v>1.3</v>
      </c>
      <c r="Y465" s="337">
        <f t="shared" si="52"/>
        <v>104.30159999999999</v>
      </c>
      <c r="Z465" s="337">
        <f t="shared" si="54"/>
        <v>27.984268978879296</v>
      </c>
      <c r="AA465" s="95" t="str">
        <f t="shared" si="55"/>
        <v>Cèdre de l'Atlas_F2_Classique_INRA_31_</v>
      </c>
      <c r="AB465" s="1">
        <f t="shared" si="56"/>
        <v>31</v>
      </c>
      <c r="AC465" s="337">
        <f t="shared" si="53"/>
        <v>230.39788847154807</v>
      </c>
      <c r="AD465" s="338">
        <f t="shared" si="58"/>
        <v>226.17788858633907</v>
      </c>
      <c r="AE465" s="1">
        <f t="shared" si="57"/>
        <v>307.81205601511681</v>
      </c>
    </row>
    <row r="466" spans="1:31" hidden="1" x14ac:dyDescent="0.25">
      <c r="A466" s="92" t="s">
        <v>308</v>
      </c>
      <c r="B466" s="92" t="s">
        <v>10</v>
      </c>
      <c r="C466" s="92" t="s">
        <v>18</v>
      </c>
      <c r="D466" s="92" t="s">
        <v>1510</v>
      </c>
      <c r="F466" s="92">
        <v>32</v>
      </c>
      <c r="J466">
        <v>231.23333333333335</v>
      </c>
      <c r="W466" s="336">
        <f>+VLOOKUP(A466,infradensité!$A$2:$B$67,2,FALSE)</f>
        <v>0.36</v>
      </c>
      <c r="X466" s="336">
        <v>1.3</v>
      </c>
      <c r="Y466" s="337">
        <f t="shared" si="52"/>
        <v>108.21720000000001</v>
      </c>
      <c r="Z466" s="337">
        <f t="shared" si="54"/>
        <v>28.910544367084089</v>
      </c>
      <c r="AA466" s="95" t="str">
        <f t="shared" si="55"/>
        <v>Cèdre de l'Atlas_F2_Classique_INRA_32_</v>
      </c>
      <c r="AB466" s="1">
        <f t="shared" si="56"/>
        <v>32</v>
      </c>
      <c r="AC466" s="337">
        <f t="shared" si="53"/>
        <v>238.83082143933814</v>
      </c>
      <c r="AD466" s="338">
        <f t="shared" si="58"/>
        <v>234.6143549554431</v>
      </c>
      <c r="AE466" s="1">
        <f t="shared" si="57"/>
        <v>307.81205601511681</v>
      </c>
    </row>
    <row r="467" spans="1:31" hidden="1" x14ac:dyDescent="0.25">
      <c r="A467" s="92" t="s">
        <v>308</v>
      </c>
      <c r="B467" s="92" t="s">
        <v>10</v>
      </c>
      <c r="C467" s="92" t="s">
        <v>18</v>
      </c>
      <c r="D467" s="92" t="s">
        <v>1510</v>
      </c>
      <c r="F467" s="92">
        <v>33</v>
      </c>
      <c r="J467">
        <v>239.60000000000002</v>
      </c>
      <c r="W467" s="336">
        <f>+VLOOKUP(A467,infradensité!$A$2:$B$67,2,FALSE)</f>
        <v>0.36</v>
      </c>
      <c r="X467" s="336">
        <v>1.3</v>
      </c>
      <c r="Y467" s="337">
        <f t="shared" si="52"/>
        <v>112.1328</v>
      </c>
      <c r="Z467" s="337">
        <f t="shared" si="54"/>
        <v>29.83292588922501</v>
      </c>
      <c r="AA467" s="95" t="str">
        <f t="shared" si="55"/>
        <v>Cèdre de l'Atlas_F2_Classique_INRA_33_</v>
      </c>
      <c r="AB467" s="1">
        <f t="shared" si="56"/>
        <v>33</v>
      </c>
      <c r="AC467" s="337">
        <f t="shared" si="53"/>
        <v>247.25697259040024</v>
      </c>
      <c r="AD467" s="338">
        <f t="shared" si="58"/>
        <v>243.04389701486917</v>
      </c>
      <c r="AE467" s="1">
        <f t="shared" si="57"/>
        <v>307.81205601511681</v>
      </c>
    </row>
    <row r="468" spans="1:31" hidden="1" x14ac:dyDescent="0.25">
      <c r="A468" s="92" t="s">
        <v>308</v>
      </c>
      <c r="B468" s="92" t="s">
        <v>10</v>
      </c>
      <c r="C468" s="92" t="s">
        <v>18</v>
      </c>
      <c r="D468" s="92" t="s">
        <v>1510</v>
      </c>
      <c r="F468" s="92">
        <v>34</v>
      </c>
      <c r="J468">
        <v>247.9666666666667</v>
      </c>
      <c r="W468" s="336">
        <f>+VLOOKUP(A468,infradensité!$A$2:$B$67,2,FALSE)</f>
        <v>0.36</v>
      </c>
      <c r="X468" s="336">
        <v>1.3</v>
      </c>
      <c r="Y468" s="337">
        <f t="shared" si="52"/>
        <v>116.0484</v>
      </c>
      <c r="Z468" s="337">
        <f t="shared" si="54"/>
        <v>30.751565097980826</v>
      </c>
      <c r="AA468" s="95" t="str">
        <f t="shared" si="55"/>
        <v>Cèdre de l'Atlas_F2_Classique_INRA_34_</v>
      </c>
      <c r="AB468" s="1">
        <f t="shared" si="56"/>
        <v>34</v>
      </c>
      <c r="AC468" s="337">
        <f t="shared" si="53"/>
        <v>255.67660587898322</v>
      </c>
      <c r="AD468" s="338">
        <f t="shared" si="58"/>
        <v>251.46678923469173</v>
      </c>
      <c r="AE468" s="1">
        <f t="shared" si="57"/>
        <v>307.81205601511681</v>
      </c>
    </row>
    <row r="469" spans="1:31" hidden="1" x14ac:dyDescent="0.25">
      <c r="A469" s="92" t="s">
        <v>308</v>
      </c>
      <c r="B469" s="92" t="s">
        <v>10</v>
      </c>
      <c r="C469" s="92" t="s">
        <v>18</v>
      </c>
      <c r="D469" s="92" t="s">
        <v>1510</v>
      </c>
      <c r="F469" s="92">
        <v>35</v>
      </c>
      <c r="J469">
        <v>256.33333333333337</v>
      </c>
      <c r="W469" s="336">
        <f>+VLOOKUP(A469,infradensité!$A$2:$B$67,2,FALSE)</f>
        <v>0.36</v>
      </c>
      <c r="X469" s="336">
        <v>1.3</v>
      </c>
      <c r="Y469" s="337">
        <f t="shared" si="52"/>
        <v>119.96400000000001</v>
      </c>
      <c r="Z469" s="337">
        <f t="shared" si="54"/>
        <v>31.666602738692504</v>
      </c>
      <c r="AA469" s="95" t="str">
        <f t="shared" si="55"/>
        <v>Cèdre de l'Atlas_F2_Classique_INRA_35_</v>
      </c>
      <c r="AB469" s="1">
        <f t="shared" si="56"/>
        <v>35</v>
      </c>
      <c r="AC469" s="337">
        <f t="shared" si="53"/>
        <v>264.0899664365561</v>
      </c>
      <c r="AD469" s="338">
        <f t="shared" si="58"/>
        <v>259.88328615776965</v>
      </c>
      <c r="AE469" s="1">
        <f t="shared" si="57"/>
        <v>307.81205601511681</v>
      </c>
    </row>
    <row r="470" spans="1:31" hidden="1" x14ac:dyDescent="0.25">
      <c r="A470" s="92" t="s">
        <v>308</v>
      </c>
      <c r="B470" s="92" t="s">
        <v>10</v>
      </c>
      <c r="C470" s="92" t="s">
        <v>18</v>
      </c>
      <c r="D470" s="92" t="s">
        <v>1510</v>
      </c>
      <c r="F470" s="92">
        <v>36</v>
      </c>
      <c r="J470">
        <v>264.70000000000005</v>
      </c>
      <c r="W470" s="336">
        <f>+VLOOKUP(A470,infradensité!$A$2:$B$67,2,FALSE)</f>
        <v>0.36</v>
      </c>
      <c r="X470" s="336">
        <v>1.3</v>
      </c>
      <c r="Y470" s="337">
        <f t="shared" si="52"/>
        <v>123.87960000000001</v>
      </c>
      <c r="Z470" s="337">
        <f t="shared" si="54"/>
        <v>32.578169847381183</v>
      </c>
      <c r="AA470" s="95" t="str">
        <f t="shared" si="55"/>
        <v>Cèdre de l'Atlas_F2_Classique_INRA_36_</v>
      </c>
      <c r="AB470" s="1">
        <f t="shared" si="56"/>
        <v>36</v>
      </c>
      <c r="AC470" s="337">
        <f t="shared" si="53"/>
        <v>272.49728248418893</v>
      </c>
      <c r="AD470" s="338">
        <f t="shared" si="58"/>
        <v>268.29362446037248</v>
      </c>
      <c r="AE470" s="1">
        <f t="shared" si="57"/>
        <v>307.81205601511681</v>
      </c>
    </row>
    <row r="471" spans="1:31" hidden="1" x14ac:dyDescent="0.25">
      <c r="A471" s="92" t="s">
        <v>308</v>
      </c>
      <c r="B471" s="92" t="s">
        <v>10</v>
      </c>
      <c r="C471" s="92" t="s">
        <v>18</v>
      </c>
      <c r="D471" s="92" t="s">
        <v>1510</v>
      </c>
      <c r="F471" s="92">
        <v>37</v>
      </c>
      <c r="J471">
        <v>273.06666666666672</v>
      </c>
      <c r="W471" s="336">
        <f>+VLOOKUP(A471,infradensité!$A$2:$B$67,2,FALSE)</f>
        <v>0.36</v>
      </c>
      <c r="X471" s="336">
        <v>1.3</v>
      </c>
      <c r="Y471" s="337">
        <f t="shared" si="52"/>
        <v>127.79520000000002</v>
      </c>
      <c r="Z471" s="337">
        <f t="shared" si="54"/>
        <v>33.486388706041758</v>
      </c>
      <c r="AA471" s="95" t="str">
        <f t="shared" si="55"/>
        <v>Cèdre de l'Atlas_F2_Classique_INRA_37_</v>
      </c>
      <c r="AB471" s="1">
        <f t="shared" si="56"/>
        <v>37</v>
      </c>
      <c r="AC471" s="337">
        <f t="shared" si="53"/>
        <v>280.89876699635607</v>
      </c>
      <c r="AD471" s="338">
        <f t="shared" si="58"/>
        <v>276.6980247402725</v>
      </c>
      <c r="AE471" s="1">
        <f t="shared" si="57"/>
        <v>307.81205601511681</v>
      </c>
    </row>
    <row r="472" spans="1:31" hidden="1" x14ac:dyDescent="0.25">
      <c r="A472" s="92" t="s">
        <v>308</v>
      </c>
      <c r="B472" s="92" t="s">
        <v>10</v>
      </c>
      <c r="C472" s="92" t="s">
        <v>18</v>
      </c>
      <c r="D472" s="92" t="s">
        <v>1510</v>
      </c>
      <c r="F472" s="92">
        <v>38</v>
      </c>
      <c r="J472">
        <v>281.43333333333339</v>
      </c>
      <c r="W472" s="336">
        <f>+VLOOKUP(A472,infradensité!$A$2:$B$67,2,FALSE)</f>
        <v>0.36</v>
      </c>
      <c r="X472" s="336">
        <v>1.3</v>
      </c>
      <c r="Y472" s="337">
        <f t="shared" si="52"/>
        <v>131.71080000000003</v>
      </c>
      <c r="Z472" s="337">
        <f t="shared" si="54"/>
        <v>34.391373677567202</v>
      </c>
      <c r="AA472" s="95" t="str">
        <f t="shared" si="55"/>
        <v>Cèdre de l'Atlas_F2_Classique_INRA_38_</v>
      </c>
      <c r="AB472" s="1">
        <f t="shared" si="56"/>
        <v>38</v>
      </c>
      <c r="AC472" s="337">
        <f t="shared" si="53"/>
        <v>289.29461915509631</v>
      </c>
      <c r="AD472" s="338">
        <f t="shared" si="58"/>
        <v>285.09669307572619</v>
      </c>
      <c r="AE472" s="1">
        <f t="shared" si="57"/>
        <v>307.81205601511681</v>
      </c>
    </row>
    <row r="473" spans="1:31" hidden="1" x14ac:dyDescent="0.25">
      <c r="A473" s="92" t="s">
        <v>308</v>
      </c>
      <c r="B473" s="92" t="s">
        <v>10</v>
      </c>
      <c r="C473" s="92" t="s">
        <v>18</v>
      </c>
      <c r="D473" s="92" t="s">
        <v>1510</v>
      </c>
      <c r="F473" s="92">
        <v>39</v>
      </c>
      <c r="J473">
        <v>289.80000000000007</v>
      </c>
      <c r="W473" s="336">
        <f>+VLOOKUP(A473,infradensité!$A$2:$B$67,2,FALSE)</f>
        <v>0.36</v>
      </c>
      <c r="X473" s="336">
        <v>1.3</v>
      </c>
      <c r="Y473" s="337">
        <f t="shared" si="52"/>
        <v>135.62640000000002</v>
      </c>
      <c r="Z473" s="337">
        <f t="shared" si="54"/>
        <v>35.293231938598481</v>
      </c>
      <c r="AA473" s="95" t="str">
        <f t="shared" si="55"/>
        <v>Cèdre de l'Atlas_F2_Classique_INRA_39_</v>
      </c>
      <c r="AB473" s="1">
        <f t="shared" si="56"/>
        <v>39</v>
      </c>
      <c r="AC473" s="337">
        <f t="shared" si="53"/>
        <v>297.68502562639242</v>
      </c>
      <c r="AD473" s="338">
        <f t="shared" si="58"/>
        <v>293.48982239074439</v>
      </c>
      <c r="AE473" s="1">
        <f t="shared" si="57"/>
        <v>307.81205601511681</v>
      </c>
    </row>
    <row r="474" spans="1:31" hidden="1" x14ac:dyDescent="0.25">
      <c r="A474" s="92" t="s">
        <v>308</v>
      </c>
      <c r="B474" s="92" t="s">
        <v>10</v>
      </c>
      <c r="C474" s="92" t="s">
        <v>18</v>
      </c>
      <c r="D474" s="92" t="s">
        <v>1510</v>
      </c>
      <c r="F474" s="92">
        <v>40</v>
      </c>
      <c r="J474">
        <v>298.16666666666674</v>
      </c>
      <c r="W474" s="336">
        <f>+VLOOKUP(A474,infradensité!$A$2:$B$67,2,FALSE)</f>
        <v>0.36</v>
      </c>
      <c r="X474" s="336">
        <v>1.3</v>
      </c>
      <c r="Y474" s="337">
        <f t="shared" si="52"/>
        <v>139.54200000000003</v>
      </c>
      <c r="Z474" s="337">
        <f t="shared" si="54"/>
        <v>36.192064125364574</v>
      </c>
      <c r="AA474" s="95" t="str">
        <f t="shared" si="55"/>
        <v>Cèdre de l'Atlas_F2_Classique_INRA_40_</v>
      </c>
      <c r="AB474" s="1">
        <f t="shared" si="56"/>
        <v>40</v>
      </c>
      <c r="AC474" s="337">
        <f t="shared" si="53"/>
        <v>306.07016168500996</v>
      </c>
      <c r="AD474" s="338">
        <f t="shared" si="58"/>
        <v>301.87759365570116</v>
      </c>
      <c r="AE474" s="1">
        <f t="shared" si="57"/>
        <v>307.81205601511681</v>
      </c>
    </row>
    <row r="475" spans="1:31" hidden="1" x14ac:dyDescent="0.25">
      <c r="A475" s="92" t="s">
        <v>308</v>
      </c>
      <c r="B475" s="92" t="s">
        <v>10</v>
      </c>
      <c r="C475" s="92" t="s">
        <v>18</v>
      </c>
      <c r="D475" s="92" t="s">
        <v>1510</v>
      </c>
      <c r="F475" s="92">
        <v>41</v>
      </c>
      <c r="J475">
        <v>306.53333333333342</v>
      </c>
      <c r="W475" s="336">
        <f>+VLOOKUP(A475,infradensité!$A$2:$B$67,2,FALSE)</f>
        <v>0.36</v>
      </c>
      <c r="X475" s="336">
        <v>1.3</v>
      </c>
      <c r="Y475" s="337">
        <f t="shared" si="52"/>
        <v>143.45760000000004</v>
      </c>
      <c r="Z475" s="337">
        <f t="shared" si="54"/>
        <v>37.087964904995097</v>
      </c>
      <c r="AA475" s="95" t="str">
        <f t="shared" si="55"/>
        <v>Cèdre de l'Atlas_F2_Classique_INRA_41_</v>
      </c>
      <c r="AB475" s="1">
        <f t="shared" si="56"/>
        <v>41</v>
      </c>
      <c r="AC475" s="337">
        <f t="shared" si="53"/>
        <v>314.45019220953321</v>
      </c>
      <c r="AD475" s="338">
        <f t="shared" si="58"/>
        <v>310.26017694727159</v>
      </c>
      <c r="AE475" s="1">
        <f t="shared" si="57"/>
        <v>307.81205601511681</v>
      </c>
    </row>
    <row r="476" spans="1:31" hidden="1" x14ac:dyDescent="0.25">
      <c r="A476" s="92" t="s">
        <v>308</v>
      </c>
      <c r="B476" s="92" t="s">
        <v>10</v>
      </c>
      <c r="C476" s="92" t="s">
        <v>18</v>
      </c>
      <c r="D476" s="92" t="s">
        <v>1510</v>
      </c>
      <c r="F476" s="92">
        <v>42</v>
      </c>
      <c r="J476">
        <v>314.90000000000009</v>
      </c>
      <c r="W476" s="336">
        <f>+VLOOKUP(A476,infradensité!$A$2:$B$67,2,FALSE)</f>
        <v>0.36</v>
      </c>
      <c r="X476" s="336">
        <v>1.3</v>
      </c>
      <c r="Y476" s="337">
        <f t="shared" si="52"/>
        <v>147.37320000000003</v>
      </c>
      <c r="Z476" s="337">
        <f t="shared" si="54"/>
        <v>37.981023482703954</v>
      </c>
      <c r="AA476" s="95" t="str">
        <f t="shared" si="55"/>
        <v>Cèdre de l'Atlas_F2_Classique_INRA_42_</v>
      </c>
      <c r="AB476" s="1">
        <f t="shared" si="56"/>
        <v>42</v>
      </c>
      <c r="AC476" s="337">
        <f t="shared" si="53"/>
        <v>322.82527256570944</v>
      </c>
      <c r="AD476" s="338">
        <f t="shared" si="58"/>
        <v>318.63773238762133</v>
      </c>
      <c r="AE476" s="1">
        <f t="shared" si="57"/>
        <v>307.81205601511681</v>
      </c>
    </row>
    <row r="477" spans="1:31" hidden="1" x14ac:dyDescent="0.25">
      <c r="A477" s="92" t="s">
        <v>308</v>
      </c>
      <c r="B477" s="92" t="s">
        <v>10</v>
      </c>
      <c r="C477" s="92" t="s">
        <v>18</v>
      </c>
      <c r="D477" s="92" t="s">
        <v>1510</v>
      </c>
      <c r="F477" s="92">
        <v>43</v>
      </c>
      <c r="J477">
        <v>323.26666666666677</v>
      </c>
      <c r="W477" s="336">
        <f>+VLOOKUP(A477,infradensité!$A$2:$B$67,2,FALSE)</f>
        <v>0.36</v>
      </c>
      <c r="X477" s="336">
        <v>1.3</v>
      </c>
      <c r="Y477" s="337">
        <f t="shared" ref="Y477:Y540" si="59">+X477*W477*J477</f>
        <v>151.28880000000004</v>
      </c>
      <c r="Z477" s="337">
        <f t="shared" si="54"/>
        <v>38.871324053555178</v>
      </c>
      <c r="AA477" s="95" t="str">
        <f t="shared" si="55"/>
        <v>Cèdre de l'Atlas_F2_Classique_INRA_43_</v>
      </c>
      <c r="AB477" s="1">
        <f t="shared" si="56"/>
        <v>43</v>
      </c>
      <c r="AC477" s="337">
        <f t="shared" ref="AC477:AC540" si="60">+(Z477+Y477)*0.475*44/12</f>
        <v>331.19554939327537</v>
      </c>
      <c r="AD477" s="338">
        <f t="shared" si="58"/>
        <v>327.01041097949241</v>
      </c>
      <c r="AE477" s="1">
        <f t="shared" si="57"/>
        <v>307.81205601511681</v>
      </c>
    </row>
    <row r="478" spans="1:31" hidden="1" x14ac:dyDescent="0.25">
      <c r="A478" s="92" t="s">
        <v>308</v>
      </c>
      <c r="B478" s="92" t="s">
        <v>10</v>
      </c>
      <c r="C478" s="92" t="s">
        <v>18</v>
      </c>
      <c r="D478" s="92" t="s">
        <v>1510</v>
      </c>
      <c r="F478" s="92">
        <v>44</v>
      </c>
      <c r="J478">
        <v>331.63333333333344</v>
      </c>
      <c r="W478" s="336">
        <f>+VLOOKUP(A478,infradensité!$A$2:$B$67,2,FALSE)</f>
        <v>0.36</v>
      </c>
      <c r="X478" s="336">
        <v>1.3</v>
      </c>
      <c r="Y478" s="337">
        <f t="shared" si="59"/>
        <v>155.20440000000005</v>
      </c>
      <c r="Z478" s="337">
        <f t="shared" ref="Z478:Z541" si="61">+EXP(-1.0587+0.8836*LN(Y478)+0.284)</f>
        <v>39.75894620614293</v>
      </c>
      <c r="AA478" s="95" t="str">
        <f t="shared" si="55"/>
        <v>Cèdre de l'Atlas_F2_Classique_INRA_44_</v>
      </c>
      <c r="AB478" s="1">
        <f t="shared" si="56"/>
        <v>44</v>
      </c>
      <c r="AC478" s="337">
        <f t="shared" si="60"/>
        <v>339.56116130903234</v>
      </c>
      <c r="AD478" s="338">
        <f t="shared" si="58"/>
        <v>335.37835535115386</v>
      </c>
      <c r="AE478" s="1">
        <f t="shared" si="57"/>
        <v>307.81205601511681</v>
      </c>
    </row>
    <row r="479" spans="1:31" hidden="1" x14ac:dyDescent="0.25">
      <c r="A479" s="92" t="s">
        <v>308</v>
      </c>
      <c r="B479" s="92" t="s">
        <v>10</v>
      </c>
      <c r="C479" s="92" t="s">
        <v>18</v>
      </c>
      <c r="D479" s="92" t="s">
        <v>1510</v>
      </c>
      <c r="F479" s="92">
        <v>45</v>
      </c>
      <c r="J479">
        <v>340</v>
      </c>
      <c r="W479" s="336">
        <f>+VLOOKUP(A479,infradensité!$A$2:$B$67,2,FALSE)</f>
        <v>0.36</v>
      </c>
      <c r="X479" s="336">
        <v>1.3</v>
      </c>
      <c r="Y479" s="337">
        <f t="shared" si="59"/>
        <v>159.12</v>
      </c>
      <c r="Z479" s="337">
        <f t="shared" si="61"/>
        <v>40.643965284387697</v>
      </c>
      <c r="AA479" s="95" t="str">
        <f t="shared" si="55"/>
        <v>Cèdre de l'Atlas_F2_Classique_INRA_45_</v>
      </c>
      <c r="AB479" s="1">
        <f t="shared" si="56"/>
        <v>45</v>
      </c>
      <c r="AC479" s="337">
        <f t="shared" si="60"/>
        <v>347.92223953697521</v>
      </c>
      <c r="AD479" s="338">
        <f t="shared" si="58"/>
        <v>343.74170042300375</v>
      </c>
      <c r="AE479" s="1">
        <f t="shared" si="57"/>
        <v>307.81205601511681</v>
      </c>
    </row>
    <row r="480" spans="1:31" hidden="1" x14ac:dyDescent="0.25">
      <c r="A480" s="92" t="s">
        <v>308</v>
      </c>
      <c r="B480" s="92" t="s">
        <v>10</v>
      </c>
      <c r="C480" s="92" t="s">
        <v>18</v>
      </c>
      <c r="D480" s="92" t="s">
        <v>1510</v>
      </c>
      <c r="F480" s="92">
        <v>46</v>
      </c>
      <c r="J480">
        <v>226</v>
      </c>
      <c r="W480" s="336">
        <f>+VLOOKUP(A480,infradensité!$A$2:$B$67,2,FALSE)</f>
        <v>0.36</v>
      </c>
      <c r="X480" s="336">
        <v>1.3</v>
      </c>
      <c r="Y480" s="337">
        <f t="shared" si="59"/>
        <v>105.768</v>
      </c>
      <c r="Z480" s="337">
        <f t="shared" si="61"/>
        <v>28.33162713151323</v>
      </c>
      <c r="AA480" s="95" t="str">
        <f t="shared" si="55"/>
        <v>Cèdre de l'Atlas_F2_Classique_INRA_46_</v>
      </c>
      <c r="AB480" s="1">
        <f t="shared" si="56"/>
        <v>46</v>
      </c>
      <c r="AC480" s="337">
        <f t="shared" si="60"/>
        <v>233.5568505873855</v>
      </c>
      <c r="AD480" s="338">
        <f t="shared" si="58"/>
        <v>290.73954506218035</v>
      </c>
      <c r="AE480" s="1">
        <f t="shared" si="57"/>
        <v>307.81205601511681</v>
      </c>
    </row>
    <row r="481" spans="1:31" hidden="1" x14ac:dyDescent="0.25">
      <c r="A481" s="92" t="s">
        <v>308</v>
      </c>
      <c r="B481" s="92" t="s">
        <v>10</v>
      </c>
      <c r="C481" s="92" t="s">
        <v>18</v>
      </c>
      <c r="D481" s="92" t="s">
        <v>1510</v>
      </c>
      <c r="F481" s="92">
        <v>47</v>
      </c>
      <c r="J481">
        <v>236.55555555555554</v>
      </c>
      <c r="W481" s="336">
        <f>+VLOOKUP(A481,infradensité!$A$2:$B$67,2,FALSE)</f>
        <v>0.36</v>
      </c>
      <c r="X481" s="336">
        <v>1.3</v>
      </c>
      <c r="Y481" s="337">
        <f t="shared" si="59"/>
        <v>110.70799999999998</v>
      </c>
      <c r="Z481" s="337">
        <f t="shared" si="61"/>
        <v>29.497732557374178</v>
      </c>
      <c r="AA481" s="95" t="str">
        <f t="shared" si="55"/>
        <v>Cèdre de l'Atlas_F2_Classique_INRA_47_</v>
      </c>
      <c r="AB481" s="1">
        <f t="shared" si="56"/>
        <v>47</v>
      </c>
      <c r="AC481" s="337">
        <f t="shared" si="60"/>
        <v>244.19165087076001</v>
      </c>
      <c r="AD481" s="338">
        <f t="shared" si="58"/>
        <v>238.87425072907274</v>
      </c>
      <c r="AE481" s="1">
        <f t="shared" si="57"/>
        <v>307.81205601511681</v>
      </c>
    </row>
    <row r="482" spans="1:31" hidden="1" x14ac:dyDescent="0.25">
      <c r="A482" s="92" t="s">
        <v>308</v>
      </c>
      <c r="B482" s="92" t="s">
        <v>10</v>
      </c>
      <c r="C482" s="92" t="s">
        <v>18</v>
      </c>
      <c r="D482" s="92" t="s">
        <v>1510</v>
      </c>
      <c r="F482" s="92">
        <v>48</v>
      </c>
      <c r="J482">
        <v>247.11111111111109</v>
      </c>
      <c r="W482" s="336">
        <f>+VLOOKUP(A482,infradensité!$A$2:$B$67,2,FALSE)</f>
        <v>0.36</v>
      </c>
      <c r="X482" s="336">
        <v>1.3</v>
      </c>
      <c r="Y482" s="337">
        <f t="shared" si="59"/>
        <v>115.64799999999998</v>
      </c>
      <c r="Z482" s="337">
        <f t="shared" si="61"/>
        <v>30.657794830341107</v>
      </c>
      <c r="AA482" s="95" t="str">
        <f t="shared" si="55"/>
        <v>Cèdre de l'Atlas_F2_Classique_INRA_48_</v>
      </c>
      <c r="AB482" s="1">
        <f t="shared" si="56"/>
        <v>48</v>
      </c>
      <c r="AC482" s="337">
        <f t="shared" si="60"/>
        <v>254.81592599617738</v>
      </c>
      <c r="AD482" s="338">
        <f t="shared" si="58"/>
        <v>249.50378843346869</v>
      </c>
      <c r="AE482" s="1">
        <f t="shared" si="57"/>
        <v>307.81205601511681</v>
      </c>
    </row>
    <row r="483" spans="1:31" hidden="1" x14ac:dyDescent="0.25">
      <c r="A483" s="92" t="s">
        <v>308</v>
      </c>
      <c r="B483" s="92" t="s">
        <v>10</v>
      </c>
      <c r="C483" s="92" t="s">
        <v>18</v>
      </c>
      <c r="D483" s="92" t="s">
        <v>1510</v>
      </c>
      <c r="F483" s="92">
        <v>49</v>
      </c>
      <c r="J483">
        <v>257.66666666666663</v>
      </c>
      <c r="W483" s="336">
        <f>+VLOOKUP(A483,infradensité!$A$2:$B$67,2,FALSE)</f>
        <v>0.36</v>
      </c>
      <c r="X483" s="336">
        <v>1.3</v>
      </c>
      <c r="Y483" s="337">
        <f t="shared" si="59"/>
        <v>120.58799999999998</v>
      </c>
      <c r="Z483" s="337">
        <f t="shared" si="61"/>
        <v>31.812101599229255</v>
      </c>
      <c r="AA483" s="95" t="str">
        <f t="shared" si="55"/>
        <v>Cèdre de l'Atlas_F2_Classique_INRA_49_</v>
      </c>
      <c r="AB483" s="1">
        <f t="shared" si="56"/>
        <v>49</v>
      </c>
      <c r="AC483" s="337">
        <f t="shared" si="60"/>
        <v>265.43017695199092</v>
      </c>
      <c r="AD483" s="338">
        <f t="shared" si="58"/>
        <v>260.12305147408415</v>
      </c>
      <c r="AE483" s="1">
        <f t="shared" si="57"/>
        <v>307.81205601511681</v>
      </c>
    </row>
    <row r="484" spans="1:31" hidden="1" x14ac:dyDescent="0.25">
      <c r="A484" s="92" t="s">
        <v>308</v>
      </c>
      <c r="B484" s="92" t="s">
        <v>10</v>
      </c>
      <c r="C484" s="92" t="s">
        <v>18</v>
      </c>
      <c r="D484" s="92" t="s">
        <v>1510</v>
      </c>
      <c r="F484" s="92">
        <v>50</v>
      </c>
      <c r="J484">
        <v>268.22222222222217</v>
      </c>
      <c r="W484" s="336">
        <f>+VLOOKUP(A484,infradensité!$A$2:$B$67,2,FALSE)</f>
        <v>0.36</v>
      </c>
      <c r="X484" s="336">
        <v>1.3</v>
      </c>
      <c r="Y484" s="337">
        <f t="shared" si="59"/>
        <v>125.52799999999996</v>
      </c>
      <c r="Z484" s="337">
        <f t="shared" si="61"/>
        <v>32.96091561162951</v>
      </c>
      <c r="AA484" s="95" t="str">
        <f t="shared" si="55"/>
        <v>Cèdre de l'Atlas_F2_Classique_INRA_50_</v>
      </c>
      <c r="AB484" s="1">
        <f t="shared" si="56"/>
        <v>50</v>
      </c>
      <c r="AC484" s="337">
        <f t="shared" si="60"/>
        <v>276.03486135692128</v>
      </c>
      <c r="AD484" s="338">
        <f t="shared" si="58"/>
        <v>270.7325191544561</v>
      </c>
      <c r="AE484" s="1">
        <f t="shared" si="57"/>
        <v>307.81205601511681</v>
      </c>
    </row>
    <row r="485" spans="1:31" hidden="1" x14ac:dyDescent="0.25">
      <c r="A485" s="92" t="s">
        <v>308</v>
      </c>
      <c r="B485" s="92" t="s">
        <v>10</v>
      </c>
      <c r="C485" s="92" t="s">
        <v>18</v>
      </c>
      <c r="D485" s="92" t="s">
        <v>1510</v>
      </c>
      <c r="F485" s="92">
        <v>51</v>
      </c>
      <c r="J485">
        <v>278.77777777777771</v>
      </c>
      <c r="W485" s="336">
        <f>+VLOOKUP(A485,infradensité!$A$2:$B$67,2,FALSE)</f>
        <v>0.36</v>
      </c>
      <c r="X485" s="336">
        <v>1.3</v>
      </c>
      <c r="Y485" s="337">
        <f t="shared" si="59"/>
        <v>130.46799999999996</v>
      </c>
      <c r="Z485" s="337">
        <f t="shared" si="61"/>
        <v>34.104477764113255</v>
      </c>
      <c r="AA485" s="95" t="str">
        <f t="shared" si="55"/>
        <v>Cèdre de l'Atlas_F2_Classique_INRA_51_</v>
      </c>
      <c r="AB485" s="1">
        <f t="shared" si="56"/>
        <v>51</v>
      </c>
      <c r="AC485" s="337">
        <f t="shared" si="60"/>
        <v>286.63039877249713</v>
      </c>
      <c r="AD485" s="338">
        <f t="shared" si="58"/>
        <v>281.33263006470918</v>
      </c>
      <c r="AE485" s="1">
        <f t="shared" si="57"/>
        <v>307.81205601511681</v>
      </c>
    </row>
    <row r="486" spans="1:31" hidden="1" x14ac:dyDescent="0.25">
      <c r="A486" s="92" t="s">
        <v>308</v>
      </c>
      <c r="B486" s="92" t="s">
        <v>10</v>
      </c>
      <c r="C486" s="92" t="s">
        <v>18</v>
      </c>
      <c r="D486" s="92" t="s">
        <v>1510</v>
      </c>
      <c r="F486" s="92">
        <v>52</v>
      </c>
      <c r="J486">
        <v>289.33333333333326</v>
      </c>
      <c r="W486" s="336">
        <f>+VLOOKUP(A486,infradensité!$A$2:$B$67,2,FALSE)</f>
        <v>0.36</v>
      </c>
      <c r="X486" s="336">
        <v>1.3</v>
      </c>
      <c r="Y486" s="337">
        <f t="shared" si="59"/>
        <v>135.40799999999996</v>
      </c>
      <c r="Z486" s="337">
        <f t="shared" si="61"/>
        <v>35.243009677478732</v>
      </c>
      <c r="AA486" s="95" t="str">
        <f t="shared" si="55"/>
        <v>Cèdre de l'Atlas_F2_Classique_INRA_52_</v>
      </c>
      <c r="AB486" s="1">
        <f t="shared" si="56"/>
        <v>52</v>
      </c>
      <c r="AC486" s="337">
        <f t="shared" si="60"/>
        <v>297.21717518827541</v>
      </c>
      <c r="AD486" s="338">
        <f t="shared" si="58"/>
        <v>291.92378698038624</v>
      </c>
      <c r="AE486" s="1">
        <f t="shared" si="57"/>
        <v>307.81205601511681</v>
      </c>
    </row>
    <row r="487" spans="1:31" hidden="1" x14ac:dyDescent="0.25">
      <c r="A487" s="92" t="s">
        <v>308</v>
      </c>
      <c r="B487" s="92" t="s">
        <v>10</v>
      </c>
      <c r="C487" s="92" t="s">
        <v>18</v>
      </c>
      <c r="D487" s="92" t="s">
        <v>1510</v>
      </c>
      <c r="F487" s="92">
        <v>53</v>
      </c>
      <c r="J487">
        <v>299.8888888888888</v>
      </c>
      <c r="W487" s="336">
        <f>+VLOOKUP(A487,infradensité!$A$2:$B$67,2,FALSE)</f>
        <v>0.36</v>
      </c>
      <c r="X487" s="336">
        <v>1.3</v>
      </c>
      <c r="Y487" s="337">
        <f t="shared" si="59"/>
        <v>140.34799999999996</v>
      </c>
      <c r="Z487" s="337">
        <f t="shared" si="61"/>
        <v>36.376715885630546</v>
      </c>
      <c r="AA487" s="95" t="str">
        <f t="shared" si="55"/>
        <v>Cèdre de l'Atlas_F2_Classique_INRA_53_</v>
      </c>
      <c r="AB487" s="1">
        <f t="shared" si="56"/>
        <v>53</v>
      </c>
      <c r="AC487" s="337">
        <f t="shared" si="60"/>
        <v>307.79554683413977</v>
      </c>
      <c r="AD487" s="338">
        <f t="shared" si="58"/>
        <v>302.50636101120756</v>
      </c>
      <c r="AE487" s="1">
        <f t="shared" si="57"/>
        <v>307.81205601511681</v>
      </c>
    </row>
    <row r="488" spans="1:31" hidden="1" x14ac:dyDescent="0.25">
      <c r="A488" s="92" t="s">
        <v>308</v>
      </c>
      <c r="B488" s="92" t="s">
        <v>10</v>
      </c>
      <c r="C488" s="92" t="s">
        <v>18</v>
      </c>
      <c r="D488" s="92" t="s">
        <v>1510</v>
      </c>
      <c r="F488" s="92">
        <v>54</v>
      </c>
      <c r="J488">
        <v>310.44444444444434</v>
      </c>
      <c r="W488" s="336">
        <f>+VLOOKUP(A488,infradensité!$A$2:$B$67,2,FALSE)</f>
        <v>0.36</v>
      </c>
      <c r="X488" s="336">
        <v>1.3</v>
      </c>
      <c r="Y488" s="337">
        <f t="shared" si="59"/>
        <v>145.28799999999995</v>
      </c>
      <c r="Z488" s="337">
        <f t="shared" si="61"/>
        <v>37.505785707621605</v>
      </c>
      <c r="AA488" s="95" t="str">
        <f t="shared" si="55"/>
        <v>Cèdre de l'Atlas_F2_Classique_INRA_54_</v>
      </c>
      <c r="AB488" s="1">
        <f t="shared" si="56"/>
        <v>54</v>
      </c>
      <c r="AC488" s="337">
        <f t="shared" si="60"/>
        <v>318.3658434407742</v>
      </c>
      <c r="AD488" s="338">
        <f t="shared" si="58"/>
        <v>313.08069513745698</v>
      </c>
      <c r="AE488" s="1">
        <f t="shared" si="57"/>
        <v>307.81205601511681</v>
      </c>
    </row>
    <row r="489" spans="1:31" hidden="1" x14ac:dyDescent="0.25">
      <c r="A489" s="92" t="s">
        <v>308</v>
      </c>
      <c r="B489" s="92" t="s">
        <v>10</v>
      </c>
      <c r="C489" s="92" t="s">
        <v>18</v>
      </c>
      <c r="D489" s="92" t="s">
        <v>1510</v>
      </c>
      <c r="F489" s="92">
        <v>55</v>
      </c>
      <c r="J489">
        <v>321</v>
      </c>
      <c r="W489" s="336">
        <f>+VLOOKUP(A489,infradensité!$A$2:$B$67,2,FALSE)</f>
        <v>0.36</v>
      </c>
      <c r="X489" s="336">
        <v>1.3</v>
      </c>
      <c r="Y489" s="337">
        <f t="shared" si="59"/>
        <v>150.22799999999998</v>
      </c>
      <c r="Z489" s="337">
        <f t="shared" si="61"/>
        <v>38.630394857933659</v>
      </c>
      <c r="AA489" s="95" t="str">
        <f t="shared" si="55"/>
        <v>Cèdre de l'Atlas_F2_Classique_INRA_55_</v>
      </c>
      <c r="AB489" s="1">
        <f t="shared" si="56"/>
        <v>55</v>
      </c>
      <c r="AC489" s="337">
        <f t="shared" si="60"/>
        <v>328.92837104423438</v>
      </c>
      <c r="AD489" s="338">
        <f t="shared" si="58"/>
        <v>323.64710724250426</v>
      </c>
      <c r="AE489" s="1">
        <f t="shared" si="57"/>
        <v>307.81205601511681</v>
      </c>
    </row>
    <row r="490" spans="1:31" hidden="1" x14ac:dyDescent="0.25">
      <c r="A490" s="92" t="s">
        <v>308</v>
      </c>
      <c r="B490" s="92" t="s">
        <v>10</v>
      </c>
      <c r="C490" s="92" t="s">
        <v>18</v>
      </c>
      <c r="D490" s="92" t="s">
        <v>1510</v>
      </c>
      <c r="F490" s="92">
        <v>56</v>
      </c>
      <c r="J490">
        <v>258</v>
      </c>
      <c r="W490" s="336">
        <f>+VLOOKUP(A490,infradensité!$A$2:$B$67,2,FALSE)</f>
        <v>0.36</v>
      </c>
      <c r="X490" s="336">
        <v>1.3</v>
      </c>
      <c r="Y490" s="337">
        <f t="shared" si="59"/>
        <v>120.744</v>
      </c>
      <c r="Z490" s="337">
        <f t="shared" si="61"/>
        <v>31.848462605207807</v>
      </c>
      <c r="AA490" s="95" t="str">
        <f t="shared" si="55"/>
        <v>Cèdre de l'Atlas_F2_Classique_INRA_56_</v>
      </c>
      <c r="AB490" s="1">
        <f t="shared" si="56"/>
        <v>56</v>
      </c>
      <c r="AC490" s="337">
        <f t="shared" si="60"/>
        <v>265.76520570407024</v>
      </c>
      <c r="AD490" s="338">
        <f t="shared" si="58"/>
        <v>297.34678837415231</v>
      </c>
      <c r="AE490" s="1">
        <f t="shared" si="57"/>
        <v>307.81205601511681</v>
      </c>
    </row>
    <row r="491" spans="1:31" hidden="1" x14ac:dyDescent="0.25">
      <c r="A491" s="92" t="s">
        <v>308</v>
      </c>
      <c r="B491" s="92" t="s">
        <v>10</v>
      </c>
      <c r="C491" s="92" t="s">
        <v>18</v>
      </c>
      <c r="D491" s="92" t="s">
        <v>1510</v>
      </c>
      <c r="F491" s="92">
        <v>57</v>
      </c>
      <c r="J491">
        <v>270.22222222222223</v>
      </c>
      <c r="W491" s="336">
        <f>+VLOOKUP(A491,infradensité!$A$2:$B$67,2,FALSE)</f>
        <v>0.36</v>
      </c>
      <c r="X491" s="336">
        <v>1.3</v>
      </c>
      <c r="Y491" s="337">
        <f t="shared" si="59"/>
        <v>126.464</v>
      </c>
      <c r="Z491" s="337">
        <f t="shared" si="61"/>
        <v>33.177986820065037</v>
      </c>
      <c r="AA491" s="95" t="str">
        <f t="shared" si="55"/>
        <v>Cèdre de l'Atlas_F2_Classique_INRA_57_</v>
      </c>
      <c r="AB491" s="1">
        <f t="shared" si="56"/>
        <v>57</v>
      </c>
      <c r="AC491" s="337">
        <f t="shared" si="60"/>
        <v>278.04312704494663</v>
      </c>
      <c r="AD491" s="338">
        <f t="shared" si="58"/>
        <v>271.90416637450846</v>
      </c>
      <c r="AE491" s="1">
        <f t="shared" si="57"/>
        <v>307.81205601511681</v>
      </c>
    </row>
    <row r="492" spans="1:31" hidden="1" x14ac:dyDescent="0.25">
      <c r="A492" s="92" t="s">
        <v>308</v>
      </c>
      <c r="B492" s="92" t="s">
        <v>10</v>
      </c>
      <c r="C492" s="92" t="s">
        <v>18</v>
      </c>
      <c r="D492" s="92" t="s">
        <v>1510</v>
      </c>
      <c r="F492" s="92">
        <v>58</v>
      </c>
      <c r="J492">
        <v>282.44444444444446</v>
      </c>
      <c r="W492" s="336">
        <f>+VLOOKUP(A492,infradensité!$A$2:$B$67,2,FALSE)</f>
        <v>0.36</v>
      </c>
      <c r="X492" s="336">
        <v>1.3</v>
      </c>
      <c r="Y492" s="337">
        <f t="shared" si="59"/>
        <v>132.184</v>
      </c>
      <c r="Z492" s="337">
        <f t="shared" si="61"/>
        <v>34.500527231592969</v>
      </c>
      <c r="AA492" s="95" t="str">
        <f t="shared" si="55"/>
        <v>Cèdre de l'Atlas_F2_Classique_INRA_58_</v>
      </c>
      <c r="AB492" s="1">
        <f t="shared" si="56"/>
        <v>58</v>
      </c>
      <c r="AC492" s="337">
        <f t="shared" si="60"/>
        <v>290.30888492835771</v>
      </c>
      <c r="AD492" s="338">
        <f t="shared" si="58"/>
        <v>284.17600598665217</v>
      </c>
      <c r="AE492" s="1">
        <f t="shared" si="57"/>
        <v>307.81205601511681</v>
      </c>
    </row>
    <row r="493" spans="1:31" hidden="1" x14ac:dyDescent="0.25">
      <c r="A493" s="92" t="s">
        <v>308</v>
      </c>
      <c r="B493" s="92" t="s">
        <v>10</v>
      </c>
      <c r="C493" s="92" t="s">
        <v>18</v>
      </c>
      <c r="D493" s="92" t="s">
        <v>1510</v>
      </c>
      <c r="F493" s="92">
        <v>59</v>
      </c>
      <c r="J493">
        <v>294.66666666666669</v>
      </c>
      <c r="W493" s="336">
        <f>+VLOOKUP(A493,infradensité!$A$2:$B$67,2,FALSE)</f>
        <v>0.36</v>
      </c>
      <c r="X493" s="336">
        <v>1.3</v>
      </c>
      <c r="Y493" s="337">
        <f t="shared" si="59"/>
        <v>137.904</v>
      </c>
      <c r="Z493" s="337">
        <f t="shared" si="61"/>
        <v>35.816420593519346</v>
      </c>
      <c r="AA493" s="95" t="str">
        <f t="shared" si="55"/>
        <v>Cèdre de l'Atlas_F2_Classique_INRA_59_</v>
      </c>
      <c r="AB493" s="1">
        <f t="shared" si="56"/>
        <v>59</v>
      </c>
      <c r="AC493" s="337">
        <f t="shared" si="60"/>
        <v>302.56306586704619</v>
      </c>
      <c r="AD493" s="338">
        <f t="shared" si="58"/>
        <v>296.43597539770195</v>
      </c>
      <c r="AE493" s="1">
        <f t="shared" si="57"/>
        <v>307.81205601511681</v>
      </c>
    </row>
    <row r="494" spans="1:31" hidden="1" x14ac:dyDescent="0.25">
      <c r="A494" s="92" t="s">
        <v>308</v>
      </c>
      <c r="B494" s="92" t="s">
        <v>10</v>
      </c>
      <c r="C494" s="92" t="s">
        <v>18</v>
      </c>
      <c r="D494" s="92" t="s">
        <v>1510</v>
      </c>
      <c r="F494" s="92">
        <v>60</v>
      </c>
      <c r="J494">
        <v>306.88888888888891</v>
      </c>
      <c r="W494" s="336">
        <f>+VLOOKUP(A494,infradensité!$A$2:$B$67,2,FALSE)</f>
        <v>0.36</v>
      </c>
      <c r="X494" s="336">
        <v>1.3</v>
      </c>
      <c r="Y494" s="337">
        <f t="shared" si="59"/>
        <v>143.624</v>
      </c>
      <c r="Z494" s="337">
        <f t="shared" si="61"/>
        <v>37.125974143165266</v>
      </c>
      <c r="AA494" s="95" t="str">
        <f t="shared" si="55"/>
        <v>Cèdre de l'Atlas_F2_Classique_INRA_60_</v>
      </c>
      <c r="AB494" s="1">
        <f t="shared" si="56"/>
        <v>60</v>
      </c>
      <c r="AC494" s="337">
        <f t="shared" si="60"/>
        <v>314.80620496601284</v>
      </c>
      <c r="AD494" s="338">
        <f t="shared" si="58"/>
        <v>308.68463541652955</v>
      </c>
      <c r="AE494" s="1">
        <f t="shared" si="57"/>
        <v>307.81205601511681</v>
      </c>
    </row>
    <row r="495" spans="1:31" hidden="1" x14ac:dyDescent="0.25">
      <c r="A495" s="92" t="s">
        <v>308</v>
      </c>
      <c r="B495" s="92" t="s">
        <v>10</v>
      </c>
      <c r="C495" s="92" t="s">
        <v>18</v>
      </c>
      <c r="D495" s="92" t="s">
        <v>1510</v>
      </c>
      <c r="F495" s="92">
        <v>61</v>
      </c>
      <c r="J495">
        <v>319.11111111111114</v>
      </c>
      <c r="W495" s="336">
        <f>+VLOOKUP(A495,infradensité!$A$2:$B$67,2,FALSE)</f>
        <v>0.36</v>
      </c>
      <c r="X495" s="336">
        <v>1.3</v>
      </c>
      <c r="Y495" s="337">
        <f t="shared" si="59"/>
        <v>149.34399999999999</v>
      </c>
      <c r="Z495" s="337">
        <f t="shared" si="61"/>
        <v>38.429469260374923</v>
      </c>
      <c r="AA495" s="95" t="str">
        <f t="shared" ref="AA495:AA558" si="62">+_xlfn.CONCAT(A495,"_",B495,"_",C495,"_",D495,"_",AB495,"_")</f>
        <v>Cèdre de l'Atlas_F2_Classique_INRA_61_</v>
      </c>
      <c r="AB495" s="1">
        <f t="shared" ref="AB495:AB558" si="63">F495</f>
        <v>61</v>
      </c>
      <c r="AC495" s="337">
        <f t="shared" si="60"/>
        <v>327.03879229515297</v>
      </c>
      <c r="AD495" s="338">
        <f t="shared" si="58"/>
        <v>320.92249863058294</v>
      </c>
      <c r="AE495" s="1">
        <f t="shared" si="57"/>
        <v>307.81205601511681</v>
      </c>
    </row>
    <row r="496" spans="1:31" hidden="1" x14ac:dyDescent="0.25">
      <c r="A496" s="92" t="s">
        <v>308</v>
      </c>
      <c r="B496" s="92" t="s">
        <v>10</v>
      </c>
      <c r="C496" s="92" t="s">
        <v>18</v>
      </c>
      <c r="D496" s="92" t="s">
        <v>1510</v>
      </c>
      <c r="F496" s="92">
        <v>62</v>
      </c>
      <c r="J496">
        <v>331.33333333333337</v>
      </c>
      <c r="W496" s="336">
        <f>+VLOOKUP(A496,infradensité!$A$2:$B$67,2,FALSE)</f>
        <v>0.36</v>
      </c>
      <c r="X496" s="336">
        <v>1.3</v>
      </c>
      <c r="Y496" s="337">
        <f t="shared" si="59"/>
        <v>155.06400000000002</v>
      </c>
      <c r="Z496" s="337">
        <f t="shared" si="61"/>
        <v>39.727164550120094</v>
      </c>
      <c r="AA496" s="95" t="str">
        <f t="shared" si="62"/>
        <v>Cèdre de l'Atlas_F2_Classique_INRA_62_</v>
      </c>
      <c r="AB496" s="1">
        <f t="shared" si="63"/>
        <v>62</v>
      </c>
      <c r="AC496" s="337">
        <f t="shared" si="60"/>
        <v>339.26127825812586</v>
      </c>
      <c r="AD496" s="338">
        <f t="shared" si="58"/>
        <v>333.15003527663941</v>
      </c>
      <c r="AE496" s="1">
        <f t="shared" si="57"/>
        <v>307.81205601511681</v>
      </c>
    </row>
    <row r="497" spans="1:31" hidden="1" x14ac:dyDescent="0.25">
      <c r="A497" s="92" t="s">
        <v>308</v>
      </c>
      <c r="B497" s="92" t="s">
        <v>10</v>
      </c>
      <c r="C497" s="92" t="s">
        <v>18</v>
      </c>
      <c r="D497" s="92" t="s">
        <v>1510</v>
      </c>
      <c r="F497" s="92">
        <v>63</v>
      </c>
      <c r="J497">
        <v>343.5555555555556</v>
      </c>
      <c r="W497" s="336">
        <f>+VLOOKUP(A497,infradensité!$A$2:$B$67,2,FALSE)</f>
        <v>0.36</v>
      </c>
      <c r="X497" s="336">
        <v>1.3</v>
      </c>
      <c r="Y497" s="337">
        <f t="shared" si="59"/>
        <v>160.78400000000002</v>
      </c>
      <c r="Z497" s="337">
        <f t="shared" si="61"/>
        <v>41.019298457473468</v>
      </c>
      <c r="AA497" s="95" t="str">
        <f t="shared" si="62"/>
        <v>Cèdre de l'Atlas_F2_Classique_INRA_63_</v>
      </c>
      <c r="AB497" s="1">
        <f t="shared" si="63"/>
        <v>63</v>
      </c>
      <c r="AC497" s="337">
        <f t="shared" si="60"/>
        <v>351.47407814676626</v>
      </c>
      <c r="AD497" s="338">
        <f t="shared" si="58"/>
        <v>345.36767820244609</v>
      </c>
      <c r="AE497" s="1">
        <f t="shared" si="57"/>
        <v>307.81205601511681</v>
      </c>
    </row>
    <row r="498" spans="1:31" hidden="1" x14ac:dyDescent="0.25">
      <c r="A498" s="92" t="s">
        <v>308</v>
      </c>
      <c r="B498" s="92" t="s">
        <v>10</v>
      </c>
      <c r="C498" s="92" t="s">
        <v>18</v>
      </c>
      <c r="D498" s="92" t="s">
        <v>1510</v>
      </c>
      <c r="F498" s="92">
        <v>64</v>
      </c>
      <c r="J498">
        <v>355.77777777777783</v>
      </c>
      <c r="W498" s="336">
        <f>+VLOOKUP(A498,infradensité!$A$2:$B$67,2,FALSE)</f>
        <v>0.36</v>
      </c>
      <c r="X498" s="336">
        <v>1.3</v>
      </c>
      <c r="Y498" s="337">
        <f t="shared" si="59"/>
        <v>166.50400000000002</v>
      </c>
      <c r="Z498" s="337">
        <f t="shared" si="61"/>
        <v>42.306091500008144</v>
      </c>
      <c r="AA498" s="95" t="str">
        <f t="shared" si="62"/>
        <v>Cèdre de l'Atlas_F2_Classique_INRA_64_</v>
      </c>
      <c r="AB498" s="1">
        <f t="shared" si="63"/>
        <v>64</v>
      </c>
      <c r="AC498" s="337">
        <f t="shared" si="60"/>
        <v>363.6775760291809</v>
      </c>
      <c r="AD498" s="338">
        <f t="shared" si="58"/>
        <v>357.57582708797361</v>
      </c>
      <c r="AE498" s="1">
        <f t="shared" si="57"/>
        <v>307.81205601511681</v>
      </c>
    </row>
    <row r="499" spans="1:31" hidden="1" x14ac:dyDescent="0.25">
      <c r="A499" s="92" t="s">
        <v>308</v>
      </c>
      <c r="B499" s="92" t="s">
        <v>10</v>
      </c>
      <c r="C499" s="92" t="s">
        <v>18</v>
      </c>
      <c r="D499" s="92" t="s">
        <v>1510</v>
      </c>
      <c r="F499" s="92">
        <v>65</v>
      </c>
      <c r="J499">
        <v>368</v>
      </c>
      <c r="W499" s="336">
        <f>+VLOOKUP(A499,infradensité!$A$2:$B$67,2,FALSE)</f>
        <v>0.36</v>
      </c>
      <c r="X499" s="336">
        <v>1.3</v>
      </c>
      <c r="Y499" s="337">
        <f t="shared" si="59"/>
        <v>172.22399999999999</v>
      </c>
      <c r="Z499" s="337">
        <f t="shared" si="61"/>
        <v>43.587748184815709</v>
      </c>
      <c r="AA499" s="95" t="str">
        <f t="shared" si="62"/>
        <v>Cèdre de l'Atlas_F2_Classique_INRA_65_</v>
      </c>
      <c r="AB499" s="1">
        <f t="shared" si="63"/>
        <v>65</v>
      </c>
      <c r="AC499" s="337">
        <f t="shared" si="60"/>
        <v>375.87212808855401</v>
      </c>
      <c r="AD499" s="338">
        <f t="shared" si="58"/>
        <v>369.77485205886745</v>
      </c>
      <c r="AE499" s="1">
        <f t="shared" ref="AE499:AE544" si="64">+SUM($AD$434:$AD$544)/110</f>
        <v>307.81205601511681</v>
      </c>
    </row>
    <row r="500" spans="1:31" hidden="1" x14ac:dyDescent="0.25">
      <c r="A500" s="92" t="s">
        <v>308</v>
      </c>
      <c r="B500" s="92" t="s">
        <v>10</v>
      </c>
      <c r="C500" s="92" t="s">
        <v>18</v>
      </c>
      <c r="D500" s="92" t="s">
        <v>1510</v>
      </c>
      <c r="F500" s="92">
        <v>66</v>
      </c>
      <c r="J500">
        <v>295</v>
      </c>
      <c r="W500" s="336">
        <f>+VLOOKUP(A500,infradensité!$A$2:$B$67,2,FALSE)</f>
        <v>0.36</v>
      </c>
      <c r="X500" s="336">
        <v>1.3</v>
      </c>
      <c r="Y500" s="337">
        <f t="shared" si="59"/>
        <v>138.06</v>
      </c>
      <c r="Z500" s="337">
        <f t="shared" si="61"/>
        <v>35.852218451596926</v>
      </c>
      <c r="AA500" s="95" t="str">
        <f t="shared" si="62"/>
        <v>Cèdre de l'Atlas_F2_Classique_INRA_66_</v>
      </c>
      <c r="AB500" s="1">
        <f t="shared" si="63"/>
        <v>66</v>
      </c>
      <c r="AC500" s="337">
        <f t="shared" si="60"/>
        <v>302.89711380319795</v>
      </c>
      <c r="AD500" s="338">
        <f t="shared" si="58"/>
        <v>339.38462094587601</v>
      </c>
      <c r="AE500" s="1">
        <f t="shared" si="64"/>
        <v>307.81205601511681</v>
      </c>
    </row>
    <row r="501" spans="1:31" hidden="1" x14ac:dyDescent="0.25">
      <c r="A501" s="92" t="s">
        <v>308</v>
      </c>
      <c r="B501" s="92" t="s">
        <v>10</v>
      </c>
      <c r="C501" s="92" t="s">
        <v>18</v>
      </c>
      <c r="D501" s="92" t="s">
        <v>1510</v>
      </c>
      <c r="F501" s="92">
        <v>67</v>
      </c>
      <c r="J501">
        <v>308</v>
      </c>
      <c r="W501" s="336">
        <f>+VLOOKUP(A501,infradensité!$A$2:$B$67,2,FALSE)</f>
        <v>0.36</v>
      </c>
      <c r="X501" s="336">
        <v>1.3</v>
      </c>
      <c r="Y501" s="337">
        <f t="shared" si="59"/>
        <v>144.14400000000001</v>
      </c>
      <c r="Z501" s="337">
        <f t="shared" si="61"/>
        <v>37.244720006976252</v>
      </c>
      <c r="AA501" s="95" t="str">
        <f t="shared" si="62"/>
        <v>Cèdre de l'Atlas_F2_Classique_INRA_67_</v>
      </c>
      <c r="AB501" s="1">
        <f t="shared" si="63"/>
        <v>67</v>
      </c>
      <c r="AC501" s="337">
        <f t="shared" si="60"/>
        <v>315.91868734548365</v>
      </c>
      <c r="AD501" s="338">
        <f t="shared" si="58"/>
        <v>309.40790057434083</v>
      </c>
      <c r="AE501" s="1">
        <f t="shared" si="64"/>
        <v>307.81205601511681</v>
      </c>
    </row>
    <row r="502" spans="1:31" hidden="1" x14ac:dyDescent="0.25">
      <c r="A502" s="92" t="s">
        <v>308</v>
      </c>
      <c r="B502" s="92" t="s">
        <v>10</v>
      </c>
      <c r="C502" s="92" t="s">
        <v>18</v>
      </c>
      <c r="D502" s="92" t="s">
        <v>1510</v>
      </c>
      <c r="F502" s="92">
        <v>68</v>
      </c>
      <c r="J502">
        <v>321</v>
      </c>
      <c r="W502" s="336">
        <f>+VLOOKUP(A502,infradensité!$A$2:$B$67,2,FALSE)</f>
        <v>0.36</v>
      </c>
      <c r="X502" s="336">
        <v>1.3</v>
      </c>
      <c r="Y502" s="337">
        <f t="shared" si="59"/>
        <v>150.22799999999998</v>
      </c>
      <c r="Z502" s="337">
        <f t="shared" si="61"/>
        <v>38.630394857933659</v>
      </c>
      <c r="AA502" s="95" t="str">
        <f t="shared" si="62"/>
        <v>Cèdre de l'Atlas_F2_Classique_INRA_68_</v>
      </c>
      <c r="AB502" s="1">
        <f t="shared" si="63"/>
        <v>68</v>
      </c>
      <c r="AC502" s="337">
        <f t="shared" si="60"/>
        <v>328.92837104423438</v>
      </c>
      <c r="AD502" s="338">
        <f t="shared" si="58"/>
        <v>322.42352919485904</v>
      </c>
      <c r="AE502" s="1">
        <f t="shared" si="64"/>
        <v>307.81205601511681</v>
      </c>
    </row>
    <row r="503" spans="1:31" hidden="1" x14ac:dyDescent="0.25">
      <c r="A503" s="92" t="s">
        <v>308</v>
      </c>
      <c r="B503" s="92" t="s">
        <v>10</v>
      </c>
      <c r="C503" s="92" t="s">
        <v>18</v>
      </c>
      <c r="D503" s="92" t="s">
        <v>1510</v>
      </c>
      <c r="F503" s="92">
        <v>69</v>
      </c>
      <c r="J503">
        <v>334</v>
      </c>
      <c r="W503" s="336">
        <f>+VLOOKUP(A503,infradensité!$A$2:$B$67,2,FALSE)</f>
        <v>0.36</v>
      </c>
      <c r="X503" s="336">
        <v>1.3</v>
      </c>
      <c r="Y503" s="337">
        <f t="shared" si="59"/>
        <v>156.31199999999998</v>
      </c>
      <c r="Z503" s="337">
        <f t="shared" si="61"/>
        <v>40.009551101892576</v>
      </c>
      <c r="AA503" s="95" t="str">
        <f t="shared" si="62"/>
        <v>Cèdre de l'Atlas_F2_Classique_INRA_69_</v>
      </c>
      <c r="AB503" s="1">
        <f t="shared" si="63"/>
        <v>69</v>
      </c>
      <c r="AC503" s="337">
        <f t="shared" si="60"/>
        <v>341.92670150246289</v>
      </c>
      <c r="AD503" s="338">
        <f t="shared" si="58"/>
        <v>335.42753627334866</v>
      </c>
      <c r="AE503" s="1">
        <f t="shared" si="64"/>
        <v>307.81205601511681</v>
      </c>
    </row>
    <row r="504" spans="1:31" hidden="1" x14ac:dyDescent="0.25">
      <c r="A504" s="92" t="s">
        <v>308</v>
      </c>
      <c r="B504" s="92" t="s">
        <v>10</v>
      </c>
      <c r="C504" s="92" t="s">
        <v>18</v>
      </c>
      <c r="D504" s="92" t="s">
        <v>1510</v>
      </c>
      <c r="F504" s="92">
        <v>70</v>
      </c>
      <c r="J504">
        <v>347</v>
      </c>
      <c r="W504" s="336">
        <f>+VLOOKUP(A504,infradensité!$A$2:$B$67,2,FALSE)</f>
        <v>0.36</v>
      </c>
      <c r="X504" s="336">
        <v>1.3</v>
      </c>
      <c r="Y504" s="337">
        <f t="shared" si="59"/>
        <v>162.39599999999999</v>
      </c>
      <c r="Z504" s="337">
        <f t="shared" si="61"/>
        <v>41.382471494629698</v>
      </c>
      <c r="AA504" s="95" t="str">
        <f t="shared" si="62"/>
        <v>Cèdre de l'Atlas_F2_Classique_INRA_70_</v>
      </c>
      <c r="AB504" s="1">
        <f t="shared" si="63"/>
        <v>70</v>
      </c>
      <c r="AC504" s="337">
        <f t="shared" si="60"/>
        <v>354.91417118648002</v>
      </c>
      <c r="AD504" s="338">
        <f t="shared" si="58"/>
        <v>348.42043634447145</v>
      </c>
      <c r="AE504" s="1">
        <f t="shared" si="64"/>
        <v>307.81205601511681</v>
      </c>
    </row>
    <row r="505" spans="1:31" hidden="1" x14ac:dyDescent="0.25">
      <c r="A505" s="92" t="s">
        <v>308</v>
      </c>
      <c r="B505" s="92" t="s">
        <v>10</v>
      </c>
      <c r="C505" s="92" t="s">
        <v>18</v>
      </c>
      <c r="D505" s="92" t="s">
        <v>1510</v>
      </c>
      <c r="F505" s="92">
        <v>71</v>
      </c>
      <c r="J505">
        <v>360</v>
      </c>
      <c r="W505" s="336">
        <f>+VLOOKUP(A505,infradensité!$A$2:$B$67,2,FALSE)</f>
        <v>0.36</v>
      </c>
      <c r="X505" s="336">
        <v>1.3</v>
      </c>
      <c r="Y505" s="337">
        <f t="shared" si="59"/>
        <v>168.48</v>
      </c>
      <c r="Z505" s="337">
        <f t="shared" si="61"/>
        <v>42.74941640538534</v>
      </c>
      <c r="AA505" s="95" t="str">
        <f t="shared" si="62"/>
        <v>Cèdre de l'Atlas_F2_Classique_INRA_71_</v>
      </c>
      <c r="AB505" s="1">
        <f t="shared" si="63"/>
        <v>71</v>
      </c>
      <c r="AC505" s="337">
        <f t="shared" si="60"/>
        <v>367.89123357271274</v>
      </c>
      <c r="AD505" s="338">
        <f t="shared" si="58"/>
        <v>361.40270237959635</v>
      </c>
      <c r="AE505" s="1">
        <f t="shared" si="64"/>
        <v>307.81205601511681</v>
      </c>
    </row>
    <row r="506" spans="1:31" hidden="1" x14ac:dyDescent="0.25">
      <c r="A506" s="92" t="s">
        <v>308</v>
      </c>
      <c r="B506" s="92" t="s">
        <v>10</v>
      </c>
      <c r="C506" s="92" t="s">
        <v>18</v>
      </c>
      <c r="D506" s="92" t="s">
        <v>1510</v>
      </c>
      <c r="F506" s="92">
        <v>72</v>
      </c>
      <c r="J506">
        <v>373</v>
      </c>
      <c r="W506" s="336">
        <f>+VLOOKUP(A506,infradensité!$A$2:$B$67,2,FALSE)</f>
        <v>0.36</v>
      </c>
      <c r="X506" s="336">
        <v>1.3</v>
      </c>
      <c r="Y506" s="337">
        <f t="shared" si="59"/>
        <v>174.56399999999999</v>
      </c>
      <c r="Z506" s="337">
        <f t="shared" si="61"/>
        <v>44.110626333127961</v>
      </c>
      <c r="AA506" s="95" t="str">
        <f t="shared" si="62"/>
        <v>Cèdre de l'Atlas_F2_Classique_INRA_72_</v>
      </c>
      <c r="AB506" s="1">
        <f t="shared" si="63"/>
        <v>72</v>
      </c>
      <c r="AC506" s="337">
        <f t="shared" si="60"/>
        <v>380.85830753019781</v>
      </c>
      <c r="AD506" s="338">
        <f t="shared" si="58"/>
        <v>374.3747705514553</v>
      </c>
      <c r="AE506" s="1">
        <f t="shared" si="64"/>
        <v>307.81205601511681</v>
      </c>
    </row>
    <row r="507" spans="1:31" hidden="1" x14ac:dyDescent="0.25">
      <c r="A507" s="92" t="s">
        <v>308</v>
      </c>
      <c r="B507" s="92" t="s">
        <v>10</v>
      </c>
      <c r="C507" s="92" t="s">
        <v>18</v>
      </c>
      <c r="D507" s="92" t="s">
        <v>1510</v>
      </c>
      <c r="F507" s="92">
        <v>73</v>
      </c>
      <c r="J507">
        <v>386</v>
      </c>
      <c r="W507" s="336">
        <f>+VLOOKUP(A507,infradensité!$A$2:$B$67,2,FALSE)</f>
        <v>0.36</v>
      </c>
      <c r="X507" s="336">
        <v>1.3</v>
      </c>
      <c r="Y507" s="337">
        <f t="shared" si="59"/>
        <v>180.648</v>
      </c>
      <c r="Z507" s="337">
        <f t="shared" si="61"/>
        <v>45.466324062169789</v>
      </c>
      <c r="AA507" s="95" t="str">
        <f t="shared" si="62"/>
        <v>Cèdre de l'Atlas_F2_Classique_INRA_73_</v>
      </c>
      <c r="AB507" s="1">
        <f t="shared" si="63"/>
        <v>73</v>
      </c>
      <c r="AC507" s="337">
        <f t="shared" si="60"/>
        <v>393.81578107494573</v>
      </c>
      <c r="AD507" s="338">
        <f t="shared" si="58"/>
        <v>387.33704430257177</v>
      </c>
      <c r="AE507" s="1">
        <f t="shared" si="64"/>
        <v>307.81205601511681</v>
      </c>
    </row>
    <row r="508" spans="1:31" hidden="1" x14ac:dyDescent="0.25">
      <c r="A508" s="92" t="s">
        <v>308</v>
      </c>
      <c r="B508" s="92" t="s">
        <v>10</v>
      </c>
      <c r="C508" s="92" t="s">
        <v>18</v>
      </c>
      <c r="D508" s="92" t="s">
        <v>1510</v>
      </c>
      <c r="F508" s="92">
        <v>74</v>
      </c>
      <c r="J508">
        <v>399</v>
      </c>
      <c r="W508" s="336">
        <f>+VLOOKUP(A508,infradensité!$A$2:$B$67,2,FALSE)</f>
        <v>0.36</v>
      </c>
      <c r="X508" s="336">
        <v>1.3</v>
      </c>
      <c r="Y508" s="337">
        <f t="shared" si="59"/>
        <v>186.732</v>
      </c>
      <c r="Z508" s="337">
        <f t="shared" si="61"/>
        <v>46.81671651923142</v>
      </c>
      <c r="AA508" s="95" t="str">
        <f t="shared" si="62"/>
        <v>Cèdre de l'Atlas_F2_Classique_INRA_74_</v>
      </c>
      <c r="AB508" s="1">
        <f t="shared" si="63"/>
        <v>74</v>
      </c>
      <c r="AC508" s="337">
        <f t="shared" si="60"/>
        <v>406.764014604328</v>
      </c>
      <c r="AD508" s="338">
        <f t="shared" si="58"/>
        <v>400.28989783963686</v>
      </c>
      <c r="AE508" s="1">
        <f t="shared" si="64"/>
        <v>307.81205601511681</v>
      </c>
    </row>
    <row r="509" spans="1:31" hidden="1" x14ac:dyDescent="0.25">
      <c r="A509" s="92" t="s">
        <v>308</v>
      </c>
      <c r="B509" s="92" t="s">
        <v>10</v>
      </c>
      <c r="C509" s="92" t="s">
        <v>18</v>
      </c>
      <c r="D509" s="92" t="s">
        <v>1510</v>
      </c>
      <c r="F509" s="92">
        <v>75</v>
      </c>
      <c r="J509">
        <v>412</v>
      </c>
      <c r="W509" s="336">
        <f>+VLOOKUP(A509,infradensité!$A$2:$B$67,2,FALSE)</f>
        <v>0.36</v>
      </c>
      <c r="X509" s="336">
        <v>1.3</v>
      </c>
      <c r="Y509" s="337">
        <f t="shared" si="59"/>
        <v>192.81599999999997</v>
      </c>
      <c r="Z509" s="337">
        <f t="shared" si="61"/>
        <v>48.161996381683636</v>
      </c>
      <c r="AA509" s="95" t="str">
        <f t="shared" si="62"/>
        <v>Cèdre de l'Atlas_F2_Classique_INRA_75_</v>
      </c>
      <c r="AB509" s="1">
        <f t="shared" si="63"/>
        <v>75</v>
      </c>
      <c r="AC509" s="337">
        <f t="shared" si="60"/>
        <v>419.70334369809893</v>
      </c>
      <c r="AD509" s="338">
        <f t="shared" si="58"/>
        <v>413.23367915121344</v>
      </c>
      <c r="AE509" s="1">
        <f t="shared" si="64"/>
        <v>307.81205601511681</v>
      </c>
    </row>
    <row r="510" spans="1:31" hidden="1" x14ac:dyDescent="0.25">
      <c r="A510" s="92" t="s">
        <v>308</v>
      </c>
      <c r="B510" s="92" t="s">
        <v>10</v>
      </c>
      <c r="C510" s="92" t="s">
        <v>18</v>
      </c>
      <c r="D510" s="92" t="s">
        <v>1510</v>
      </c>
      <c r="F510" s="92">
        <v>76</v>
      </c>
      <c r="J510">
        <v>334</v>
      </c>
      <c r="W510" s="336">
        <f>+VLOOKUP(A510,infradensité!$A$2:$B$67,2,FALSE)</f>
        <v>0.36</v>
      </c>
      <c r="X510" s="336">
        <v>1.3</v>
      </c>
      <c r="Y510" s="337">
        <f t="shared" si="59"/>
        <v>156.31199999999998</v>
      </c>
      <c r="Z510" s="337">
        <f t="shared" si="61"/>
        <v>40.009551101892576</v>
      </c>
      <c r="AA510" s="95" t="str">
        <f t="shared" si="62"/>
        <v>Cèdre de l'Atlas_F2_Classique_INRA_76_</v>
      </c>
      <c r="AB510" s="1">
        <f t="shared" si="63"/>
        <v>76</v>
      </c>
      <c r="AC510" s="337">
        <f t="shared" si="60"/>
        <v>341.92670150246289</v>
      </c>
      <c r="AD510" s="338">
        <f t="shared" si="58"/>
        <v>380.81502260028094</v>
      </c>
      <c r="AE510" s="1">
        <f t="shared" si="64"/>
        <v>307.81205601511681</v>
      </c>
    </row>
    <row r="511" spans="1:31" hidden="1" x14ac:dyDescent="0.25">
      <c r="A511" s="92" t="s">
        <v>308</v>
      </c>
      <c r="B511" s="92" t="s">
        <v>10</v>
      </c>
      <c r="C511" s="92" t="s">
        <v>18</v>
      </c>
      <c r="D511" s="92" t="s">
        <v>1510</v>
      </c>
      <c r="F511" s="92">
        <v>77</v>
      </c>
      <c r="J511">
        <v>348.71428571428572</v>
      </c>
      <c r="W511" s="336">
        <f>+VLOOKUP(A511,infradensité!$A$2:$B$67,2,FALSE)</f>
        <v>0.36</v>
      </c>
      <c r="X511" s="336">
        <v>1.3</v>
      </c>
      <c r="Y511" s="337">
        <f t="shared" si="59"/>
        <v>163.1982857142857</v>
      </c>
      <c r="Z511" s="337">
        <f t="shared" si="61"/>
        <v>41.563064615521839</v>
      </c>
      <c r="AA511" s="95" t="str">
        <f t="shared" si="62"/>
        <v>Cèdre de l'Atlas_F2_Classique_INRA_77_</v>
      </c>
      <c r="AB511" s="1">
        <f t="shared" si="63"/>
        <v>77</v>
      </c>
      <c r="AC511" s="337">
        <f t="shared" si="60"/>
        <v>356.62601849108142</v>
      </c>
      <c r="AD511" s="338">
        <f t="shared" si="58"/>
        <v>349.27635999677216</v>
      </c>
      <c r="AE511" s="1">
        <f t="shared" si="64"/>
        <v>307.81205601511681</v>
      </c>
    </row>
    <row r="512" spans="1:31" hidden="1" x14ac:dyDescent="0.25">
      <c r="A512" s="92" t="s">
        <v>308</v>
      </c>
      <c r="B512" s="92" t="s">
        <v>10</v>
      </c>
      <c r="C512" s="92" t="s">
        <v>18</v>
      </c>
      <c r="D512" s="92" t="s">
        <v>1510</v>
      </c>
      <c r="F512" s="92">
        <v>78</v>
      </c>
      <c r="J512">
        <v>363.42857142857144</v>
      </c>
      <c r="W512" s="336">
        <f>+VLOOKUP(A512,infradensité!$A$2:$B$67,2,FALSE)</f>
        <v>0.36</v>
      </c>
      <c r="X512" s="336">
        <v>1.3</v>
      </c>
      <c r="Y512" s="337">
        <f t="shared" si="59"/>
        <v>170.08457142857142</v>
      </c>
      <c r="Z512" s="337">
        <f t="shared" si="61"/>
        <v>43.108964223680886</v>
      </c>
      <c r="AA512" s="95" t="str">
        <f t="shared" si="62"/>
        <v>Cèdre de l'Atlas_F2_Classique_INRA_78_</v>
      </c>
      <c r="AB512" s="1">
        <f t="shared" si="63"/>
        <v>78</v>
      </c>
      <c r="AC512" s="337">
        <f t="shared" si="60"/>
        <v>371.31207459433944</v>
      </c>
      <c r="AD512" s="338">
        <f t="shared" si="58"/>
        <v>363.96904654271043</v>
      </c>
      <c r="AE512" s="1">
        <f t="shared" si="64"/>
        <v>307.81205601511681</v>
      </c>
    </row>
    <row r="513" spans="1:31" hidden="1" x14ac:dyDescent="0.25">
      <c r="A513" s="92" t="s">
        <v>308</v>
      </c>
      <c r="B513" s="92" t="s">
        <v>10</v>
      </c>
      <c r="C513" s="92" t="s">
        <v>18</v>
      </c>
      <c r="D513" s="92" t="s">
        <v>1510</v>
      </c>
      <c r="F513" s="92">
        <v>79</v>
      </c>
      <c r="J513">
        <v>378.14285714285717</v>
      </c>
      <c r="W513" s="336">
        <f>+VLOOKUP(A513,infradensité!$A$2:$B$67,2,FALSE)</f>
        <v>0.36</v>
      </c>
      <c r="X513" s="336">
        <v>1.3</v>
      </c>
      <c r="Y513" s="337">
        <f t="shared" si="59"/>
        <v>176.97085714285714</v>
      </c>
      <c r="Z513" s="337">
        <f t="shared" si="61"/>
        <v>44.647593457731134</v>
      </c>
      <c r="AA513" s="95" t="str">
        <f t="shared" si="62"/>
        <v>Cèdre de l'Atlas_F2_Classique_INRA_79_</v>
      </c>
      <c r="AB513" s="1">
        <f t="shared" si="63"/>
        <v>79</v>
      </c>
      <c r="AC513" s="337">
        <f t="shared" si="60"/>
        <v>385.98546812935791</v>
      </c>
      <c r="AD513" s="338">
        <f t="shared" si="58"/>
        <v>378.64877136184867</v>
      </c>
      <c r="AE513" s="1">
        <f t="shared" si="64"/>
        <v>307.81205601511681</v>
      </c>
    </row>
    <row r="514" spans="1:31" hidden="1" x14ac:dyDescent="0.25">
      <c r="A514" s="92" t="s">
        <v>308</v>
      </c>
      <c r="B514" s="92" t="s">
        <v>10</v>
      </c>
      <c r="C514" s="92" t="s">
        <v>18</v>
      </c>
      <c r="D514" s="92" t="s">
        <v>1510</v>
      </c>
      <c r="F514" s="92">
        <v>80</v>
      </c>
      <c r="J514">
        <v>392.85714285714289</v>
      </c>
      <c r="W514" s="336">
        <f>+VLOOKUP(A514,infradensité!$A$2:$B$67,2,FALSE)</f>
        <v>0.36</v>
      </c>
      <c r="X514" s="336">
        <v>1.3</v>
      </c>
      <c r="Y514" s="337">
        <f t="shared" si="59"/>
        <v>183.85714285714286</v>
      </c>
      <c r="Z514" s="337">
        <f t="shared" si="61"/>
        <v>46.17926760025837</v>
      </c>
      <c r="AA514" s="95" t="str">
        <f t="shared" si="62"/>
        <v>Cèdre de l'Atlas_F2_Classique_INRA_80_</v>
      </c>
      <c r="AB514" s="1">
        <f t="shared" si="63"/>
        <v>80</v>
      </c>
      <c r="AC514" s="337">
        <f t="shared" si="60"/>
        <v>400.64674821330715</v>
      </c>
      <c r="AD514" s="338">
        <f t="shared" si="58"/>
        <v>393.31610817133253</v>
      </c>
      <c r="AE514" s="1">
        <f t="shared" si="64"/>
        <v>307.81205601511681</v>
      </c>
    </row>
    <row r="515" spans="1:31" hidden="1" x14ac:dyDescent="0.25">
      <c r="A515" s="92" t="s">
        <v>308</v>
      </c>
      <c r="B515" s="92" t="s">
        <v>10</v>
      </c>
      <c r="C515" s="92" t="s">
        <v>18</v>
      </c>
      <c r="D515" s="92" t="s">
        <v>1510</v>
      </c>
      <c r="F515" s="92">
        <v>81</v>
      </c>
      <c r="J515">
        <v>407.57142857142861</v>
      </c>
      <c r="W515" s="336">
        <f>+VLOOKUP(A515,infradensité!$A$2:$B$67,2,FALSE)</f>
        <v>0.36</v>
      </c>
      <c r="X515" s="336">
        <v>1.3</v>
      </c>
      <c r="Y515" s="337">
        <f t="shared" si="59"/>
        <v>190.74342857142858</v>
      </c>
      <c r="Z515" s="337">
        <f t="shared" si="61"/>
        <v>47.704276978356155</v>
      </c>
      <c r="AA515" s="95" t="str">
        <f t="shared" si="62"/>
        <v>Cèdre de l'Atlas_F2_Classique_INRA_81_</v>
      </c>
      <c r="AB515" s="1">
        <f t="shared" si="63"/>
        <v>81</v>
      </c>
      <c r="AC515" s="337">
        <f t="shared" si="60"/>
        <v>415.29642049920841</v>
      </c>
      <c r="AD515" s="338">
        <f t="shared" si="58"/>
        <v>407.97158435625778</v>
      </c>
      <c r="AE515" s="1">
        <f t="shared" si="64"/>
        <v>307.81205601511681</v>
      </c>
    </row>
    <row r="516" spans="1:31" hidden="1" x14ac:dyDescent="0.25">
      <c r="A516" s="92" t="s">
        <v>308</v>
      </c>
      <c r="B516" s="92" t="s">
        <v>10</v>
      </c>
      <c r="C516" s="92" t="s">
        <v>18</v>
      </c>
      <c r="D516" s="92" t="s">
        <v>1510</v>
      </c>
      <c r="F516" s="92">
        <v>82</v>
      </c>
      <c r="J516">
        <v>422.28571428571433</v>
      </c>
      <c r="W516" s="336">
        <f>+VLOOKUP(A516,infradensité!$A$2:$B$67,2,FALSE)</f>
        <v>0.36</v>
      </c>
      <c r="X516" s="336">
        <v>1.3</v>
      </c>
      <c r="Y516" s="337">
        <f t="shared" si="59"/>
        <v>197.6297142857143</v>
      </c>
      <c r="Z516" s="337">
        <f t="shared" si="61"/>
        <v>49.222889767963053</v>
      </c>
      <c r="AA516" s="95" t="str">
        <f t="shared" si="62"/>
        <v>Cèdre de l'Atlas_F2_Classique_INRA_82_</v>
      </c>
      <c r="AB516" s="1">
        <f t="shared" si="63"/>
        <v>82</v>
      </c>
      <c r="AC516" s="337">
        <f t="shared" si="60"/>
        <v>429.93495206015473</v>
      </c>
      <c r="AD516" s="338">
        <f t="shared" si="58"/>
        <v>422.61568627968154</v>
      </c>
      <c r="AE516" s="1">
        <f t="shared" si="64"/>
        <v>307.81205601511681</v>
      </c>
    </row>
    <row r="517" spans="1:31" hidden="1" x14ac:dyDescent="0.25">
      <c r="A517" s="92" t="s">
        <v>308</v>
      </c>
      <c r="B517" s="92" t="s">
        <v>10</v>
      </c>
      <c r="C517" s="92" t="s">
        <v>18</v>
      </c>
      <c r="D517" s="92" t="s">
        <v>1510</v>
      </c>
      <c r="F517" s="92">
        <v>83</v>
      </c>
      <c r="J517">
        <v>437.00000000000006</v>
      </c>
      <c r="W517" s="336">
        <f>+VLOOKUP(A517,infradensité!$A$2:$B$67,2,FALSE)</f>
        <v>0.36</v>
      </c>
      <c r="X517" s="336">
        <v>1.3</v>
      </c>
      <c r="Y517" s="337">
        <f t="shared" si="59"/>
        <v>204.51600000000002</v>
      </c>
      <c r="Z517" s="337">
        <f t="shared" si="61"/>
        <v>50.735354396355888</v>
      </c>
      <c r="AA517" s="95" t="str">
        <f t="shared" si="62"/>
        <v>Cèdre de l'Atlas_F2_Classique_INRA_83_</v>
      </c>
      <c r="AB517" s="1">
        <f t="shared" si="63"/>
        <v>83</v>
      </c>
      <c r="AC517" s="337">
        <f t="shared" si="60"/>
        <v>444.5627755736532</v>
      </c>
      <c r="AD517" s="338">
        <f t="shared" si="58"/>
        <v>437.24886381690396</v>
      </c>
      <c r="AE517" s="1">
        <f t="shared" si="64"/>
        <v>307.81205601511681</v>
      </c>
    </row>
    <row r="518" spans="1:31" hidden="1" x14ac:dyDescent="0.25">
      <c r="A518" s="92" t="s">
        <v>308</v>
      </c>
      <c r="B518" s="92" t="s">
        <v>10</v>
      </c>
      <c r="C518" s="92" t="s">
        <v>18</v>
      </c>
      <c r="D518" s="92" t="s">
        <v>1510</v>
      </c>
      <c r="F518" s="92">
        <v>84</v>
      </c>
      <c r="J518">
        <v>451.71428571428578</v>
      </c>
      <c r="W518" s="336">
        <f>+VLOOKUP(A518,infradensité!$A$2:$B$67,2,FALSE)</f>
        <v>0.36</v>
      </c>
      <c r="X518" s="336">
        <v>1.3</v>
      </c>
      <c r="Y518" s="337">
        <f t="shared" si="59"/>
        <v>211.40228571428574</v>
      </c>
      <c r="Z518" s="337">
        <f t="shared" si="61"/>
        <v>52.241901611974725</v>
      </c>
      <c r="AA518" s="95" t="str">
        <f t="shared" si="62"/>
        <v>Cèdre de l'Atlas_F2_Classique_INRA_84_</v>
      </c>
      <c r="AB518" s="1">
        <f t="shared" si="63"/>
        <v>84</v>
      </c>
      <c r="AC518" s="337">
        <f t="shared" si="60"/>
        <v>459.1802929265703</v>
      </c>
      <c r="AD518" s="338">
        <f t="shared" si="58"/>
        <v>451.87153425011172</v>
      </c>
      <c r="AE518" s="1">
        <f t="shared" si="64"/>
        <v>307.81205601511681</v>
      </c>
    </row>
    <row r="519" spans="1:31" hidden="1" x14ac:dyDescent="0.25">
      <c r="A519" s="92" t="s">
        <v>308</v>
      </c>
      <c r="B519" s="92" t="s">
        <v>10</v>
      </c>
      <c r="C519" s="92" t="s">
        <v>18</v>
      </c>
      <c r="D519" s="92" t="s">
        <v>1510</v>
      </c>
      <c r="F519" s="92">
        <v>85</v>
      </c>
      <c r="J519">
        <v>466.4285714285715</v>
      </c>
      <c r="W519" s="336">
        <f>+VLOOKUP(A519,infradensité!$A$2:$B$67,2,FALSE)</f>
        <v>0.36</v>
      </c>
      <c r="X519" s="336">
        <v>1.3</v>
      </c>
      <c r="Y519" s="337">
        <f t="shared" si="59"/>
        <v>218.28857142857146</v>
      </c>
      <c r="Z519" s="337">
        <f t="shared" si="61"/>
        <v>53.742746276979332</v>
      </c>
      <c r="AA519" s="95" t="str">
        <f t="shared" si="62"/>
        <v>Cèdre de l'Atlas_F2_Classique_INRA_85_</v>
      </c>
      <c r="AB519" s="1">
        <f t="shared" si="63"/>
        <v>85</v>
      </c>
      <c r="AC519" s="337">
        <f t="shared" si="60"/>
        <v>473.78787833716757</v>
      </c>
      <c r="AD519" s="338">
        <f t="shared" si="58"/>
        <v>466.48408563186894</v>
      </c>
      <c r="AE519" s="1">
        <f t="shared" si="64"/>
        <v>307.81205601511681</v>
      </c>
    </row>
    <row r="520" spans="1:31" hidden="1" x14ac:dyDescent="0.25">
      <c r="A520" s="92" t="s">
        <v>308</v>
      </c>
      <c r="B520" s="92" t="s">
        <v>10</v>
      </c>
      <c r="C520" s="92" t="s">
        <v>18</v>
      </c>
      <c r="D520" s="92" t="s">
        <v>1510</v>
      </c>
      <c r="F520" s="92">
        <v>86</v>
      </c>
      <c r="J520">
        <v>481.14285714285722</v>
      </c>
      <c r="W520" s="336">
        <f>+VLOOKUP(A520,infradensité!$A$2:$B$67,2,FALSE)</f>
        <v>0.36</v>
      </c>
      <c r="X520" s="336">
        <v>1.3</v>
      </c>
      <c r="Y520" s="337">
        <f t="shared" si="59"/>
        <v>225.17485714285718</v>
      </c>
      <c r="Z520" s="337">
        <f t="shared" si="61"/>
        <v>55.238088927254239</v>
      </c>
      <c r="AA520" s="95" t="str">
        <f t="shared" si="62"/>
        <v>Cèdre de l'Atlas_F2_Classique_INRA_86_</v>
      </c>
      <c r="AB520" s="1">
        <f t="shared" si="63"/>
        <v>86</v>
      </c>
      <c r="AC520" s="337">
        <f t="shared" si="60"/>
        <v>488.38588107211064</v>
      </c>
      <c r="AD520" s="338">
        <f t="shared" ref="AD520:AD583" si="65">+IF(AC520=0,0,(AC520+AC519)*(AB520-AB519)/2)</f>
        <v>481.0868797046391</v>
      </c>
      <c r="AE520" s="1">
        <f t="shared" si="64"/>
        <v>307.81205601511681</v>
      </c>
    </row>
    <row r="521" spans="1:31" hidden="1" x14ac:dyDescent="0.25">
      <c r="A521" s="92" t="s">
        <v>308</v>
      </c>
      <c r="B521" s="92" t="s">
        <v>10</v>
      </c>
      <c r="C521" s="92" t="s">
        <v>18</v>
      </c>
      <c r="D521" s="92" t="s">
        <v>1510</v>
      </c>
      <c r="F521" s="92">
        <v>87</v>
      </c>
      <c r="J521">
        <v>495.85714285714295</v>
      </c>
      <c r="W521" s="336">
        <f>+VLOOKUP(A521,infradensité!$A$2:$B$67,2,FALSE)</f>
        <v>0.36</v>
      </c>
      <c r="X521" s="336">
        <v>1.3</v>
      </c>
      <c r="Y521" s="337">
        <f t="shared" si="59"/>
        <v>232.0611428571429</v>
      </c>
      <c r="Z521" s="337">
        <f t="shared" si="61"/>
        <v>56.728117136220625</v>
      </c>
      <c r="AA521" s="95" t="str">
        <f t="shared" si="62"/>
        <v>Cèdre de l'Atlas_F2_Classique_INRA_87_</v>
      </c>
      <c r="AB521" s="1">
        <f t="shared" si="63"/>
        <v>87</v>
      </c>
      <c r="AC521" s="337">
        <f t="shared" si="60"/>
        <v>502.97462782177485</v>
      </c>
      <c r="AD521" s="338">
        <f t="shared" si="65"/>
        <v>495.68025444694274</v>
      </c>
      <c r="AE521" s="1">
        <f t="shared" si="64"/>
        <v>307.81205601511681</v>
      </c>
    </row>
    <row r="522" spans="1:31" hidden="1" x14ac:dyDescent="0.25">
      <c r="A522" s="92" t="s">
        <v>308</v>
      </c>
      <c r="B522" s="92" t="s">
        <v>10</v>
      </c>
      <c r="C522" s="92" t="s">
        <v>18</v>
      </c>
      <c r="D522" s="92" t="s">
        <v>1510</v>
      </c>
      <c r="F522" s="92">
        <v>88</v>
      </c>
      <c r="J522">
        <v>510.57142857142867</v>
      </c>
      <c r="W522" s="336">
        <f>+VLOOKUP(A522,infradensité!$A$2:$B$67,2,FALSE)</f>
        <v>0.36</v>
      </c>
      <c r="X522" s="336">
        <v>1.3</v>
      </c>
      <c r="Y522" s="337">
        <f t="shared" si="59"/>
        <v>238.94742857142859</v>
      </c>
      <c r="Z522" s="337">
        <f t="shared" si="61"/>
        <v>58.213006712217961</v>
      </c>
      <c r="AA522" s="95" t="str">
        <f t="shared" si="62"/>
        <v>Cèdre de l'Atlas_F2_Classique_INRA_88_</v>
      </c>
      <c r="AB522" s="1">
        <f t="shared" si="63"/>
        <v>88</v>
      </c>
      <c r="AC522" s="337">
        <f t="shared" si="60"/>
        <v>517.55442478568432</v>
      </c>
      <c r="AD522" s="338">
        <f t="shared" si="65"/>
        <v>510.26452630372955</v>
      </c>
      <c r="AE522" s="1">
        <f t="shared" si="64"/>
        <v>307.81205601511681</v>
      </c>
    </row>
    <row r="523" spans="1:31" hidden="1" x14ac:dyDescent="0.25">
      <c r="A523" s="92" t="s">
        <v>308</v>
      </c>
      <c r="B523" s="92" t="s">
        <v>10</v>
      </c>
      <c r="C523" s="92" t="s">
        <v>18</v>
      </c>
      <c r="D523" s="92" t="s">
        <v>1510</v>
      </c>
      <c r="F523" s="92">
        <v>89</v>
      </c>
      <c r="J523">
        <v>525.28571428571433</v>
      </c>
      <c r="W523" s="336">
        <f>+VLOOKUP(A523,infradensité!$A$2:$B$67,2,FALSE)</f>
        <v>0.36</v>
      </c>
      <c r="X523" s="336">
        <v>1.3</v>
      </c>
      <c r="Y523" s="337">
        <f t="shared" si="59"/>
        <v>245.83371428571428</v>
      </c>
      <c r="Z523" s="337">
        <f t="shared" si="61"/>
        <v>59.692922753975587</v>
      </c>
      <c r="AA523" s="95" t="str">
        <f t="shared" si="62"/>
        <v>Cèdre de l'Atlas_F2_Classique_INRA_89_</v>
      </c>
      <c r="AB523" s="1">
        <f t="shared" si="63"/>
        <v>89</v>
      </c>
      <c r="AC523" s="337">
        <f t="shared" si="60"/>
        <v>532.12555951079321</v>
      </c>
      <c r="AD523" s="338">
        <f t="shared" si="65"/>
        <v>524.83999214823871</v>
      </c>
      <c r="AE523" s="1">
        <f t="shared" si="64"/>
        <v>307.81205601511681</v>
      </c>
    </row>
    <row r="524" spans="1:31" hidden="1" x14ac:dyDescent="0.25">
      <c r="A524" s="92" t="s">
        <v>308</v>
      </c>
      <c r="B524" s="92" t="s">
        <v>10</v>
      </c>
      <c r="C524" s="92" t="s">
        <v>18</v>
      </c>
      <c r="D524" s="92" t="s">
        <v>1510</v>
      </c>
      <c r="F524" s="92">
        <v>90</v>
      </c>
      <c r="J524">
        <v>540</v>
      </c>
      <c r="W524" s="336">
        <f>+VLOOKUP(A524,infradensité!$A$2:$B$67,2,FALSE)</f>
        <v>0.36</v>
      </c>
      <c r="X524" s="336">
        <v>1.3</v>
      </c>
      <c r="Y524" s="337">
        <f t="shared" si="59"/>
        <v>252.71999999999997</v>
      </c>
      <c r="Z524" s="337">
        <f t="shared" si="61"/>
        <v>61.168020584496823</v>
      </c>
      <c r="AA524" s="95" t="str">
        <f t="shared" si="62"/>
        <v>Cèdre de l'Atlas_F2_Classique_INRA_90_</v>
      </c>
      <c r="AB524" s="1">
        <f t="shared" si="63"/>
        <v>90</v>
      </c>
      <c r="AC524" s="337">
        <f t="shared" si="60"/>
        <v>546.68830251799852</v>
      </c>
      <c r="AD524" s="338">
        <f t="shared" si="65"/>
        <v>539.40693101439592</v>
      </c>
      <c r="AE524" s="1">
        <f t="shared" si="64"/>
        <v>307.81205601511681</v>
      </c>
    </row>
    <row r="525" spans="1:31" hidden="1" x14ac:dyDescent="0.25">
      <c r="A525" s="92" t="s">
        <v>308</v>
      </c>
      <c r="B525" s="92" t="s">
        <v>10</v>
      </c>
      <c r="C525" s="92" t="s">
        <v>18</v>
      </c>
      <c r="D525" s="92" t="s">
        <v>1510</v>
      </c>
      <c r="F525" s="92">
        <v>91</v>
      </c>
      <c r="J525">
        <v>402</v>
      </c>
      <c r="W525" s="336">
        <f>+VLOOKUP(A525,infradensité!$A$2:$B$67,2,FALSE)</f>
        <v>0.36</v>
      </c>
      <c r="X525" s="336">
        <v>1.3</v>
      </c>
      <c r="Y525" s="337">
        <f t="shared" si="59"/>
        <v>188.136</v>
      </c>
      <c r="Z525" s="337">
        <f t="shared" si="61"/>
        <v>47.127612753105289</v>
      </c>
      <c r="AA525" s="95" t="str">
        <f t="shared" si="62"/>
        <v>Cèdre de l'Atlas_F2_Classique_INRA_91_</v>
      </c>
      <c r="AB525" s="1">
        <f t="shared" si="63"/>
        <v>91</v>
      </c>
      <c r="AC525" s="337">
        <f t="shared" si="60"/>
        <v>409.75079221165839</v>
      </c>
      <c r="AD525" s="338">
        <f t="shared" si="65"/>
        <v>478.21954736482849</v>
      </c>
      <c r="AE525" s="1">
        <f t="shared" si="64"/>
        <v>307.81205601511681</v>
      </c>
    </row>
    <row r="526" spans="1:31" hidden="1" x14ac:dyDescent="0.25">
      <c r="A526" s="92" t="s">
        <v>308</v>
      </c>
      <c r="B526" s="92" t="s">
        <v>10</v>
      </c>
      <c r="C526" s="92" t="s">
        <v>18</v>
      </c>
      <c r="D526" s="92" t="s">
        <v>1510</v>
      </c>
      <c r="F526" s="92">
        <v>92</v>
      </c>
      <c r="J526">
        <v>415.14285714285717</v>
      </c>
      <c r="W526" s="336">
        <f>+VLOOKUP(A526,infradensité!$A$2:$B$67,2,FALSE)</f>
        <v>0.36</v>
      </c>
      <c r="X526" s="336">
        <v>1.3</v>
      </c>
      <c r="Y526" s="337">
        <f t="shared" si="59"/>
        <v>194.28685714285714</v>
      </c>
      <c r="Z526" s="337">
        <f t="shared" si="61"/>
        <v>48.486481887926253</v>
      </c>
      <c r="AA526" s="95" t="str">
        <f t="shared" si="62"/>
        <v>Cèdre de l'Atlas_F2_Classique_INRA_92_</v>
      </c>
      <c r="AB526" s="1">
        <f t="shared" si="63"/>
        <v>92</v>
      </c>
      <c r="AC526" s="337">
        <f t="shared" si="60"/>
        <v>422.83023214528106</v>
      </c>
      <c r="AD526" s="338">
        <f t="shared" si="65"/>
        <v>416.29051217846973</v>
      </c>
      <c r="AE526" s="1">
        <f t="shared" si="64"/>
        <v>307.81205601511681</v>
      </c>
    </row>
    <row r="527" spans="1:31" hidden="1" x14ac:dyDescent="0.25">
      <c r="A527" s="92" t="s">
        <v>308</v>
      </c>
      <c r="B527" s="92" t="s">
        <v>10</v>
      </c>
      <c r="C527" s="92" t="s">
        <v>18</v>
      </c>
      <c r="D527" s="92" t="s">
        <v>1510</v>
      </c>
      <c r="F527" s="92">
        <v>93</v>
      </c>
      <c r="J527">
        <v>428.28571428571433</v>
      </c>
      <c r="W527" s="336">
        <f>+VLOOKUP(A527,infradensité!$A$2:$B$67,2,FALSE)</f>
        <v>0.36</v>
      </c>
      <c r="X527" s="336">
        <v>1.3</v>
      </c>
      <c r="Y527" s="337">
        <f t="shared" si="59"/>
        <v>200.43771428571429</v>
      </c>
      <c r="Z527" s="337">
        <f t="shared" si="61"/>
        <v>49.840351834060797</v>
      </c>
      <c r="AA527" s="95" t="str">
        <f t="shared" si="62"/>
        <v>Cèdre de l'Atlas_F2_Classique_INRA_93_</v>
      </c>
      <c r="AB527" s="1">
        <f t="shared" si="63"/>
        <v>93</v>
      </c>
      <c r="AC527" s="337">
        <f t="shared" si="60"/>
        <v>435.90096515860819</v>
      </c>
      <c r="AD527" s="338">
        <f t="shared" si="65"/>
        <v>429.36559865194465</v>
      </c>
      <c r="AE527" s="1">
        <f t="shared" si="64"/>
        <v>307.81205601511681</v>
      </c>
    </row>
    <row r="528" spans="1:31" hidden="1" x14ac:dyDescent="0.25">
      <c r="A528" s="92" t="s">
        <v>308</v>
      </c>
      <c r="B528" s="92" t="s">
        <v>10</v>
      </c>
      <c r="C528" s="92" t="s">
        <v>18</v>
      </c>
      <c r="D528" s="92" t="s">
        <v>1510</v>
      </c>
      <c r="F528" s="92">
        <v>94</v>
      </c>
      <c r="J528">
        <v>441.4285714285715</v>
      </c>
      <c r="W528" s="336">
        <f>+VLOOKUP(A528,infradensité!$A$2:$B$67,2,FALSE)</f>
        <v>0.36</v>
      </c>
      <c r="X528" s="336">
        <v>1.3</v>
      </c>
      <c r="Y528" s="337">
        <f t="shared" si="59"/>
        <v>206.58857142857144</v>
      </c>
      <c r="Z528" s="337">
        <f t="shared" si="61"/>
        <v>51.189393608174235</v>
      </c>
      <c r="AA528" s="95" t="str">
        <f t="shared" si="62"/>
        <v>Cèdre de l'Atlas_F2_Classique_INRA_94_</v>
      </c>
      <c r="AB528" s="1">
        <f t="shared" si="63"/>
        <v>94</v>
      </c>
      <c r="AC528" s="337">
        <f t="shared" si="60"/>
        <v>448.96328910566535</v>
      </c>
      <c r="AD528" s="338">
        <f t="shared" si="65"/>
        <v>442.43212713213677</v>
      </c>
      <c r="AE528" s="1">
        <f t="shared" si="64"/>
        <v>307.81205601511681</v>
      </c>
    </row>
    <row r="529" spans="1:31" hidden="1" x14ac:dyDescent="0.25">
      <c r="A529" s="92" t="s">
        <v>308</v>
      </c>
      <c r="B529" s="92" t="s">
        <v>10</v>
      </c>
      <c r="C529" s="92" t="s">
        <v>18</v>
      </c>
      <c r="D529" s="92" t="s">
        <v>1510</v>
      </c>
      <c r="F529" s="92">
        <v>95</v>
      </c>
      <c r="J529">
        <v>454.57142857142867</v>
      </c>
      <c r="W529" s="336">
        <f>+VLOOKUP(A529,infradensité!$A$2:$B$67,2,FALSE)</f>
        <v>0.36</v>
      </c>
      <c r="X529" s="336">
        <v>1.3</v>
      </c>
      <c r="Y529" s="337">
        <f t="shared" si="59"/>
        <v>212.73942857142859</v>
      </c>
      <c r="Z529" s="337">
        <f t="shared" si="61"/>
        <v>52.533767464568712</v>
      </c>
      <c r="AA529" s="95" t="str">
        <f t="shared" si="62"/>
        <v>Cèdre de l'Atlas_F2_Classique_INRA_95_</v>
      </c>
      <c r="AB529" s="1">
        <f t="shared" si="63"/>
        <v>95</v>
      </c>
      <c r="AC529" s="337">
        <f t="shared" si="60"/>
        <v>462.01748309602863</v>
      </c>
      <c r="AD529" s="338">
        <f t="shared" si="65"/>
        <v>455.49038610084699</v>
      </c>
      <c r="AE529" s="1">
        <f t="shared" si="64"/>
        <v>307.81205601511681</v>
      </c>
    </row>
    <row r="530" spans="1:31" hidden="1" x14ac:dyDescent="0.25">
      <c r="A530" s="92" t="s">
        <v>308</v>
      </c>
      <c r="B530" s="92" t="s">
        <v>10</v>
      </c>
      <c r="C530" s="92" t="s">
        <v>18</v>
      </c>
      <c r="D530" s="92" t="s">
        <v>1510</v>
      </c>
      <c r="F530" s="92">
        <v>96</v>
      </c>
      <c r="J530">
        <v>467.71428571428584</v>
      </c>
      <c r="W530" s="336">
        <f>+VLOOKUP(A530,infradensité!$A$2:$B$67,2,FALSE)</f>
        <v>0.36</v>
      </c>
      <c r="X530" s="336">
        <v>1.3</v>
      </c>
      <c r="Y530" s="337">
        <f t="shared" si="59"/>
        <v>218.89028571428577</v>
      </c>
      <c r="Z530" s="337">
        <f t="shared" si="61"/>
        <v>53.873623863826204</v>
      </c>
      <c r="AA530" s="95" t="str">
        <f t="shared" si="62"/>
        <v>Cèdre de l'Atlas_F2_Classique_INRA_96_</v>
      </c>
      <c r="AB530" s="1">
        <f t="shared" si="63"/>
        <v>96</v>
      </c>
      <c r="AC530" s="337">
        <f t="shared" si="60"/>
        <v>475.06380918187824</v>
      </c>
      <c r="AD530" s="338">
        <f t="shared" si="65"/>
        <v>468.54064613895343</v>
      </c>
      <c r="AE530" s="1">
        <f t="shared" si="64"/>
        <v>307.81205601511681</v>
      </c>
    </row>
    <row r="531" spans="1:31" hidden="1" x14ac:dyDescent="0.25">
      <c r="A531" s="92" t="s">
        <v>308</v>
      </c>
      <c r="B531" s="92" t="s">
        <v>10</v>
      </c>
      <c r="C531" s="92" t="s">
        <v>18</v>
      </c>
      <c r="D531" s="92" t="s">
        <v>1510</v>
      </c>
      <c r="F531" s="92">
        <v>97</v>
      </c>
      <c r="J531">
        <v>480.857142857143</v>
      </c>
      <c r="W531" s="336">
        <f>+VLOOKUP(A531,infradensité!$A$2:$B$67,2,FALSE)</f>
        <v>0.36</v>
      </c>
      <c r="X531" s="336">
        <v>1.3</v>
      </c>
      <c r="Y531" s="337">
        <f t="shared" si="59"/>
        <v>225.04114285714292</v>
      </c>
      <c r="Z531" s="337">
        <f t="shared" si="61"/>
        <v>55.209104329514197</v>
      </c>
      <c r="AA531" s="95" t="str">
        <f t="shared" si="62"/>
        <v>Cèdre de l'Atlas_F2_Classique_INRA_97_</v>
      </c>
      <c r="AB531" s="1">
        <f t="shared" si="63"/>
        <v>97</v>
      </c>
      <c r="AC531" s="337">
        <f t="shared" si="60"/>
        <v>488.10251385009451</v>
      </c>
      <c r="AD531" s="338">
        <f t="shared" si="65"/>
        <v>481.58316151598638</v>
      </c>
      <c r="AE531" s="1">
        <f t="shared" si="64"/>
        <v>307.81205601511681</v>
      </c>
    </row>
    <row r="532" spans="1:31" hidden="1" x14ac:dyDescent="0.25">
      <c r="A532" s="92" t="s">
        <v>308</v>
      </c>
      <c r="B532" s="92" t="s">
        <v>10</v>
      </c>
      <c r="C532" s="92" t="s">
        <v>18</v>
      </c>
      <c r="D532" s="92" t="s">
        <v>1510</v>
      </c>
      <c r="F532" s="92">
        <v>98</v>
      </c>
      <c r="J532">
        <v>494.00000000000017</v>
      </c>
      <c r="W532" s="336">
        <f>+VLOOKUP(A532,infradensité!$A$2:$B$67,2,FALSE)</f>
        <v>0.36</v>
      </c>
      <c r="X532" s="336">
        <v>1.3</v>
      </c>
      <c r="Y532" s="337">
        <f t="shared" si="59"/>
        <v>231.19200000000006</v>
      </c>
      <c r="Z532" s="337">
        <f t="shared" si="61"/>
        <v>56.540342208595227</v>
      </c>
      <c r="AA532" s="95" t="str">
        <f t="shared" si="62"/>
        <v>Cèdre de l'Atlas_F2_Classique_INRA_98_</v>
      </c>
      <c r="AB532" s="1">
        <f t="shared" si="63"/>
        <v>98</v>
      </c>
      <c r="AC532" s="337">
        <f t="shared" si="60"/>
        <v>501.13382934663679</v>
      </c>
      <c r="AD532" s="338">
        <f t="shared" si="65"/>
        <v>494.61817159836562</v>
      </c>
      <c r="AE532" s="1">
        <f t="shared" si="64"/>
        <v>307.81205601511681</v>
      </c>
    </row>
    <row r="533" spans="1:31" hidden="1" x14ac:dyDescent="0.25">
      <c r="A533" s="92" t="s">
        <v>308</v>
      </c>
      <c r="B533" s="92" t="s">
        <v>10</v>
      </c>
      <c r="C533" s="92" t="s">
        <v>18</v>
      </c>
      <c r="D533" s="92" t="s">
        <v>1510</v>
      </c>
      <c r="F533" s="92">
        <v>99</v>
      </c>
      <c r="J533">
        <v>507.14285714285734</v>
      </c>
      <c r="W533" s="336">
        <f>+VLOOKUP(A533,infradensité!$A$2:$B$67,2,FALSE)</f>
        <v>0.36</v>
      </c>
      <c r="X533" s="336">
        <v>1.3</v>
      </c>
      <c r="Y533" s="337">
        <f t="shared" si="59"/>
        <v>237.34285714285721</v>
      </c>
      <c r="Z533" s="337">
        <f t="shared" si="61"/>
        <v>57.867463348638104</v>
      </c>
      <c r="AA533" s="95" t="str">
        <f t="shared" si="62"/>
        <v>Cèdre de l'Atlas_F2_Classique_INRA_99_</v>
      </c>
      <c r="AB533" s="1">
        <f t="shared" si="63"/>
        <v>99</v>
      </c>
      <c r="AC533" s="337">
        <f t="shared" si="60"/>
        <v>514.15797485602104</v>
      </c>
      <c r="AD533" s="338">
        <f t="shared" si="65"/>
        <v>507.64590210132894</v>
      </c>
      <c r="AE533" s="1">
        <f t="shared" si="64"/>
        <v>307.81205601511681</v>
      </c>
    </row>
    <row r="534" spans="1:31" hidden="1" x14ac:dyDescent="0.25">
      <c r="A534" s="92" t="s">
        <v>308</v>
      </c>
      <c r="B534" s="92" t="s">
        <v>10</v>
      </c>
      <c r="C534" s="92" t="s">
        <v>18</v>
      </c>
      <c r="D534" s="92" t="s">
        <v>1510</v>
      </c>
      <c r="F534" s="92">
        <v>100</v>
      </c>
      <c r="J534">
        <v>520.28571428571445</v>
      </c>
      <c r="W534" s="336">
        <f>+VLOOKUP(A534,infradensité!$A$2:$B$67,2,FALSE)</f>
        <v>0.36</v>
      </c>
      <c r="X534" s="336">
        <v>1.3</v>
      </c>
      <c r="Y534" s="337">
        <f t="shared" si="59"/>
        <v>243.49371428571433</v>
      </c>
      <c r="Z534" s="337">
        <f t="shared" si="61"/>
        <v>59.190586702852549</v>
      </c>
      <c r="AA534" s="95" t="str">
        <f t="shared" si="62"/>
        <v>Cèdre de l'Atlas_F2_Classique_INRA_100_</v>
      </c>
      <c r="AB534" s="1">
        <f t="shared" si="63"/>
        <v>100</v>
      </c>
      <c r="AC534" s="337">
        <f t="shared" si="60"/>
        <v>527.17515755508725</v>
      </c>
      <c r="AD534" s="338">
        <f t="shared" si="65"/>
        <v>520.66656620555409</v>
      </c>
      <c r="AE534" s="1">
        <f t="shared" si="64"/>
        <v>307.81205601511681</v>
      </c>
    </row>
    <row r="535" spans="1:31" hidden="1" x14ac:dyDescent="0.25">
      <c r="A535" s="92" t="s">
        <v>308</v>
      </c>
      <c r="B535" s="92" t="s">
        <v>10</v>
      </c>
      <c r="C535" s="92" t="s">
        <v>18</v>
      </c>
      <c r="D535" s="92" t="s">
        <v>1510</v>
      </c>
      <c r="F535" s="92">
        <v>101</v>
      </c>
      <c r="J535">
        <v>533.42857142857156</v>
      </c>
      <c r="W535" s="336">
        <f>+VLOOKUP(A535,infradensité!$A$2:$B$67,2,FALSE)</f>
        <v>0.36</v>
      </c>
      <c r="X535" s="336">
        <v>1.3</v>
      </c>
      <c r="Y535" s="337">
        <f t="shared" si="59"/>
        <v>249.64457142857148</v>
      </c>
      <c r="Z535" s="337">
        <f t="shared" si="61"/>
        <v>60.509824872268659</v>
      </c>
      <c r="AA535" s="95" t="str">
        <f t="shared" si="62"/>
        <v>Cèdre de l'Atlas_F2_Classique_INRA_101_</v>
      </c>
      <c r="AB535" s="1">
        <f t="shared" si="63"/>
        <v>101</v>
      </c>
      <c r="AC535" s="337">
        <f t="shared" si="60"/>
        <v>540.18557355729649</v>
      </c>
      <c r="AD535" s="338">
        <f t="shared" si="65"/>
        <v>533.68036555619187</v>
      </c>
      <c r="AE535" s="1">
        <f t="shared" si="64"/>
        <v>307.81205601511681</v>
      </c>
    </row>
    <row r="536" spans="1:31" hidden="1" x14ac:dyDescent="0.25">
      <c r="A536" s="92" t="s">
        <v>308</v>
      </c>
      <c r="B536" s="92" t="s">
        <v>10</v>
      </c>
      <c r="C536" s="92" t="s">
        <v>18</v>
      </c>
      <c r="D536" s="92" t="s">
        <v>1510</v>
      </c>
      <c r="F536" s="92">
        <v>102</v>
      </c>
      <c r="J536">
        <v>546.57142857142867</v>
      </c>
      <c r="W536" s="336">
        <f>+VLOOKUP(A536,infradensité!$A$2:$B$67,2,FALSE)</f>
        <v>0.36</v>
      </c>
      <c r="X536" s="336">
        <v>1.3</v>
      </c>
      <c r="Y536" s="337">
        <f t="shared" si="59"/>
        <v>255.7954285714286</v>
      </c>
      <c r="Z536" s="337">
        <f t="shared" si="61"/>
        <v>61.825284592977965</v>
      </c>
      <c r="AA536" s="95" t="str">
        <f t="shared" si="62"/>
        <v>Cèdre de l'Atlas_F2_Classique_INRA_102_</v>
      </c>
      <c r="AB536" s="1">
        <f t="shared" si="63"/>
        <v>102</v>
      </c>
      <c r="AC536" s="337">
        <f t="shared" si="60"/>
        <v>553.18940876134127</v>
      </c>
      <c r="AD536" s="338">
        <f t="shared" si="65"/>
        <v>546.68749115931882</v>
      </c>
      <c r="AE536" s="1">
        <f t="shared" si="64"/>
        <v>307.81205601511681</v>
      </c>
    </row>
    <row r="537" spans="1:31" hidden="1" x14ac:dyDescent="0.25">
      <c r="A537" s="92" t="s">
        <v>308</v>
      </c>
      <c r="B537" s="92" t="s">
        <v>10</v>
      </c>
      <c r="C537" s="92" t="s">
        <v>18</v>
      </c>
      <c r="D537" s="92" t="s">
        <v>1510</v>
      </c>
      <c r="F537" s="92">
        <v>103</v>
      </c>
      <c r="J537">
        <v>559.71428571428578</v>
      </c>
      <c r="W537" s="336">
        <f>+VLOOKUP(A537,infradensité!$A$2:$B$67,2,FALSE)</f>
        <v>0.36</v>
      </c>
      <c r="X537" s="336">
        <v>1.3</v>
      </c>
      <c r="Y537" s="337">
        <f t="shared" si="59"/>
        <v>261.94628571428575</v>
      </c>
      <c r="Z537" s="337">
        <f t="shared" si="61"/>
        <v>63.137067175190332</v>
      </c>
      <c r="AA537" s="95" t="str">
        <f t="shared" si="62"/>
        <v>Cèdre de l'Atlas_F2_Classique_INRA_103_</v>
      </c>
      <c r="AB537" s="1">
        <f t="shared" si="63"/>
        <v>103</v>
      </c>
      <c r="AC537" s="337">
        <f t="shared" si="60"/>
        <v>566.18683961583758</v>
      </c>
      <c r="AD537" s="338">
        <f t="shared" si="65"/>
        <v>559.68812418858943</v>
      </c>
      <c r="AE537" s="1">
        <f t="shared" si="64"/>
        <v>307.81205601511681</v>
      </c>
    </row>
    <row r="538" spans="1:31" hidden="1" x14ac:dyDescent="0.25">
      <c r="A538" s="92" t="s">
        <v>308</v>
      </c>
      <c r="B538" s="92" t="s">
        <v>10</v>
      </c>
      <c r="C538" s="92" t="s">
        <v>18</v>
      </c>
      <c r="D538" s="92" t="s">
        <v>1510</v>
      </c>
      <c r="F538" s="92">
        <v>104</v>
      </c>
      <c r="J538">
        <v>572.85714285714289</v>
      </c>
      <c r="W538" s="336">
        <f>+VLOOKUP(A538,infradensité!$A$2:$B$67,2,FALSE)</f>
        <v>0.36</v>
      </c>
      <c r="X538" s="336">
        <v>1.3</v>
      </c>
      <c r="Y538" s="337">
        <f t="shared" si="59"/>
        <v>268.09714285714284</v>
      </c>
      <c r="Z538" s="337">
        <f t="shared" si="61"/>
        <v>64.445268899889811</v>
      </c>
      <c r="AA538" s="95" t="str">
        <f t="shared" si="62"/>
        <v>Cèdre de l'Atlas_F2_Classique_INRA_104_</v>
      </c>
      <c r="AB538" s="1">
        <f t="shared" si="63"/>
        <v>104</v>
      </c>
      <c r="AC538" s="337">
        <f t="shared" si="60"/>
        <v>579.17803381016518</v>
      </c>
      <c r="AD538" s="338">
        <f t="shared" si="65"/>
        <v>572.68243671300138</v>
      </c>
      <c r="AE538" s="1">
        <f t="shared" si="64"/>
        <v>307.81205601511681</v>
      </c>
    </row>
    <row r="539" spans="1:31" hidden="1" x14ac:dyDescent="0.25">
      <c r="A539" s="92" t="s">
        <v>308</v>
      </c>
      <c r="B539" s="92" t="s">
        <v>10</v>
      </c>
      <c r="C539" s="92" t="s">
        <v>18</v>
      </c>
      <c r="D539" s="92" t="s">
        <v>1510</v>
      </c>
      <c r="F539" s="92">
        <v>105</v>
      </c>
      <c r="J539">
        <v>586</v>
      </c>
      <c r="W539" s="336">
        <f>+VLOOKUP(A539,infradensité!$A$2:$B$67,2,FALSE)</f>
        <v>0.36</v>
      </c>
      <c r="X539" s="336">
        <v>1.3</v>
      </c>
      <c r="Y539" s="337">
        <f t="shared" si="59"/>
        <v>274.24799999999999</v>
      </c>
      <c r="Z539" s="337">
        <f t="shared" si="61"/>
        <v>65.749981378063481</v>
      </c>
      <c r="AA539" s="95" t="str">
        <f t="shared" si="62"/>
        <v>Cèdre de l'Atlas_F2_Classique_INRA_105_</v>
      </c>
      <c r="AB539" s="1">
        <f t="shared" si="63"/>
        <v>105</v>
      </c>
      <c r="AC539" s="337">
        <f t="shared" si="60"/>
        <v>592.16315090012722</v>
      </c>
      <c r="AD539" s="338">
        <f t="shared" si="65"/>
        <v>585.67059235514625</v>
      </c>
      <c r="AE539" s="1">
        <f t="shared" si="64"/>
        <v>307.81205601511681</v>
      </c>
    </row>
    <row r="540" spans="1:31" hidden="1" x14ac:dyDescent="0.25">
      <c r="A540" s="92" t="s">
        <v>308</v>
      </c>
      <c r="B540" s="92" t="s">
        <v>10</v>
      </c>
      <c r="C540" s="92" t="s">
        <v>18</v>
      </c>
      <c r="D540" s="92" t="s">
        <v>1510</v>
      </c>
      <c r="F540" s="92">
        <v>106</v>
      </c>
      <c r="J540">
        <v>464</v>
      </c>
      <c r="W540" s="336">
        <f>+VLOOKUP(A540,infradensité!$A$2:$B$67,2,FALSE)</f>
        <v>0.36</v>
      </c>
      <c r="X540" s="336">
        <v>1.3</v>
      </c>
      <c r="Y540" s="337">
        <f t="shared" si="59"/>
        <v>217.15199999999999</v>
      </c>
      <c r="Z540" s="337">
        <f t="shared" si="61"/>
        <v>53.495418360394225</v>
      </c>
      <c r="AA540" s="95" t="str">
        <f t="shared" si="62"/>
        <v>Cèdre de l'Atlas_F2_Classique_INRA_106_</v>
      </c>
      <c r="AB540" s="1">
        <f t="shared" si="63"/>
        <v>106</v>
      </c>
      <c r="AC540" s="337">
        <f t="shared" si="60"/>
        <v>471.37758697768658</v>
      </c>
      <c r="AD540" s="338">
        <f t="shared" si="65"/>
        <v>531.77036893890693</v>
      </c>
      <c r="AE540" s="1">
        <f t="shared" si="64"/>
        <v>307.81205601511681</v>
      </c>
    </row>
    <row r="541" spans="1:31" hidden="1" x14ac:dyDescent="0.25">
      <c r="A541" s="92" t="s">
        <v>308</v>
      </c>
      <c r="B541" s="92" t="s">
        <v>10</v>
      </c>
      <c r="C541" s="92" t="s">
        <v>18</v>
      </c>
      <c r="D541" s="92" t="s">
        <v>1510</v>
      </c>
      <c r="F541" s="92">
        <v>107</v>
      </c>
      <c r="J541">
        <v>476.25</v>
      </c>
      <c r="W541" s="336">
        <f>+VLOOKUP(A541,infradensité!$A$2:$B$67,2,FALSE)</f>
        <v>0.36</v>
      </c>
      <c r="X541" s="336">
        <v>1.3</v>
      </c>
      <c r="Y541" s="337">
        <f t="shared" ref="Y541:Y604" si="66">+X541*W541*J541</f>
        <v>222.88499999999999</v>
      </c>
      <c r="Z541" s="337">
        <f t="shared" si="61"/>
        <v>54.74144996985298</v>
      </c>
      <c r="AA541" s="95" t="str">
        <f t="shared" si="62"/>
        <v>Cèdre de l'Atlas_F2_Classique_INRA_107_</v>
      </c>
      <c r="AB541" s="1">
        <f t="shared" si="63"/>
        <v>107</v>
      </c>
      <c r="AC541" s="337">
        <f t="shared" ref="AC541:AC604" si="67">+(Z541+Y541)*0.475*44/12</f>
        <v>483.53273369749394</v>
      </c>
      <c r="AD541" s="338">
        <f t="shared" si="65"/>
        <v>477.45516033759026</v>
      </c>
      <c r="AE541" s="1">
        <f t="shared" si="64"/>
        <v>307.81205601511681</v>
      </c>
    </row>
    <row r="542" spans="1:31" hidden="1" x14ac:dyDescent="0.25">
      <c r="A542" s="92" t="s">
        <v>308</v>
      </c>
      <c r="B542" s="92" t="s">
        <v>10</v>
      </c>
      <c r="C542" s="92" t="s">
        <v>18</v>
      </c>
      <c r="D542" s="92" t="s">
        <v>1510</v>
      </c>
      <c r="F542" s="92">
        <v>108</v>
      </c>
      <c r="J542">
        <v>488.5</v>
      </c>
      <c r="W542" s="336">
        <f>+VLOOKUP(A542,infradensité!$A$2:$B$67,2,FALSE)</f>
        <v>0.36</v>
      </c>
      <c r="X542" s="336">
        <v>1.3</v>
      </c>
      <c r="Y542" s="337">
        <f t="shared" si="66"/>
        <v>228.61799999999999</v>
      </c>
      <c r="Z542" s="337">
        <f t="shared" ref="Z542:Z605" si="68">+EXP(-1.0587+0.8836*LN(Y542)+0.284)</f>
        <v>55.983756086143778</v>
      </c>
      <c r="AA542" s="95" t="str">
        <f t="shared" si="62"/>
        <v>Cèdre de l'Atlas_F2_Classique_INRA_108_</v>
      </c>
      <c r="AB542" s="1">
        <f t="shared" si="63"/>
        <v>108</v>
      </c>
      <c r="AC542" s="337">
        <f t="shared" si="67"/>
        <v>495.68139185003378</v>
      </c>
      <c r="AD542" s="338">
        <f t="shared" si="65"/>
        <v>489.60706277376386</v>
      </c>
      <c r="AE542" s="1">
        <f t="shared" si="64"/>
        <v>307.81205601511681</v>
      </c>
    </row>
    <row r="543" spans="1:31" hidden="1" x14ac:dyDescent="0.25">
      <c r="A543" s="92" t="s">
        <v>308</v>
      </c>
      <c r="B543" s="92" t="s">
        <v>10</v>
      </c>
      <c r="C543" s="92" t="s">
        <v>18</v>
      </c>
      <c r="D543" s="92" t="s">
        <v>1510</v>
      </c>
      <c r="F543" s="92">
        <v>109</v>
      </c>
      <c r="J543">
        <v>500.75</v>
      </c>
      <c r="W543" s="336">
        <f>+VLOOKUP(A543,infradensité!$A$2:$B$67,2,FALSE)</f>
        <v>0.36</v>
      </c>
      <c r="X543" s="336">
        <v>1.3</v>
      </c>
      <c r="Y543" s="337">
        <f t="shared" si="66"/>
        <v>234.351</v>
      </c>
      <c r="Z543" s="337">
        <f t="shared" si="68"/>
        <v>57.222440877075861</v>
      </c>
      <c r="AA543" s="95" t="str">
        <f t="shared" si="62"/>
        <v>Cèdre de l'Atlas_F2_Classique_INRA_109_</v>
      </c>
      <c r="AB543" s="1">
        <f t="shared" si="63"/>
        <v>109</v>
      </c>
      <c r="AC543" s="337">
        <f t="shared" si="67"/>
        <v>507.82374286090709</v>
      </c>
      <c r="AD543" s="338">
        <f t="shared" si="65"/>
        <v>501.75256735547043</v>
      </c>
      <c r="AE543" s="1">
        <f t="shared" si="64"/>
        <v>307.81205601511681</v>
      </c>
    </row>
    <row r="544" spans="1:31" hidden="1" x14ac:dyDescent="0.25">
      <c r="A544" s="92" t="s">
        <v>308</v>
      </c>
      <c r="B544" s="92" t="s">
        <v>10</v>
      </c>
      <c r="C544" s="92" t="s">
        <v>18</v>
      </c>
      <c r="D544" s="92" t="s">
        <v>1510</v>
      </c>
      <c r="F544" s="92">
        <v>110</v>
      </c>
      <c r="J544">
        <v>513</v>
      </c>
      <c r="W544" s="336">
        <f>+VLOOKUP(A544,infradensité!$A$2:$B$67,2,FALSE)</f>
        <v>0.36</v>
      </c>
      <c r="X544" s="336">
        <v>1.3</v>
      </c>
      <c r="Y544" s="337">
        <f t="shared" si="66"/>
        <v>240.08399999999997</v>
      </c>
      <c r="Z544" s="337">
        <f t="shared" si="68"/>
        <v>58.457603123312154</v>
      </c>
      <c r="AA544" s="95" t="str">
        <f t="shared" si="62"/>
        <v>Cèdre de l'Atlas_F2_Classique_INRA_110_</v>
      </c>
      <c r="AB544" s="1">
        <f t="shared" si="63"/>
        <v>110</v>
      </c>
      <c r="AC544" s="337">
        <f t="shared" si="67"/>
        <v>519.9599587731019</v>
      </c>
      <c r="AD544" s="338">
        <f t="shared" si="65"/>
        <v>513.89185081700452</v>
      </c>
      <c r="AE544" s="1">
        <f t="shared" si="64"/>
        <v>307.81205601511681</v>
      </c>
    </row>
    <row r="545" spans="1:31" hidden="1" x14ac:dyDescent="0.25">
      <c r="A545" s="92" t="s">
        <v>367</v>
      </c>
      <c r="B545" s="92" t="s">
        <v>9</v>
      </c>
      <c r="C545" s="92" t="s">
        <v>18</v>
      </c>
      <c r="D545" s="92" t="s">
        <v>1511</v>
      </c>
      <c r="F545" s="92">
        <v>0</v>
      </c>
      <c r="J545" s="4">
        <v>0</v>
      </c>
      <c r="W545" s="336">
        <f>+VLOOKUP(A545,infradensité!$A$2:$B$67,2,FALSE)</f>
        <v>0.45</v>
      </c>
      <c r="X545" s="336">
        <v>1.3</v>
      </c>
      <c r="Y545" s="337">
        <f t="shared" si="66"/>
        <v>0</v>
      </c>
      <c r="Z545" s="337" t="e">
        <f t="shared" si="68"/>
        <v>#NUM!</v>
      </c>
      <c r="AA545" s="95" t="str">
        <f t="shared" si="62"/>
        <v>Pin d'Alep_F1_Classique_ONF 1993_0_</v>
      </c>
      <c r="AB545" s="1">
        <f t="shared" si="63"/>
        <v>0</v>
      </c>
      <c r="AC545" s="337">
        <v>0</v>
      </c>
      <c r="AD545" s="338">
        <f t="shared" si="65"/>
        <v>0</v>
      </c>
      <c r="AE545" s="1">
        <f>+SUM($AD$545:$AD$625)/80</f>
        <v>152.52304942019458</v>
      </c>
    </row>
    <row r="546" spans="1:31" hidden="1" x14ac:dyDescent="0.25">
      <c r="A546" s="92" t="s">
        <v>367</v>
      </c>
      <c r="B546" s="92" t="s">
        <v>9</v>
      </c>
      <c r="C546" s="92" t="s">
        <v>18</v>
      </c>
      <c r="D546" s="92" t="s">
        <v>1511</v>
      </c>
      <c r="F546">
        <v>1</v>
      </c>
      <c r="J546" s="346">
        <v>0.88069135802466247</v>
      </c>
      <c r="W546" s="336">
        <f>+VLOOKUP(A546,infradensité!$A$2:$B$67,2,FALSE)</f>
        <v>0.45</v>
      </c>
      <c r="X546" s="336">
        <v>1.3</v>
      </c>
      <c r="Y546" s="337">
        <f t="shared" si="66"/>
        <v>0.51520444444442759</v>
      </c>
      <c r="Z546" s="337">
        <f t="shared" si="68"/>
        <v>0.25648220587142395</v>
      </c>
      <c r="AA546" s="95" t="str">
        <f t="shared" si="62"/>
        <v>Pin d'Alep_F1_Classique_ONF 1993_1_</v>
      </c>
      <c r="AB546" s="1">
        <f t="shared" si="63"/>
        <v>1</v>
      </c>
      <c r="AC546" s="337">
        <f t="shared" si="67"/>
        <v>1.3440209159667746</v>
      </c>
      <c r="AD546" s="338">
        <f t="shared" si="65"/>
        <v>0.67201045798338732</v>
      </c>
      <c r="AE546" s="1">
        <f t="shared" ref="AE546:AE609" si="69">+SUM($AD$545:$AD$625)/80</f>
        <v>152.52304942019458</v>
      </c>
    </row>
    <row r="547" spans="1:31" hidden="1" x14ac:dyDescent="0.25">
      <c r="A547" s="92" t="s">
        <v>367</v>
      </c>
      <c r="B547" s="92" t="s">
        <v>9</v>
      </c>
      <c r="C547" s="92" t="s">
        <v>18</v>
      </c>
      <c r="D547" s="92" t="s">
        <v>1511</v>
      </c>
      <c r="F547">
        <v>2</v>
      </c>
      <c r="J547" s="346">
        <v>2.0277530864197235</v>
      </c>
      <c r="W547" s="336">
        <f>+VLOOKUP(A547,infradensité!$A$2:$B$67,2,FALSE)</f>
        <v>0.45</v>
      </c>
      <c r="X547" s="336">
        <v>1.3</v>
      </c>
      <c r="Y547" s="337">
        <f t="shared" si="66"/>
        <v>1.1862355555555384</v>
      </c>
      <c r="Z547" s="337">
        <f t="shared" si="68"/>
        <v>0.53590709273254744</v>
      </c>
      <c r="AA547" s="95" t="str">
        <f t="shared" si="62"/>
        <v>Pin d'Alep_F1_Classique_ONF 1993_2_</v>
      </c>
      <c r="AB547" s="1">
        <f t="shared" si="63"/>
        <v>2</v>
      </c>
      <c r="AC547" s="337">
        <f t="shared" si="67"/>
        <v>2.9993984457684157</v>
      </c>
      <c r="AD547" s="338">
        <f t="shared" si="65"/>
        <v>2.1717096808675951</v>
      </c>
      <c r="AE547" s="1">
        <f t="shared" si="69"/>
        <v>152.52304942019458</v>
      </c>
    </row>
    <row r="548" spans="1:31" hidden="1" x14ac:dyDescent="0.25">
      <c r="A548" s="92" t="s">
        <v>367</v>
      </c>
      <c r="B548" s="92" t="s">
        <v>9</v>
      </c>
      <c r="C548" s="92" t="s">
        <v>18</v>
      </c>
      <c r="D548" s="92" t="s">
        <v>1511</v>
      </c>
      <c r="F548">
        <v>3</v>
      </c>
      <c r="J548" s="346">
        <v>3.4319999999999702</v>
      </c>
      <c r="W548" s="336">
        <f>+VLOOKUP(A548,infradensité!$A$2:$B$67,2,FALSE)</f>
        <v>0.45</v>
      </c>
      <c r="X548" s="336">
        <v>1.3</v>
      </c>
      <c r="Y548" s="337">
        <f t="shared" si="66"/>
        <v>2.0077199999999826</v>
      </c>
      <c r="Z548" s="337">
        <f t="shared" si="68"/>
        <v>0.85314050961115351</v>
      </c>
      <c r="AA548" s="95" t="str">
        <f t="shared" si="62"/>
        <v>Pin d'Alep_F1_Classique_ONF 1993_3_</v>
      </c>
      <c r="AB548" s="1">
        <f t="shared" si="63"/>
        <v>3</v>
      </c>
      <c r="AC548" s="337">
        <f t="shared" si="67"/>
        <v>4.9826653875727294</v>
      </c>
      <c r="AD548" s="338">
        <f t="shared" si="65"/>
        <v>3.9910319166705728</v>
      </c>
      <c r="AE548" s="1">
        <f t="shared" si="69"/>
        <v>152.52304942019458</v>
      </c>
    </row>
    <row r="549" spans="1:31" hidden="1" x14ac:dyDescent="0.25">
      <c r="A549" s="92" t="s">
        <v>367</v>
      </c>
      <c r="B549" s="92" t="s">
        <v>9</v>
      </c>
      <c r="C549" s="92" t="s">
        <v>18</v>
      </c>
      <c r="D549" s="92" t="s">
        <v>1511</v>
      </c>
      <c r="F549">
        <v>4</v>
      </c>
      <c r="J549" s="346">
        <v>5.0842469135802162</v>
      </c>
      <c r="W549" s="336">
        <f>+VLOOKUP(A549,infradensité!$A$2:$B$67,2,FALSE)</f>
        <v>0.45</v>
      </c>
      <c r="X549" s="336">
        <v>1.3</v>
      </c>
      <c r="Y549" s="337">
        <f t="shared" si="66"/>
        <v>2.974284444444427</v>
      </c>
      <c r="Z549" s="337">
        <f t="shared" si="68"/>
        <v>1.2073490414329346</v>
      </c>
      <c r="AA549" s="95" t="str">
        <f t="shared" si="62"/>
        <v>Pin d'Alep_F1_Classique_ONF 1993_4_</v>
      </c>
      <c r="AB549" s="1">
        <f t="shared" si="63"/>
        <v>4</v>
      </c>
      <c r="AC549" s="337">
        <f t="shared" si="67"/>
        <v>7.2830116545697372</v>
      </c>
      <c r="AD549" s="338">
        <f t="shared" si="65"/>
        <v>6.1328385210712337</v>
      </c>
      <c r="AE549" s="1">
        <f t="shared" si="69"/>
        <v>152.52304942019458</v>
      </c>
    </row>
    <row r="550" spans="1:31" hidden="1" x14ac:dyDescent="0.25">
      <c r="A550" s="92" t="s">
        <v>367</v>
      </c>
      <c r="B550" s="92" t="s">
        <v>9</v>
      </c>
      <c r="C550" s="92" t="s">
        <v>18</v>
      </c>
      <c r="D550" s="92" t="s">
        <v>1511</v>
      </c>
      <c r="F550">
        <v>5</v>
      </c>
      <c r="J550" s="346">
        <v>6.9753086419752783</v>
      </c>
      <c r="W550" s="336">
        <f>+VLOOKUP(A550,infradensité!$A$2:$B$67,2,FALSE)</f>
        <v>0.45</v>
      </c>
      <c r="X550" s="336">
        <v>1.3</v>
      </c>
      <c r="Y550" s="337">
        <f t="shared" si="66"/>
        <v>4.0805555555555379</v>
      </c>
      <c r="Z550" s="337">
        <f t="shared" si="68"/>
        <v>1.5965540799669489</v>
      </c>
      <c r="AA550" s="95" t="str">
        <f t="shared" si="62"/>
        <v>Pin d'Alep_F1_Classique_ONF 1993_5_</v>
      </c>
      <c r="AB550" s="1">
        <f t="shared" si="63"/>
        <v>5</v>
      </c>
      <c r="AC550" s="337">
        <f t="shared" si="67"/>
        <v>9.8876326152016638</v>
      </c>
      <c r="AD550" s="338">
        <f t="shared" si="65"/>
        <v>8.5853221348857005</v>
      </c>
      <c r="AE550" s="1">
        <f t="shared" si="69"/>
        <v>152.52304942019458</v>
      </c>
    </row>
    <row r="551" spans="1:31" hidden="1" x14ac:dyDescent="0.25">
      <c r="A551" s="92" t="s">
        <v>367</v>
      </c>
      <c r="B551" s="92" t="s">
        <v>9</v>
      </c>
      <c r="C551" s="92" t="s">
        <v>18</v>
      </c>
      <c r="D551" s="92" t="s">
        <v>1511</v>
      </c>
      <c r="F551">
        <v>6</v>
      </c>
      <c r="J551" s="346">
        <v>9.0959999999999681</v>
      </c>
      <c r="W551" s="336">
        <f>+VLOOKUP(A551,infradensité!$A$2:$B$67,2,FALSE)</f>
        <v>0.45</v>
      </c>
      <c r="X551" s="336">
        <v>1.3</v>
      </c>
      <c r="Y551" s="337">
        <f t="shared" si="66"/>
        <v>5.3211599999999821</v>
      </c>
      <c r="Z551" s="337">
        <f t="shared" si="68"/>
        <v>2.0186045472659542</v>
      </c>
      <c r="AA551" s="95" t="str">
        <f t="shared" si="62"/>
        <v>Pin d'Alep_F1_Classique_ONF 1993_6_</v>
      </c>
      <c r="AB551" s="1">
        <f t="shared" si="63"/>
        <v>6</v>
      </c>
      <c r="AC551" s="337">
        <f t="shared" si="67"/>
        <v>12.783423253154838</v>
      </c>
      <c r="AD551" s="338">
        <f t="shared" si="65"/>
        <v>11.335527934178252</v>
      </c>
      <c r="AE551" s="1">
        <f t="shared" si="69"/>
        <v>152.52304942019458</v>
      </c>
    </row>
    <row r="552" spans="1:31" hidden="1" x14ac:dyDescent="0.25">
      <c r="A552" s="92" t="s">
        <v>367</v>
      </c>
      <c r="B552" s="92" t="s">
        <v>9</v>
      </c>
      <c r="C552" s="92" t="s">
        <v>18</v>
      </c>
      <c r="D552" s="92" t="s">
        <v>1511</v>
      </c>
      <c r="F552">
        <v>7</v>
      </c>
      <c r="J552" s="346">
        <v>11.437135802469104</v>
      </c>
      <c r="W552" s="336">
        <f>+VLOOKUP(A552,infradensité!$A$2:$B$67,2,FALSE)</f>
        <v>0.45</v>
      </c>
      <c r="X552" s="336">
        <v>1.3</v>
      </c>
      <c r="Y552" s="337">
        <f t="shared" si="66"/>
        <v>6.6907244444444265</v>
      </c>
      <c r="Z552" s="337">
        <f t="shared" si="68"/>
        <v>2.4713834547694797</v>
      </c>
      <c r="AA552" s="95" t="str">
        <f t="shared" si="62"/>
        <v>Pin d'Alep_F1_Classique_ONF 1993_7_</v>
      </c>
      <c r="AB552" s="1">
        <f t="shared" si="63"/>
        <v>7</v>
      </c>
      <c r="AC552" s="337">
        <f t="shared" si="67"/>
        <v>15.95733792446422</v>
      </c>
      <c r="AD552" s="338">
        <f t="shared" si="65"/>
        <v>14.370380588809528</v>
      </c>
      <c r="AE552" s="1">
        <f t="shared" si="69"/>
        <v>152.52304942019458</v>
      </c>
    </row>
    <row r="553" spans="1:31" hidden="1" x14ac:dyDescent="0.25">
      <c r="A553" s="92" t="s">
        <v>367</v>
      </c>
      <c r="B553" s="92" t="s">
        <v>9</v>
      </c>
      <c r="C553" s="92" t="s">
        <v>18</v>
      </c>
      <c r="D553" s="92" t="s">
        <v>1511</v>
      </c>
      <c r="F553">
        <v>8</v>
      </c>
      <c r="J553" s="346">
        <v>13.989530864197501</v>
      </c>
      <c r="W553" s="336">
        <f>+VLOOKUP(A553,infradensité!$A$2:$B$67,2,FALSE)</f>
        <v>0.45</v>
      </c>
      <c r="X553" s="336">
        <v>1.3</v>
      </c>
      <c r="Y553" s="337">
        <f t="shared" si="66"/>
        <v>8.1838755555555398</v>
      </c>
      <c r="Z553" s="337">
        <f t="shared" si="68"/>
        <v>2.9528586083900641</v>
      </c>
      <c r="AA553" s="95" t="str">
        <f t="shared" si="62"/>
        <v>Pin d'Alep_F1_Classique_ONF 1993_8_</v>
      </c>
      <c r="AB553" s="1">
        <f t="shared" si="63"/>
        <v>8</v>
      </c>
      <c r="AC553" s="337">
        <f t="shared" si="67"/>
        <v>19.396478668871925</v>
      </c>
      <c r="AD553" s="338">
        <f t="shared" si="65"/>
        <v>17.676908296668074</v>
      </c>
      <c r="AE553" s="1">
        <f t="shared" si="69"/>
        <v>152.52304942019458</v>
      </c>
    </row>
    <row r="554" spans="1:31" hidden="1" x14ac:dyDescent="0.25">
      <c r="A554" s="92" t="s">
        <v>367</v>
      </c>
      <c r="B554" s="92" t="s">
        <v>9</v>
      </c>
      <c r="C554" s="92" t="s">
        <v>18</v>
      </c>
      <c r="D554" s="92" t="s">
        <v>1511</v>
      </c>
      <c r="F554">
        <v>9</v>
      </c>
      <c r="J554" s="346">
        <v>16.743999999999968</v>
      </c>
      <c r="W554" s="336">
        <f>+VLOOKUP(A554,infradensité!$A$2:$B$67,2,FALSE)</f>
        <v>0.45</v>
      </c>
      <c r="X554" s="336">
        <v>1.3</v>
      </c>
      <c r="Y554" s="337">
        <f t="shared" si="66"/>
        <v>9.795239999999982</v>
      </c>
      <c r="Z554" s="337">
        <f t="shared" si="68"/>
        <v>3.4610907829617807</v>
      </c>
      <c r="AA554" s="95" t="str">
        <f t="shared" si="62"/>
        <v>Pin d'Alep_F1_Classique_ONF 1993_9_</v>
      </c>
      <c r="AB554" s="1">
        <f t="shared" si="63"/>
        <v>9</v>
      </c>
      <c r="AC554" s="337">
        <f t="shared" si="67"/>
        <v>23.088109446991737</v>
      </c>
      <c r="AD554" s="338">
        <f t="shared" si="65"/>
        <v>21.242294057931829</v>
      </c>
      <c r="AE554" s="1">
        <f t="shared" si="69"/>
        <v>152.52304942019458</v>
      </c>
    </row>
    <row r="555" spans="1:31" hidden="1" x14ac:dyDescent="0.25">
      <c r="A555" s="92" t="s">
        <v>367</v>
      </c>
      <c r="B555" s="92" t="s">
        <v>9</v>
      </c>
      <c r="C555" s="92" t="s">
        <v>18</v>
      </c>
      <c r="D555" s="92" t="s">
        <v>1511</v>
      </c>
      <c r="F555">
        <v>10</v>
      </c>
      <c r="J555" s="346">
        <v>19.691358024691326</v>
      </c>
      <c r="W555" s="336">
        <f>+VLOOKUP(A555,infradensité!$A$2:$B$67,2,FALSE)</f>
        <v>0.45</v>
      </c>
      <c r="X555" s="336">
        <v>1.3</v>
      </c>
      <c r="Y555" s="337">
        <f t="shared" si="66"/>
        <v>11.519444444444426</v>
      </c>
      <c r="Z555" s="337">
        <f t="shared" si="68"/>
        <v>3.9942290764110404</v>
      </c>
      <c r="AA555" s="95" t="str">
        <f t="shared" si="62"/>
        <v>Pin d'Alep_F1_Classique_ONF 1993_10_</v>
      </c>
      <c r="AB555" s="1">
        <f t="shared" si="63"/>
        <v>10</v>
      </c>
      <c r="AC555" s="337">
        <f t="shared" si="67"/>
        <v>27.019648048823267</v>
      </c>
      <c r="AD555" s="338">
        <f t="shared" si="65"/>
        <v>25.053878747907504</v>
      </c>
      <c r="AE555" s="1">
        <f t="shared" si="69"/>
        <v>152.52304942019458</v>
      </c>
    </row>
    <row r="556" spans="1:31" hidden="1" x14ac:dyDescent="0.25">
      <c r="A556" s="92" t="s">
        <v>367</v>
      </c>
      <c r="B556" s="92" t="s">
        <v>9</v>
      </c>
      <c r="C556" s="92" t="s">
        <v>18</v>
      </c>
      <c r="D556" s="92" t="s">
        <v>1511</v>
      </c>
      <c r="F556">
        <v>11</v>
      </c>
      <c r="J556" s="346">
        <v>22.822419753086386</v>
      </c>
      <c r="W556" s="336">
        <f>+VLOOKUP(A556,infradensité!$A$2:$B$67,2,FALSE)</f>
        <v>0.45</v>
      </c>
      <c r="X556" s="336">
        <v>1.3</v>
      </c>
      <c r="Y556" s="337">
        <f t="shared" si="66"/>
        <v>13.351115555555538</v>
      </c>
      <c r="Z556" s="337">
        <f t="shared" si="68"/>
        <v>4.5505026989129114</v>
      </c>
      <c r="AA556" s="95" t="str">
        <f t="shared" si="62"/>
        <v>Pin d'Alep_F1_Classique_ONF 1993_11_</v>
      </c>
      <c r="AB556" s="1">
        <f t="shared" si="63"/>
        <v>11</v>
      </c>
      <c r="AC556" s="337">
        <f t="shared" si="67"/>
        <v>31.178651793199219</v>
      </c>
      <c r="AD556" s="338">
        <f t="shared" si="65"/>
        <v>29.099149921011243</v>
      </c>
      <c r="AE556" s="1">
        <f t="shared" si="69"/>
        <v>152.52304942019458</v>
      </c>
    </row>
    <row r="557" spans="1:31" hidden="1" x14ac:dyDescent="0.25">
      <c r="A557" s="92" t="s">
        <v>367</v>
      </c>
      <c r="B557" s="92" t="s">
        <v>9</v>
      </c>
      <c r="C557" s="92" t="s">
        <v>18</v>
      </c>
      <c r="D557" s="92" t="s">
        <v>1511</v>
      </c>
      <c r="F557">
        <v>12</v>
      </c>
      <c r="J557" s="346">
        <v>26.127999999999968</v>
      </c>
      <c r="W557" s="336">
        <f>+VLOOKUP(A557,infradensité!$A$2:$B$67,2,FALSE)</f>
        <v>0.45</v>
      </c>
      <c r="X557" s="336">
        <v>1.3</v>
      </c>
      <c r="Y557" s="337">
        <f t="shared" si="66"/>
        <v>15.284879999999983</v>
      </c>
      <c r="Z557" s="337">
        <f t="shared" si="68"/>
        <v>5.1282123194830858</v>
      </c>
      <c r="AA557" s="95" t="str">
        <f t="shared" si="62"/>
        <v>Pin d'Alep_F1_Classique_ONF 1993_12_</v>
      </c>
      <c r="AB557" s="1">
        <f t="shared" si="63"/>
        <v>12</v>
      </c>
      <c r="AC557" s="337">
        <f t="shared" si="67"/>
        <v>35.552802456433007</v>
      </c>
      <c r="AD557" s="338">
        <f t="shared" si="65"/>
        <v>33.365727124816111</v>
      </c>
      <c r="AE557" s="1">
        <f t="shared" si="69"/>
        <v>152.52304942019458</v>
      </c>
    </row>
    <row r="558" spans="1:31" hidden="1" x14ac:dyDescent="0.25">
      <c r="A558" s="92" t="s">
        <v>367</v>
      </c>
      <c r="B558" s="92" t="s">
        <v>9</v>
      </c>
      <c r="C558" s="92" t="s">
        <v>18</v>
      </c>
      <c r="D558" s="92" t="s">
        <v>1511</v>
      </c>
      <c r="F558">
        <v>13</v>
      </c>
      <c r="J558" s="346">
        <v>29.598913580246883</v>
      </c>
      <c r="W558" s="336">
        <f>+VLOOKUP(A558,infradensité!$A$2:$B$67,2,FALSE)</f>
        <v>0.45</v>
      </c>
      <c r="X558" s="336">
        <v>1.3</v>
      </c>
      <c r="Y558" s="337">
        <f t="shared" si="66"/>
        <v>17.31536444444443</v>
      </c>
      <c r="Z558" s="337">
        <f t="shared" si="68"/>
        <v>5.7257220152185715</v>
      </c>
      <c r="AA558" s="95" t="str">
        <f t="shared" si="62"/>
        <v>Pin d'Alep_F1_Classique_ONF 1993_13_</v>
      </c>
      <c r="AB558" s="1">
        <f t="shared" si="63"/>
        <v>13</v>
      </c>
      <c r="AC558" s="337">
        <f t="shared" si="67"/>
        <v>40.129892250579729</v>
      </c>
      <c r="AD558" s="338">
        <f t="shared" si="65"/>
        <v>37.841347353506364</v>
      </c>
      <c r="AE558" s="1">
        <f t="shared" si="69"/>
        <v>152.52304942019458</v>
      </c>
    </row>
    <row r="559" spans="1:31" hidden="1" x14ac:dyDescent="0.25">
      <c r="A559" s="92" t="s">
        <v>367</v>
      </c>
      <c r="B559" s="92" t="s">
        <v>9</v>
      </c>
      <c r="C559" s="92" t="s">
        <v>18</v>
      </c>
      <c r="D559" s="92" t="s">
        <v>1511</v>
      </c>
      <c r="F559">
        <v>14</v>
      </c>
      <c r="J559" s="346">
        <v>33.225975308641942</v>
      </c>
      <c r="W559" s="336">
        <f>+VLOOKUP(A559,infradensité!$A$2:$B$67,2,FALSE)</f>
        <v>0.45</v>
      </c>
      <c r="X559" s="336">
        <v>1.3</v>
      </c>
      <c r="Y559" s="337">
        <f t="shared" si="66"/>
        <v>19.43719555555554</v>
      </c>
      <c r="Z559" s="337">
        <f t="shared" si="68"/>
        <v>6.341452115530954</v>
      </c>
      <c r="AA559" s="95" t="str">
        <f t="shared" ref="AA559:AA622" si="70">+_xlfn.CONCAT(A559,"_",B559,"_",C559,"_",D559,"_",AB559,"_")</f>
        <v>Pin d'Alep_F1_Classique_ONF 1993_14_</v>
      </c>
      <c r="AB559" s="1">
        <f t="shared" ref="AB559:AB622" si="71">F559</f>
        <v>14</v>
      </c>
      <c r="AC559" s="337">
        <f t="shared" si="67"/>
        <v>44.89781136047565</v>
      </c>
      <c r="AD559" s="338">
        <f t="shared" si="65"/>
        <v>42.513851805527693</v>
      </c>
      <c r="AE559" s="1">
        <f t="shared" si="69"/>
        <v>152.52304942019458</v>
      </c>
    </row>
    <row r="560" spans="1:31" hidden="1" x14ac:dyDescent="0.25">
      <c r="A560" s="92" t="s">
        <v>367</v>
      </c>
      <c r="B560" s="92" t="s">
        <v>9</v>
      </c>
      <c r="C560" s="92" t="s">
        <v>18</v>
      </c>
      <c r="D560" s="92" t="s">
        <v>1511</v>
      </c>
      <c r="F560">
        <v>15</v>
      </c>
      <c r="J560" s="346">
        <v>36.999999999999972</v>
      </c>
      <c r="W560" s="336">
        <f>+VLOOKUP(A560,infradensité!$A$2:$B$67,2,FALSE)</f>
        <v>0.45</v>
      </c>
      <c r="X560" s="336">
        <v>1.3</v>
      </c>
      <c r="Y560" s="337">
        <f t="shared" si="66"/>
        <v>21.644999999999985</v>
      </c>
      <c r="Z560" s="337">
        <f t="shared" si="68"/>
        <v>6.9738729562485036</v>
      </c>
      <c r="AA560" s="95" t="str">
        <f t="shared" si="70"/>
        <v>Pin d'Alep_F1_Classique_ONF 1993_15_</v>
      </c>
      <c r="AB560" s="1">
        <f t="shared" si="71"/>
        <v>15</v>
      </c>
      <c r="AC560" s="337">
        <f t="shared" si="67"/>
        <v>49.844537065466113</v>
      </c>
      <c r="AD560" s="338">
        <f t="shared" si="65"/>
        <v>47.371174212970885</v>
      </c>
      <c r="AE560" s="1">
        <f t="shared" si="69"/>
        <v>152.52304942019458</v>
      </c>
    </row>
    <row r="561" spans="1:31" hidden="1" x14ac:dyDescent="0.25">
      <c r="A561" s="92" t="s">
        <v>367</v>
      </c>
      <c r="B561" s="92" t="s">
        <v>9</v>
      </c>
      <c r="C561" s="92" t="s">
        <v>18</v>
      </c>
      <c r="D561" s="92" t="s">
        <v>1511</v>
      </c>
      <c r="F561">
        <v>16</v>
      </c>
      <c r="J561" s="346">
        <v>40.911802469135772</v>
      </c>
      <c r="W561" s="336">
        <f>+VLOOKUP(A561,infradensité!$A$2:$B$67,2,FALSE)</f>
        <v>0.45</v>
      </c>
      <c r="X561" s="336">
        <v>1.3</v>
      </c>
      <c r="Y561" s="337">
        <f t="shared" si="66"/>
        <v>23.933404444444431</v>
      </c>
      <c r="Z561" s="337">
        <f t="shared" si="68"/>
        <v>7.6214994620549597</v>
      </c>
      <c r="AA561" s="95" t="str">
        <f t="shared" si="70"/>
        <v>Pin d'Alep_F1_Classique_ONF 1993_16_</v>
      </c>
      <c r="AB561" s="1">
        <f t="shared" si="71"/>
        <v>16</v>
      </c>
      <c r="AC561" s="337">
        <f t="shared" si="67"/>
        <v>54.958124303819766</v>
      </c>
      <c r="AD561" s="338">
        <f t="shared" si="65"/>
        <v>52.401330684642943</v>
      </c>
      <c r="AE561" s="1">
        <f t="shared" si="69"/>
        <v>152.52304942019458</v>
      </c>
    </row>
    <row r="562" spans="1:31" hidden="1" x14ac:dyDescent="0.25">
      <c r="A562" s="92" t="s">
        <v>367</v>
      </c>
      <c r="B562" s="92" t="s">
        <v>9</v>
      </c>
      <c r="C562" s="92" t="s">
        <v>18</v>
      </c>
      <c r="D562" s="92" t="s">
        <v>1511</v>
      </c>
      <c r="F562">
        <v>17</v>
      </c>
      <c r="J562" s="346">
        <v>44.952197530864161</v>
      </c>
      <c r="W562" s="336">
        <f>+VLOOKUP(A562,infradensité!$A$2:$B$67,2,FALSE)</f>
        <v>0.45</v>
      </c>
      <c r="X562" s="336">
        <v>1.3</v>
      </c>
      <c r="Y562" s="337">
        <f t="shared" si="66"/>
        <v>26.297035555555539</v>
      </c>
      <c r="Z562" s="337">
        <f t="shared" si="68"/>
        <v>8.2828864501012465</v>
      </c>
      <c r="AA562" s="95" t="str">
        <f t="shared" si="70"/>
        <v>Pin d'Alep_F1_Classique_ONF 1993_17_</v>
      </c>
      <c r="AB562" s="1">
        <f t="shared" si="71"/>
        <v>17</v>
      </c>
      <c r="AC562" s="337">
        <f t="shared" si="67"/>
        <v>60.226697493185554</v>
      </c>
      <c r="AD562" s="338">
        <f t="shared" si="65"/>
        <v>57.592410898502663</v>
      </c>
      <c r="AE562" s="1">
        <f t="shared" si="69"/>
        <v>152.52304942019458</v>
      </c>
    </row>
    <row r="563" spans="1:31" hidden="1" x14ac:dyDescent="0.25">
      <c r="A563" s="92" t="s">
        <v>367</v>
      </c>
      <c r="B563" s="92" t="s">
        <v>9</v>
      </c>
      <c r="C563" s="92" t="s">
        <v>18</v>
      </c>
      <c r="D563" s="92" t="s">
        <v>1511</v>
      </c>
      <c r="F563">
        <v>18</v>
      </c>
      <c r="J563" s="346">
        <v>49.111999999999966</v>
      </c>
      <c r="W563" s="336">
        <f>+VLOOKUP(A563,infradensité!$A$2:$B$67,2,FALSE)</f>
        <v>0.45</v>
      </c>
      <c r="X563" s="336">
        <v>1.3</v>
      </c>
      <c r="Y563" s="337">
        <f t="shared" si="66"/>
        <v>28.730519999999984</v>
      </c>
      <c r="Z563" s="337">
        <f t="shared" si="68"/>
        <v>8.9566245492156629</v>
      </c>
      <c r="AA563" s="95" t="str">
        <f t="shared" si="70"/>
        <v>Pin d'Alep_F1_Classique_ONF 1993_18_</v>
      </c>
      <c r="AB563" s="1">
        <f t="shared" si="71"/>
        <v>18</v>
      </c>
      <c r="AC563" s="337">
        <f t="shared" si="67"/>
        <v>65.638443423217254</v>
      </c>
      <c r="AD563" s="338">
        <f t="shared" si="65"/>
        <v>62.932570458201404</v>
      </c>
      <c r="AE563" s="1">
        <f t="shared" si="69"/>
        <v>152.52304942019458</v>
      </c>
    </row>
    <row r="564" spans="1:31" hidden="1" x14ac:dyDescent="0.25">
      <c r="A564" s="92" t="s">
        <v>367</v>
      </c>
      <c r="B564" s="92" t="s">
        <v>9</v>
      </c>
      <c r="C564" s="92" t="s">
        <v>18</v>
      </c>
      <c r="D564" s="92" t="s">
        <v>1511</v>
      </c>
      <c r="F564">
        <v>19</v>
      </c>
      <c r="J564" s="346">
        <v>53.382024691357998</v>
      </c>
      <c r="W564" s="336">
        <f>+VLOOKUP(A564,infradensité!$A$2:$B$67,2,FALSE)</f>
        <v>0.45</v>
      </c>
      <c r="X564" s="336">
        <v>1.3</v>
      </c>
      <c r="Y564" s="337">
        <f t="shared" si="66"/>
        <v>31.228484444444433</v>
      </c>
      <c r="Z564" s="337">
        <f t="shared" si="68"/>
        <v>9.641336640228948</v>
      </c>
      <c r="AA564" s="95" t="str">
        <f t="shared" si="70"/>
        <v>Pin d'Alep_F1_Classique_ONF 1993_19_</v>
      </c>
      <c r="AB564" s="1">
        <f t="shared" si="71"/>
        <v>19</v>
      </c>
      <c r="AC564" s="337">
        <f t="shared" si="67"/>
        <v>71.181605055806145</v>
      </c>
      <c r="AD564" s="338">
        <f t="shared" si="65"/>
        <v>68.410024239511699</v>
      </c>
      <c r="AE564" s="1">
        <f t="shared" si="69"/>
        <v>152.52304942019458</v>
      </c>
    </row>
    <row r="565" spans="1:31" hidden="1" x14ac:dyDescent="0.25">
      <c r="A565" s="92" t="s">
        <v>367</v>
      </c>
      <c r="B565" s="92" t="s">
        <v>9</v>
      </c>
      <c r="C565" s="92" t="s">
        <v>18</v>
      </c>
      <c r="D565" s="92" t="s">
        <v>1511</v>
      </c>
      <c r="F565">
        <v>20</v>
      </c>
      <c r="J565" s="346">
        <v>57.753086419753053</v>
      </c>
      <c r="W565" s="336">
        <f>+VLOOKUP(A565,infradensité!$A$2:$B$67,2,FALSE)</f>
        <v>0.45</v>
      </c>
      <c r="X565" s="336">
        <v>1.3</v>
      </c>
      <c r="Y565" s="337">
        <f t="shared" si="66"/>
        <v>33.78555555555554</v>
      </c>
      <c r="Z565" s="337">
        <f t="shared" si="68"/>
        <v>10.33567473629555</v>
      </c>
      <c r="AA565" s="95" t="str">
        <f t="shared" si="70"/>
        <v>Pin d'Alep_F1_Classique_ONF 1993_20_</v>
      </c>
      <c r="AB565" s="1">
        <f t="shared" si="71"/>
        <v>20</v>
      </c>
      <c r="AC565" s="337">
        <f t="shared" si="67"/>
        <v>76.844476091640658</v>
      </c>
      <c r="AD565" s="338">
        <f t="shared" si="65"/>
        <v>74.013040573723401</v>
      </c>
      <c r="AE565" s="1">
        <f t="shared" si="69"/>
        <v>152.52304942019458</v>
      </c>
    </row>
    <row r="566" spans="1:31" hidden="1" x14ac:dyDescent="0.25">
      <c r="A566" s="92" t="s">
        <v>367</v>
      </c>
      <c r="B566" s="92" t="s">
        <v>9</v>
      </c>
      <c r="C566" s="92" t="s">
        <v>18</v>
      </c>
      <c r="D566" s="92" t="s">
        <v>1511</v>
      </c>
      <c r="F566">
        <v>21</v>
      </c>
      <c r="J566" s="346">
        <v>62.215999999999966</v>
      </c>
      <c r="W566" s="336">
        <f>+VLOOKUP(A566,infradensité!$A$2:$B$67,2,FALSE)</f>
        <v>0.45</v>
      </c>
      <c r="X566" s="336">
        <v>1.3</v>
      </c>
      <c r="Y566" s="337">
        <f t="shared" si="66"/>
        <v>36.396359999999987</v>
      </c>
      <c r="Z566" s="337">
        <f t="shared" si="68"/>
        <v>11.038317234897978</v>
      </c>
      <c r="AA566" s="95" t="str">
        <f t="shared" si="70"/>
        <v>Pin d'Alep_F1_Classique_ONF 1993_21_</v>
      </c>
      <c r="AB566" s="1">
        <f t="shared" si="71"/>
        <v>21</v>
      </c>
      <c r="AC566" s="337">
        <f t="shared" si="67"/>
        <v>82.615396184113948</v>
      </c>
      <c r="AD566" s="338">
        <f t="shared" si="65"/>
        <v>79.729936137877303</v>
      </c>
      <c r="AE566" s="1">
        <f t="shared" si="69"/>
        <v>152.52304942019458</v>
      </c>
    </row>
    <row r="567" spans="1:31" hidden="1" x14ac:dyDescent="0.25">
      <c r="A567" s="92" t="s">
        <v>367</v>
      </c>
      <c r="B567" s="92" t="s">
        <v>9</v>
      </c>
      <c r="C567" s="92" t="s">
        <v>18</v>
      </c>
      <c r="D567" s="92" t="s">
        <v>1511</v>
      </c>
      <c r="F567">
        <v>22</v>
      </c>
      <c r="J567" s="346">
        <v>66.761580246913553</v>
      </c>
      <c r="W567" s="336">
        <f>+VLOOKUP(A567,infradensité!$A$2:$B$67,2,FALSE)</f>
        <v>0.45</v>
      </c>
      <c r="X567" s="336">
        <v>1.3</v>
      </c>
      <c r="Y567" s="337">
        <f t="shared" si="66"/>
        <v>39.055524444444437</v>
      </c>
      <c r="Z567" s="337">
        <f t="shared" si="68"/>
        <v>11.747966484492931</v>
      </c>
      <c r="AA567" s="95" t="str">
        <f t="shared" si="70"/>
        <v>Pin d'Alep_F1_Classique_ONF 1993_22_</v>
      </c>
      <c r="AB567" s="1">
        <f t="shared" si="71"/>
        <v>22</v>
      </c>
      <c r="AC567" s="337">
        <f t="shared" si="67"/>
        <v>88.482746701232585</v>
      </c>
      <c r="AD567" s="338">
        <f t="shared" si="65"/>
        <v>85.549071442673267</v>
      </c>
      <c r="AE567" s="1">
        <f t="shared" si="69"/>
        <v>152.52304942019458</v>
      </c>
    </row>
    <row r="568" spans="1:31" hidden="1" x14ac:dyDescent="0.25">
      <c r="A568" s="92" t="s">
        <v>367</v>
      </c>
      <c r="B568" s="92" t="s">
        <v>9</v>
      </c>
      <c r="C568" s="92" t="s">
        <v>18</v>
      </c>
      <c r="D568" s="92" t="s">
        <v>1511</v>
      </c>
      <c r="F568">
        <v>23</v>
      </c>
      <c r="J568" s="346">
        <v>71.380641975308606</v>
      </c>
      <c r="W568" s="336">
        <f>+VLOOKUP(A568,infradensité!$A$2:$B$67,2,FALSE)</f>
        <v>0.45</v>
      </c>
      <c r="X568" s="336">
        <v>1.3</v>
      </c>
      <c r="Y568" s="337">
        <f t="shared" si="66"/>
        <v>41.757675555555537</v>
      </c>
      <c r="Z568" s="337">
        <f t="shared" si="68"/>
        <v>12.463346618302117</v>
      </c>
      <c r="AA568" s="95" t="str">
        <f t="shared" si="70"/>
        <v>Pin d'Alep_F1_Classique_ONF 1993_23_</v>
      </c>
      <c r="AB568" s="1">
        <f t="shared" si="71"/>
        <v>23</v>
      </c>
      <c r="AC568" s="337">
        <f t="shared" si="67"/>
        <v>94.434946952802079</v>
      </c>
      <c r="AD568" s="338">
        <f t="shared" si="65"/>
        <v>91.458846827017339</v>
      </c>
      <c r="AE568" s="1">
        <f t="shared" si="69"/>
        <v>152.52304942019458</v>
      </c>
    </row>
    <row r="569" spans="1:31" hidden="1" x14ac:dyDescent="0.25">
      <c r="A569" s="92" t="s">
        <v>367</v>
      </c>
      <c r="B569" s="92" t="s">
        <v>9</v>
      </c>
      <c r="C569" s="92" t="s">
        <v>18</v>
      </c>
      <c r="D569" s="92" t="s">
        <v>1511</v>
      </c>
      <c r="F569">
        <v>24</v>
      </c>
      <c r="J569" s="346">
        <v>76.063999999999965</v>
      </c>
      <c r="W569" s="336">
        <f>+VLOOKUP(A569,infradensité!$A$2:$B$67,2,FALSE)</f>
        <v>0.45</v>
      </c>
      <c r="X569" s="336">
        <v>1.3</v>
      </c>
      <c r="Y569" s="337">
        <f t="shared" si="66"/>
        <v>44.497439999999983</v>
      </c>
      <c r="Z569" s="337">
        <f t="shared" si="68"/>
        <v>13.18320161567717</v>
      </c>
      <c r="AA569" s="95" t="str">
        <f t="shared" si="70"/>
        <v>Pin d'Alep_F1_Classique_ONF 1993_24_</v>
      </c>
      <c r="AB569" s="1">
        <f t="shared" si="71"/>
        <v>24</v>
      </c>
      <c r="AC569" s="337">
        <f t="shared" si="67"/>
        <v>100.46045081397104</v>
      </c>
      <c r="AD569" s="338">
        <f t="shared" si="65"/>
        <v>97.447698883386551</v>
      </c>
      <c r="AE569" s="1">
        <f t="shared" si="69"/>
        <v>152.52304942019458</v>
      </c>
    </row>
    <row r="570" spans="1:31" hidden="1" x14ac:dyDescent="0.25">
      <c r="A570" s="92" t="s">
        <v>367</v>
      </c>
      <c r="B570" s="92" t="s">
        <v>9</v>
      </c>
      <c r="C570" s="92" t="s">
        <v>18</v>
      </c>
      <c r="D570" s="92" t="s">
        <v>1511</v>
      </c>
      <c r="F570">
        <v>25</v>
      </c>
      <c r="J570" s="346">
        <v>80.80246913580244</v>
      </c>
      <c r="W570" s="336">
        <f>+VLOOKUP(A570,infradensité!$A$2:$B$67,2,FALSE)</f>
        <v>0.45</v>
      </c>
      <c r="X570" s="336">
        <v>1.3</v>
      </c>
      <c r="Y570" s="337">
        <f t="shared" si="66"/>
        <v>47.269444444444431</v>
      </c>
      <c r="Z570" s="337">
        <f t="shared" si="68"/>
        <v>13.906293557991118</v>
      </c>
      <c r="AA570" s="95" t="str">
        <f t="shared" si="70"/>
        <v>Pin d'Alep_F1_Classique_ONF 1993_25_</v>
      </c>
      <c r="AB570" s="1">
        <f t="shared" si="71"/>
        <v>25</v>
      </c>
      <c r="AC570" s="337">
        <f t="shared" si="67"/>
        <v>106.54774368757525</v>
      </c>
      <c r="AD570" s="338">
        <f t="shared" si="65"/>
        <v>103.50409725077314</v>
      </c>
      <c r="AE570" s="1">
        <f t="shared" si="69"/>
        <v>152.52304942019458</v>
      </c>
    </row>
    <row r="571" spans="1:31" hidden="1" x14ac:dyDescent="0.25">
      <c r="A571" s="92" t="s">
        <v>367</v>
      </c>
      <c r="B571" s="92" t="s">
        <v>9</v>
      </c>
      <c r="C571" s="92" t="s">
        <v>18</v>
      </c>
      <c r="D571" s="92" t="s">
        <v>1511</v>
      </c>
      <c r="F571">
        <v>26</v>
      </c>
      <c r="J571" s="346">
        <v>85.586864197530844</v>
      </c>
      <c r="W571" s="336">
        <f>+VLOOKUP(A571,infradensité!$A$2:$B$67,2,FALSE)</f>
        <v>0.45</v>
      </c>
      <c r="X571" s="336">
        <v>1.3</v>
      </c>
      <c r="Y571" s="337">
        <f t="shared" si="66"/>
        <v>50.06831555555555</v>
      </c>
      <c r="Z571" s="337">
        <f t="shared" si="68"/>
        <v>14.631401051354985</v>
      </c>
      <c r="AA571" s="95" t="str">
        <f t="shared" si="70"/>
        <v>Pin d'Alep_F1_Classique_ONF 1993_26_</v>
      </c>
      <c r="AB571" s="1">
        <f t="shared" si="71"/>
        <v>26</v>
      </c>
      <c r="AC571" s="337">
        <f t="shared" si="67"/>
        <v>112.68533975703583</v>
      </c>
      <c r="AD571" s="338">
        <f t="shared" si="65"/>
        <v>109.61654172230554</v>
      </c>
      <c r="AE571" s="1">
        <f t="shared" si="69"/>
        <v>152.52304942019458</v>
      </c>
    </row>
    <row r="572" spans="1:31" hidden="1" x14ac:dyDescent="0.25">
      <c r="A572" s="92" t="s">
        <v>367</v>
      </c>
      <c r="B572" s="92" t="s">
        <v>9</v>
      </c>
      <c r="C572" s="92" t="s">
        <v>18</v>
      </c>
      <c r="D572" s="92" t="s">
        <v>1511</v>
      </c>
      <c r="F572">
        <v>27</v>
      </c>
      <c r="J572" s="346">
        <v>90.407999999999987</v>
      </c>
      <c r="W572" s="336">
        <f>+VLOOKUP(A572,infradensité!$A$2:$B$67,2,FALSE)</f>
        <v>0.45</v>
      </c>
      <c r="X572" s="336">
        <v>1.3</v>
      </c>
      <c r="Y572" s="337">
        <f t="shared" si="66"/>
        <v>52.888680000000001</v>
      </c>
      <c r="Z572" s="337">
        <f t="shared" si="68"/>
        <v>15.357317792836444</v>
      </c>
      <c r="AA572" s="95" t="str">
        <f t="shared" si="70"/>
        <v>Pin d'Alep_F1_Classique_ONF 1993_27_</v>
      </c>
      <c r="AB572" s="1">
        <f t="shared" si="71"/>
        <v>27</v>
      </c>
      <c r="AC572" s="337">
        <f t="shared" si="67"/>
        <v>118.86177948919014</v>
      </c>
      <c r="AD572" s="338">
        <f t="shared" si="65"/>
        <v>115.77355962311299</v>
      </c>
      <c r="AE572" s="1">
        <f t="shared" si="69"/>
        <v>152.52304942019458</v>
      </c>
    </row>
    <row r="573" spans="1:31" hidden="1" x14ac:dyDescent="0.25">
      <c r="A573" s="92" t="s">
        <v>367</v>
      </c>
      <c r="B573" s="92" t="s">
        <v>9</v>
      </c>
      <c r="C573" s="92" t="s">
        <v>18</v>
      </c>
      <c r="D573" s="92" t="s">
        <v>1511</v>
      </c>
      <c r="F573">
        <v>28</v>
      </c>
      <c r="J573" s="346">
        <v>95.256691358024668</v>
      </c>
      <c r="W573" s="336">
        <f>+VLOOKUP(A573,infradensité!$A$2:$B$67,2,FALSE)</f>
        <v>0.45</v>
      </c>
      <c r="X573" s="336">
        <v>1.3</v>
      </c>
      <c r="Y573" s="337">
        <f t="shared" si="66"/>
        <v>55.725164444444438</v>
      </c>
      <c r="Z573" s="337">
        <f t="shared" si="68"/>
        <v>16.082851260446752</v>
      </c>
      <c r="AA573" s="95" t="str">
        <f t="shared" si="70"/>
        <v>Pin d'Alep_F1_Classique_ONF 1993_28_</v>
      </c>
      <c r="AB573" s="1">
        <f t="shared" si="71"/>
        <v>28</v>
      </c>
      <c r="AC573" s="337">
        <f t="shared" si="67"/>
        <v>125.06562735268547</v>
      </c>
      <c r="AD573" s="338">
        <f t="shared" si="65"/>
        <v>121.9637034209378</v>
      </c>
      <c r="AE573" s="1">
        <f t="shared" si="69"/>
        <v>152.52304942019458</v>
      </c>
    </row>
    <row r="574" spans="1:31" hidden="1" x14ac:dyDescent="0.25">
      <c r="A574" s="92" t="s">
        <v>367</v>
      </c>
      <c r="B574" s="92" t="s">
        <v>9</v>
      </c>
      <c r="C574" s="92" t="s">
        <v>18</v>
      </c>
      <c r="D574" s="92" t="s">
        <v>1511</v>
      </c>
      <c r="F574">
        <v>29</v>
      </c>
      <c r="J574" s="346">
        <v>100.12375308641973</v>
      </c>
      <c r="W574" s="336">
        <f>+VLOOKUP(A574,infradensité!$A$2:$B$67,2,FALSE)</f>
        <v>0.45</v>
      </c>
      <c r="X574" s="336">
        <v>1.3</v>
      </c>
      <c r="Y574" s="337">
        <f t="shared" si="66"/>
        <v>58.572395555555545</v>
      </c>
      <c r="Z574" s="337">
        <f t="shared" si="68"/>
        <v>16.806821510109849</v>
      </c>
      <c r="AA574" s="95" t="str">
        <f t="shared" si="70"/>
        <v>Pin d'Alep_F1_Classique_ONF 1993_29_</v>
      </c>
      <c r="AB574" s="1">
        <f t="shared" si="71"/>
        <v>29</v>
      </c>
      <c r="AC574" s="337">
        <f t="shared" si="67"/>
        <v>131.28546972270053</v>
      </c>
      <c r="AD574" s="338">
        <f t="shared" si="65"/>
        <v>128.175548537693</v>
      </c>
      <c r="AE574" s="1">
        <f t="shared" si="69"/>
        <v>152.52304942019458</v>
      </c>
    </row>
    <row r="575" spans="1:31" hidden="1" x14ac:dyDescent="0.25">
      <c r="A575" s="92" t="s">
        <v>367</v>
      </c>
      <c r="B575" s="92" t="s">
        <v>9</v>
      </c>
      <c r="C575" s="92" t="s">
        <v>18</v>
      </c>
      <c r="D575" s="92" t="s">
        <v>1511</v>
      </c>
      <c r="F575" s="348">
        <v>30</v>
      </c>
      <c r="J575" s="346">
        <v>104.99999999999997</v>
      </c>
      <c r="W575" s="336">
        <f>+VLOOKUP(A575,infradensité!$A$2:$B$67,2,FALSE)</f>
        <v>0.45</v>
      </c>
      <c r="X575" s="336">
        <v>1.3</v>
      </c>
      <c r="Y575" s="337">
        <f t="shared" si="66"/>
        <v>61.42499999999999</v>
      </c>
      <c r="Z575" s="337">
        <f t="shared" si="68"/>
        <v>17.52806006525444</v>
      </c>
      <c r="AA575" s="95" t="str">
        <f t="shared" si="70"/>
        <v>Pin d'Alep_F1_Classique_ONF 1993_30_</v>
      </c>
      <c r="AB575" s="1">
        <f t="shared" si="71"/>
        <v>30</v>
      </c>
      <c r="AC575" s="337">
        <f t="shared" si="67"/>
        <v>137.5099129469848</v>
      </c>
      <c r="AD575" s="338">
        <f t="shared" si="65"/>
        <v>134.39769133484265</v>
      </c>
      <c r="AE575" s="1">
        <f t="shared" si="69"/>
        <v>152.52304942019458</v>
      </c>
    </row>
    <row r="576" spans="1:31" hidden="1" x14ac:dyDescent="0.25">
      <c r="A576" s="92" t="s">
        <v>367</v>
      </c>
      <c r="B576" s="92" t="s">
        <v>9</v>
      </c>
      <c r="C576" s="92" t="s">
        <v>18</v>
      </c>
      <c r="D576" s="92" t="s">
        <v>1511</v>
      </c>
      <c r="F576">
        <v>31</v>
      </c>
      <c r="J576" s="346">
        <v>65.666666666666671</v>
      </c>
      <c r="W576" s="336">
        <f>+VLOOKUP(A576,infradensité!$A$2:$B$67,2,FALSE)</f>
        <v>0.45</v>
      </c>
      <c r="X576" s="336">
        <v>1.3</v>
      </c>
      <c r="Y576" s="337">
        <f t="shared" si="66"/>
        <v>38.415000000000006</v>
      </c>
      <c r="Z576" s="337">
        <f t="shared" si="68"/>
        <v>11.577559054412854</v>
      </c>
      <c r="AA576" s="95" t="str">
        <f t="shared" si="70"/>
        <v>Pin d'Alep_F1_Classique_ONF 1993_31_</v>
      </c>
      <c r="AB576" s="1">
        <f t="shared" si="71"/>
        <v>31</v>
      </c>
      <c r="AC576" s="337">
        <f t="shared" si="67"/>
        <v>87.07037368643573</v>
      </c>
      <c r="AD576" s="338">
        <f t="shared" si="65"/>
        <v>112.29014331671027</v>
      </c>
      <c r="AE576" s="1">
        <f t="shared" si="69"/>
        <v>152.52304942019458</v>
      </c>
    </row>
    <row r="577" spans="1:31" hidden="1" x14ac:dyDescent="0.25">
      <c r="A577" s="92" t="s">
        <v>367</v>
      </c>
      <c r="B577" s="92" t="s">
        <v>9</v>
      </c>
      <c r="C577" s="92" t="s">
        <v>18</v>
      </c>
      <c r="D577" s="92" t="s">
        <v>1511</v>
      </c>
      <c r="F577">
        <v>32</v>
      </c>
      <c r="J577" s="346">
        <v>73.333333333333329</v>
      </c>
      <c r="W577" s="336">
        <f>+VLOOKUP(A577,infradensité!$A$2:$B$67,2,FALSE)</f>
        <v>0.45</v>
      </c>
      <c r="X577" s="336">
        <v>1.3</v>
      </c>
      <c r="Y577" s="337">
        <f t="shared" si="66"/>
        <v>42.900000000000006</v>
      </c>
      <c r="Z577" s="337">
        <f t="shared" si="68"/>
        <v>12.764133218298472</v>
      </c>
      <c r="AA577" s="95" t="str">
        <f t="shared" si="70"/>
        <v>Pin d'Alep_F1_Classique_ONF 1993_32_</v>
      </c>
      <c r="AB577" s="1">
        <f t="shared" si="71"/>
        <v>32</v>
      </c>
      <c r="AC577" s="337">
        <f t="shared" si="67"/>
        <v>96.948365355203165</v>
      </c>
      <c r="AD577" s="338">
        <f t="shared" si="65"/>
        <v>92.009369520819448</v>
      </c>
      <c r="AE577" s="1">
        <f t="shared" si="69"/>
        <v>152.52304942019458</v>
      </c>
    </row>
    <row r="578" spans="1:31" hidden="1" x14ac:dyDescent="0.25">
      <c r="A578" s="92" t="s">
        <v>367</v>
      </c>
      <c r="B578" s="92" t="s">
        <v>9</v>
      </c>
      <c r="C578" s="92" t="s">
        <v>18</v>
      </c>
      <c r="D578" s="92" t="s">
        <v>1511</v>
      </c>
      <c r="F578">
        <v>33</v>
      </c>
      <c r="J578" s="346">
        <v>81</v>
      </c>
      <c r="W578" s="336">
        <f>+VLOOKUP(A578,infradensité!$A$2:$B$67,2,FALSE)</f>
        <v>0.45</v>
      </c>
      <c r="X578" s="336">
        <v>1.3</v>
      </c>
      <c r="Y578" s="337">
        <f t="shared" si="66"/>
        <v>47.385000000000005</v>
      </c>
      <c r="Z578" s="337">
        <f t="shared" si="68"/>
        <v>13.936327732081288</v>
      </c>
      <c r="AA578" s="95" t="str">
        <f t="shared" si="70"/>
        <v>Pin d'Alep_F1_Classique_ONF 1993_33_</v>
      </c>
      <c r="AB578" s="1">
        <f t="shared" si="71"/>
        <v>33</v>
      </c>
      <c r="AC578" s="337">
        <f t="shared" si="67"/>
        <v>106.80131246670824</v>
      </c>
      <c r="AD578" s="338">
        <f t="shared" si="65"/>
        <v>101.8748389109557</v>
      </c>
      <c r="AE578" s="1">
        <f t="shared" si="69"/>
        <v>152.52304942019458</v>
      </c>
    </row>
    <row r="579" spans="1:31" hidden="1" x14ac:dyDescent="0.25">
      <c r="A579" s="92" t="s">
        <v>367</v>
      </c>
      <c r="B579" s="92" t="s">
        <v>9</v>
      </c>
      <c r="C579" s="92" t="s">
        <v>18</v>
      </c>
      <c r="D579" s="92" t="s">
        <v>1511</v>
      </c>
      <c r="F579">
        <v>34</v>
      </c>
      <c r="J579" s="346">
        <v>88.666666666666671</v>
      </c>
      <c r="W579" s="336">
        <f>+VLOOKUP(A579,infradensité!$A$2:$B$67,2,FALSE)</f>
        <v>0.45</v>
      </c>
      <c r="X579" s="336">
        <v>1.3</v>
      </c>
      <c r="Y579" s="337">
        <f t="shared" si="66"/>
        <v>51.870000000000012</v>
      </c>
      <c r="Z579" s="337">
        <f t="shared" si="68"/>
        <v>15.09565846911492</v>
      </c>
      <c r="AA579" s="95" t="str">
        <f t="shared" si="70"/>
        <v>Pin d'Alep_F1_Classique_ONF 1993_34_</v>
      </c>
      <c r="AB579" s="1">
        <f t="shared" si="71"/>
        <v>34</v>
      </c>
      <c r="AC579" s="337">
        <f t="shared" si="67"/>
        <v>116.63185516704182</v>
      </c>
      <c r="AD579" s="338">
        <f t="shared" si="65"/>
        <v>111.71658381687503</v>
      </c>
      <c r="AE579" s="1">
        <f t="shared" si="69"/>
        <v>152.52304942019458</v>
      </c>
    </row>
    <row r="580" spans="1:31" hidden="1" x14ac:dyDescent="0.25">
      <c r="A580" s="92" t="s">
        <v>367</v>
      </c>
      <c r="B580" s="92" t="s">
        <v>9</v>
      </c>
      <c r="C580" s="92" t="s">
        <v>18</v>
      </c>
      <c r="D580" s="92" t="s">
        <v>1511</v>
      </c>
      <c r="F580">
        <v>35</v>
      </c>
      <c r="J580" s="346">
        <v>96.333333333333343</v>
      </c>
      <c r="W580" s="336">
        <f>+VLOOKUP(A580,infradensité!$A$2:$B$67,2,FALSE)</f>
        <v>0.45</v>
      </c>
      <c r="X580" s="336">
        <v>1.3</v>
      </c>
      <c r="Y580" s="337">
        <f t="shared" si="66"/>
        <v>56.355000000000011</v>
      </c>
      <c r="Z580" s="337">
        <f t="shared" si="68"/>
        <v>16.243364177294705</v>
      </c>
      <c r="AA580" s="95" t="str">
        <f t="shared" si="70"/>
        <v>Pin d'Alep_F1_Classique_ONF 1993_35_</v>
      </c>
      <c r="AB580" s="1">
        <f t="shared" si="71"/>
        <v>35</v>
      </c>
      <c r="AC580" s="337">
        <f t="shared" si="67"/>
        <v>126.44215094212161</v>
      </c>
      <c r="AD580" s="338">
        <f t="shared" si="65"/>
        <v>121.53700305458172</v>
      </c>
      <c r="AE580" s="1">
        <f t="shared" si="69"/>
        <v>152.52304942019458</v>
      </c>
    </row>
    <row r="581" spans="1:31" hidden="1" x14ac:dyDescent="0.25">
      <c r="A581" s="92" t="s">
        <v>367</v>
      </c>
      <c r="B581" s="92" t="s">
        <v>9</v>
      </c>
      <c r="C581" s="92" t="s">
        <v>18</v>
      </c>
      <c r="D581" s="92" t="s">
        <v>1511</v>
      </c>
      <c r="F581">
        <v>36</v>
      </c>
      <c r="J581" s="346">
        <v>104</v>
      </c>
      <c r="W581" s="336">
        <f>+VLOOKUP(A581,infradensité!$A$2:$B$67,2,FALSE)</f>
        <v>0.45</v>
      </c>
      <c r="X581" s="336">
        <v>1.3</v>
      </c>
      <c r="Y581" s="337">
        <f t="shared" si="66"/>
        <v>60.840000000000011</v>
      </c>
      <c r="Z581" s="337">
        <f t="shared" si="68"/>
        <v>17.380475216531455</v>
      </c>
      <c r="AA581" s="95" t="str">
        <f t="shared" si="70"/>
        <v>Pin d'Alep_F1_Classique_ONF 1993_36_</v>
      </c>
      <c r="AB581" s="1">
        <f t="shared" si="71"/>
        <v>36</v>
      </c>
      <c r="AC581" s="337">
        <f t="shared" si="67"/>
        <v>136.23399433545896</v>
      </c>
      <c r="AD581" s="338">
        <f t="shared" si="65"/>
        <v>131.33807263879029</v>
      </c>
      <c r="AE581" s="1">
        <f t="shared" si="69"/>
        <v>152.52304942019458</v>
      </c>
    </row>
    <row r="582" spans="1:31" hidden="1" x14ac:dyDescent="0.25">
      <c r="A582" s="92" t="s">
        <v>367</v>
      </c>
      <c r="B582" s="92" t="s">
        <v>9</v>
      </c>
      <c r="C582" s="92" t="s">
        <v>18</v>
      </c>
      <c r="D582" s="92" t="s">
        <v>1511</v>
      </c>
      <c r="F582">
        <v>37</v>
      </c>
      <c r="J582" s="346">
        <v>111.66666666666667</v>
      </c>
      <c r="W582" s="336">
        <f>+VLOOKUP(A582,infradensité!$A$2:$B$67,2,FALSE)</f>
        <v>0.45</v>
      </c>
      <c r="X582" s="336">
        <v>1.3</v>
      </c>
      <c r="Y582" s="337">
        <f t="shared" si="66"/>
        <v>65.325000000000017</v>
      </c>
      <c r="Z582" s="337">
        <f t="shared" si="68"/>
        <v>18.507861418429783</v>
      </c>
      <c r="AA582" s="95" t="str">
        <f t="shared" si="70"/>
        <v>Pin d'Alep_F1_Classique_ONF 1993_37_</v>
      </c>
      <c r="AB582" s="1">
        <f t="shared" si="71"/>
        <v>37</v>
      </c>
      <c r="AC582" s="337">
        <f t="shared" si="67"/>
        <v>146.00890030376522</v>
      </c>
      <c r="AD582" s="338">
        <f t="shared" si="65"/>
        <v>141.12144731961209</v>
      </c>
      <c r="AE582" s="1">
        <f t="shared" si="69"/>
        <v>152.52304942019458</v>
      </c>
    </row>
    <row r="583" spans="1:31" hidden="1" x14ac:dyDescent="0.25">
      <c r="A583" s="92" t="s">
        <v>367</v>
      </c>
      <c r="B583" s="92" t="s">
        <v>9</v>
      </c>
      <c r="C583" s="92" t="s">
        <v>18</v>
      </c>
      <c r="D583" s="92" t="s">
        <v>1511</v>
      </c>
      <c r="F583">
        <v>38</v>
      </c>
      <c r="J583" s="346">
        <v>119.33333333333334</v>
      </c>
      <c r="W583" s="336">
        <f>+VLOOKUP(A583,infradensité!$A$2:$B$67,2,FALSE)</f>
        <v>0.45</v>
      </c>
      <c r="X583" s="336">
        <v>1.3</v>
      </c>
      <c r="Y583" s="337">
        <f t="shared" si="66"/>
        <v>69.810000000000016</v>
      </c>
      <c r="Z583" s="337">
        <f t="shared" si="68"/>
        <v>19.626266413721869</v>
      </c>
      <c r="AA583" s="95" t="str">
        <f t="shared" si="70"/>
        <v>Pin d'Alep_F1_Classique_ONF 1993_38_</v>
      </c>
      <c r="AB583" s="1">
        <f t="shared" si="71"/>
        <v>38</v>
      </c>
      <c r="AC583" s="337">
        <f t="shared" si="67"/>
        <v>155.76816400389893</v>
      </c>
      <c r="AD583" s="338">
        <f t="shared" si="65"/>
        <v>150.88853215383207</v>
      </c>
      <c r="AE583" s="1">
        <f t="shared" si="69"/>
        <v>152.52304942019458</v>
      </c>
    </row>
    <row r="584" spans="1:31" hidden="1" x14ac:dyDescent="0.25">
      <c r="A584" s="92" t="s">
        <v>367</v>
      </c>
      <c r="B584" s="92" t="s">
        <v>9</v>
      </c>
      <c r="C584" s="92" t="s">
        <v>18</v>
      </c>
      <c r="D584" s="92" t="s">
        <v>1511</v>
      </c>
      <c r="F584">
        <v>39</v>
      </c>
      <c r="J584" s="346">
        <v>127</v>
      </c>
      <c r="W584" s="336">
        <f>+VLOOKUP(A584,infradensité!$A$2:$B$67,2,FALSE)</f>
        <v>0.45</v>
      </c>
      <c r="X584" s="336">
        <v>1.3</v>
      </c>
      <c r="Y584" s="337">
        <f t="shared" si="66"/>
        <v>74.295000000000016</v>
      </c>
      <c r="Z584" s="337">
        <f t="shared" si="68"/>
        <v>20.736332880383845</v>
      </c>
      <c r="AA584" s="95" t="str">
        <f t="shared" si="70"/>
        <v>Pin d'Alep_F1_Classique_ONF 1993_39_</v>
      </c>
      <c r="AB584" s="1">
        <f t="shared" si="71"/>
        <v>39</v>
      </c>
      <c r="AC584" s="337">
        <f t="shared" si="67"/>
        <v>165.51290476666856</v>
      </c>
      <c r="AD584" s="338">
        <f t="shared" ref="AD584:AD647" si="72">+IF(AC584=0,0,(AC584+AC583)*(AB584-AB583)/2)</f>
        <v>160.64053438528373</v>
      </c>
      <c r="AE584" s="1">
        <f t="shared" si="69"/>
        <v>152.52304942019458</v>
      </c>
    </row>
    <row r="585" spans="1:31" hidden="1" x14ac:dyDescent="0.25">
      <c r="A585" s="92" t="s">
        <v>367</v>
      </c>
      <c r="B585" s="92" t="s">
        <v>9</v>
      </c>
      <c r="C585" s="92" t="s">
        <v>18</v>
      </c>
      <c r="D585" s="92" t="s">
        <v>1511</v>
      </c>
      <c r="F585">
        <v>40</v>
      </c>
      <c r="J585" s="346">
        <v>134.66666666666669</v>
      </c>
      <c r="W585" s="336">
        <f>+VLOOKUP(A585,infradensité!$A$2:$B$67,2,FALSE)</f>
        <v>0.45</v>
      </c>
      <c r="X585" s="336">
        <v>1.3</v>
      </c>
      <c r="Y585" s="337">
        <f t="shared" si="66"/>
        <v>78.780000000000015</v>
      </c>
      <c r="Z585" s="337">
        <f t="shared" si="68"/>
        <v>21.838621518606057</v>
      </c>
      <c r="AA585" s="95" t="str">
        <f t="shared" si="70"/>
        <v>Pin d'Alep_F1_Classique_ONF 1993_40_</v>
      </c>
      <c r="AB585" s="1">
        <f t="shared" si="71"/>
        <v>40</v>
      </c>
      <c r="AC585" s="337">
        <f t="shared" si="67"/>
        <v>175.24409914490556</v>
      </c>
      <c r="AD585" s="338">
        <f t="shared" si="72"/>
        <v>170.37850195578704</v>
      </c>
      <c r="AE585" s="1">
        <f t="shared" si="69"/>
        <v>152.52304942019458</v>
      </c>
    </row>
    <row r="586" spans="1:31" hidden="1" x14ac:dyDescent="0.25">
      <c r="A586" s="92" t="s">
        <v>367</v>
      </c>
      <c r="B586" s="92" t="s">
        <v>9</v>
      </c>
      <c r="C586" s="92" t="s">
        <v>18</v>
      </c>
      <c r="D586" s="92" t="s">
        <v>1511</v>
      </c>
      <c r="F586">
        <v>41</v>
      </c>
      <c r="J586" s="346">
        <v>142.33333333333334</v>
      </c>
      <c r="W586" s="336">
        <f>+VLOOKUP(A586,infradensité!$A$2:$B$67,2,FALSE)</f>
        <v>0.45</v>
      </c>
      <c r="X586" s="336">
        <v>1.3</v>
      </c>
      <c r="Y586" s="337">
        <f t="shared" si="66"/>
        <v>83.265000000000015</v>
      </c>
      <c r="Z586" s="337">
        <f t="shared" si="68"/>
        <v>22.933625580531533</v>
      </c>
      <c r="AA586" s="95" t="str">
        <f t="shared" si="70"/>
        <v>Pin d'Alep_F1_Classique_ONF 1993_41_</v>
      </c>
      <c r="AB586" s="1">
        <f t="shared" si="71"/>
        <v>41</v>
      </c>
      <c r="AC586" s="337">
        <f t="shared" si="67"/>
        <v>184.96260621942577</v>
      </c>
      <c r="AD586" s="338">
        <f t="shared" si="72"/>
        <v>180.10335268216568</v>
      </c>
      <c r="AE586" s="1">
        <f t="shared" si="69"/>
        <v>152.52304942019458</v>
      </c>
    </row>
    <row r="587" spans="1:31" hidden="1" x14ac:dyDescent="0.25">
      <c r="A587" s="92" t="s">
        <v>367</v>
      </c>
      <c r="B587" s="92" t="s">
        <v>9</v>
      </c>
      <c r="C587" s="92" t="s">
        <v>18</v>
      </c>
      <c r="D587" s="92" t="s">
        <v>1511</v>
      </c>
      <c r="F587">
        <v>42</v>
      </c>
      <c r="J587" s="346">
        <v>150</v>
      </c>
      <c r="W587" s="336">
        <f>+VLOOKUP(A587,infradensité!$A$2:$B$67,2,FALSE)</f>
        <v>0.45</v>
      </c>
      <c r="X587" s="336">
        <v>1.3</v>
      </c>
      <c r="Y587" s="337">
        <f t="shared" si="66"/>
        <v>87.750000000000014</v>
      </c>
      <c r="Z587" s="337">
        <f t="shared" si="68"/>
        <v>24.021782179979688</v>
      </c>
      <c r="AA587" s="95" t="str">
        <f t="shared" si="70"/>
        <v>Pin d'Alep_F1_Classique_ONF 1993_42_</v>
      </c>
      <c r="AB587" s="1">
        <f t="shared" si="71"/>
        <v>42</v>
      </c>
      <c r="AC587" s="337">
        <f t="shared" si="67"/>
        <v>194.66918729679799</v>
      </c>
      <c r="AD587" s="338">
        <f t="shared" si="72"/>
        <v>189.81589675811188</v>
      </c>
      <c r="AE587" s="1">
        <f t="shared" si="69"/>
        <v>152.52304942019458</v>
      </c>
    </row>
    <row r="588" spans="1:31" hidden="1" x14ac:dyDescent="0.25">
      <c r="A588" s="92" t="s">
        <v>367</v>
      </c>
      <c r="B588" s="92" t="s">
        <v>9</v>
      </c>
      <c r="C588" s="92" t="s">
        <v>18</v>
      </c>
      <c r="D588" s="92" t="s">
        <v>1511</v>
      </c>
      <c r="F588">
        <v>43</v>
      </c>
      <c r="J588" s="346">
        <v>157.66666666666669</v>
      </c>
      <c r="W588" s="336">
        <f>+VLOOKUP(A588,infradensité!$A$2:$B$67,2,FALSE)</f>
        <v>0.45</v>
      </c>
      <c r="X588" s="336">
        <v>1.3</v>
      </c>
      <c r="Y588" s="337">
        <f t="shared" si="66"/>
        <v>92.235000000000028</v>
      </c>
      <c r="Z588" s="337">
        <f t="shared" si="68"/>
        <v>25.103481224148766</v>
      </c>
      <c r="AA588" s="95" t="str">
        <f t="shared" si="70"/>
        <v>Pin d'Alep_F1_Classique_ONF 1993_43_</v>
      </c>
      <c r="AB588" s="1">
        <f t="shared" si="71"/>
        <v>43</v>
      </c>
      <c r="AC588" s="337">
        <f t="shared" si="67"/>
        <v>204.36452146539247</v>
      </c>
      <c r="AD588" s="338">
        <f t="shared" si="72"/>
        <v>199.51685438109524</v>
      </c>
      <c r="AE588" s="1">
        <f t="shared" si="69"/>
        <v>152.52304942019458</v>
      </c>
    </row>
    <row r="589" spans="1:31" hidden="1" x14ac:dyDescent="0.25">
      <c r="A589" s="92" t="s">
        <v>367</v>
      </c>
      <c r="B589" s="92" t="s">
        <v>9</v>
      </c>
      <c r="C589" s="92" t="s">
        <v>18</v>
      </c>
      <c r="D589" s="92" t="s">
        <v>1511</v>
      </c>
      <c r="F589">
        <v>44</v>
      </c>
      <c r="J589" s="347">
        <v>165.33333333333334</v>
      </c>
      <c r="W589" s="336">
        <f>+VLOOKUP(A589,infradensité!$A$2:$B$67,2,FALSE)</f>
        <v>0.45</v>
      </c>
      <c r="X589" s="336">
        <v>1.3</v>
      </c>
      <c r="Y589" s="337">
        <f t="shared" si="66"/>
        <v>96.720000000000013</v>
      </c>
      <c r="Z589" s="337">
        <f t="shared" si="68"/>
        <v>26.179072558792139</v>
      </c>
      <c r="AA589" s="95" t="str">
        <f t="shared" si="70"/>
        <v>Pin d'Alep_F1_Classique_ONF 1993_44_</v>
      </c>
      <c r="AB589" s="1">
        <f t="shared" si="71"/>
        <v>44</v>
      </c>
      <c r="AC589" s="337">
        <f t="shared" si="67"/>
        <v>214.04921803989632</v>
      </c>
      <c r="AD589" s="338">
        <f t="shared" si="72"/>
        <v>209.20686975264439</v>
      </c>
      <c r="AE589" s="1">
        <f t="shared" si="69"/>
        <v>152.52304942019458</v>
      </c>
    </row>
    <row r="590" spans="1:31" hidden="1" x14ac:dyDescent="0.25">
      <c r="A590" s="92" t="s">
        <v>367</v>
      </c>
      <c r="B590" s="92" t="s">
        <v>9</v>
      </c>
      <c r="C590" s="92" t="s">
        <v>18</v>
      </c>
      <c r="D590" s="92" t="s">
        <v>1511</v>
      </c>
      <c r="F590">
        <v>45</v>
      </c>
      <c r="J590" s="346">
        <v>173</v>
      </c>
      <c r="W590" s="336">
        <f>+VLOOKUP(A590,infradensité!$A$2:$B$67,2,FALSE)</f>
        <v>0.45</v>
      </c>
      <c r="X590" s="336">
        <v>1.3</v>
      </c>
      <c r="Y590" s="337">
        <f t="shared" si="66"/>
        <v>101.20500000000001</v>
      </c>
      <c r="Z590" s="337">
        <f t="shared" si="68"/>
        <v>27.248871750580868</v>
      </c>
      <c r="AA590" s="95" t="str">
        <f t="shared" si="70"/>
        <v>Pin d'Alep_F1_Classique_ONF 1993_45_</v>
      </c>
      <c r="AB590" s="1">
        <f t="shared" si="71"/>
        <v>45</v>
      </c>
      <c r="AC590" s="337">
        <f t="shared" si="67"/>
        <v>223.72382663226168</v>
      </c>
      <c r="AD590" s="338">
        <f t="shared" si="72"/>
        <v>218.886522336079</v>
      </c>
      <c r="AE590" s="1">
        <f t="shared" si="69"/>
        <v>152.52304942019458</v>
      </c>
    </row>
    <row r="591" spans="1:31" hidden="1" x14ac:dyDescent="0.25">
      <c r="A591" s="92" t="s">
        <v>367</v>
      </c>
      <c r="B591" s="92" t="s">
        <v>9</v>
      </c>
      <c r="C591" s="92" t="s">
        <v>18</v>
      </c>
      <c r="D591" s="92" t="s">
        <v>1511</v>
      </c>
      <c r="F591">
        <v>46</v>
      </c>
      <c r="J591" s="346">
        <v>106.4</v>
      </c>
      <c r="W591" s="336">
        <f>+VLOOKUP(A591,infradensité!$A$2:$B$67,2,FALSE)</f>
        <v>0.45</v>
      </c>
      <c r="X591" s="336">
        <v>1.3</v>
      </c>
      <c r="Y591" s="337">
        <f t="shared" si="66"/>
        <v>62.244000000000014</v>
      </c>
      <c r="Z591" s="337">
        <f t="shared" si="68"/>
        <v>17.734404526076446</v>
      </c>
      <c r="AA591" s="95" t="str">
        <f t="shared" si="70"/>
        <v>Pin d'Alep_F1_Classique_ONF 1993_46_</v>
      </c>
      <c r="AB591" s="1">
        <f t="shared" si="71"/>
        <v>46</v>
      </c>
      <c r="AC591" s="337">
        <f t="shared" si="67"/>
        <v>139.29572121624983</v>
      </c>
      <c r="AD591" s="338">
        <f t="shared" si="72"/>
        <v>181.50977392425574</v>
      </c>
      <c r="AE591" s="1">
        <f t="shared" si="69"/>
        <v>152.52304942019458</v>
      </c>
    </row>
    <row r="592" spans="1:31" hidden="1" x14ac:dyDescent="0.25">
      <c r="A592" s="92" t="s">
        <v>367</v>
      </c>
      <c r="B592" s="92" t="s">
        <v>9</v>
      </c>
      <c r="C592" s="92" t="s">
        <v>18</v>
      </c>
      <c r="D592" s="92" t="s">
        <v>1511</v>
      </c>
      <c r="F592">
        <v>47</v>
      </c>
      <c r="J592" s="346">
        <v>113.8</v>
      </c>
      <c r="W592" s="336">
        <f>+VLOOKUP(A592,infradensité!$A$2:$B$67,2,FALSE)</f>
        <v>0.45</v>
      </c>
      <c r="X592" s="336">
        <v>1.3</v>
      </c>
      <c r="Y592" s="337">
        <f t="shared" si="66"/>
        <v>66.573000000000008</v>
      </c>
      <c r="Z592" s="337">
        <f t="shared" si="68"/>
        <v>18.819942443173225</v>
      </c>
      <c r="AA592" s="95" t="str">
        <f t="shared" si="70"/>
        <v>Pin d'Alep_F1_Classique_ONF 1993_47_</v>
      </c>
      <c r="AB592" s="1">
        <f t="shared" si="71"/>
        <v>47</v>
      </c>
      <c r="AC592" s="337">
        <f t="shared" si="67"/>
        <v>148.72604142186006</v>
      </c>
      <c r="AD592" s="338">
        <f t="shared" si="72"/>
        <v>144.01088131905493</v>
      </c>
      <c r="AE592" s="1">
        <f t="shared" si="69"/>
        <v>152.52304942019458</v>
      </c>
    </row>
    <row r="593" spans="1:31" hidden="1" x14ac:dyDescent="0.25">
      <c r="A593" s="92" t="s">
        <v>367</v>
      </c>
      <c r="B593" s="92" t="s">
        <v>9</v>
      </c>
      <c r="C593" s="92" t="s">
        <v>18</v>
      </c>
      <c r="D593" s="92" t="s">
        <v>1511</v>
      </c>
      <c r="F593">
        <v>48</v>
      </c>
      <c r="J593" s="346">
        <v>121.2</v>
      </c>
      <c r="W593" s="336">
        <f>+VLOOKUP(A593,infradensité!$A$2:$B$67,2,FALSE)</f>
        <v>0.45</v>
      </c>
      <c r="X593" s="336">
        <v>1.3</v>
      </c>
      <c r="Y593" s="337">
        <f t="shared" si="66"/>
        <v>70.902000000000015</v>
      </c>
      <c r="Z593" s="337">
        <f t="shared" si="68"/>
        <v>19.897288774666517</v>
      </c>
      <c r="AA593" s="95" t="str">
        <f t="shared" si="70"/>
        <v>Pin d'Alep_F1_Classique_ONF 1993_48_</v>
      </c>
      <c r="AB593" s="1">
        <f t="shared" si="71"/>
        <v>48</v>
      </c>
      <c r="AC593" s="337">
        <f t="shared" si="67"/>
        <v>158.14209461587754</v>
      </c>
      <c r="AD593" s="338">
        <f t="shared" si="72"/>
        <v>153.4340680188688</v>
      </c>
      <c r="AE593" s="1">
        <f t="shared" si="69"/>
        <v>152.52304942019458</v>
      </c>
    </row>
    <row r="594" spans="1:31" hidden="1" x14ac:dyDescent="0.25">
      <c r="A594" s="92" t="s">
        <v>367</v>
      </c>
      <c r="B594" s="92" t="s">
        <v>9</v>
      </c>
      <c r="C594" s="92" t="s">
        <v>18</v>
      </c>
      <c r="D594" s="92" t="s">
        <v>1511</v>
      </c>
      <c r="F594">
        <v>49</v>
      </c>
      <c r="J594" s="346">
        <v>128.6</v>
      </c>
      <c r="W594" s="336">
        <f>+VLOOKUP(A594,infradensité!$A$2:$B$67,2,FALSE)</f>
        <v>0.45</v>
      </c>
      <c r="X594" s="336">
        <v>1.3</v>
      </c>
      <c r="Y594" s="337">
        <f t="shared" si="66"/>
        <v>75.231000000000009</v>
      </c>
      <c r="Z594" s="337">
        <f t="shared" si="68"/>
        <v>20.967000617518835</v>
      </c>
      <c r="AA594" s="95" t="str">
        <f t="shared" si="70"/>
        <v>Pin d'Alep_F1_Classique_ONF 1993_49_</v>
      </c>
      <c r="AB594" s="1">
        <f t="shared" si="71"/>
        <v>49</v>
      </c>
      <c r="AC594" s="337">
        <f t="shared" si="67"/>
        <v>167.54485107551196</v>
      </c>
      <c r="AD594" s="338">
        <f t="shared" si="72"/>
        <v>162.84347284569475</v>
      </c>
      <c r="AE594" s="1">
        <f t="shared" si="69"/>
        <v>152.52304942019458</v>
      </c>
    </row>
    <row r="595" spans="1:31" hidden="1" x14ac:dyDescent="0.25">
      <c r="A595" s="92" t="s">
        <v>367</v>
      </c>
      <c r="B595" s="92" t="s">
        <v>9</v>
      </c>
      <c r="C595" s="92" t="s">
        <v>18</v>
      </c>
      <c r="D595" s="92" t="s">
        <v>1511</v>
      </c>
      <c r="F595">
        <v>50</v>
      </c>
      <c r="J595" s="346">
        <v>136</v>
      </c>
      <c r="W595" s="336">
        <f>+VLOOKUP(A595,infradensité!$A$2:$B$67,2,FALSE)</f>
        <v>0.45</v>
      </c>
      <c r="X595" s="336">
        <v>1.3</v>
      </c>
      <c r="Y595" s="337">
        <f t="shared" si="66"/>
        <v>79.560000000000016</v>
      </c>
      <c r="Z595" s="337">
        <f t="shared" si="68"/>
        <v>22.029567333453311</v>
      </c>
      <c r="AA595" s="95" t="str">
        <f t="shared" si="70"/>
        <v>Pin d'Alep_F1_Classique_ONF 1993_50_</v>
      </c>
      <c r="AB595" s="1">
        <f t="shared" si="71"/>
        <v>50</v>
      </c>
      <c r="AC595" s="337">
        <f t="shared" si="67"/>
        <v>176.93516310576453</v>
      </c>
      <c r="AD595" s="338">
        <f t="shared" si="72"/>
        <v>172.24000709063824</v>
      </c>
      <c r="AE595" s="1">
        <f t="shared" si="69"/>
        <v>152.52304942019458</v>
      </c>
    </row>
    <row r="596" spans="1:31" hidden="1" x14ac:dyDescent="0.25">
      <c r="A596" s="92" t="s">
        <v>367</v>
      </c>
      <c r="B596" s="92" t="s">
        <v>9</v>
      </c>
      <c r="C596" s="92" t="s">
        <v>18</v>
      </c>
      <c r="D596" s="92" t="s">
        <v>1511</v>
      </c>
      <c r="F596">
        <v>51</v>
      </c>
      <c r="J596" s="346">
        <v>143.4</v>
      </c>
      <c r="W596" s="336">
        <f>+VLOOKUP(A596,infradensité!$A$2:$B$67,2,FALSE)</f>
        <v>0.45</v>
      </c>
      <c r="X596" s="336">
        <v>1.3</v>
      </c>
      <c r="Y596" s="337">
        <f t="shared" si="66"/>
        <v>83.88900000000001</v>
      </c>
      <c r="Z596" s="337">
        <f t="shared" si="68"/>
        <v>23.085422022440483</v>
      </c>
      <c r="AA596" s="95" t="str">
        <f t="shared" si="70"/>
        <v>Pin d'Alep_F1_Classique_ONF 1993_51_</v>
      </c>
      <c r="AB596" s="1">
        <f t="shared" si="71"/>
        <v>51</v>
      </c>
      <c r="AC596" s="337">
        <f t="shared" si="67"/>
        <v>186.31378502241719</v>
      </c>
      <c r="AD596" s="338">
        <f t="shared" si="72"/>
        <v>181.62447406409086</v>
      </c>
      <c r="AE596" s="1">
        <f t="shared" si="69"/>
        <v>152.52304942019458</v>
      </c>
    </row>
    <row r="597" spans="1:31" hidden="1" x14ac:dyDescent="0.25">
      <c r="A597" s="92" t="s">
        <v>367</v>
      </c>
      <c r="B597" s="92" t="s">
        <v>9</v>
      </c>
      <c r="C597" s="92" t="s">
        <v>18</v>
      </c>
      <c r="D597" s="92" t="s">
        <v>1511</v>
      </c>
      <c r="F597">
        <v>52</v>
      </c>
      <c r="J597" s="346">
        <v>150.80000000000001</v>
      </c>
      <c r="W597" s="336">
        <f>+VLOOKUP(A597,infradensité!$A$2:$B$67,2,FALSE)</f>
        <v>0.45</v>
      </c>
      <c r="X597" s="336">
        <v>1.3</v>
      </c>
      <c r="Y597" s="337">
        <f t="shared" si="66"/>
        <v>88.218000000000018</v>
      </c>
      <c r="Z597" s="337">
        <f t="shared" si="68"/>
        <v>24.134950560421608</v>
      </c>
      <c r="AA597" s="95" t="str">
        <f t="shared" si="70"/>
        <v>Pin d'Alep_F1_Classique_ONF 1993_52_</v>
      </c>
      <c r="AB597" s="1">
        <f t="shared" si="71"/>
        <v>52</v>
      </c>
      <c r="AC597" s="337">
        <f t="shared" si="67"/>
        <v>195.6813888927343</v>
      </c>
      <c r="AD597" s="338">
        <f t="shared" si="72"/>
        <v>190.99758695757575</v>
      </c>
      <c r="AE597" s="1">
        <f t="shared" si="69"/>
        <v>152.52304942019458</v>
      </c>
    </row>
    <row r="598" spans="1:31" hidden="1" x14ac:dyDescent="0.25">
      <c r="A598" s="92" t="s">
        <v>367</v>
      </c>
      <c r="B598" s="92" t="s">
        <v>9</v>
      </c>
      <c r="C598" s="92" t="s">
        <v>18</v>
      </c>
      <c r="D598" s="92" t="s">
        <v>1511</v>
      </c>
      <c r="F598">
        <v>53</v>
      </c>
      <c r="J598" s="346">
        <v>158.19999999999999</v>
      </c>
      <c r="W598" s="336">
        <f>+VLOOKUP(A598,infradensité!$A$2:$B$67,2,FALSE)</f>
        <v>0.45</v>
      </c>
      <c r="X598" s="336">
        <v>1.3</v>
      </c>
      <c r="Y598" s="337">
        <f t="shared" si="66"/>
        <v>92.547000000000011</v>
      </c>
      <c r="Z598" s="337">
        <f t="shared" si="68"/>
        <v>25.178498812697072</v>
      </c>
      <c r="AA598" s="95" t="str">
        <f t="shared" si="70"/>
        <v>Pin d'Alep_F1_Classique_ONF 1993_53_</v>
      </c>
      <c r="AB598" s="1">
        <f t="shared" si="71"/>
        <v>53</v>
      </c>
      <c r="AC598" s="337">
        <f t="shared" si="67"/>
        <v>205.03857709878073</v>
      </c>
      <c r="AD598" s="338">
        <f t="shared" si="72"/>
        <v>200.35998299575752</v>
      </c>
      <c r="AE598" s="1">
        <f t="shared" si="69"/>
        <v>152.52304942019458</v>
      </c>
    </row>
    <row r="599" spans="1:31" hidden="1" x14ac:dyDescent="0.25">
      <c r="A599" s="92" t="s">
        <v>367</v>
      </c>
      <c r="B599" s="92" t="s">
        <v>9</v>
      </c>
      <c r="C599" s="92" t="s">
        <v>18</v>
      </c>
      <c r="D599" s="92" t="s">
        <v>1511</v>
      </c>
      <c r="F599">
        <v>54</v>
      </c>
      <c r="J599" s="346">
        <v>165.60000000000002</v>
      </c>
      <c r="W599" s="336">
        <f>+VLOOKUP(A599,infradensité!$A$2:$B$67,2,FALSE)</f>
        <v>0.45</v>
      </c>
      <c r="X599" s="336">
        <v>1.3</v>
      </c>
      <c r="Y599" s="337">
        <f t="shared" si="66"/>
        <v>96.876000000000019</v>
      </c>
      <c r="Z599" s="337">
        <f t="shared" si="68"/>
        <v>26.21637845945024</v>
      </c>
      <c r="AA599" s="95" t="str">
        <f t="shared" si="70"/>
        <v>Pin d'Alep_F1_Classique_ONF 1993_54_</v>
      </c>
      <c r="AB599" s="1">
        <f t="shared" si="71"/>
        <v>54</v>
      </c>
      <c r="AC599" s="337">
        <f t="shared" si="67"/>
        <v>214.38589248354253</v>
      </c>
      <c r="AD599" s="338">
        <f t="shared" si="72"/>
        <v>209.71223479116162</v>
      </c>
      <c r="AE599" s="1">
        <f t="shared" si="69"/>
        <v>152.52304942019458</v>
      </c>
    </row>
    <row r="600" spans="1:31" hidden="1" x14ac:dyDescent="0.25">
      <c r="A600" s="92" t="s">
        <v>367</v>
      </c>
      <c r="B600" s="92" t="s">
        <v>9</v>
      </c>
      <c r="C600" s="92" t="s">
        <v>18</v>
      </c>
      <c r="D600" s="92" t="s">
        <v>1511</v>
      </c>
      <c r="F600">
        <v>55</v>
      </c>
      <c r="J600" s="346">
        <v>173</v>
      </c>
      <c r="W600" s="336">
        <f>+VLOOKUP(A600,infradensité!$A$2:$B$67,2,FALSE)</f>
        <v>0.45</v>
      </c>
      <c r="X600" s="336">
        <v>1.3</v>
      </c>
      <c r="Y600" s="337">
        <f t="shared" si="66"/>
        <v>101.20500000000001</v>
      </c>
      <c r="Z600" s="337">
        <f t="shared" si="68"/>
        <v>27.248871750580868</v>
      </c>
      <c r="AA600" s="95" t="str">
        <f t="shared" si="70"/>
        <v>Pin d'Alep_F1_Classique_ONF 1993_55_</v>
      </c>
      <c r="AB600" s="1">
        <f t="shared" si="71"/>
        <v>55</v>
      </c>
      <c r="AC600" s="337">
        <f t="shared" si="67"/>
        <v>223.72382663226168</v>
      </c>
      <c r="AD600" s="338">
        <f t="shared" si="72"/>
        <v>219.05485955790209</v>
      </c>
      <c r="AE600" s="1">
        <f t="shared" si="69"/>
        <v>152.52304942019458</v>
      </c>
    </row>
    <row r="601" spans="1:31" hidden="1" x14ac:dyDescent="0.25">
      <c r="A601" s="92" t="s">
        <v>367</v>
      </c>
      <c r="B601" s="92" t="s">
        <v>9</v>
      </c>
      <c r="C601" s="92" t="s">
        <v>18</v>
      </c>
      <c r="D601" s="92" t="s">
        <v>1511</v>
      </c>
      <c r="F601">
        <v>56</v>
      </c>
      <c r="J601" s="346">
        <v>180.4</v>
      </c>
      <c r="W601" s="336">
        <f>+VLOOKUP(A601,infradensité!$A$2:$B$67,2,FALSE)</f>
        <v>0.45</v>
      </c>
      <c r="X601" s="336">
        <v>1.3</v>
      </c>
      <c r="Y601" s="337">
        <f t="shared" si="66"/>
        <v>105.53400000000002</v>
      </c>
      <c r="Z601" s="337">
        <f t="shared" si="68"/>
        <v>28.276235424052324</v>
      </c>
      <c r="AA601" s="95" t="str">
        <f t="shared" si="70"/>
        <v>Pin d'Alep_F1_Classique_ONF 1993_56_</v>
      </c>
      <c r="AB601" s="1">
        <f t="shared" si="71"/>
        <v>56</v>
      </c>
      <c r="AC601" s="337">
        <f t="shared" si="67"/>
        <v>233.05282669689112</v>
      </c>
      <c r="AD601" s="338">
        <f t="shared" si="72"/>
        <v>228.3883266645764</v>
      </c>
      <c r="AE601" s="1">
        <f t="shared" si="69"/>
        <v>152.52304942019458</v>
      </c>
    </row>
    <row r="602" spans="1:31" hidden="1" x14ac:dyDescent="0.25">
      <c r="A602" s="92" t="s">
        <v>367</v>
      </c>
      <c r="B602" s="92" t="s">
        <v>9</v>
      </c>
      <c r="C602" s="92" t="s">
        <v>18</v>
      </c>
      <c r="D602" s="92" t="s">
        <v>1511</v>
      </c>
      <c r="F602">
        <v>57</v>
      </c>
      <c r="J602" s="346">
        <v>187.8</v>
      </c>
      <c r="W602" s="336">
        <f>+VLOOKUP(A602,infradensité!$A$2:$B$67,2,FALSE)</f>
        <v>0.45</v>
      </c>
      <c r="X602" s="336">
        <v>1.3</v>
      </c>
      <c r="Y602" s="337">
        <f t="shared" si="66"/>
        <v>109.86300000000001</v>
      </c>
      <c r="Z602" s="337">
        <f t="shared" si="68"/>
        <v>29.298703963208425</v>
      </c>
      <c r="AA602" s="95" t="str">
        <f t="shared" si="70"/>
        <v>Pin d'Alep_F1_Classique_ONF 1993_57_</v>
      </c>
      <c r="AB602" s="1">
        <f t="shared" si="71"/>
        <v>57</v>
      </c>
      <c r="AC602" s="337">
        <f t="shared" si="67"/>
        <v>242.37330106925467</v>
      </c>
      <c r="AD602" s="338">
        <f t="shared" si="72"/>
        <v>237.71306388307289</v>
      </c>
      <c r="AE602" s="1">
        <f t="shared" si="69"/>
        <v>152.52304942019458</v>
      </c>
    </row>
    <row r="603" spans="1:31" hidden="1" x14ac:dyDescent="0.25">
      <c r="A603" s="92" t="s">
        <v>367</v>
      </c>
      <c r="B603" s="92" t="s">
        <v>9</v>
      </c>
      <c r="C603" s="92" t="s">
        <v>18</v>
      </c>
      <c r="D603" s="92" t="s">
        <v>1511</v>
      </c>
      <c r="F603">
        <v>58</v>
      </c>
      <c r="J603" s="346">
        <v>195.2</v>
      </c>
      <c r="W603" s="336">
        <f>+VLOOKUP(A603,infradensité!$A$2:$B$67,2,FALSE)</f>
        <v>0.45</v>
      </c>
      <c r="X603" s="336">
        <v>1.3</v>
      </c>
      <c r="Y603" s="337">
        <f t="shared" si="66"/>
        <v>114.19200000000001</v>
      </c>
      <c r="Z603" s="337">
        <f t="shared" si="68"/>
        <v>30.316492326242802</v>
      </c>
      <c r="AA603" s="95" t="str">
        <f t="shared" si="70"/>
        <v>Pin d'Alep_F1_Classique_ONF 1993_58_</v>
      </c>
      <c r="AB603" s="1">
        <f t="shared" si="71"/>
        <v>58</v>
      </c>
      <c r="AC603" s="337">
        <f t="shared" si="67"/>
        <v>251.68562413487288</v>
      </c>
      <c r="AD603" s="338">
        <f t="shared" si="72"/>
        <v>247.02946260206377</v>
      </c>
      <c r="AE603" s="1">
        <f t="shared" si="69"/>
        <v>152.52304942019458</v>
      </c>
    </row>
    <row r="604" spans="1:31" hidden="1" x14ac:dyDescent="0.25">
      <c r="A604" s="92" t="s">
        <v>367</v>
      </c>
      <c r="B604" s="92" t="s">
        <v>9</v>
      </c>
      <c r="C604" s="92" t="s">
        <v>18</v>
      </c>
      <c r="D604" s="92" t="s">
        <v>1511</v>
      </c>
      <c r="F604">
        <v>59</v>
      </c>
      <c r="J604" s="347">
        <v>202.60000000000002</v>
      </c>
      <c r="W604" s="336">
        <f>+VLOOKUP(A604,infradensité!$A$2:$B$67,2,FALSE)</f>
        <v>0.45</v>
      </c>
      <c r="X604" s="336">
        <v>1.3</v>
      </c>
      <c r="Y604" s="337">
        <f t="shared" si="66"/>
        <v>118.52100000000003</v>
      </c>
      <c r="Z604" s="337">
        <f t="shared" si="68"/>
        <v>31.329798250134502</v>
      </c>
      <c r="AA604" s="95" t="str">
        <f t="shared" si="70"/>
        <v>Pin d'Alep_F1_Classique_ONF 1993_59_</v>
      </c>
      <c r="AB604" s="1">
        <f t="shared" si="71"/>
        <v>59</v>
      </c>
      <c r="AC604" s="337">
        <f t="shared" si="67"/>
        <v>260.99014028565091</v>
      </c>
      <c r="AD604" s="338">
        <f t="shared" si="72"/>
        <v>256.33788221026191</v>
      </c>
      <c r="AE604" s="1">
        <f t="shared" si="69"/>
        <v>152.52304942019458</v>
      </c>
    </row>
    <row r="605" spans="1:31" hidden="1" x14ac:dyDescent="0.25">
      <c r="A605" s="92" t="s">
        <v>367</v>
      </c>
      <c r="B605" s="92" t="s">
        <v>9</v>
      </c>
      <c r="C605" s="92" t="s">
        <v>18</v>
      </c>
      <c r="D605" s="92" t="s">
        <v>1511</v>
      </c>
      <c r="F605">
        <v>60</v>
      </c>
      <c r="J605" s="346">
        <v>210</v>
      </c>
      <c r="W605" s="336">
        <f>+VLOOKUP(A605,infradensité!$A$2:$B$67,2,FALSE)</f>
        <v>0.45</v>
      </c>
      <c r="X605" s="336">
        <v>1.3</v>
      </c>
      <c r="Y605" s="337">
        <f t="shared" ref="Y605:Y665" si="73">+X605*W605*J605</f>
        <v>122.85000000000002</v>
      </c>
      <c r="Z605" s="337">
        <f t="shared" si="68"/>
        <v>32.338804208515896</v>
      </c>
      <c r="AA605" s="95" t="str">
        <f t="shared" si="70"/>
        <v>Pin d'Alep_F1_Classique_ONF 1993_60_</v>
      </c>
      <c r="AB605" s="1">
        <f t="shared" si="71"/>
        <v>60</v>
      </c>
      <c r="AC605" s="337">
        <f t="shared" ref="AC605:AC665" si="74">+(Z605+Y605)*0.475*44/12</f>
        <v>270.2871673298319</v>
      </c>
      <c r="AD605" s="338">
        <f t="shared" si="72"/>
        <v>265.63865380774143</v>
      </c>
      <c r="AE605" s="1">
        <f t="shared" si="69"/>
        <v>152.52304942019458</v>
      </c>
    </row>
    <row r="606" spans="1:31" hidden="1" x14ac:dyDescent="0.25">
      <c r="A606" s="92" t="s">
        <v>367</v>
      </c>
      <c r="B606" s="92" t="s">
        <v>9</v>
      </c>
      <c r="C606" s="92" t="s">
        <v>18</v>
      </c>
      <c r="D606" s="92" t="s">
        <v>1511</v>
      </c>
      <c r="F606">
        <v>61</v>
      </c>
      <c r="J606" s="346">
        <v>140.5</v>
      </c>
      <c r="W606" s="336">
        <f>+VLOOKUP(A606,infradensité!$A$2:$B$67,2,FALSE)</f>
        <v>0.45</v>
      </c>
      <c r="X606" s="336">
        <v>1.3</v>
      </c>
      <c r="Y606" s="337">
        <f t="shared" si="73"/>
        <v>82.19250000000001</v>
      </c>
      <c r="Z606" s="337">
        <f t="shared" ref="Z606:Z665" si="75">+EXP(-1.0587+0.8836*LN(Y606)+0.284)</f>
        <v>22.672415305819115</v>
      </c>
      <c r="AA606" s="95" t="str">
        <f t="shared" si="70"/>
        <v>Pin d'Alep_F1_Classique_ONF 1993_61_</v>
      </c>
      <c r="AB606" s="1">
        <f t="shared" si="71"/>
        <v>61</v>
      </c>
      <c r="AC606" s="337">
        <f t="shared" si="74"/>
        <v>182.63972749096828</v>
      </c>
      <c r="AD606" s="338">
        <f t="shared" si="72"/>
        <v>226.46344741040008</v>
      </c>
      <c r="AE606" s="1">
        <f t="shared" si="69"/>
        <v>152.52304942019458</v>
      </c>
    </row>
    <row r="607" spans="1:31" hidden="1" x14ac:dyDescent="0.25">
      <c r="A607" s="92" t="s">
        <v>367</v>
      </c>
      <c r="B607" s="92" t="s">
        <v>9</v>
      </c>
      <c r="C607" s="92" t="s">
        <v>18</v>
      </c>
      <c r="D607" s="92" t="s">
        <v>1511</v>
      </c>
      <c r="F607">
        <v>62</v>
      </c>
      <c r="J607" s="346">
        <v>147</v>
      </c>
      <c r="W607" s="336">
        <f>+VLOOKUP(A607,infradensité!$A$2:$B$67,2,FALSE)</f>
        <v>0.45</v>
      </c>
      <c r="X607" s="336">
        <v>1.3</v>
      </c>
      <c r="Y607" s="337">
        <f t="shared" si="73"/>
        <v>85.995000000000005</v>
      </c>
      <c r="Z607" s="337">
        <f t="shared" si="75"/>
        <v>23.596771395162531</v>
      </c>
      <c r="AA607" s="95" t="str">
        <f t="shared" si="70"/>
        <v>Pin d'Alep_F1_Classique_ONF 1993_62_</v>
      </c>
      <c r="AB607" s="1">
        <f t="shared" si="71"/>
        <v>62</v>
      </c>
      <c r="AC607" s="337">
        <f t="shared" si="74"/>
        <v>190.87233517990808</v>
      </c>
      <c r="AD607" s="338">
        <f t="shared" si="72"/>
        <v>186.75603133543819</v>
      </c>
      <c r="AE607" s="1">
        <f t="shared" si="69"/>
        <v>152.52304942019458</v>
      </c>
    </row>
    <row r="608" spans="1:31" hidden="1" x14ac:dyDescent="0.25">
      <c r="A608" s="92" t="s">
        <v>367</v>
      </c>
      <c r="B608" s="92" t="s">
        <v>9</v>
      </c>
      <c r="C608" s="92" t="s">
        <v>18</v>
      </c>
      <c r="D608" s="92" t="s">
        <v>1511</v>
      </c>
      <c r="F608">
        <v>63</v>
      </c>
      <c r="J608" s="346">
        <v>153.5</v>
      </c>
      <c r="W608" s="336">
        <f>+VLOOKUP(A608,infradensité!$A$2:$B$67,2,FALSE)</f>
        <v>0.45</v>
      </c>
      <c r="X608" s="336">
        <v>1.3</v>
      </c>
      <c r="Y608" s="337">
        <f t="shared" si="73"/>
        <v>89.797500000000014</v>
      </c>
      <c r="Z608" s="337">
        <f t="shared" si="75"/>
        <v>24.516380469385524</v>
      </c>
      <c r="AA608" s="95" t="str">
        <f t="shared" si="70"/>
        <v>Pin d'Alep_F1_Classique_ONF 1993_63_</v>
      </c>
      <c r="AB608" s="1">
        <f t="shared" si="71"/>
        <v>63</v>
      </c>
      <c r="AC608" s="337">
        <f t="shared" si="74"/>
        <v>199.09667515084649</v>
      </c>
      <c r="AD608" s="338">
        <f t="shared" si="72"/>
        <v>194.9845051653773</v>
      </c>
      <c r="AE608" s="1">
        <f t="shared" si="69"/>
        <v>152.52304942019458</v>
      </c>
    </row>
    <row r="609" spans="1:31" hidden="1" x14ac:dyDescent="0.25">
      <c r="A609" s="92" t="s">
        <v>367</v>
      </c>
      <c r="B609" s="92" t="s">
        <v>9</v>
      </c>
      <c r="C609" s="92" t="s">
        <v>18</v>
      </c>
      <c r="D609" s="92" t="s">
        <v>1511</v>
      </c>
      <c r="F609">
        <v>64</v>
      </c>
      <c r="J609" s="346">
        <v>160</v>
      </c>
      <c r="W609" s="336">
        <f>+VLOOKUP(A609,infradensité!$A$2:$B$67,2,FALSE)</f>
        <v>0.45</v>
      </c>
      <c r="X609" s="336">
        <v>1.3</v>
      </c>
      <c r="Y609" s="337">
        <f t="shared" si="73"/>
        <v>93.600000000000009</v>
      </c>
      <c r="Z609" s="337">
        <f t="shared" si="75"/>
        <v>25.431466524572937</v>
      </c>
      <c r="AA609" s="95" t="str">
        <f t="shared" si="70"/>
        <v>Pin d'Alep_F1_Classique_ONF 1993_64_</v>
      </c>
      <c r="AB609" s="1">
        <f t="shared" si="71"/>
        <v>64</v>
      </c>
      <c r="AC609" s="337">
        <f t="shared" si="74"/>
        <v>207.31313753029789</v>
      </c>
      <c r="AD609" s="338">
        <f t="shared" si="72"/>
        <v>203.20490634057219</v>
      </c>
      <c r="AE609" s="1">
        <f t="shared" si="69"/>
        <v>152.52304942019458</v>
      </c>
    </row>
    <row r="610" spans="1:31" hidden="1" x14ac:dyDescent="0.25">
      <c r="A610" s="92" t="s">
        <v>367</v>
      </c>
      <c r="B610" s="92" t="s">
        <v>9</v>
      </c>
      <c r="C610" s="92" t="s">
        <v>18</v>
      </c>
      <c r="D610" s="92" t="s">
        <v>1511</v>
      </c>
      <c r="F610">
        <v>65</v>
      </c>
      <c r="J610" s="346">
        <v>166.5</v>
      </c>
      <c r="W610" s="336">
        <f>+VLOOKUP(A610,infradensité!$A$2:$B$67,2,FALSE)</f>
        <v>0.45</v>
      </c>
      <c r="X610" s="336">
        <v>1.3</v>
      </c>
      <c r="Y610" s="337">
        <f t="shared" si="73"/>
        <v>97.402500000000018</v>
      </c>
      <c r="Z610" s="337">
        <f t="shared" si="75"/>
        <v>26.342234327160678</v>
      </c>
      <c r="AA610" s="95" t="str">
        <f t="shared" si="70"/>
        <v>Pin d'Alep_F1_Classique_ONF 1993_65_</v>
      </c>
      <c r="AB610" s="1">
        <f t="shared" si="71"/>
        <v>65</v>
      </c>
      <c r="AC610" s="337">
        <f t="shared" si="74"/>
        <v>215.52207895313822</v>
      </c>
      <c r="AD610" s="338">
        <f t="shared" si="72"/>
        <v>211.41760824171806</v>
      </c>
      <c r="AE610" s="1">
        <f t="shared" ref="AE610:AE625" si="76">+SUM($AD$545:$AD$625)/80</f>
        <v>152.52304942019458</v>
      </c>
    </row>
    <row r="611" spans="1:31" hidden="1" x14ac:dyDescent="0.25">
      <c r="A611" s="92" t="s">
        <v>367</v>
      </c>
      <c r="B611" s="92" t="s">
        <v>9</v>
      </c>
      <c r="C611" s="92" t="s">
        <v>18</v>
      </c>
      <c r="D611" s="92" t="s">
        <v>1511</v>
      </c>
      <c r="F611">
        <v>66</v>
      </c>
      <c r="J611" s="346">
        <v>173</v>
      </c>
      <c r="W611" s="336">
        <f>+VLOOKUP(A611,infradensité!$A$2:$B$67,2,FALSE)</f>
        <v>0.45</v>
      </c>
      <c r="X611" s="336">
        <v>1.3</v>
      </c>
      <c r="Y611" s="337">
        <f t="shared" si="73"/>
        <v>101.20500000000001</v>
      </c>
      <c r="Z611" s="337">
        <f t="shared" si="75"/>
        <v>27.248871750580868</v>
      </c>
      <c r="AA611" s="95" t="str">
        <f t="shared" si="70"/>
        <v>Pin d'Alep_F1_Classique_ONF 1993_66_</v>
      </c>
      <c r="AB611" s="1">
        <f t="shared" si="71"/>
        <v>66</v>
      </c>
      <c r="AC611" s="337">
        <f t="shared" si="74"/>
        <v>223.72382663226168</v>
      </c>
      <c r="AD611" s="338">
        <f t="shared" si="72"/>
        <v>219.62295279269995</v>
      </c>
      <c r="AE611" s="1">
        <f t="shared" si="76"/>
        <v>152.52304942019458</v>
      </c>
    </row>
    <row r="612" spans="1:31" hidden="1" x14ac:dyDescent="0.25">
      <c r="A612" s="92" t="s">
        <v>367</v>
      </c>
      <c r="B612" s="92" t="s">
        <v>9</v>
      </c>
      <c r="C612" s="92" t="s">
        <v>18</v>
      </c>
      <c r="D612" s="92" t="s">
        <v>1511</v>
      </c>
      <c r="F612">
        <v>67</v>
      </c>
      <c r="J612" s="346">
        <v>179.5</v>
      </c>
      <c r="W612" s="336">
        <f>+VLOOKUP(A612,infradensité!$A$2:$B$67,2,FALSE)</f>
        <v>0.45</v>
      </c>
      <c r="X612" s="336">
        <v>1.3</v>
      </c>
      <c r="Y612" s="337">
        <f t="shared" si="73"/>
        <v>105.00750000000001</v>
      </c>
      <c r="Z612" s="337">
        <f t="shared" si="75"/>
        <v>28.151551750861255</v>
      </c>
      <c r="AA612" s="95" t="str">
        <f t="shared" si="70"/>
        <v>Pin d'Alep_F1_Classique_ONF 1993_67_</v>
      </c>
      <c r="AB612" s="1">
        <f t="shared" si="71"/>
        <v>67</v>
      </c>
      <c r="AC612" s="337">
        <f t="shared" si="74"/>
        <v>231.9186817994167</v>
      </c>
      <c r="AD612" s="338">
        <f t="shared" si="72"/>
        <v>227.82125421583919</v>
      </c>
      <c r="AE612" s="1">
        <f t="shared" si="76"/>
        <v>152.52304942019458</v>
      </c>
    </row>
    <row r="613" spans="1:31" hidden="1" x14ac:dyDescent="0.25">
      <c r="A613" s="92" t="s">
        <v>367</v>
      </c>
      <c r="B613" s="92" t="s">
        <v>9</v>
      </c>
      <c r="C613" s="92" t="s">
        <v>18</v>
      </c>
      <c r="D613" s="92" t="s">
        <v>1511</v>
      </c>
      <c r="F613">
        <v>68</v>
      </c>
      <c r="J613" s="346">
        <v>186</v>
      </c>
      <c r="W613" s="336">
        <f>+VLOOKUP(A613,infradensité!$A$2:$B$67,2,FALSE)</f>
        <v>0.45</v>
      </c>
      <c r="X613" s="336">
        <v>1.3</v>
      </c>
      <c r="Y613" s="337">
        <f t="shared" si="73"/>
        <v>108.81000000000002</v>
      </c>
      <c r="Z613" s="337">
        <f t="shared" si="75"/>
        <v>29.05043404802263</v>
      </c>
      <c r="AA613" s="95" t="str">
        <f t="shared" si="70"/>
        <v>Pin d'Alep_F1_Classique_ONF 1993_68_</v>
      </c>
      <c r="AB613" s="1">
        <f t="shared" si="71"/>
        <v>68</v>
      </c>
      <c r="AC613" s="337">
        <f t="shared" si="74"/>
        <v>240.10692263363944</v>
      </c>
      <c r="AD613" s="338">
        <f t="shared" si="72"/>
        <v>236.01280221652809</v>
      </c>
      <c r="AE613" s="1">
        <f t="shared" si="76"/>
        <v>152.52304942019458</v>
      </c>
    </row>
    <row r="614" spans="1:31" hidden="1" x14ac:dyDescent="0.25">
      <c r="A614" s="92" t="s">
        <v>367</v>
      </c>
      <c r="B614" s="92" t="s">
        <v>9</v>
      </c>
      <c r="C614" s="92" t="s">
        <v>18</v>
      </c>
      <c r="D614" s="92" t="s">
        <v>1511</v>
      </c>
      <c r="F614">
        <v>69</v>
      </c>
      <c r="J614" s="346">
        <v>192.5</v>
      </c>
      <c r="W614" s="336">
        <f>+VLOOKUP(A614,infradensité!$A$2:$B$67,2,FALSE)</f>
        <v>0.45</v>
      </c>
      <c r="X614" s="336">
        <v>1.3</v>
      </c>
      <c r="Y614" s="337">
        <f t="shared" si="73"/>
        <v>112.61250000000001</v>
      </c>
      <c r="Z614" s="337">
        <f t="shared" si="75"/>
        <v>29.945666565838753</v>
      </c>
      <c r="AA614" s="95" t="str">
        <f t="shared" si="70"/>
        <v>Pin d'Alep_F1_Classique_ONF 1993_69_</v>
      </c>
      <c r="AB614" s="1">
        <f t="shared" si="71"/>
        <v>69</v>
      </c>
      <c r="AC614" s="337">
        <f t="shared" si="74"/>
        <v>248.28880676883588</v>
      </c>
      <c r="AD614" s="338">
        <f t="shared" si="72"/>
        <v>244.19786470123768</v>
      </c>
      <c r="AE614" s="1">
        <f t="shared" si="76"/>
        <v>152.52304942019458</v>
      </c>
    </row>
    <row r="615" spans="1:31" hidden="1" x14ac:dyDescent="0.25">
      <c r="A615" s="92" t="s">
        <v>367</v>
      </c>
      <c r="B615" s="92" t="s">
        <v>9</v>
      </c>
      <c r="C615" s="92" t="s">
        <v>18</v>
      </c>
      <c r="D615" s="92" t="s">
        <v>1511</v>
      </c>
      <c r="F615">
        <v>70</v>
      </c>
      <c r="J615" s="346">
        <v>199</v>
      </c>
      <c r="W615" s="336">
        <f>+VLOOKUP(A615,infradensité!$A$2:$B$67,2,FALSE)</f>
        <v>0.45</v>
      </c>
      <c r="X615" s="336">
        <v>1.3</v>
      </c>
      <c r="Y615" s="337">
        <f t="shared" si="73"/>
        <v>116.41500000000002</v>
      </c>
      <c r="Z615" s="337">
        <f t="shared" si="75"/>
        <v>30.83738667167226</v>
      </c>
      <c r="AA615" s="95" t="str">
        <f t="shared" si="70"/>
        <v>Pin d'Alep_F1_Classique_ONF 1993_70_</v>
      </c>
      <c r="AB615" s="1">
        <f t="shared" si="71"/>
        <v>70</v>
      </c>
      <c r="AC615" s="337">
        <f t="shared" si="74"/>
        <v>256.46457345316253</v>
      </c>
      <c r="AD615" s="338">
        <f t="shared" si="72"/>
        <v>252.37669011099922</v>
      </c>
      <c r="AE615" s="1">
        <f t="shared" si="76"/>
        <v>152.52304942019458</v>
      </c>
    </row>
    <row r="616" spans="1:31" hidden="1" x14ac:dyDescent="0.25">
      <c r="A616" s="92" t="s">
        <v>367</v>
      </c>
      <c r="B616" s="92" t="s">
        <v>9</v>
      </c>
      <c r="C616" s="92" t="s">
        <v>18</v>
      </c>
      <c r="D616" s="92" t="s">
        <v>1511</v>
      </c>
      <c r="F616">
        <v>71</v>
      </c>
      <c r="J616" s="346">
        <v>205.5</v>
      </c>
      <c r="W616" s="336">
        <f>+VLOOKUP(A616,infradensité!$A$2:$B$67,2,FALSE)</f>
        <v>0.45</v>
      </c>
      <c r="X616" s="336">
        <v>1.3</v>
      </c>
      <c r="Y616" s="337">
        <f t="shared" si="73"/>
        <v>120.21750000000002</v>
      </c>
      <c r="Z616" s="337">
        <f t="shared" si="75"/>
        <v>31.725722249771565</v>
      </c>
      <c r="AA616" s="95" t="str">
        <f t="shared" si="70"/>
        <v>Pin d'Alep_F1_Classique_ONF 1993_71_</v>
      </c>
      <c r="AB616" s="1">
        <f t="shared" si="71"/>
        <v>71</v>
      </c>
      <c r="AC616" s="337">
        <f t="shared" si="74"/>
        <v>264.63444541835213</v>
      </c>
      <c r="AD616" s="338">
        <f t="shared" si="72"/>
        <v>260.54950943575733</v>
      </c>
      <c r="AE616" s="1">
        <f t="shared" si="76"/>
        <v>152.52304942019458</v>
      </c>
    </row>
    <row r="617" spans="1:31" hidden="1" x14ac:dyDescent="0.25">
      <c r="A617" s="92" t="s">
        <v>367</v>
      </c>
      <c r="B617" s="92" t="s">
        <v>9</v>
      </c>
      <c r="C617" s="92" t="s">
        <v>18</v>
      </c>
      <c r="D617" s="92" t="s">
        <v>1511</v>
      </c>
      <c r="F617">
        <v>72</v>
      </c>
      <c r="J617" s="346">
        <v>212</v>
      </c>
      <c r="W617" s="336">
        <f>+VLOOKUP(A617,infradensité!$A$2:$B$67,2,FALSE)</f>
        <v>0.45</v>
      </c>
      <c r="X617" s="336">
        <v>1.3</v>
      </c>
      <c r="Y617" s="337">
        <f t="shared" si="73"/>
        <v>124.02000000000001</v>
      </c>
      <c r="Z617" s="337">
        <f t="shared" si="75"/>
        <v>32.610792634958898</v>
      </c>
      <c r="AA617" s="95" t="str">
        <f t="shared" si="70"/>
        <v>Pin d'Alep_F1_Classique_ONF 1993_72_</v>
      </c>
      <c r="AB617" s="1">
        <f t="shared" si="71"/>
        <v>72</v>
      </c>
      <c r="AC617" s="337">
        <f t="shared" si="74"/>
        <v>272.79863050588676</v>
      </c>
      <c r="AD617" s="338">
        <f t="shared" si="72"/>
        <v>268.71653796211945</v>
      </c>
      <c r="AE617" s="1">
        <f t="shared" si="76"/>
        <v>152.52304942019458</v>
      </c>
    </row>
    <row r="618" spans="1:31" hidden="1" x14ac:dyDescent="0.25">
      <c r="A618" s="92" t="s">
        <v>367</v>
      </c>
      <c r="B618" s="92" t="s">
        <v>9</v>
      </c>
      <c r="C618" s="92" t="s">
        <v>18</v>
      </c>
      <c r="D618" s="92" t="s">
        <v>1511</v>
      </c>
      <c r="F618">
        <v>73</v>
      </c>
      <c r="J618" s="346">
        <v>218.5</v>
      </c>
      <c r="W618" s="336">
        <f>+VLOOKUP(A618,infradensité!$A$2:$B$67,2,FALSE)</f>
        <v>0.45</v>
      </c>
      <c r="X618" s="336">
        <v>1.3</v>
      </c>
      <c r="Y618" s="337">
        <f t="shared" si="73"/>
        <v>127.82250000000002</v>
      </c>
      <c r="Z618" s="337">
        <f t="shared" si="75"/>
        <v>33.492709428592256</v>
      </c>
      <c r="AA618" s="95" t="str">
        <f t="shared" si="70"/>
        <v>Pin d'Alep_F1_Classique_ONF 1993_73_</v>
      </c>
      <c r="AB618" s="1">
        <f t="shared" si="71"/>
        <v>73</v>
      </c>
      <c r="AC618" s="337">
        <f t="shared" si="74"/>
        <v>280.95732308813155</v>
      </c>
      <c r="AD618" s="338">
        <f t="shared" si="72"/>
        <v>276.87797679700918</v>
      </c>
      <c r="AE618" s="1">
        <f t="shared" si="76"/>
        <v>152.52304942019458</v>
      </c>
    </row>
    <row r="619" spans="1:31" hidden="1" x14ac:dyDescent="0.25">
      <c r="A619" s="92" t="s">
        <v>367</v>
      </c>
      <c r="B619" s="92" t="s">
        <v>9</v>
      </c>
      <c r="C619" s="92" t="s">
        <v>18</v>
      </c>
      <c r="D619" s="92" t="s">
        <v>1511</v>
      </c>
      <c r="F619">
        <v>74</v>
      </c>
      <c r="J619" s="347">
        <v>225</v>
      </c>
      <c r="W619" s="336">
        <f>+VLOOKUP(A619,infradensité!$A$2:$B$67,2,FALSE)</f>
        <v>0.45</v>
      </c>
      <c r="X619" s="336">
        <v>1.3</v>
      </c>
      <c r="Y619" s="337">
        <f t="shared" si="73"/>
        <v>131.62500000000003</v>
      </c>
      <c r="Z619" s="337">
        <f t="shared" si="75"/>
        <v>34.371577214705411</v>
      </c>
      <c r="AA619" s="95" t="str">
        <f t="shared" si="70"/>
        <v>Pin d'Alep_F1_Classique_ONF 1993_74_</v>
      </c>
      <c r="AB619" s="1">
        <f t="shared" si="71"/>
        <v>74</v>
      </c>
      <c r="AC619" s="337">
        <f t="shared" si="74"/>
        <v>289.11070531561194</v>
      </c>
      <c r="AD619" s="338">
        <f t="shared" si="72"/>
        <v>285.03401420187174</v>
      </c>
      <c r="AE619" s="1">
        <f t="shared" si="76"/>
        <v>152.52304942019458</v>
      </c>
    </row>
    <row r="620" spans="1:31" hidden="1" x14ac:dyDescent="0.25">
      <c r="A620" s="92" t="s">
        <v>367</v>
      </c>
      <c r="B620" s="92" t="s">
        <v>9</v>
      </c>
      <c r="C620" s="92" t="s">
        <v>18</v>
      </c>
      <c r="D620" s="92" t="s">
        <v>1511</v>
      </c>
      <c r="F620">
        <v>75</v>
      </c>
      <c r="J620" s="346">
        <v>231.5</v>
      </c>
      <c r="W620" s="336">
        <f>+VLOOKUP(A620,infradensité!$A$2:$B$67,2,FALSE)</f>
        <v>0.45</v>
      </c>
      <c r="X620" s="336">
        <v>1.3</v>
      </c>
      <c r="Y620" s="337">
        <f t="shared" si="73"/>
        <v>135.42750000000001</v>
      </c>
      <c r="Z620" s="337">
        <f t="shared" si="75"/>
        <v>35.247494191068036</v>
      </c>
      <c r="AA620" s="95" t="str">
        <f t="shared" si="70"/>
        <v>Pin d'Alep_F1_Classique_ONF 1993_75_</v>
      </c>
      <c r="AB620" s="1">
        <f t="shared" si="71"/>
        <v>75</v>
      </c>
      <c r="AC620" s="337">
        <f t="shared" si="74"/>
        <v>297.25894821611013</v>
      </c>
      <c r="AD620" s="338">
        <f t="shared" si="72"/>
        <v>293.18482676586103</v>
      </c>
      <c r="AE620" s="1">
        <f t="shared" si="76"/>
        <v>152.52304942019458</v>
      </c>
    </row>
    <row r="621" spans="1:31" hidden="1" x14ac:dyDescent="0.25">
      <c r="A621" s="92" t="s">
        <v>367</v>
      </c>
      <c r="B621" s="92" t="s">
        <v>9</v>
      </c>
      <c r="C621" s="92" t="s">
        <v>18</v>
      </c>
      <c r="D621" s="92" t="s">
        <v>1511</v>
      </c>
      <c r="F621">
        <v>76</v>
      </c>
      <c r="J621" s="346">
        <v>238</v>
      </c>
      <c r="W621" s="336">
        <f>+VLOOKUP(A621,infradensité!$A$2:$B$67,2,FALSE)</f>
        <v>0.45</v>
      </c>
      <c r="X621" s="336">
        <v>1.3</v>
      </c>
      <c r="Y621" s="337">
        <f t="shared" si="73"/>
        <v>139.23000000000002</v>
      </c>
      <c r="Z621" s="337">
        <f t="shared" si="75"/>
        <v>36.120552727378737</v>
      </c>
      <c r="AA621" s="95" t="str">
        <f t="shared" si="70"/>
        <v>Pin d'Alep_F1_Classique_ONF 1993_76_</v>
      </c>
      <c r="AB621" s="1">
        <f t="shared" si="71"/>
        <v>76</v>
      </c>
      <c r="AC621" s="337">
        <f t="shared" si="74"/>
        <v>305.40221266685131</v>
      </c>
      <c r="AD621" s="338">
        <f t="shared" si="72"/>
        <v>301.33058044148072</v>
      </c>
      <c r="AE621" s="1">
        <f t="shared" si="76"/>
        <v>152.52304942019458</v>
      </c>
    </row>
    <row r="622" spans="1:31" hidden="1" x14ac:dyDescent="0.25">
      <c r="A622" s="92" t="s">
        <v>367</v>
      </c>
      <c r="B622" s="92" t="s">
        <v>9</v>
      </c>
      <c r="C622" s="92" t="s">
        <v>18</v>
      </c>
      <c r="D622" s="92" t="s">
        <v>1511</v>
      </c>
      <c r="F622">
        <v>77</v>
      </c>
      <c r="J622" s="346">
        <v>244.5</v>
      </c>
      <c r="W622" s="336">
        <f>+VLOOKUP(A622,infradensité!$A$2:$B$67,2,FALSE)</f>
        <v>0.45</v>
      </c>
      <c r="X622" s="336">
        <v>1.3</v>
      </c>
      <c r="Y622" s="337">
        <f t="shared" si="73"/>
        <v>143.03250000000003</v>
      </c>
      <c r="Z622" s="337">
        <f t="shared" si="75"/>
        <v>36.990839860764012</v>
      </c>
      <c r="AA622" s="95" t="str">
        <f t="shared" si="70"/>
        <v>Pin d'Alep_F1_Classique_ONF 1993_77_</v>
      </c>
      <c r="AB622" s="1">
        <f t="shared" si="71"/>
        <v>77</v>
      </c>
      <c r="AC622" s="337">
        <f t="shared" si="74"/>
        <v>313.54065025749742</v>
      </c>
      <c r="AD622" s="338">
        <f t="shared" si="72"/>
        <v>309.47143146217434</v>
      </c>
      <c r="AE622" s="1">
        <f t="shared" si="76"/>
        <v>152.52304942019458</v>
      </c>
    </row>
    <row r="623" spans="1:31" hidden="1" x14ac:dyDescent="0.25">
      <c r="A623" s="92" t="s">
        <v>367</v>
      </c>
      <c r="B623" s="92" t="s">
        <v>9</v>
      </c>
      <c r="C623" s="92" t="s">
        <v>18</v>
      </c>
      <c r="D623" s="92" t="s">
        <v>1511</v>
      </c>
      <c r="F623">
        <v>78</v>
      </c>
      <c r="J623" s="346">
        <v>251</v>
      </c>
      <c r="W623" s="336">
        <f>+VLOOKUP(A623,infradensité!$A$2:$B$67,2,FALSE)</f>
        <v>0.45</v>
      </c>
      <c r="X623" s="336">
        <v>1.3</v>
      </c>
      <c r="Y623" s="337">
        <f t="shared" si="73"/>
        <v>146.83500000000001</v>
      </c>
      <c r="Z623" s="337">
        <f t="shared" si="75"/>
        <v>37.858437737104438</v>
      </c>
      <c r="AA623" s="95" t="str">
        <f t="shared" ref="AA623:AA665" si="77">+_xlfn.CONCAT(A623,"_",B623,"_",C623,"_",D623,"_",AB623,"_")</f>
        <v>Pin d'Alep_F1_Classique_ONF 1993_78_</v>
      </c>
      <c r="AB623" s="1">
        <f t="shared" ref="AB623:AB665" si="78">F623</f>
        <v>78</v>
      </c>
      <c r="AC623" s="337">
        <f t="shared" si="74"/>
        <v>321.67440405879017</v>
      </c>
      <c r="AD623" s="338">
        <f t="shared" si="72"/>
        <v>317.6075271581438</v>
      </c>
      <c r="AE623" s="1">
        <f t="shared" si="76"/>
        <v>152.52304942019458</v>
      </c>
    </row>
    <row r="624" spans="1:31" hidden="1" x14ac:dyDescent="0.25">
      <c r="A624" s="92" t="s">
        <v>367</v>
      </c>
      <c r="B624" s="92" t="s">
        <v>9</v>
      </c>
      <c r="C624" s="92" t="s">
        <v>18</v>
      </c>
      <c r="D624" s="92" t="s">
        <v>1511</v>
      </c>
      <c r="F624">
        <v>79</v>
      </c>
      <c r="J624" s="346">
        <v>257.5</v>
      </c>
      <c r="W624" s="336">
        <f>+VLOOKUP(A624,infradensité!$A$2:$B$67,2,FALSE)</f>
        <v>0.45</v>
      </c>
      <c r="X624" s="336">
        <v>1.3</v>
      </c>
      <c r="Y624" s="337">
        <f t="shared" si="73"/>
        <v>150.63750000000002</v>
      </c>
      <c r="Z624" s="337">
        <f t="shared" si="75"/>
        <v>38.723424005359277</v>
      </c>
      <c r="AA624" s="95" t="str">
        <f t="shared" si="77"/>
        <v>Pin d'Alep_F1_Classique_ONF 1993_79_</v>
      </c>
      <c r="AB624" s="1">
        <f t="shared" si="78"/>
        <v>79</v>
      </c>
      <c r="AC624" s="337">
        <f t="shared" si="74"/>
        <v>329.80360930933409</v>
      </c>
      <c r="AD624" s="338">
        <f t="shared" si="72"/>
        <v>325.73900668406213</v>
      </c>
      <c r="AE624" s="1">
        <f t="shared" si="76"/>
        <v>152.52304942019458</v>
      </c>
    </row>
    <row r="625" spans="1:33" hidden="1" x14ac:dyDescent="0.25">
      <c r="A625" s="92" t="s">
        <v>367</v>
      </c>
      <c r="B625" s="92" t="s">
        <v>9</v>
      </c>
      <c r="C625" s="92" t="s">
        <v>18</v>
      </c>
      <c r="D625" s="92" t="s">
        <v>1511</v>
      </c>
      <c r="F625">
        <v>80</v>
      </c>
      <c r="J625" s="346">
        <v>264</v>
      </c>
      <c r="W625" s="336">
        <f>+VLOOKUP(A625,infradensité!$A$2:$B$67,2,FALSE)</f>
        <v>0.45</v>
      </c>
      <c r="X625" s="336">
        <v>1.3</v>
      </c>
      <c r="Y625" s="337">
        <f t="shared" si="73"/>
        <v>154.44000000000003</v>
      </c>
      <c r="Z625" s="337">
        <f t="shared" si="75"/>
        <v>39.58587217095549</v>
      </c>
      <c r="AA625" s="95" t="str">
        <f t="shared" si="77"/>
        <v>Pin d'Alep_F1_Classique_ONF 1993_80_</v>
      </c>
      <c r="AB625" s="1">
        <f t="shared" si="78"/>
        <v>80</v>
      </c>
      <c r="AC625" s="337">
        <f t="shared" si="74"/>
        <v>337.92839403108087</v>
      </c>
      <c r="AD625" s="338">
        <f t="shared" si="72"/>
        <v>333.86600167020748</v>
      </c>
      <c r="AE625" s="1">
        <f t="shared" si="76"/>
        <v>152.52304942019458</v>
      </c>
    </row>
    <row r="626" spans="1:33" hidden="1" x14ac:dyDescent="0.25">
      <c r="A626" s="92" t="s">
        <v>236</v>
      </c>
      <c r="B626" s="92" t="s">
        <v>144</v>
      </c>
      <c r="C626" s="92" t="s">
        <v>18</v>
      </c>
      <c r="D626" s="92" t="s">
        <v>1517</v>
      </c>
      <c r="F626">
        <v>0</v>
      </c>
      <c r="J626" s="346"/>
      <c r="W626" s="336">
        <f>+VLOOKUP(A626,infradensité!$A$2:$B$67,2,FALSE)</f>
        <v>0.46</v>
      </c>
      <c r="X626" s="336">
        <v>1.3</v>
      </c>
      <c r="Y626" s="337">
        <f t="shared" si="73"/>
        <v>0</v>
      </c>
      <c r="Z626" s="337">
        <v>0</v>
      </c>
      <c r="AA626" s="95" t="str">
        <f t="shared" si="77"/>
        <v>Pin Maritime_F3_Classique_Forêts littorales Atlantiques dunaires_0_</v>
      </c>
      <c r="AB626" s="1">
        <f t="shared" si="78"/>
        <v>0</v>
      </c>
      <c r="AC626" s="337">
        <f t="shared" si="74"/>
        <v>0</v>
      </c>
      <c r="AD626" s="338">
        <f t="shared" si="72"/>
        <v>0</v>
      </c>
      <c r="AE626" s="1">
        <f t="shared" ref="AE626:AE636" si="79">+SUM($AD$626:$AD$636)/55</f>
        <v>170.08623791868141</v>
      </c>
    </row>
    <row r="627" spans="1:33" hidden="1" x14ac:dyDescent="0.25">
      <c r="A627" s="92" t="s">
        <v>236</v>
      </c>
      <c r="B627" s="92" t="s">
        <v>144</v>
      </c>
      <c r="C627" s="92" t="s">
        <v>18</v>
      </c>
      <c r="D627" s="92" t="s">
        <v>1517</v>
      </c>
      <c r="F627" s="92">
        <v>19</v>
      </c>
      <c r="H627" s="4">
        <v>1250</v>
      </c>
      <c r="J627" s="4">
        <v>87.500000000000014</v>
      </c>
      <c r="W627" s="336">
        <f>+VLOOKUP(A627,infradensité!$A$2:$B$67,2,FALSE)</f>
        <v>0.46</v>
      </c>
      <c r="X627" s="336">
        <v>1.3</v>
      </c>
      <c r="Y627" s="337">
        <f t="shared" si="73"/>
        <v>52.325000000000017</v>
      </c>
      <c r="Z627" s="337">
        <f t="shared" si="75"/>
        <v>15.212603524222455</v>
      </c>
      <c r="AA627" s="95" t="str">
        <f t="shared" si="77"/>
        <v>Pin Maritime_F3_Classique_Forêts littorales Atlantiques dunaires_19_</v>
      </c>
      <c r="AB627" s="1">
        <f t="shared" si="78"/>
        <v>19</v>
      </c>
      <c r="AC627" s="337">
        <f t="shared" si="74"/>
        <v>117.62799280468748</v>
      </c>
      <c r="AD627" s="338">
        <f t="shared" si="72"/>
        <v>1117.4659316445311</v>
      </c>
      <c r="AE627" s="1">
        <f t="shared" si="79"/>
        <v>170.08623791868141</v>
      </c>
    </row>
    <row r="628" spans="1:33" hidden="1" x14ac:dyDescent="0.25">
      <c r="A628" s="92" t="s">
        <v>236</v>
      </c>
      <c r="B628" s="92" t="s">
        <v>144</v>
      </c>
      <c r="C628" s="92" t="s">
        <v>18</v>
      </c>
      <c r="D628" s="92" t="s">
        <v>1517</v>
      </c>
      <c r="F628" s="92">
        <v>19</v>
      </c>
      <c r="H628" s="4">
        <v>800</v>
      </c>
      <c r="J628" s="4">
        <v>56</v>
      </c>
      <c r="O628" s="93">
        <f>+J627-J628</f>
        <v>31.500000000000014</v>
      </c>
      <c r="W628" s="336">
        <f>+VLOOKUP(A628,infradensité!$A$2:$B$67,2,FALSE)</f>
        <v>0.46</v>
      </c>
      <c r="X628" s="336">
        <v>1.3</v>
      </c>
      <c r="Y628" s="337">
        <f t="shared" si="73"/>
        <v>33.488000000000007</v>
      </c>
      <c r="Z628" s="337">
        <f t="shared" si="75"/>
        <v>10.255200877844667</v>
      </c>
      <c r="AA628" s="95" t="str">
        <f t="shared" si="77"/>
        <v>Pin Maritime_F3_Classique_Forêts littorales Atlantiques dunaires_19_</v>
      </c>
      <c r="AB628" s="1">
        <f t="shared" si="78"/>
        <v>19</v>
      </c>
      <c r="AC628" s="337">
        <f t="shared" si="74"/>
        <v>76.18607486224613</v>
      </c>
      <c r="AD628" s="338">
        <f t="shared" si="72"/>
        <v>0</v>
      </c>
      <c r="AE628" s="1">
        <f t="shared" si="79"/>
        <v>170.08623791868141</v>
      </c>
      <c r="AF628">
        <f>+O628*0.43</f>
        <v>13.545000000000005</v>
      </c>
    </row>
    <row r="629" spans="1:33" hidden="1" x14ac:dyDescent="0.25">
      <c r="A629" s="92" t="s">
        <v>236</v>
      </c>
      <c r="B629" s="92" t="s">
        <v>144</v>
      </c>
      <c r="C629" s="92" t="s">
        <v>18</v>
      </c>
      <c r="D629" s="92" t="s">
        <v>1517</v>
      </c>
      <c r="F629" s="92">
        <v>24</v>
      </c>
      <c r="H629" s="4">
        <v>800</v>
      </c>
      <c r="J629" s="4">
        <v>120</v>
      </c>
      <c r="W629" s="336">
        <f>+VLOOKUP(A629,infradensité!$A$2:$B$67,2,FALSE)</f>
        <v>0.46</v>
      </c>
      <c r="X629" s="336">
        <v>1.3</v>
      </c>
      <c r="Y629" s="337">
        <f t="shared" si="73"/>
        <v>71.760000000000005</v>
      </c>
      <c r="Z629" s="337">
        <f t="shared" si="75"/>
        <v>20.109893936516215</v>
      </c>
      <c r="AA629" s="95" t="str">
        <f t="shared" si="77"/>
        <v>Pin Maritime_F3_Classique_Forêts littorales Atlantiques dunaires_24_</v>
      </c>
      <c r="AB629" s="1">
        <f t="shared" si="78"/>
        <v>24</v>
      </c>
      <c r="AC629" s="337">
        <f t="shared" si="74"/>
        <v>160.0067319394324</v>
      </c>
      <c r="AD629" s="338">
        <f t="shared" si="72"/>
        <v>590.48201700419634</v>
      </c>
      <c r="AE629" s="1">
        <f t="shared" si="79"/>
        <v>170.08623791868141</v>
      </c>
    </row>
    <row r="630" spans="1:33" hidden="1" x14ac:dyDescent="0.25">
      <c r="A630" s="92" t="s">
        <v>236</v>
      </c>
      <c r="B630" s="92" t="s">
        <v>144</v>
      </c>
      <c r="C630" s="92" t="s">
        <v>18</v>
      </c>
      <c r="D630" s="92" t="s">
        <v>1517</v>
      </c>
      <c r="F630" s="92">
        <v>24</v>
      </c>
      <c r="H630" s="4">
        <v>550</v>
      </c>
      <c r="J630" s="4">
        <v>82.5</v>
      </c>
      <c r="O630" s="93">
        <f t="shared" ref="O630:O635" si="80">+J629-J630</f>
        <v>37.5</v>
      </c>
      <c r="W630" s="336">
        <f>+VLOOKUP(A630,infradensité!$A$2:$B$67,2,FALSE)</f>
        <v>0.46</v>
      </c>
      <c r="X630" s="336">
        <v>1.3</v>
      </c>
      <c r="Y630" s="337">
        <f t="shared" si="73"/>
        <v>49.335000000000008</v>
      </c>
      <c r="Z630" s="337">
        <f t="shared" si="75"/>
        <v>14.441886914512995</v>
      </c>
      <c r="AA630" s="95" t="str">
        <f t="shared" si="77"/>
        <v>Pin Maritime_F3_Classique_Forêts littorales Atlantiques dunaires_24_</v>
      </c>
      <c r="AB630" s="1">
        <f t="shared" si="78"/>
        <v>24</v>
      </c>
      <c r="AC630" s="337">
        <f t="shared" si="74"/>
        <v>111.0780780427768</v>
      </c>
      <c r="AD630" s="338">
        <f t="shared" si="72"/>
        <v>0</v>
      </c>
      <c r="AE630" s="1">
        <f t="shared" si="79"/>
        <v>170.08623791868141</v>
      </c>
      <c r="AF630">
        <f>0.43*O630</f>
        <v>16.125</v>
      </c>
    </row>
    <row r="631" spans="1:33" s="297" customFormat="1" hidden="1" x14ac:dyDescent="0.25">
      <c r="A631" s="92" t="s">
        <v>236</v>
      </c>
      <c r="B631" s="92" t="s">
        <v>144</v>
      </c>
      <c r="C631" s="92" t="s">
        <v>18</v>
      </c>
      <c r="D631" s="92" t="s">
        <v>1517</v>
      </c>
      <c r="E631" s="96"/>
      <c r="F631" s="96">
        <v>30</v>
      </c>
      <c r="G631" s="96"/>
      <c r="H631" s="96">
        <v>550</v>
      </c>
      <c r="I631" s="96"/>
      <c r="J631" s="96">
        <v>156</v>
      </c>
      <c r="K631" s="96"/>
      <c r="L631" s="96"/>
      <c r="M631" s="96"/>
      <c r="N631" s="96"/>
      <c r="O631" s="93"/>
      <c r="P631" s="96"/>
      <c r="Q631" s="96"/>
      <c r="R631" s="96"/>
      <c r="S631" s="96"/>
      <c r="T631" s="96"/>
      <c r="U631" s="96"/>
      <c r="V631" s="96"/>
      <c r="W631" s="336">
        <f>+VLOOKUP(A631,infradensité!$A$2:$B$67,2,FALSE)</f>
        <v>0.46</v>
      </c>
      <c r="X631" s="336">
        <v>1.3</v>
      </c>
      <c r="Y631" s="337">
        <f t="shared" si="73"/>
        <v>93.288000000000011</v>
      </c>
      <c r="Z631" s="337">
        <f t="shared" si="75"/>
        <v>25.356547829040977</v>
      </c>
      <c r="AA631" s="95" t="str">
        <f t="shared" si="77"/>
        <v>Pin Maritime_F3_Classique_Forêts littorales Atlantiques dunaires_30_</v>
      </c>
      <c r="AB631" s="1">
        <f t="shared" si="78"/>
        <v>30</v>
      </c>
      <c r="AC631" s="337">
        <f t="shared" si="74"/>
        <v>206.63925413557971</v>
      </c>
      <c r="AD631" s="338">
        <f t="shared" si="72"/>
        <v>953.15199653506954</v>
      </c>
      <c r="AE631" s="1">
        <f t="shared" si="79"/>
        <v>170.08623791868141</v>
      </c>
      <c r="AG631" s="297">
        <f>+AF630+AF628</f>
        <v>29.670000000000005</v>
      </c>
    </row>
    <row r="632" spans="1:33" hidden="1" x14ac:dyDescent="0.25">
      <c r="A632" s="92" t="s">
        <v>236</v>
      </c>
      <c r="B632" s="92" t="s">
        <v>144</v>
      </c>
      <c r="C632" s="92" t="s">
        <v>18</v>
      </c>
      <c r="D632" s="92" t="s">
        <v>1517</v>
      </c>
      <c r="F632" s="92">
        <v>32</v>
      </c>
      <c r="H632" s="4">
        <v>550</v>
      </c>
      <c r="J632" s="4">
        <v>181.5</v>
      </c>
      <c r="W632" s="336">
        <f>+VLOOKUP(A632,infradensité!$A$2:$B$67,2,FALSE)</f>
        <v>0.46</v>
      </c>
      <c r="X632" s="336">
        <v>1.3</v>
      </c>
      <c r="Y632" s="337">
        <f t="shared" si="73"/>
        <v>108.53700000000002</v>
      </c>
      <c r="Z632" s="337">
        <f t="shared" si="75"/>
        <v>28.986022217646841</v>
      </c>
      <c r="AA632" s="95" t="str">
        <f t="shared" si="77"/>
        <v>Pin Maritime_F3_Classique_Forêts littorales Atlantiques dunaires_32_</v>
      </c>
      <c r="AB632" s="1">
        <f t="shared" si="78"/>
        <v>32</v>
      </c>
      <c r="AC632" s="337">
        <f t="shared" si="74"/>
        <v>239.51926369573494</v>
      </c>
      <c r="AD632" s="338">
        <f t="shared" si="72"/>
        <v>446.15851783131461</v>
      </c>
      <c r="AE632" s="1">
        <f t="shared" si="79"/>
        <v>170.08623791868141</v>
      </c>
    </row>
    <row r="633" spans="1:33" hidden="1" x14ac:dyDescent="0.25">
      <c r="A633" s="92" t="s">
        <v>236</v>
      </c>
      <c r="B633" s="92" t="s">
        <v>144</v>
      </c>
      <c r="C633" s="92" t="s">
        <v>18</v>
      </c>
      <c r="D633" s="92" t="s">
        <v>1517</v>
      </c>
      <c r="F633" s="92">
        <v>32</v>
      </c>
      <c r="H633" s="4">
        <v>380</v>
      </c>
      <c r="J633" s="4">
        <v>125.4</v>
      </c>
      <c r="O633" s="93">
        <f t="shared" si="80"/>
        <v>56.099999999999994</v>
      </c>
      <c r="W633" s="336">
        <f>+VLOOKUP(A633,infradensité!$A$2:$B$67,2,FALSE)</f>
        <v>0.46</v>
      </c>
      <c r="X633" s="336">
        <v>1.3</v>
      </c>
      <c r="Y633" s="337">
        <f t="shared" si="73"/>
        <v>74.989200000000011</v>
      </c>
      <c r="Z633" s="337">
        <f t="shared" si="75"/>
        <v>20.907443618509163</v>
      </c>
      <c r="AA633" s="95" t="str">
        <f t="shared" si="77"/>
        <v>Pin Maritime_F3_Classique_Forêts littorales Atlantiques dunaires_32_</v>
      </c>
      <c r="AB633" s="1">
        <f t="shared" si="78"/>
        <v>32</v>
      </c>
      <c r="AC633" s="337">
        <f t="shared" si="74"/>
        <v>167.01998763557012</v>
      </c>
      <c r="AD633" s="338">
        <f t="shared" si="72"/>
        <v>0</v>
      </c>
      <c r="AE633" s="1">
        <f t="shared" si="79"/>
        <v>170.08623791868141</v>
      </c>
    </row>
    <row r="634" spans="1:33" hidden="1" x14ac:dyDescent="0.25">
      <c r="A634" s="92" t="s">
        <v>236</v>
      </c>
      <c r="B634" s="92" t="s">
        <v>144</v>
      </c>
      <c r="C634" s="92" t="s">
        <v>18</v>
      </c>
      <c r="D634" s="92" t="s">
        <v>1517</v>
      </c>
      <c r="F634" s="92">
        <v>42</v>
      </c>
      <c r="H634" s="4">
        <v>380</v>
      </c>
      <c r="J634" s="4">
        <v>235.6</v>
      </c>
      <c r="W634" s="336">
        <f>+VLOOKUP(A634,infradensité!$A$2:$B$67,2,FALSE)</f>
        <v>0.46</v>
      </c>
      <c r="X634" s="336">
        <v>1.3</v>
      </c>
      <c r="Y634" s="337">
        <f t="shared" si="73"/>
        <v>140.8888</v>
      </c>
      <c r="Z634" s="337">
        <f t="shared" si="75"/>
        <v>36.500542039399996</v>
      </c>
      <c r="AA634" s="95" t="str">
        <f t="shared" si="77"/>
        <v>Pin Maritime_F3_Classique_Forêts littorales Atlantiques dunaires_42_</v>
      </c>
      <c r="AB634" s="1">
        <f t="shared" si="78"/>
        <v>42</v>
      </c>
      <c r="AC634" s="337">
        <f t="shared" si="74"/>
        <v>308.95310405195499</v>
      </c>
      <c r="AD634" s="338">
        <f t="shared" si="72"/>
        <v>2379.8654584376254</v>
      </c>
      <c r="AE634" s="1">
        <f t="shared" si="79"/>
        <v>170.08623791868141</v>
      </c>
    </row>
    <row r="635" spans="1:33" hidden="1" x14ac:dyDescent="0.25">
      <c r="A635" s="92" t="s">
        <v>236</v>
      </c>
      <c r="B635" s="92" t="s">
        <v>144</v>
      </c>
      <c r="C635" s="92" t="s">
        <v>18</v>
      </c>
      <c r="D635" s="92" t="s">
        <v>1517</v>
      </c>
      <c r="F635" s="92">
        <v>42</v>
      </c>
      <c r="H635" s="4">
        <v>280</v>
      </c>
      <c r="J635" s="4">
        <v>173.6</v>
      </c>
      <c r="O635" s="93">
        <f t="shared" si="80"/>
        <v>62</v>
      </c>
      <c r="W635" s="336">
        <f>+VLOOKUP(A635,infradensité!$A$2:$B$67,2,FALSE)</f>
        <v>0.46</v>
      </c>
      <c r="X635" s="336">
        <v>1.3</v>
      </c>
      <c r="Y635" s="337">
        <f t="shared" si="73"/>
        <v>103.81280000000001</v>
      </c>
      <c r="Z635" s="337">
        <f t="shared" si="75"/>
        <v>27.868356940127882</v>
      </c>
      <c r="AA635" s="95" t="str">
        <f t="shared" si="77"/>
        <v>Pin Maritime_F3_Classique_Forêts littorales Atlantiques dunaires_42_</v>
      </c>
      <c r="AB635" s="1">
        <f t="shared" si="78"/>
        <v>42</v>
      </c>
      <c r="AC635" s="337">
        <f t="shared" si="74"/>
        <v>229.34468167072271</v>
      </c>
      <c r="AD635" s="338">
        <f t="shared" si="72"/>
        <v>0</v>
      </c>
      <c r="AE635" s="1">
        <f t="shared" si="79"/>
        <v>170.08623791868141</v>
      </c>
    </row>
    <row r="636" spans="1:33" hidden="1" x14ac:dyDescent="0.25">
      <c r="A636" s="92" t="s">
        <v>236</v>
      </c>
      <c r="B636" s="92" t="s">
        <v>144</v>
      </c>
      <c r="C636" s="92" t="s">
        <v>18</v>
      </c>
      <c r="D636" s="92" t="s">
        <v>1517</v>
      </c>
      <c r="F636" s="92">
        <v>55</v>
      </c>
      <c r="H636" s="4">
        <v>280</v>
      </c>
      <c r="J636" s="4">
        <v>280</v>
      </c>
      <c r="W636" s="336">
        <f>+VLOOKUP(A636,infradensité!$A$2:$B$67,2,FALSE)</f>
        <v>0.46</v>
      </c>
      <c r="X636" s="336">
        <v>1.3</v>
      </c>
      <c r="Y636" s="337">
        <f t="shared" si="73"/>
        <v>167.44000000000003</v>
      </c>
      <c r="Z636" s="337">
        <f t="shared" si="75"/>
        <v>42.516163405082935</v>
      </c>
      <c r="AA636" s="95" t="str">
        <f t="shared" si="77"/>
        <v>Pin Maritime_F3_Classique_Forêts littorales Atlantiques dunaires_55_</v>
      </c>
      <c r="AB636" s="1">
        <f t="shared" si="78"/>
        <v>55</v>
      </c>
      <c r="AC636" s="337">
        <f t="shared" si="74"/>
        <v>365.67365126385283</v>
      </c>
      <c r="AD636" s="338">
        <f t="shared" si="72"/>
        <v>3867.6191640747406</v>
      </c>
      <c r="AE636" s="1">
        <f t="shared" si="79"/>
        <v>170.08623791868141</v>
      </c>
    </row>
    <row r="637" spans="1:33" hidden="1" x14ac:dyDescent="0.25">
      <c r="A637" s="92" t="s">
        <v>389</v>
      </c>
      <c r="B637" s="92" t="s">
        <v>144</v>
      </c>
      <c r="C637" s="92" t="s">
        <v>18</v>
      </c>
      <c r="D637" s="92" t="s">
        <v>1519</v>
      </c>
      <c r="F637" s="92">
        <v>0</v>
      </c>
      <c r="J637" s="4">
        <f>F637*J639/47</f>
        <v>0</v>
      </c>
      <c r="W637" s="336">
        <f>+VLOOKUP(A637,infradensité!$A$2:$B$67,2,FALSE)</f>
        <v>0.57999999999999996</v>
      </c>
      <c r="X637" s="336">
        <v>1.3</v>
      </c>
      <c r="Y637" s="337">
        <f t="shared" si="73"/>
        <v>0</v>
      </c>
      <c r="Z637" s="337">
        <v>0</v>
      </c>
      <c r="AA637" s="95" t="str">
        <f t="shared" si="77"/>
        <v>Chêne sessile_F3_Classique_Guide chênaie atlantique - Mémento Sylvicole Coupes_0_</v>
      </c>
      <c r="AB637" s="1">
        <f t="shared" si="78"/>
        <v>0</v>
      </c>
      <c r="AC637" s="337">
        <f t="shared" si="74"/>
        <v>0</v>
      </c>
      <c r="AD637" s="338">
        <f t="shared" si="72"/>
        <v>0</v>
      </c>
      <c r="AE637" s="1">
        <f>+SUM($AD$637:$AD$665)/190</f>
        <v>269.60791697541794</v>
      </c>
    </row>
    <row r="638" spans="1:33" ht="30" hidden="1" x14ac:dyDescent="0.25">
      <c r="A638" s="92" t="s">
        <v>389</v>
      </c>
      <c r="B638" s="92" t="s">
        <v>144</v>
      </c>
      <c r="C638" s="92" t="s">
        <v>18</v>
      </c>
      <c r="D638" s="92" t="s">
        <v>1519</v>
      </c>
      <c r="F638" s="92">
        <v>30</v>
      </c>
      <c r="J638" s="96">
        <f>+J639/47*30</f>
        <v>81</v>
      </c>
      <c r="K638" s="352" t="s">
        <v>1518</v>
      </c>
      <c r="W638" s="336">
        <f>+VLOOKUP(A638,infradensité!$A$2:$B$67,2,FALSE)</f>
        <v>0.57999999999999996</v>
      </c>
      <c r="X638" s="336">
        <v>1.3</v>
      </c>
      <c r="Y638" s="337">
        <f t="shared" si="73"/>
        <v>61.073999999999998</v>
      </c>
      <c r="Z638" s="337">
        <f t="shared" si="75"/>
        <v>17.439528890067717</v>
      </c>
      <c r="AA638" s="95" t="str">
        <f t="shared" si="77"/>
        <v>Chêne sessile_F3_Classique_Guide chênaie atlantique - Mémento Sylvicole Coupes_30_</v>
      </c>
      <c r="AB638" s="1">
        <f t="shared" si="78"/>
        <v>30</v>
      </c>
      <c r="AC638" s="337">
        <f t="shared" si="74"/>
        <v>136.74439615020125</v>
      </c>
      <c r="AD638" s="338">
        <f t="shared" si="72"/>
        <v>2051.1659422530188</v>
      </c>
      <c r="AE638" s="1">
        <f t="shared" ref="AE638:AE665" si="81">+SUM($AD$637:$AD$665)/190</f>
        <v>269.60791697541794</v>
      </c>
    </row>
    <row r="639" spans="1:33" hidden="1" x14ac:dyDescent="0.25">
      <c r="A639" s="92" t="s">
        <v>389</v>
      </c>
      <c r="B639" s="92" t="s">
        <v>144</v>
      </c>
      <c r="C639" s="92" t="s">
        <v>18</v>
      </c>
      <c r="D639" s="92" t="s">
        <v>1519</v>
      </c>
      <c r="F639" s="92">
        <v>47</v>
      </c>
      <c r="J639" s="96">
        <v>126.9</v>
      </c>
      <c r="W639" s="336">
        <f>+VLOOKUP(A639,infradensité!$A$2:$B$67,2,FALSE)</f>
        <v>0.57999999999999996</v>
      </c>
      <c r="X639" s="336">
        <v>1.3</v>
      </c>
      <c r="Y639" s="337">
        <f t="shared" si="73"/>
        <v>95.682600000000008</v>
      </c>
      <c r="Z639" s="337">
        <f t="shared" si="75"/>
        <v>25.930809542453641</v>
      </c>
      <c r="AA639" s="95" t="str">
        <f t="shared" si="77"/>
        <v>Chêne sessile_F3_Classique_Guide chênaie atlantique - Mémento Sylvicole Coupes_47_</v>
      </c>
      <c r="AB639" s="1">
        <f t="shared" si="78"/>
        <v>47</v>
      </c>
      <c r="AC639" s="337">
        <f t="shared" si="74"/>
        <v>211.81002161977344</v>
      </c>
      <c r="AD639" s="338">
        <f t="shared" si="72"/>
        <v>2962.712551044785</v>
      </c>
      <c r="AE639" s="1">
        <f t="shared" si="81"/>
        <v>269.60791697541794</v>
      </c>
    </row>
    <row r="640" spans="1:33" hidden="1" x14ac:dyDescent="0.25">
      <c r="A640" s="92" t="s">
        <v>389</v>
      </c>
      <c r="B640" s="92" t="s">
        <v>144</v>
      </c>
      <c r="C640" s="92" t="s">
        <v>18</v>
      </c>
      <c r="D640" s="92" t="s">
        <v>1519</v>
      </c>
      <c r="F640" s="92">
        <v>47</v>
      </c>
      <c r="J640" s="96">
        <v>71.400000000000006</v>
      </c>
      <c r="W640" s="336">
        <f>+VLOOKUP(A640,infradensité!$A$2:$B$67,2,FALSE)</f>
        <v>0.57999999999999996</v>
      </c>
      <c r="X640" s="336">
        <v>1.3</v>
      </c>
      <c r="Y640" s="337">
        <f t="shared" si="73"/>
        <v>53.835600000000007</v>
      </c>
      <c r="Z640" s="337">
        <f t="shared" si="75"/>
        <v>15.600018953409981</v>
      </c>
      <c r="AA640" s="95" t="str">
        <f t="shared" si="77"/>
        <v>Chêne sessile_F3_Classique_Guide chênaie atlantique - Mémento Sylvicole Coupes_47_</v>
      </c>
      <c r="AB640" s="1">
        <f t="shared" si="78"/>
        <v>47</v>
      </c>
      <c r="AC640" s="337">
        <f t="shared" si="74"/>
        <v>120.93370301052239</v>
      </c>
      <c r="AD640" s="338">
        <f t="shared" si="72"/>
        <v>0</v>
      </c>
      <c r="AE640" s="1">
        <f t="shared" si="81"/>
        <v>269.60791697541794</v>
      </c>
    </row>
    <row r="641" spans="1:31" hidden="1" x14ac:dyDescent="0.25">
      <c r="A641" s="92" t="s">
        <v>389</v>
      </c>
      <c r="B641" s="92" t="s">
        <v>144</v>
      </c>
      <c r="C641" s="92" t="s">
        <v>18</v>
      </c>
      <c r="D641" s="92" t="s">
        <v>1519</v>
      </c>
      <c r="F641" s="92">
        <v>55</v>
      </c>
      <c r="J641" s="96">
        <v>108.3</v>
      </c>
      <c r="W641" s="336">
        <f>+VLOOKUP(A641,infradensité!$A$2:$B$67,2,FALSE)</f>
        <v>0.57999999999999996</v>
      </c>
      <c r="X641" s="336">
        <v>1.3</v>
      </c>
      <c r="Y641" s="337">
        <f t="shared" si="73"/>
        <v>81.658199999999994</v>
      </c>
      <c r="Z641" s="337">
        <f t="shared" si="75"/>
        <v>22.542137283990165</v>
      </c>
      <c r="AA641" s="95" t="str">
        <f t="shared" si="77"/>
        <v>Chêne sessile_F3_Classique_Guide chênaie atlantique - Mémento Sylvicole Coupes_55_</v>
      </c>
      <c r="AB641" s="1">
        <f t="shared" si="78"/>
        <v>55</v>
      </c>
      <c r="AC641" s="337">
        <f t="shared" si="74"/>
        <v>181.4822541029495</v>
      </c>
      <c r="AD641" s="338">
        <f t="shared" si="72"/>
        <v>1209.6638284538876</v>
      </c>
      <c r="AE641" s="1">
        <f t="shared" si="81"/>
        <v>269.60791697541794</v>
      </c>
    </row>
    <row r="642" spans="1:31" hidden="1" x14ac:dyDescent="0.25">
      <c r="A642" s="92" t="s">
        <v>389</v>
      </c>
      <c r="B642" s="92" t="s">
        <v>144</v>
      </c>
      <c r="C642" s="92" t="s">
        <v>18</v>
      </c>
      <c r="D642" s="92" t="s">
        <v>1519</v>
      </c>
      <c r="F642" s="92">
        <v>55</v>
      </c>
      <c r="J642" s="96">
        <v>79.2</v>
      </c>
      <c r="W642" s="336">
        <f>+VLOOKUP(A642,infradensité!$A$2:$B$67,2,FALSE)</f>
        <v>0.57999999999999996</v>
      </c>
      <c r="X642" s="336">
        <v>1.3</v>
      </c>
      <c r="Y642" s="337">
        <f t="shared" si="73"/>
        <v>59.716799999999999</v>
      </c>
      <c r="Z642" s="337">
        <f t="shared" si="75"/>
        <v>17.096647463151534</v>
      </c>
      <c r="AA642" s="95" t="str">
        <f t="shared" si="77"/>
        <v>Chêne sessile_F3_Classique_Guide chênaie atlantique - Mémento Sylvicole Coupes_55_</v>
      </c>
      <c r="AB642" s="1">
        <f t="shared" si="78"/>
        <v>55</v>
      </c>
      <c r="AC642" s="337">
        <f t="shared" si="74"/>
        <v>133.78342099832227</v>
      </c>
      <c r="AD642" s="338">
        <f t="shared" si="72"/>
        <v>0</v>
      </c>
      <c r="AE642" s="1">
        <f t="shared" si="81"/>
        <v>269.60791697541794</v>
      </c>
    </row>
    <row r="643" spans="1:31" hidden="1" x14ac:dyDescent="0.25">
      <c r="A643" s="92" t="s">
        <v>389</v>
      </c>
      <c r="B643" s="92" t="s">
        <v>144</v>
      </c>
      <c r="C643" s="92" t="s">
        <v>18</v>
      </c>
      <c r="D643" s="92" t="s">
        <v>1519</v>
      </c>
      <c r="F643" s="92">
        <v>63</v>
      </c>
      <c r="J643" s="4">
        <v>117</v>
      </c>
      <c r="W643" s="336">
        <f>+VLOOKUP(A643,infradensité!$A$2:$B$67,2,FALSE)</f>
        <v>0.57999999999999996</v>
      </c>
      <c r="X643" s="336">
        <v>1.3</v>
      </c>
      <c r="Y643" s="337">
        <f t="shared" si="73"/>
        <v>88.218000000000004</v>
      </c>
      <c r="Z643" s="337">
        <f t="shared" si="75"/>
        <v>24.134950560421586</v>
      </c>
      <c r="AA643" s="95" t="str">
        <f t="shared" si="77"/>
        <v>Chêne sessile_F3_Classique_Guide chênaie atlantique - Mémento Sylvicole Coupes_63_</v>
      </c>
      <c r="AB643" s="1">
        <f t="shared" si="78"/>
        <v>63</v>
      </c>
      <c r="AC643" s="337">
        <f t="shared" si="74"/>
        <v>195.68138889273428</v>
      </c>
      <c r="AD643" s="338">
        <f t="shared" si="72"/>
        <v>1317.8592395642263</v>
      </c>
      <c r="AE643" s="1">
        <f t="shared" si="81"/>
        <v>269.60791697541794</v>
      </c>
    </row>
    <row r="644" spans="1:31" hidden="1" x14ac:dyDescent="0.25">
      <c r="A644" s="92" t="s">
        <v>389</v>
      </c>
      <c r="B644" s="92" t="s">
        <v>144</v>
      </c>
      <c r="C644" s="92" t="s">
        <v>18</v>
      </c>
      <c r="D644" s="92" t="s">
        <v>1519</v>
      </c>
      <c r="F644" s="92">
        <v>63</v>
      </c>
      <c r="J644" s="4">
        <v>92</v>
      </c>
      <c r="W644" s="336">
        <f>+VLOOKUP(A644,infradensité!$A$2:$B$67,2,FALSE)</f>
        <v>0.57999999999999996</v>
      </c>
      <c r="X644" s="336">
        <v>1.3</v>
      </c>
      <c r="Y644" s="337">
        <f t="shared" si="73"/>
        <v>69.367999999999995</v>
      </c>
      <c r="Z644" s="337">
        <f t="shared" si="75"/>
        <v>19.516426948203531</v>
      </c>
      <c r="AA644" s="95" t="str">
        <f t="shared" si="77"/>
        <v>Chêne sessile_F3_Classique_Guide chênaie atlantique - Mémento Sylvicole Coupes_63_</v>
      </c>
      <c r="AB644" s="1">
        <f t="shared" si="78"/>
        <v>63</v>
      </c>
      <c r="AC644" s="337">
        <f t="shared" si="74"/>
        <v>154.80704360145447</v>
      </c>
      <c r="AD644" s="338">
        <f t="shared" si="72"/>
        <v>0</v>
      </c>
      <c r="AE644" s="1">
        <f t="shared" si="81"/>
        <v>269.60791697541794</v>
      </c>
    </row>
    <row r="645" spans="1:31" hidden="1" x14ac:dyDescent="0.25">
      <c r="A645" s="92" t="s">
        <v>389</v>
      </c>
      <c r="B645" s="92" t="s">
        <v>144</v>
      </c>
      <c r="C645" s="92" t="s">
        <v>18</v>
      </c>
      <c r="D645" s="92" t="s">
        <v>1519</v>
      </c>
      <c r="F645" s="92">
        <v>73</v>
      </c>
      <c r="J645" s="4">
        <v>137</v>
      </c>
      <c r="W645" s="336">
        <f>+VLOOKUP(A645,infradensité!$A$2:$B$67,2,FALSE)</f>
        <v>0.57999999999999996</v>
      </c>
      <c r="X645" s="336">
        <v>1.3</v>
      </c>
      <c r="Y645" s="337">
        <f t="shared" si="73"/>
        <v>103.298</v>
      </c>
      <c r="Z645" s="337">
        <f t="shared" si="75"/>
        <v>27.746210655823507</v>
      </c>
      <c r="AA645" s="95" t="str">
        <f t="shared" si="77"/>
        <v>Chêne sessile_F3_Classique_Guide chênaie atlantique - Mémento Sylvicole Coupes_73_</v>
      </c>
      <c r="AB645" s="1">
        <f t="shared" si="78"/>
        <v>73</v>
      </c>
      <c r="AC645" s="337">
        <f t="shared" si="74"/>
        <v>228.23533355889262</v>
      </c>
      <c r="AD645" s="338">
        <f t="shared" si="72"/>
        <v>1915.2118858017354</v>
      </c>
      <c r="AE645" s="1">
        <f t="shared" si="81"/>
        <v>269.60791697541794</v>
      </c>
    </row>
    <row r="646" spans="1:31" hidden="1" x14ac:dyDescent="0.25">
      <c r="A646" s="92" t="s">
        <v>389</v>
      </c>
      <c r="B646" s="92" t="s">
        <v>144</v>
      </c>
      <c r="C646" s="92" t="s">
        <v>18</v>
      </c>
      <c r="D646" s="92" t="s">
        <v>1519</v>
      </c>
      <c r="F646" s="92">
        <v>73</v>
      </c>
      <c r="J646" s="4">
        <v>112</v>
      </c>
      <c r="W646" s="336">
        <f>+VLOOKUP(A646,infradensité!$A$2:$B$67,2,FALSE)</f>
        <v>0.57999999999999996</v>
      </c>
      <c r="X646" s="336">
        <v>1.3</v>
      </c>
      <c r="Y646" s="337">
        <f t="shared" si="73"/>
        <v>84.448000000000008</v>
      </c>
      <c r="Z646" s="337">
        <f t="shared" si="75"/>
        <v>23.22129474312106</v>
      </c>
      <c r="AA646" s="95" t="str">
        <f t="shared" si="77"/>
        <v>Chêne sessile_F3_Classique_Guide chênaie atlantique - Mémento Sylvicole Coupes_73_</v>
      </c>
      <c r="AB646" s="1">
        <f t="shared" si="78"/>
        <v>73</v>
      </c>
      <c r="AC646" s="337">
        <f t="shared" si="74"/>
        <v>187.52402167760252</v>
      </c>
      <c r="AD646" s="338">
        <f t="shared" si="72"/>
        <v>0</v>
      </c>
      <c r="AE646" s="1">
        <f t="shared" si="81"/>
        <v>269.60791697541794</v>
      </c>
    </row>
    <row r="647" spans="1:31" hidden="1" x14ac:dyDescent="0.25">
      <c r="A647" s="92" t="s">
        <v>389</v>
      </c>
      <c r="B647" s="92" t="s">
        <v>144</v>
      </c>
      <c r="C647" s="92" t="s">
        <v>18</v>
      </c>
      <c r="D647" s="92" t="s">
        <v>1519</v>
      </c>
      <c r="F647" s="92">
        <v>83</v>
      </c>
      <c r="J647" s="4">
        <v>156</v>
      </c>
      <c r="W647" s="336">
        <f>+VLOOKUP(A647,infradensité!$A$2:$B$67,2,FALSE)</f>
        <v>0.57999999999999996</v>
      </c>
      <c r="X647" s="336">
        <v>1.3</v>
      </c>
      <c r="Y647" s="337">
        <f t="shared" si="73"/>
        <v>117.624</v>
      </c>
      <c r="Z647" s="337">
        <f t="shared" si="75"/>
        <v>31.120192961985413</v>
      </c>
      <c r="AA647" s="95" t="str">
        <f t="shared" si="77"/>
        <v>Chêne sessile_F3_Classique_Guide chênaie atlantique - Mémento Sylvicole Coupes_83_</v>
      </c>
      <c r="AB647" s="1">
        <f t="shared" si="78"/>
        <v>83</v>
      </c>
      <c r="AC647" s="337">
        <f t="shared" si="74"/>
        <v>259.06280274212457</v>
      </c>
      <c r="AD647" s="338">
        <f t="shared" si="72"/>
        <v>2232.9341220986357</v>
      </c>
      <c r="AE647" s="1">
        <f t="shared" si="81"/>
        <v>269.60791697541794</v>
      </c>
    </row>
    <row r="648" spans="1:31" hidden="1" x14ac:dyDescent="0.25">
      <c r="A648" s="92" t="s">
        <v>389</v>
      </c>
      <c r="B648" s="92" t="s">
        <v>144</v>
      </c>
      <c r="C648" s="92" t="s">
        <v>18</v>
      </c>
      <c r="D648" s="92" t="s">
        <v>1519</v>
      </c>
      <c r="F648" s="92">
        <v>83</v>
      </c>
      <c r="J648" s="4">
        <v>129</v>
      </c>
      <c r="W648" s="336">
        <f>+VLOOKUP(A648,infradensité!$A$2:$B$67,2,FALSE)</f>
        <v>0.57999999999999996</v>
      </c>
      <c r="X648" s="336">
        <v>1.3</v>
      </c>
      <c r="Y648" s="337">
        <f t="shared" si="73"/>
        <v>97.266000000000005</v>
      </c>
      <c r="Z648" s="337">
        <f t="shared" si="75"/>
        <v>26.309612648745627</v>
      </c>
      <c r="AA648" s="95" t="str">
        <f t="shared" si="77"/>
        <v>Chêne sessile_F3_Classique_Guide chênaie atlantique - Mémento Sylvicole Coupes_83_</v>
      </c>
      <c r="AB648" s="1">
        <f t="shared" si="78"/>
        <v>83</v>
      </c>
      <c r="AC648" s="337">
        <f t="shared" si="74"/>
        <v>215.22752536323196</v>
      </c>
      <c r="AD648" s="338">
        <f t="shared" ref="AD648:AD665" si="82">+IF(AC648=0,0,(AC648+AC647)*(AB648-AB647)/2)</f>
        <v>0</v>
      </c>
      <c r="AE648" s="1">
        <f t="shared" si="81"/>
        <v>269.60791697541794</v>
      </c>
    </row>
    <row r="649" spans="1:31" hidden="1" x14ac:dyDescent="0.25">
      <c r="A649" s="92" t="s">
        <v>389</v>
      </c>
      <c r="B649" s="92" t="s">
        <v>144</v>
      </c>
      <c r="C649" s="92" t="s">
        <v>18</v>
      </c>
      <c r="D649" s="92" t="s">
        <v>1519</v>
      </c>
      <c r="F649" s="92">
        <v>93</v>
      </c>
      <c r="J649" s="4">
        <v>173</v>
      </c>
      <c r="W649" s="336">
        <f>+VLOOKUP(A649,infradensité!$A$2:$B$67,2,FALSE)</f>
        <v>0.57999999999999996</v>
      </c>
      <c r="X649" s="336">
        <v>1.3</v>
      </c>
      <c r="Y649" s="337">
        <f t="shared" si="73"/>
        <v>130.44200000000001</v>
      </c>
      <c r="Z649" s="337">
        <f t="shared" si="75"/>
        <v>34.098472370313324</v>
      </c>
      <c r="AA649" s="95" t="str">
        <f t="shared" si="77"/>
        <v>Chêne sessile_F3_Classique_Guide chênaie atlantique - Mémento Sylvicole Coupes_93_</v>
      </c>
      <c r="AB649" s="1">
        <f t="shared" si="78"/>
        <v>93</v>
      </c>
      <c r="AC649" s="337">
        <f t="shared" si="74"/>
        <v>286.5746560449623</v>
      </c>
      <c r="AD649" s="338">
        <f t="shared" si="82"/>
        <v>2509.0109070409712</v>
      </c>
      <c r="AE649" s="1">
        <f t="shared" si="81"/>
        <v>269.60791697541794</v>
      </c>
    </row>
    <row r="650" spans="1:31" hidden="1" x14ac:dyDescent="0.25">
      <c r="A650" s="92" t="s">
        <v>389</v>
      </c>
      <c r="B650" s="92" t="s">
        <v>144</v>
      </c>
      <c r="C650" s="92" t="s">
        <v>18</v>
      </c>
      <c r="D650" s="92" t="s">
        <v>1519</v>
      </c>
      <c r="F650" s="92">
        <v>93</v>
      </c>
      <c r="J650" s="4">
        <v>145</v>
      </c>
      <c r="W650" s="336">
        <f>+VLOOKUP(A650,infradensité!$A$2:$B$67,2,FALSE)</f>
        <v>0.57999999999999996</v>
      </c>
      <c r="X650" s="336">
        <v>1.3</v>
      </c>
      <c r="Y650" s="337">
        <f t="shared" si="73"/>
        <v>109.33</v>
      </c>
      <c r="Z650" s="337">
        <f t="shared" si="75"/>
        <v>29.173071260551989</v>
      </c>
      <c r="AA650" s="95" t="str">
        <f t="shared" si="77"/>
        <v>Chêne sessile_F3_Classique_Guide chênaie atlantique - Mémento Sylvicole Coupes_93_</v>
      </c>
      <c r="AB650" s="1">
        <f t="shared" si="78"/>
        <v>93</v>
      </c>
      <c r="AC650" s="337">
        <f t="shared" si="74"/>
        <v>241.22618244546138</v>
      </c>
      <c r="AD650" s="338">
        <f t="shared" si="82"/>
        <v>0</v>
      </c>
      <c r="AE650" s="1">
        <f t="shared" si="81"/>
        <v>269.60791697541794</v>
      </c>
    </row>
    <row r="651" spans="1:31" hidden="1" x14ac:dyDescent="0.25">
      <c r="A651" s="92" t="s">
        <v>389</v>
      </c>
      <c r="B651" s="92" t="s">
        <v>144</v>
      </c>
      <c r="C651" s="92" t="s">
        <v>18</v>
      </c>
      <c r="D651" s="92" t="s">
        <v>1519</v>
      </c>
      <c r="F651" s="92">
        <v>103</v>
      </c>
      <c r="J651" s="4">
        <v>189</v>
      </c>
      <c r="W651" s="336">
        <f>+VLOOKUP(A651,infradensité!$A$2:$B$67,2,FALSE)</f>
        <v>0.57999999999999996</v>
      </c>
      <c r="X651" s="336">
        <v>1.3</v>
      </c>
      <c r="Y651" s="337">
        <f t="shared" si="73"/>
        <v>142.506</v>
      </c>
      <c r="Z651" s="337">
        <f t="shared" si="75"/>
        <v>36.870500776307537</v>
      </c>
      <c r="AA651" s="95" t="str">
        <f t="shared" si="77"/>
        <v>Chêne sessile_F3_Classique_Guide chênaie atlantique - Mémento Sylvicole Coupes_103_</v>
      </c>
      <c r="AB651" s="1">
        <f t="shared" si="78"/>
        <v>103</v>
      </c>
      <c r="AC651" s="337">
        <f t="shared" si="74"/>
        <v>312.41407218540223</v>
      </c>
      <c r="AD651" s="338">
        <f t="shared" si="82"/>
        <v>2768.2012731543182</v>
      </c>
      <c r="AE651" s="1">
        <f t="shared" si="81"/>
        <v>269.60791697541794</v>
      </c>
    </row>
    <row r="652" spans="1:31" hidden="1" x14ac:dyDescent="0.25">
      <c r="A652" s="92" t="s">
        <v>389</v>
      </c>
      <c r="B652" s="92" t="s">
        <v>144</v>
      </c>
      <c r="C652" s="92" t="s">
        <v>18</v>
      </c>
      <c r="D652" s="92" t="s">
        <v>1519</v>
      </c>
      <c r="F652" s="92">
        <v>103</v>
      </c>
      <c r="J652" s="4">
        <v>157</v>
      </c>
      <c r="W652" s="336">
        <f>+VLOOKUP(A652,infradensité!$A$2:$B$67,2,FALSE)</f>
        <v>0.57999999999999996</v>
      </c>
      <c r="X652" s="336">
        <v>1.3</v>
      </c>
      <c r="Y652" s="337">
        <f t="shared" si="73"/>
        <v>118.378</v>
      </c>
      <c r="Z652" s="337">
        <f t="shared" si="75"/>
        <v>31.296395321568994</v>
      </c>
      <c r="AA652" s="95" t="str">
        <f t="shared" si="77"/>
        <v>Chêne sessile_F3_Classique_Guide chênaie atlantique - Mémento Sylvicole Coupes_103_</v>
      </c>
      <c r="AB652" s="1">
        <f t="shared" si="78"/>
        <v>103</v>
      </c>
      <c r="AC652" s="337">
        <f t="shared" si="74"/>
        <v>260.68290518506598</v>
      </c>
      <c r="AD652" s="338">
        <f t="shared" si="82"/>
        <v>0</v>
      </c>
      <c r="AE652" s="1">
        <f t="shared" si="81"/>
        <v>269.60791697541794</v>
      </c>
    </row>
    <row r="653" spans="1:31" hidden="1" x14ac:dyDescent="0.25">
      <c r="A653" s="92" t="s">
        <v>389</v>
      </c>
      <c r="B653" s="92" t="s">
        <v>144</v>
      </c>
      <c r="C653" s="92" t="s">
        <v>18</v>
      </c>
      <c r="D653" s="92" t="s">
        <v>1519</v>
      </c>
      <c r="F653" s="92">
        <v>113</v>
      </c>
      <c r="J653" s="4">
        <v>202</v>
      </c>
      <c r="W653" s="336">
        <f>+VLOOKUP(A653,infradensité!$A$2:$B$67,2,FALSE)</f>
        <v>0.57999999999999996</v>
      </c>
      <c r="X653" s="336">
        <v>1.3</v>
      </c>
      <c r="Y653" s="337">
        <f t="shared" si="73"/>
        <v>152.30799999999999</v>
      </c>
      <c r="Z653" s="337">
        <f t="shared" si="75"/>
        <v>39.102619877525797</v>
      </c>
      <c r="AA653" s="95" t="str">
        <f t="shared" si="77"/>
        <v>Chêne sessile_F3_Classique_Guide chênaie atlantique - Mémento Sylvicole Coupes_113_</v>
      </c>
      <c r="AB653" s="1">
        <f t="shared" si="78"/>
        <v>113</v>
      </c>
      <c r="AC653" s="337">
        <f t="shared" si="74"/>
        <v>333.37349628669074</v>
      </c>
      <c r="AD653" s="338">
        <f t="shared" si="82"/>
        <v>2970.2820073587836</v>
      </c>
      <c r="AE653" s="1">
        <f t="shared" si="81"/>
        <v>269.60791697541794</v>
      </c>
    </row>
    <row r="654" spans="1:31" hidden="1" x14ac:dyDescent="0.25">
      <c r="A654" s="92" t="s">
        <v>389</v>
      </c>
      <c r="B654" s="92" t="s">
        <v>144</v>
      </c>
      <c r="C654" s="92" t="s">
        <v>18</v>
      </c>
      <c r="D654" s="92" t="s">
        <v>1519</v>
      </c>
      <c r="F654" s="92">
        <v>113</v>
      </c>
      <c r="J654" s="4">
        <v>170</v>
      </c>
      <c r="W654" s="336">
        <f>+VLOOKUP(A654,infradensité!$A$2:$B$67,2,FALSE)</f>
        <v>0.57999999999999996</v>
      </c>
      <c r="X654" s="336">
        <v>1.3</v>
      </c>
      <c r="Y654" s="337">
        <f t="shared" si="73"/>
        <v>128.18</v>
      </c>
      <c r="Z654" s="337">
        <f t="shared" si="75"/>
        <v>33.575466307326536</v>
      </c>
      <c r="AA654" s="95" t="str">
        <f t="shared" si="77"/>
        <v>Chêne sessile_F3_Classique_Guide chênaie atlantique - Mémento Sylvicole Coupes_113_</v>
      </c>
      <c r="AB654" s="1">
        <f t="shared" si="78"/>
        <v>113</v>
      </c>
      <c r="AC654" s="337">
        <f t="shared" si="74"/>
        <v>281.72410381859368</v>
      </c>
      <c r="AD654" s="338">
        <f t="shared" si="82"/>
        <v>0</v>
      </c>
      <c r="AE654" s="1">
        <f t="shared" si="81"/>
        <v>269.60791697541794</v>
      </c>
    </row>
    <row r="655" spans="1:31" hidden="1" x14ac:dyDescent="0.25">
      <c r="A655" s="92" t="s">
        <v>389</v>
      </c>
      <c r="B655" s="92" t="s">
        <v>144</v>
      </c>
      <c r="C655" s="92" t="s">
        <v>18</v>
      </c>
      <c r="D655" s="92" t="s">
        <v>1519</v>
      </c>
      <c r="F655" s="92">
        <v>125</v>
      </c>
      <c r="J655" s="4">
        <v>225</v>
      </c>
      <c r="W655" s="336">
        <f>+VLOOKUP(A655,infradensité!$A$2:$B$67,2,FALSE)</f>
        <v>0.57999999999999996</v>
      </c>
      <c r="X655" s="336">
        <v>1.3</v>
      </c>
      <c r="Y655" s="337">
        <f t="shared" si="73"/>
        <v>169.65</v>
      </c>
      <c r="Z655" s="337">
        <f t="shared" si="75"/>
        <v>43.01162582831487</v>
      </c>
      <c r="AA655" s="95" t="str">
        <f t="shared" si="77"/>
        <v>Chêne sessile_F3_Classique_Guide chênaie atlantique - Mémento Sylvicole Coupes_125_</v>
      </c>
      <c r="AB655" s="1">
        <f t="shared" si="78"/>
        <v>125</v>
      </c>
      <c r="AC655" s="337">
        <f t="shared" si="74"/>
        <v>370.38566498431504</v>
      </c>
      <c r="AD655" s="338">
        <f t="shared" si="82"/>
        <v>3912.6586128174526</v>
      </c>
      <c r="AE655" s="1">
        <f t="shared" si="81"/>
        <v>269.60791697541794</v>
      </c>
    </row>
    <row r="656" spans="1:31" hidden="1" x14ac:dyDescent="0.25">
      <c r="A656" s="92" t="s">
        <v>389</v>
      </c>
      <c r="B656" s="92" t="s">
        <v>144</v>
      </c>
      <c r="C656" s="92" t="s">
        <v>18</v>
      </c>
      <c r="D656" s="92" t="s">
        <v>1519</v>
      </c>
      <c r="F656" s="92">
        <v>125</v>
      </c>
      <c r="J656" s="4">
        <v>187</v>
      </c>
      <c r="W656" s="336">
        <f>+VLOOKUP(A656,infradensité!$A$2:$B$67,2,FALSE)</f>
        <v>0.57999999999999996</v>
      </c>
      <c r="X656" s="336">
        <v>1.3</v>
      </c>
      <c r="Y656" s="337">
        <f t="shared" si="73"/>
        <v>140.99799999999999</v>
      </c>
      <c r="Z656" s="337">
        <f t="shared" si="75"/>
        <v>36.525538677563652</v>
      </c>
      <c r="AA656" s="95" t="str">
        <f t="shared" si="77"/>
        <v>Chêne sessile_F3_Classique_Guide chênaie atlantique - Mémento Sylvicole Coupes_125_</v>
      </c>
      <c r="AB656" s="1">
        <f t="shared" si="78"/>
        <v>125</v>
      </c>
      <c r="AC656" s="337">
        <f t="shared" si="74"/>
        <v>309.18682986342333</v>
      </c>
      <c r="AD656" s="338">
        <f t="shared" si="82"/>
        <v>0</v>
      </c>
      <c r="AE656" s="1">
        <f t="shared" si="81"/>
        <v>269.60791697541794</v>
      </c>
    </row>
    <row r="657" spans="1:31" hidden="1" x14ac:dyDescent="0.25">
      <c r="A657" s="92" t="s">
        <v>389</v>
      </c>
      <c r="B657" s="92" t="s">
        <v>144</v>
      </c>
      <c r="C657" s="92" t="s">
        <v>18</v>
      </c>
      <c r="D657" s="92" t="s">
        <v>1519</v>
      </c>
      <c r="F657" s="92">
        <v>137</v>
      </c>
      <c r="J657" s="4">
        <v>243</v>
      </c>
      <c r="W657" s="336">
        <f>+VLOOKUP(A657,infradensité!$A$2:$B$67,2,FALSE)</f>
        <v>0.57999999999999996</v>
      </c>
      <c r="X657" s="336">
        <v>1.3</v>
      </c>
      <c r="Y657" s="337">
        <f t="shared" si="73"/>
        <v>183.22200000000001</v>
      </c>
      <c r="Z657" s="337">
        <f t="shared" si="75"/>
        <v>46.038279947586226</v>
      </c>
      <c r="AA657" s="95" t="str">
        <f t="shared" si="77"/>
        <v>Chêne sessile_F3_Classique_Guide chênaie atlantique - Mémento Sylvicole Coupes_137_</v>
      </c>
      <c r="AB657" s="1">
        <f t="shared" si="78"/>
        <v>137</v>
      </c>
      <c r="AC657" s="337">
        <f t="shared" si="74"/>
        <v>399.29498757537931</v>
      </c>
      <c r="AD657" s="338">
        <f t="shared" si="82"/>
        <v>4250.8909046328154</v>
      </c>
      <c r="AE657" s="1">
        <f t="shared" si="81"/>
        <v>269.60791697541794</v>
      </c>
    </row>
    <row r="658" spans="1:31" hidden="1" x14ac:dyDescent="0.25">
      <c r="A658" s="92" t="s">
        <v>389</v>
      </c>
      <c r="B658" s="92" t="s">
        <v>144</v>
      </c>
      <c r="C658" s="92" t="s">
        <v>18</v>
      </c>
      <c r="D658" s="92" t="s">
        <v>1519</v>
      </c>
      <c r="F658" s="92">
        <v>137</v>
      </c>
      <c r="J658" s="4">
        <v>203</v>
      </c>
      <c r="W658" s="336">
        <f>+VLOOKUP(A658,infradensité!$A$2:$B$67,2,FALSE)</f>
        <v>0.57999999999999996</v>
      </c>
      <c r="X658" s="336">
        <v>1.3</v>
      </c>
      <c r="Y658" s="337">
        <f t="shared" si="73"/>
        <v>153.06200000000001</v>
      </c>
      <c r="Z658" s="337">
        <f t="shared" si="75"/>
        <v>39.273615612181466</v>
      </c>
      <c r="AA658" s="95" t="str">
        <f t="shared" si="77"/>
        <v>Chêne sessile_F3_Classique_Guide chênaie atlantique - Mémento Sylvicole Coupes_137_</v>
      </c>
      <c r="AB658" s="1">
        <f t="shared" si="78"/>
        <v>137</v>
      </c>
      <c r="AC658" s="337">
        <f t="shared" si="74"/>
        <v>334.98453052454937</v>
      </c>
      <c r="AD658" s="338">
        <f t="shared" si="82"/>
        <v>0</v>
      </c>
      <c r="AE658" s="1">
        <f t="shared" si="81"/>
        <v>269.60791697541794</v>
      </c>
    </row>
    <row r="659" spans="1:31" hidden="1" x14ac:dyDescent="0.25">
      <c r="A659" s="92" t="s">
        <v>389</v>
      </c>
      <c r="B659" s="92" t="s">
        <v>144</v>
      </c>
      <c r="C659" s="92" t="s">
        <v>18</v>
      </c>
      <c r="D659" s="92" t="s">
        <v>1519</v>
      </c>
      <c r="F659" s="92">
        <v>149</v>
      </c>
      <c r="J659" s="4">
        <v>260</v>
      </c>
      <c r="W659" s="336">
        <f>+VLOOKUP(A659,infradensité!$A$2:$B$67,2,FALSE)</f>
        <v>0.57999999999999996</v>
      </c>
      <c r="X659" s="336">
        <v>1.3</v>
      </c>
      <c r="Y659" s="337">
        <f t="shared" si="73"/>
        <v>196.04</v>
      </c>
      <c r="Z659" s="337">
        <f t="shared" si="75"/>
        <v>48.872869229535063</v>
      </c>
      <c r="AA659" s="95" t="str">
        <f t="shared" si="77"/>
        <v>Chêne sessile_F3_Classique_Guide chênaie atlantique - Mémento Sylvicole Coupes_149_</v>
      </c>
      <c r="AB659" s="1">
        <f t="shared" si="78"/>
        <v>149</v>
      </c>
      <c r="AC659" s="337">
        <f t="shared" si="74"/>
        <v>426.55658057477353</v>
      </c>
      <c r="AD659" s="338">
        <f t="shared" si="82"/>
        <v>4569.2466665959382</v>
      </c>
      <c r="AE659" s="1">
        <f t="shared" si="81"/>
        <v>269.60791697541794</v>
      </c>
    </row>
    <row r="660" spans="1:31" hidden="1" x14ac:dyDescent="0.25">
      <c r="A660" s="92" t="s">
        <v>389</v>
      </c>
      <c r="B660" s="92" t="s">
        <v>144</v>
      </c>
      <c r="C660" s="92" t="s">
        <v>18</v>
      </c>
      <c r="D660" s="92" t="s">
        <v>1519</v>
      </c>
      <c r="F660" s="92">
        <v>149</v>
      </c>
      <c r="J660" s="4">
        <v>220</v>
      </c>
      <c r="W660" s="336">
        <f>+VLOOKUP(A660,infradensité!$A$2:$B$67,2,FALSE)</f>
        <v>0.57999999999999996</v>
      </c>
      <c r="X660" s="336">
        <v>1.3</v>
      </c>
      <c r="Y660" s="337">
        <f t="shared" si="73"/>
        <v>165.88</v>
      </c>
      <c r="Z660" s="337">
        <f t="shared" si="75"/>
        <v>42.165967225323705</v>
      </c>
      <c r="AA660" s="95" t="str">
        <f t="shared" si="77"/>
        <v>Chêne sessile_F3_Classique_Guide chênaie atlantique - Mémento Sylvicole Coupes_149_</v>
      </c>
      <c r="AB660" s="1">
        <f t="shared" si="78"/>
        <v>149</v>
      </c>
      <c r="AC660" s="337">
        <f t="shared" si="74"/>
        <v>362.34672625077206</v>
      </c>
      <c r="AD660" s="338">
        <f t="shared" si="82"/>
        <v>0</v>
      </c>
      <c r="AE660" s="1">
        <f t="shared" si="81"/>
        <v>269.60791697541794</v>
      </c>
    </row>
    <row r="661" spans="1:31" hidden="1" x14ac:dyDescent="0.25">
      <c r="A661" s="92" t="s">
        <v>389</v>
      </c>
      <c r="B661" s="92" t="s">
        <v>144</v>
      </c>
      <c r="C661" s="92" t="s">
        <v>18</v>
      </c>
      <c r="D661" s="92" t="s">
        <v>1519</v>
      </c>
      <c r="F661" s="92">
        <v>164</v>
      </c>
      <c r="J661" s="4">
        <v>295</v>
      </c>
      <c r="W661" s="336">
        <f>+VLOOKUP(A661,infradensité!$A$2:$B$67,2,FALSE)</f>
        <v>0.57999999999999996</v>
      </c>
      <c r="X661" s="336">
        <v>1.3</v>
      </c>
      <c r="Y661" s="337">
        <f t="shared" si="73"/>
        <v>222.43</v>
      </c>
      <c r="Z661" s="337">
        <f t="shared" si="75"/>
        <v>54.642696084027229</v>
      </c>
      <c r="AA661" s="95" t="str">
        <f t="shared" si="77"/>
        <v>Chêne sessile_F3_Classique_Guide chênaie atlantique - Mémento Sylvicole Coupes_164_</v>
      </c>
      <c r="AB661" s="1">
        <f t="shared" si="78"/>
        <v>164</v>
      </c>
      <c r="AC661" s="337">
        <f t="shared" si="74"/>
        <v>482.56827901301409</v>
      </c>
      <c r="AD661" s="338">
        <f t="shared" si="82"/>
        <v>6336.8625394783958</v>
      </c>
      <c r="AE661" s="1">
        <f t="shared" si="81"/>
        <v>269.60791697541794</v>
      </c>
    </row>
    <row r="662" spans="1:31" hidden="1" x14ac:dyDescent="0.25">
      <c r="A662" s="92" t="s">
        <v>389</v>
      </c>
      <c r="B662" s="92" t="s">
        <v>144</v>
      </c>
      <c r="C662" s="92" t="s">
        <v>18</v>
      </c>
      <c r="D662" s="92" t="s">
        <v>1519</v>
      </c>
      <c r="F662" s="92">
        <v>164</v>
      </c>
      <c r="J662" s="4">
        <v>244</v>
      </c>
      <c r="W662" s="336">
        <f>+VLOOKUP(A662,infradensité!$A$2:$B$67,2,FALSE)</f>
        <v>0.57999999999999996</v>
      </c>
      <c r="X662" s="336">
        <v>1.3</v>
      </c>
      <c r="Y662" s="337">
        <f t="shared" si="73"/>
        <v>183.976</v>
      </c>
      <c r="Z662" s="337">
        <f t="shared" si="75"/>
        <v>46.205644952016684</v>
      </c>
      <c r="AA662" s="95" t="str">
        <f t="shared" si="77"/>
        <v>Chêne sessile_F3_Classique_Guide chênaie atlantique - Mémento Sylvicole Coupes_164_</v>
      </c>
      <c r="AB662" s="1">
        <f t="shared" si="78"/>
        <v>164</v>
      </c>
      <c r="AC662" s="337">
        <f t="shared" si="74"/>
        <v>400.89969829142905</v>
      </c>
      <c r="AD662" s="338">
        <f t="shared" si="82"/>
        <v>0</v>
      </c>
      <c r="AE662" s="1">
        <f t="shared" si="81"/>
        <v>269.60791697541794</v>
      </c>
    </row>
    <row r="663" spans="1:31" hidden="1" x14ac:dyDescent="0.25">
      <c r="A663" s="92" t="s">
        <v>389</v>
      </c>
      <c r="B663" s="92" t="s">
        <v>144</v>
      </c>
      <c r="C663" s="92" t="s">
        <v>18</v>
      </c>
      <c r="D663" s="92" t="s">
        <v>1519</v>
      </c>
      <c r="F663" s="92">
        <v>179</v>
      </c>
      <c r="J663" s="4">
        <v>321</v>
      </c>
      <c r="W663" s="336">
        <f>+VLOOKUP(A663,infradensité!$A$2:$B$67,2,FALSE)</f>
        <v>0.57999999999999996</v>
      </c>
      <c r="X663" s="336">
        <v>1.3</v>
      </c>
      <c r="Y663" s="337">
        <f t="shared" si="73"/>
        <v>242.03399999999999</v>
      </c>
      <c r="Z663" s="337">
        <f t="shared" si="75"/>
        <v>58.876940312016231</v>
      </c>
      <c r="AA663" s="95" t="str">
        <f t="shared" si="77"/>
        <v>Chêne sessile_F3_Classique_Guide chênaie atlantique - Mémento Sylvicole Coupes_179_</v>
      </c>
      <c r="AB663" s="1">
        <f t="shared" si="78"/>
        <v>179</v>
      </c>
      <c r="AC663" s="337">
        <f t="shared" si="74"/>
        <v>524.08655437676157</v>
      </c>
      <c r="AD663" s="338">
        <f t="shared" si="82"/>
        <v>6937.3968950114304</v>
      </c>
      <c r="AE663" s="1">
        <f t="shared" si="81"/>
        <v>269.60791697541794</v>
      </c>
    </row>
    <row r="664" spans="1:31" hidden="1" x14ac:dyDescent="0.25">
      <c r="A664" s="92" t="s">
        <v>389</v>
      </c>
      <c r="B664" s="92" t="s">
        <v>144</v>
      </c>
      <c r="C664" s="92" t="s">
        <v>18</v>
      </c>
      <c r="D664" s="92" t="s">
        <v>1519</v>
      </c>
      <c r="F664" s="92">
        <v>179</v>
      </c>
      <c r="J664" s="4">
        <v>266</v>
      </c>
      <c r="W664" s="336">
        <f>+VLOOKUP(A664,infradensité!$A$2:$B$67,2,FALSE)</f>
        <v>0.57999999999999996</v>
      </c>
      <c r="X664" s="336">
        <v>1.3</v>
      </c>
      <c r="Y664" s="337">
        <f t="shared" si="73"/>
        <v>200.56399999999999</v>
      </c>
      <c r="Z664" s="337">
        <f t="shared" si="75"/>
        <v>49.868097532926853</v>
      </c>
      <c r="AA664" s="95" t="str">
        <f t="shared" si="77"/>
        <v>Chêne sessile_F3_Classique_Guide chênaie atlantique - Mémento Sylvicole Coupes_179_</v>
      </c>
      <c r="AB664" s="1">
        <f t="shared" si="78"/>
        <v>179</v>
      </c>
      <c r="AC664" s="337">
        <f t="shared" si="74"/>
        <v>436.16923653651423</v>
      </c>
      <c r="AD664" s="338">
        <f t="shared" si="82"/>
        <v>0</v>
      </c>
      <c r="AE664" s="1">
        <f t="shared" si="81"/>
        <v>269.60791697541794</v>
      </c>
    </row>
    <row r="665" spans="1:31" hidden="1" x14ac:dyDescent="0.25">
      <c r="A665" s="92" t="s">
        <v>389</v>
      </c>
      <c r="B665" s="92" t="s">
        <v>144</v>
      </c>
      <c r="C665" s="92" t="s">
        <v>18</v>
      </c>
      <c r="D665" s="92" t="s">
        <v>1519</v>
      </c>
      <c r="F665" s="92">
        <v>190</v>
      </c>
      <c r="J665" s="4">
        <v>321</v>
      </c>
      <c r="W665" s="336">
        <f>+VLOOKUP(A665,infradensité!$A$2:$B$67,2,FALSE)</f>
        <v>0.57999999999999996</v>
      </c>
      <c r="X665" s="336">
        <v>1.3</v>
      </c>
      <c r="Y665" s="337">
        <f t="shared" si="73"/>
        <v>242.03399999999999</v>
      </c>
      <c r="Z665" s="337">
        <f t="shared" si="75"/>
        <v>58.876940312016231</v>
      </c>
      <c r="AA665" s="95" t="str">
        <f t="shared" si="77"/>
        <v>Chêne sessile_F3_Classique_Guide chênaie atlantique - Mémento Sylvicole Coupes_190_</v>
      </c>
      <c r="AB665" s="1">
        <f t="shared" si="78"/>
        <v>190</v>
      </c>
      <c r="AC665" s="337">
        <f t="shared" si="74"/>
        <v>524.08655437676157</v>
      </c>
      <c r="AD665" s="338">
        <f t="shared" si="82"/>
        <v>5281.4068500230169</v>
      </c>
      <c r="AE665" s="1">
        <f t="shared" si="81"/>
        <v>269.60791697541794</v>
      </c>
    </row>
  </sheetData>
  <autoFilter ref="A2:AG665" xr:uid="{8CD31811-A449-4EC3-83F5-9424B00EA447}">
    <filterColumn colId="0">
      <filters>
        <filter val="Mélèze d'Europe"/>
      </filters>
    </filterColumn>
    <filterColumn colId="3">
      <filters>
        <filter val="GSM Alpes du Sud"/>
      </filters>
    </filterColumn>
  </autoFilter>
  <mergeCells count="3">
    <mergeCell ref="H1:L1"/>
    <mergeCell ref="M1:O1"/>
    <mergeCell ref="P1:S1"/>
  </mergeCells>
  <phoneticPr fontId="21" type="noConversion"/>
  <hyperlinks>
    <hyperlink ref="D5" r:id="rId1" xr:uid="{00000000-0004-0000-0600-000000000000}"/>
    <hyperlink ref="D280" r:id="rId2" xr:uid="{00000000-0004-0000-0600-000001000000}"/>
    <hyperlink ref="D281:D303" r:id="rId3" display="GS Sapinières du Massif Central" xr:uid="{00000000-0004-0000-0600-000002000000}"/>
    <hyperlink ref="D127:D134" r:id="rId4" display="GS Hêtraies et hêtraies sapinières des Pyrénées" xr:uid="{00000000-0004-0000-0600-000005000000}"/>
    <hyperlink ref="D245" r:id="rId5" xr:uid="{00000000-0004-0000-0600-000006000000}"/>
    <hyperlink ref="D84:D114" r:id="rId6" display="GS Pineraies des plaines du Centre et du Nord Ouest" xr:uid="{00000000-0004-0000-0600-000007000000}"/>
    <hyperlink ref="D160" r:id="rId7" xr:uid="{00000000-0004-0000-0600-000008000000}"/>
    <hyperlink ref="D128:D135" r:id="rId8" display="GS Hêtraies et hêtraies sapinières des Pyrénées" xr:uid="{00000000-0004-0000-0600-00000A000000}"/>
    <hyperlink ref="D246" r:id="rId9" display="GS Pineraies des plaines du Centre et du Nord Ouest" xr:uid="{00000000-0004-0000-0600-00000B000000}"/>
    <hyperlink ref="D117:D126" r:id="rId10" display="GS Pineraies des plaines du Centre et du Nord Ouest" xr:uid="{00000000-0004-0000-0600-00000C000000}"/>
    <hyperlink ref="D85:D115" r:id="rId11" display="GSM Alpes du Sud" xr:uid="{00000000-0004-0000-0600-00000D000000}"/>
    <hyperlink ref="D3:D4" r:id="rId12" display="GS Arc Jurassien" xr:uid="{00000000-0004-0000-0600-00000E000000}"/>
    <hyperlink ref="D6:D64" r:id="rId13" display="GS Arc Jurassien" xr:uid="{00000000-0004-0000-0600-00000F000000}"/>
    <hyperlink ref="D99" r:id="rId14" display="GSM Alpes du Sud" xr:uid="{00000000-0004-0000-0600-000010000000}"/>
    <hyperlink ref="D113" r:id="rId15" display="GSM Alpes du Sud" xr:uid="{00000000-0004-0000-0600-000011000000}"/>
    <hyperlink ref="D116" r:id="rId16" display="GS Pineraies des plaines du Centre et du Nord Ouest" xr:uid="{00000000-0004-0000-0600-000012000000}"/>
    <hyperlink ref="D159" r:id="rId17" xr:uid="{00000000-0004-0000-0600-000013000000}"/>
    <hyperlink ref="D243" r:id="rId18" xr:uid="{00000000-0004-0000-0600-000014000000}"/>
    <hyperlink ref="D244" r:id="rId19" xr:uid="{00000000-0004-0000-0600-000015000000}"/>
  </hyperlinks>
  <pageMargins left="0.7" right="0.7" top="0.75" bottom="0.75" header="0.3" footer="0.3"/>
  <pageSetup paperSize="9" orientation="portrait"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3"/>
  <sheetViews>
    <sheetView showGridLines="0" topLeftCell="E28" zoomScale="70" zoomScaleNormal="70" workbookViewId="0">
      <selection activeCell="E46" sqref="E46"/>
    </sheetView>
  </sheetViews>
  <sheetFormatPr baseColWidth="10" defaultColWidth="21.140625" defaultRowHeight="15" x14ac:dyDescent="0.25"/>
  <cols>
    <col min="2" max="2" width="22.28515625" bestFit="1" customWidth="1"/>
    <col min="3" max="3" width="21.140625" style="98"/>
    <col min="4" max="5" width="21.140625" style="1"/>
    <col min="6" max="6" width="44.5703125" style="1" bestFit="1" customWidth="1"/>
    <col min="7" max="7" width="75.140625" bestFit="1" customWidth="1"/>
  </cols>
  <sheetData>
    <row r="1" spans="1:8" ht="80.099999999999994" customHeight="1" x14ac:dyDescent="0.25">
      <c r="C1" s="97" t="s">
        <v>315</v>
      </c>
      <c r="D1" s="401" t="s">
        <v>422</v>
      </c>
      <c r="E1" s="402"/>
      <c r="F1" s="403"/>
    </row>
    <row r="2" spans="1:8" x14ac:dyDescent="0.25">
      <c r="C2" s="97" t="s">
        <v>316</v>
      </c>
      <c r="D2" s="404" t="s">
        <v>317</v>
      </c>
      <c r="E2" s="405"/>
      <c r="F2" s="406"/>
    </row>
    <row r="3" spans="1:8" x14ac:dyDescent="0.25">
      <c r="C3" s="97" t="s">
        <v>318</v>
      </c>
      <c r="D3" s="404" t="s">
        <v>319</v>
      </c>
      <c r="E3" s="405"/>
      <c r="F3" s="406"/>
    </row>
    <row r="6" spans="1:8" x14ac:dyDescent="0.25">
      <c r="A6" s="323" t="s">
        <v>1508</v>
      </c>
    </row>
    <row r="7" spans="1:8" x14ac:dyDescent="0.25">
      <c r="A7" s="304" t="s">
        <v>200</v>
      </c>
      <c r="B7" s="304" t="s">
        <v>408</v>
      </c>
      <c r="C7" s="304" t="s">
        <v>200</v>
      </c>
      <c r="D7" s="304" t="s">
        <v>201</v>
      </c>
      <c r="E7" s="304" t="s">
        <v>202</v>
      </c>
      <c r="F7" s="304" t="s">
        <v>203</v>
      </c>
      <c r="G7" s="304" t="s">
        <v>409</v>
      </c>
      <c r="H7" s="304" t="s">
        <v>1505</v>
      </c>
    </row>
    <row r="8" spans="1:8" x14ac:dyDescent="0.25">
      <c r="A8" s="100" t="s">
        <v>893</v>
      </c>
      <c r="B8" s="100" t="s">
        <v>1510</v>
      </c>
      <c r="C8" s="110" t="s">
        <v>308</v>
      </c>
      <c r="D8" s="110" t="s">
        <v>10</v>
      </c>
      <c r="E8" s="110" t="s">
        <v>18</v>
      </c>
      <c r="F8" s="110" t="s">
        <v>1510</v>
      </c>
      <c r="G8" s="307" t="str" cm="1">
        <f t="array" ref="G8">+_xlfn.CONCAT((C8:F8)&amp;"_")</f>
        <v>Cèdre de l'Atlas_F2_Classique_INRA_</v>
      </c>
      <c r="H8" s="110" t="s">
        <v>1433</v>
      </c>
    </row>
    <row r="9" spans="1:8" x14ac:dyDescent="0.25">
      <c r="A9" s="100" t="s">
        <v>17</v>
      </c>
      <c r="B9" s="100" t="s">
        <v>20</v>
      </c>
      <c r="C9" s="110" t="s">
        <v>389</v>
      </c>
      <c r="D9" s="110" t="s">
        <v>9</v>
      </c>
      <c r="E9" s="110" t="s">
        <v>18</v>
      </c>
      <c r="F9" s="110" t="s">
        <v>137</v>
      </c>
      <c r="G9" s="307" t="str" cm="1">
        <f t="array" ref="G9">+_xlfn.CONCAT((C9:F9)&amp;"_")</f>
        <v>Chêne sessile_F1_Classique_Guide chênaie atlantique_</v>
      </c>
      <c r="H9" s="110" t="s">
        <v>1506</v>
      </c>
    </row>
    <row r="10" spans="1:8" x14ac:dyDescent="0.25">
      <c r="A10" s="100" t="s">
        <v>17</v>
      </c>
      <c r="B10" s="100" t="s">
        <v>22</v>
      </c>
      <c r="C10" s="110" t="s">
        <v>389</v>
      </c>
      <c r="D10" s="110" t="s">
        <v>9</v>
      </c>
      <c r="E10" s="110" t="s">
        <v>146</v>
      </c>
      <c r="F10" s="110" t="s">
        <v>138</v>
      </c>
      <c r="G10" s="307" t="str" cm="1">
        <f t="array" ref="G10">+_xlfn.CONCAT((C10:F10)&amp;"_")</f>
        <v>Chêne sessile_F1_Dynamique_Guide chênaie continentale_</v>
      </c>
      <c r="H10" s="110" t="s">
        <v>1506</v>
      </c>
    </row>
    <row r="11" spans="1:8" x14ac:dyDescent="0.25">
      <c r="A11" s="100" t="s">
        <v>17</v>
      </c>
      <c r="B11" s="100" t="s">
        <v>20</v>
      </c>
      <c r="C11" s="110" t="s">
        <v>389</v>
      </c>
      <c r="D11" s="110" t="s">
        <v>10</v>
      </c>
      <c r="E11" s="110" t="s">
        <v>18</v>
      </c>
      <c r="F11" s="110" t="s">
        <v>137</v>
      </c>
      <c r="G11" s="307" t="str" cm="1">
        <f t="array" ref="G11">+_xlfn.CONCAT((C11:F11)&amp;"_")</f>
        <v>Chêne sessile_F2_Classique_Guide chênaie atlantique_</v>
      </c>
      <c r="H11" s="110" t="s">
        <v>1506</v>
      </c>
    </row>
    <row r="12" spans="1:8" x14ac:dyDescent="0.25">
      <c r="A12" s="100" t="s">
        <v>17</v>
      </c>
      <c r="B12" s="100" t="s">
        <v>22</v>
      </c>
      <c r="C12" s="110" t="s">
        <v>389</v>
      </c>
      <c r="D12" s="110" t="s">
        <v>10</v>
      </c>
      <c r="E12" s="110" t="s">
        <v>146</v>
      </c>
      <c r="F12" s="110" t="s">
        <v>138</v>
      </c>
      <c r="G12" s="307" t="str" cm="1">
        <f t="array" ref="G12">+_xlfn.CONCAT((C12:F12)&amp;"_")</f>
        <v>Chêne sessile_F2_Dynamique_Guide chênaie continentale_</v>
      </c>
      <c r="H12" s="110" t="s">
        <v>1506</v>
      </c>
    </row>
    <row r="13" spans="1:8" x14ac:dyDescent="0.25">
      <c r="A13" s="100" t="s">
        <v>17</v>
      </c>
      <c r="B13" s="100" t="s">
        <v>20</v>
      </c>
      <c r="C13" s="110" t="s">
        <v>389</v>
      </c>
      <c r="D13" s="110" t="s">
        <v>144</v>
      </c>
      <c r="E13" s="110" t="s">
        <v>18</v>
      </c>
      <c r="F13" s="110" t="s">
        <v>1519</v>
      </c>
      <c r="G13" s="307" t="str" cm="1">
        <f t="array" ref="G13">+_xlfn.CONCAT((C13:F13)&amp;"_")</f>
        <v>Chêne sessile_F3_Classique_Guide chênaie atlantique - Mémento Sylvicole Coupes_</v>
      </c>
      <c r="H13" s="110" t="s">
        <v>1506</v>
      </c>
    </row>
    <row r="14" spans="1:8" x14ac:dyDescent="0.25">
      <c r="A14" s="100" t="s">
        <v>69</v>
      </c>
      <c r="B14" s="100" t="s">
        <v>22</v>
      </c>
      <c r="C14" s="110" t="s">
        <v>1410</v>
      </c>
      <c r="D14" s="110" t="s">
        <v>9</v>
      </c>
      <c r="E14" s="110" t="s">
        <v>146</v>
      </c>
      <c r="F14" s="110" t="s">
        <v>138</v>
      </c>
      <c r="G14" s="307" t="str" cm="1">
        <f t="array" ref="G14">+_xlfn.CONCAT((C14:F14)&amp;"_")</f>
        <v>Chene_pedoncule_F1_Dynamique_Guide chênaie continentale_</v>
      </c>
      <c r="H14" s="110" t="s">
        <v>1506</v>
      </c>
    </row>
    <row r="15" spans="1:8" x14ac:dyDescent="0.25">
      <c r="A15" s="100" t="s">
        <v>69</v>
      </c>
      <c r="B15" s="100" t="s">
        <v>22</v>
      </c>
      <c r="C15" s="110" t="s">
        <v>1410</v>
      </c>
      <c r="D15" s="110" t="s">
        <v>10</v>
      </c>
      <c r="E15" s="110" t="s">
        <v>146</v>
      </c>
      <c r="F15" s="110" t="s">
        <v>138</v>
      </c>
      <c r="G15" s="307" t="str" cm="1">
        <f t="array" ref="G15">+_xlfn.CONCAT((C15:F15)&amp;"_")</f>
        <v>Chene_pedoncule_F2_Dynamique_Guide chênaie continentale_</v>
      </c>
      <c r="H15" s="110" t="s">
        <v>1506</v>
      </c>
    </row>
    <row r="16" spans="1:8" x14ac:dyDescent="0.25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307" t="str" cm="1">
        <f t="array" ref="G16">+_xlfn.CONCAT((C16:F16)&amp;"_")</f>
        <v>Douglas_F1_Entree 17-18m, densité haute_National_</v>
      </c>
      <c r="H16" s="110" t="s">
        <v>1433</v>
      </c>
    </row>
    <row r="17" spans="1:8" x14ac:dyDescent="0.25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307" t="str" cm="1">
        <f t="array" ref="G17">+_xlfn.CONCAT((C17:F17)&amp;"_")</f>
        <v>Douglas_F2_Entree 17-18m, densité haute_National_</v>
      </c>
      <c r="H17" s="110" t="s">
        <v>1433</v>
      </c>
    </row>
    <row r="18" spans="1:8" x14ac:dyDescent="0.25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307" t="str" cm="1">
        <f t="array" ref="G18">+_xlfn.CONCAT((C18:F18)&amp;"_")</f>
        <v>Douglas_F3_Entree 19-20m_National_</v>
      </c>
      <c r="H18" s="110" t="s">
        <v>1433</v>
      </c>
    </row>
    <row r="19" spans="1:8" x14ac:dyDescent="0.25">
      <c r="A19" s="100" t="s">
        <v>182</v>
      </c>
      <c r="B19" s="100" t="s">
        <v>185</v>
      </c>
      <c r="C19" s="110" t="s">
        <v>229</v>
      </c>
      <c r="D19" s="110" t="s">
        <v>423</v>
      </c>
      <c r="E19" s="110" t="s">
        <v>183</v>
      </c>
      <c r="F19" s="110" t="s">
        <v>223</v>
      </c>
      <c r="G19" s="307" t="str" cm="1">
        <f t="array" ref="G19">+_xlfn.CONCAT((C19:F19)&amp;"_")</f>
        <v>Epicéa_FBonne_Entree 16-17 m_GS Arc Jurassien_</v>
      </c>
      <c r="H19" s="110" t="s">
        <v>1433</v>
      </c>
    </row>
    <row r="20" spans="1:8" x14ac:dyDescent="0.25">
      <c r="A20" s="100" t="s">
        <v>182</v>
      </c>
      <c r="B20" s="100" t="s">
        <v>185</v>
      </c>
      <c r="C20" s="110" t="s">
        <v>229</v>
      </c>
      <c r="D20" s="110" t="s">
        <v>425</v>
      </c>
      <c r="E20" s="110" t="s">
        <v>183</v>
      </c>
      <c r="F20" s="110" t="s">
        <v>223</v>
      </c>
      <c r="G20" s="307" t="str" cm="1">
        <f t="array" ref="G20">+_xlfn.CONCAT((C20:F20)&amp;"_")</f>
        <v>Epicéa_FMoyenne_Entree 16-17 m_GS Arc Jurassien_</v>
      </c>
      <c r="H20" s="110" t="s">
        <v>1433</v>
      </c>
    </row>
    <row r="21" spans="1:8" x14ac:dyDescent="0.25">
      <c r="A21" s="100" t="s">
        <v>426</v>
      </c>
      <c r="B21" s="100" t="s">
        <v>427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307" t="str" cm="1">
        <f t="array" ref="G21">+_xlfn.CONCAT((C21:F21)&amp;"_")</f>
        <v>Hêtre commun_F1_Entree 19-20m_GS Hêtraies et hêtraies sapinières des Pyrénées_</v>
      </c>
      <c r="H21" s="110" t="s">
        <v>1506</v>
      </c>
    </row>
    <row r="22" spans="1:8" x14ac:dyDescent="0.25">
      <c r="A22" s="100" t="s">
        <v>426</v>
      </c>
      <c r="B22" s="100" t="s">
        <v>427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307" t="str" cm="1">
        <f t="array" ref="G22">+_xlfn.CONCAT((C22:F22)&amp;"_")</f>
        <v>Hêtre commun_F2_Entree 19-20m_GS Hêtraies et hêtraies sapinières des Pyrénées_</v>
      </c>
      <c r="H22" s="110" t="s">
        <v>1506</v>
      </c>
    </row>
    <row r="23" spans="1:8" x14ac:dyDescent="0.25">
      <c r="A23" s="307" t="s">
        <v>1512</v>
      </c>
      <c r="B23" s="307" t="s">
        <v>1511</v>
      </c>
      <c r="C23" s="110" t="s">
        <v>367</v>
      </c>
      <c r="D23" s="110" t="s">
        <v>9</v>
      </c>
      <c r="E23" s="110" t="s">
        <v>18</v>
      </c>
      <c r="F23" s="110" t="s">
        <v>1511</v>
      </c>
      <c r="G23" s="307" t="str" cm="1">
        <f t="array" ref="G23">+_xlfn.CONCAT((C23:F23)&amp;"_")</f>
        <v>Pin d'Alep_F1_Classique_ONF 1993_</v>
      </c>
      <c r="H23" s="110" t="s">
        <v>1433</v>
      </c>
    </row>
    <row r="24" spans="1:8" x14ac:dyDescent="0.25">
      <c r="A24" s="353" t="s">
        <v>1512</v>
      </c>
      <c r="B24" s="353" t="s">
        <v>1525</v>
      </c>
      <c r="C24" s="354" t="s">
        <v>367</v>
      </c>
      <c r="D24" s="354" t="s">
        <v>9</v>
      </c>
      <c r="E24" s="354" t="s">
        <v>18</v>
      </c>
      <c r="F24" s="354" t="s">
        <v>367</v>
      </c>
      <c r="G24" s="353" t="str" cm="1">
        <f t="array" ref="G24">+_xlfn.CONCAT((C24:F24)&amp;"_")</f>
        <v>Pin d'Alep_F1_Classique_Pin d'Alep_</v>
      </c>
      <c r="H24" s="354" t="s">
        <v>1433</v>
      </c>
    </row>
    <row r="25" spans="1:8" x14ac:dyDescent="0.25">
      <c r="A25" s="353" t="s">
        <v>1512</v>
      </c>
      <c r="B25" s="353" t="s">
        <v>1525</v>
      </c>
      <c r="C25" s="354" t="s">
        <v>367</v>
      </c>
      <c r="D25" s="354" t="s">
        <v>9</v>
      </c>
      <c r="E25" s="354" t="s">
        <v>146</v>
      </c>
      <c r="F25" s="354" t="s">
        <v>367</v>
      </c>
      <c r="G25" s="353" t="str" cm="1">
        <f t="array" ref="G25">+_xlfn.CONCAT((C25:F25)&amp;"_")</f>
        <v>Pin d'Alep_F1_Dynamique_Pin d'Alep_</v>
      </c>
      <c r="H25" s="354" t="s">
        <v>1433</v>
      </c>
    </row>
    <row r="26" spans="1:8" x14ac:dyDescent="0.25">
      <c r="A26" s="100" t="s">
        <v>1512</v>
      </c>
      <c r="B26" s="100" t="s">
        <v>1525</v>
      </c>
      <c r="C26" s="110" t="s">
        <v>367</v>
      </c>
      <c r="D26" s="110" t="s">
        <v>10</v>
      </c>
      <c r="E26" s="110" t="s">
        <v>18</v>
      </c>
      <c r="F26" s="110" t="s">
        <v>367</v>
      </c>
      <c r="G26" s="307" t="str" cm="1">
        <f t="array" ref="G26">+_xlfn.CONCAT((C26:F26)&amp;"_")</f>
        <v>Pin d'Alep_F2_Classique_Pin d'Alep_</v>
      </c>
      <c r="H26" s="110" t="s">
        <v>1433</v>
      </c>
    </row>
    <row r="27" spans="1:8" x14ac:dyDescent="0.25">
      <c r="A27" s="353" t="s">
        <v>180</v>
      </c>
      <c r="B27" s="353" t="s">
        <v>21</v>
      </c>
      <c r="C27" s="354" t="s">
        <v>234</v>
      </c>
      <c r="D27" s="354" t="s">
        <v>9</v>
      </c>
      <c r="E27" s="354" t="s">
        <v>18</v>
      </c>
      <c r="F27" s="354" t="s">
        <v>235</v>
      </c>
      <c r="G27" s="353" t="str" cm="1">
        <f t="array" ref="G27">+_xlfn.CONCAT((C27:F27)&amp;"_")</f>
        <v>Pin Laricio_F1_Classique_GS Pineraies des plaines du Centre et du Nord Ouest_</v>
      </c>
      <c r="H27" s="354" t="s">
        <v>1433</v>
      </c>
    </row>
    <row r="28" spans="1:8" x14ac:dyDescent="0.25">
      <c r="A28" s="100" t="s">
        <v>180</v>
      </c>
      <c r="B28" s="100" t="s">
        <v>21</v>
      </c>
      <c r="C28" s="110" t="s">
        <v>234</v>
      </c>
      <c r="D28" s="110" t="s">
        <v>10</v>
      </c>
      <c r="E28" s="110" t="s">
        <v>18</v>
      </c>
      <c r="F28" s="110" t="s">
        <v>235</v>
      </c>
      <c r="G28" s="307" t="str" cm="1">
        <f t="array" ref="G28">+_xlfn.CONCAT((C28:F28)&amp;"_")</f>
        <v>Pin Laricio_F2_Classique_GS Pineraies des plaines du Centre et du Nord Ouest_</v>
      </c>
      <c r="H28" s="110" t="s">
        <v>1433</v>
      </c>
    </row>
    <row r="29" spans="1:8" x14ac:dyDescent="0.25">
      <c r="A29" s="100" t="s">
        <v>418</v>
      </c>
      <c r="B29" s="100" t="s">
        <v>21</v>
      </c>
      <c r="C29" s="110" t="s">
        <v>236</v>
      </c>
      <c r="D29" s="110" t="s">
        <v>9</v>
      </c>
      <c r="E29" s="110" t="s">
        <v>18</v>
      </c>
      <c r="F29" s="110" t="s">
        <v>235</v>
      </c>
      <c r="G29" s="307" t="str" cm="1">
        <f t="array" ref="G29">+_xlfn.CONCAT((C29:F29)&amp;"_")</f>
        <v>Pin Maritime_F1_Classique_GS Pineraies des plaines du Centre et du Nord Ouest_</v>
      </c>
      <c r="H29" s="110" t="s">
        <v>1433</v>
      </c>
    </row>
    <row r="30" spans="1:8" x14ac:dyDescent="0.25">
      <c r="A30" s="100" t="s">
        <v>418</v>
      </c>
      <c r="B30" s="100" t="s">
        <v>21</v>
      </c>
      <c r="C30" s="110" t="s">
        <v>236</v>
      </c>
      <c r="D30" s="110" t="s">
        <v>10</v>
      </c>
      <c r="E30" s="110" t="s">
        <v>18</v>
      </c>
      <c r="F30" s="110" t="s">
        <v>235</v>
      </c>
      <c r="G30" s="307" t="str" cm="1">
        <f t="array" ref="G30">+_xlfn.CONCAT((C30:F30)&amp;"_")</f>
        <v>Pin Maritime_F2_Classique_GS Pineraies des plaines du Centre et du Nord Ouest_</v>
      </c>
      <c r="H30" s="110" t="s">
        <v>1433</v>
      </c>
    </row>
    <row r="31" spans="1:8" x14ac:dyDescent="0.25">
      <c r="A31" s="307" t="s">
        <v>418</v>
      </c>
      <c r="B31" s="307" t="s">
        <v>1516</v>
      </c>
      <c r="C31" s="110" t="s">
        <v>236</v>
      </c>
      <c r="D31" s="110" t="s">
        <v>144</v>
      </c>
      <c r="E31" s="110" t="s">
        <v>18</v>
      </c>
      <c r="F31" s="110" t="s">
        <v>1517</v>
      </c>
      <c r="G31" s="307" t="str" cm="1">
        <f t="array" ref="G31">+_xlfn.CONCAT((C31:F31)&amp;"_")</f>
        <v>Pin Maritime_F3_Classique_Forêts littorales Atlantiques dunaires_</v>
      </c>
      <c r="H31" s="110" t="s">
        <v>1433</v>
      </c>
    </row>
    <row r="32" spans="1:8" x14ac:dyDescent="0.25">
      <c r="A32" s="100" t="s">
        <v>1495</v>
      </c>
      <c r="B32" s="100" t="s">
        <v>1496</v>
      </c>
      <c r="C32" s="110" t="s">
        <v>231</v>
      </c>
      <c r="D32" s="110" t="s">
        <v>9</v>
      </c>
      <c r="E32" s="110" t="s">
        <v>232</v>
      </c>
      <c r="F32" s="110" t="s">
        <v>227</v>
      </c>
      <c r="G32" s="307" t="str" cm="1">
        <f t="array" ref="G32">+_xlfn.CONCAT((C32:F32)&amp;"_")</f>
        <v>Pin Noir d'Autriche_F1_PO1_d4_GSM Alpes du Sud_</v>
      </c>
      <c r="H32" s="110" t="s">
        <v>1433</v>
      </c>
    </row>
    <row r="33" spans="1:8" x14ac:dyDescent="0.25">
      <c r="A33" s="100" t="s">
        <v>1495</v>
      </c>
      <c r="B33" s="100" t="s">
        <v>1496</v>
      </c>
      <c r="C33" s="110" t="s">
        <v>231</v>
      </c>
      <c r="D33" s="110" t="s">
        <v>10</v>
      </c>
      <c r="E33" s="110" t="s">
        <v>233</v>
      </c>
      <c r="F33" s="110" t="s">
        <v>227</v>
      </c>
      <c r="G33" s="307" t="str" cm="1">
        <f t="array" ref="G33">+_xlfn.CONCAT((C33:F33)&amp;"_")</f>
        <v>Pin Noir d'Autriche_F2_PO2_d4_GSM Alpes du Sud_</v>
      </c>
      <c r="H33" s="110" t="s">
        <v>1433</v>
      </c>
    </row>
    <row r="34" spans="1:8" x14ac:dyDescent="0.25">
      <c r="A34" s="100" t="s">
        <v>15</v>
      </c>
      <c r="B34" s="100" t="s">
        <v>21</v>
      </c>
      <c r="C34" s="110" t="s">
        <v>387</v>
      </c>
      <c r="D34" s="110" t="s">
        <v>9</v>
      </c>
      <c r="E34" s="110" t="s">
        <v>147</v>
      </c>
      <c r="F34" s="110" t="s">
        <v>235</v>
      </c>
      <c r="G34" s="307" t="str" cm="1">
        <f t="array" ref="G34">+_xlfn.CONCAT((C34:F34)&amp;"_")</f>
        <v>Pin sylvestre_F1_Eclaircie tardive_GS Pineraies des plaines du Centre et du Nord Ouest_</v>
      </c>
      <c r="H34" s="110" t="s">
        <v>1433</v>
      </c>
    </row>
    <row r="35" spans="1:8" x14ac:dyDescent="0.25">
      <c r="A35" s="100" t="s">
        <v>15</v>
      </c>
      <c r="B35" s="100" t="s">
        <v>1496</v>
      </c>
      <c r="C35" s="110" t="s">
        <v>387</v>
      </c>
      <c r="D35" s="110" t="s">
        <v>9</v>
      </c>
      <c r="E35" s="110" t="s">
        <v>1499</v>
      </c>
      <c r="F35" s="110" t="s">
        <v>227</v>
      </c>
      <c r="G35" s="307" t="str" cm="1">
        <f t="array" ref="G35">+_xlfn.CONCAT((C35:F35)&amp;"_")</f>
        <v>Pin sylvestre_F1_PS1_d3_GSM Alpes du Sud_</v>
      </c>
      <c r="H35" s="110" t="s">
        <v>1433</v>
      </c>
    </row>
    <row r="36" spans="1:8" x14ac:dyDescent="0.25">
      <c r="A36" s="100" t="s">
        <v>15</v>
      </c>
      <c r="B36" s="100" t="s">
        <v>21</v>
      </c>
      <c r="C36" s="110" t="s">
        <v>387</v>
      </c>
      <c r="D36" s="110" t="s">
        <v>10</v>
      </c>
      <c r="E36" s="110" t="s">
        <v>16</v>
      </c>
      <c r="F36" s="110" t="s">
        <v>235</v>
      </c>
      <c r="G36" s="307" t="str" cm="1">
        <f t="array" ref="G36">+_xlfn.CONCAT((C36:F36)&amp;"_")</f>
        <v>Pin sylvestre_F2_Eclaircie précoce_GS Pineraies des plaines du Centre et du Nord Ouest_</v>
      </c>
      <c r="H36" s="110" t="s">
        <v>1433</v>
      </c>
    </row>
    <row r="37" spans="1:8" x14ac:dyDescent="0.25">
      <c r="A37" s="100" t="s">
        <v>15</v>
      </c>
      <c r="B37" s="100" t="s">
        <v>21</v>
      </c>
      <c r="C37" s="110" t="s">
        <v>387</v>
      </c>
      <c r="D37" s="110" t="s">
        <v>10</v>
      </c>
      <c r="E37" s="110" t="s">
        <v>147</v>
      </c>
      <c r="F37" s="110" t="s">
        <v>235</v>
      </c>
      <c r="G37" s="307" t="str" cm="1">
        <f t="array" ref="G37">+_xlfn.CONCAT((C37:F37)&amp;"_")</f>
        <v>Pin sylvestre_F2_Eclaircie tardive_GS Pineraies des plaines du Centre et du Nord Ouest_</v>
      </c>
      <c r="H37" s="110" t="s">
        <v>1433</v>
      </c>
    </row>
    <row r="38" spans="1:8" x14ac:dyDescent="0.25">
      <c r="A38" s="100" t="s">
        <v>15</v>
      </c>
      <c r="B38" s="100" t="s">
        <v>1496</v>
      </c>
      <c r="C38" s="110" t="s">
        <v>387</v>
      </c>
      <c r="D38" s="110" t="s">
        <v>10</v>
      </c>
      <c r="E38" s="110" t="s">
        <v>1500</v>
      </c>
      <c r="F38" s="110" t="s">
        <v>227</v>
      </c>
      <c r="G38" s="307" t="str" cm="1">
        <f t="array" ref="G38">+_xlfn.CONCAT((C38:F38)&amp;"_")</f>
        <v>Pin sylvestre_F2_PS2_d2_GSM Alpes du Sud_</v>
      </c>
      <c r="H38" s="110" t="s">
        <v>1433</v>
      </c>
    </row>
    <row r="39" spans="1:8" x14ac:dyDescent="0.25">
      <c r="A39" s="100" t="s">
        <v>431</v>
      </c>
      <c r="B39" s="100" t="s">
        <v>185</v>
      </c>
      <c r="C39" s="110" t="s">
        <v>221</v>
      </c>
      <c r="D39" s="110" t="s">
        <v>9</v>
      </c>
      <c r="E39" s="110" t="s">
        <v>222</v>
      </c>
      <c r="F39" s="110" t="s">
        <v>223</v>
      </c>
      <c r="G39" s="307" t="str" cm="1">
        <f t="array" ref="G39">+_xlfn.CONCAT((C39:F39)&amp;"_")</f>
        <v>Sapin pectiné_F1_Cas général_GS Arc Jurassien_</v>
      </c>
      <c r="H39" s="110" t="s">
        <v>1433</v>
      </c>
    </row>
    <row r="40" spans="1:8" x14ac:dyDescent="0.25">
      <c r="A40" s="100" t="s">
        <v>431</v>
      </c>
      <c r="B40" s="100" t="s">
        <v>1496</v>
      </c>
      <c r="C40" s="110" t="s">
        <v>221</v>
      </c>
      <c r="D40" s="110" t="s">
        <v>9</v>
      </c>
      <c r="E40" s="110" t="s">
        <v>226</v>
      </c>
      <c r="F40" s="110" t="s">
        <v>227</v>
      </c>
      <c r="G40" s="307" t="str" cm="1">
        <f t="array" ref="G40">+_xlfn.CONCAT((C40:F40)&amp;"_")</f>
        <v>Sapin pectiné_F1_SP1_d5_GSM Alpes du Sud_</v>
      </c>
      <c r="H40" s="110" t="s">
        <v>1433</v>
      </c>
    </row>
    <row r="41" spans="1:8" x14ac:dyDescent="0.25">
      <c r="A41" s="100" t="s">
        <v>431</v>
      </c>
      <c r="B41" s="100" t="s">
        <v>185</v>
      </c>
      <c r="C41" s="110" t="s">
        <v>221</v>
      </c>
      <c r="D41" s="110" t="s">
        <v>10</v>
      </c>
      <c r="E41" s="110" t="s">
        <v>222</v>
      </c>
      <c r="F41" s="110" t="s">
        <v>223</v>
      </c>
      <c r="G41" s="307" t="str" cm="1">
        <f t="array" ref="G41">+_xlfn.CONCAT((C41:F41)&amp;"_")</f>
        <v>Sapin pectiné_F2_Cas général_GS Arc Jurassien_</v>
      </c>
      <c r="H41" s="110" t="s">
        <v>1433</v>
      </c>
    </row>
    <row r="42" spans="1:8" x14ac:dyDescent="0.25">
      <c r="A42" s="100" t="s">
        <v>431</v>
      </c>
      <c r="B42" s="100" t="s">
        <v>1496</v>
      </c>
      <c r="C42" s="110" t="s">
        <v>221</v>
      </c>
      <c r="D42" s="110" t="s">
        <v>10</v>
      </c>
      <c r="E42" s="110" t="s">
        <v>228</v>
      </c>
      <c r="F42" s="110" t="s">
        <v>227</v>
      </c>
      <c r="G42" s="307" t="str" cm="1">
        <f t="array" ref="G42">+_xlfn.CONCAT((C42:F42)&amp;"_")</f>
        <v>Sapin pectiné_F2_SP2_4_GSM Alpes du Sud_</v>
      </c>
      <c r="H42" s="110" t="s">
        <v>1433</v>
      </c>
    </row>
    <row r="43" spans="1:8" x14ac:dyDescent="0.25">
      <c r="A43" s="100" t="s">
        <v>431</v>
      </c>
      <c r="B43" s="100" t="s">
        <v>185</v>
      </c>
      <c r="C43" s="110" t="s">
        <v>221</v>
      </c>
      <c r="D43" s="110" t="s">
        <v>144</v>
      </c>
      <c r="E43" s="110" t="s">
        <v>222</v>
      </c>
      <c r="F43" s="110" t="s">
        <v>223</v>
      </c>
      <c r="G43" s="307" t="str" cm="1">
        <f t="array" ref="G43">+_xlfn.CONCAT((C43:F43)&amp;"_")</f>
        <v>Sapin pectiné_F3_Cas général_GS Arc Jurassien_</v>
      </c>
      <c r="H43" s="110" t="s">
        <v>1433</v>
      </c>
    </row>
    <row r="44" spans="1:8" x14ac:dyDescent="0.25">
      <c r="A44" s="307" t="s">
        <v>1539</v>
      </c>
      <c r="B44" s="307" t="s">
        <v>1496</v>
      </c>
      <c r="C44" s="97" t="s">
        <v>312</v>
      </c>
      <c r="D44" s="81" t="s">
        <v>10</v>
      </c>
      <c r="E44" s="81" t="s">
        <v>314</v>
      </c>
      <c r="F44" s="81" t="s">
        <v>227</v>
      </c>
      <c r="G44" s="307" t="str" cm="1">
        <f t="array" ref="G44">+_xlfn.CONCAT((C44:F44)&amp;"_")</f>
        <v>Mélèze d'Europe_F2_ME2_d6_GSM Alpes du Sud_</v>
      </c>
      <c r="H44" s="110" t="s">
        <v>1433</v>
      </c>
    </row>
    <row r="45" spans="1:8" x14ac:dyDescent="0.25">
      <c r="A45" s="382" t="s">
        <v>1539</v>
      </c>
      <c r="B45" s="307" t="s">
        <v>1496</v>
      </c>
      <c r="C45" s="97" t="s">
        <v>312</v>
      </c>
      <c r="D45" s="81" t="s">
        <v>9</v>
      </c>
      <c r="E45" s="79" t="s">
        <v>313</v>
      </c>
      <c r="F45" s="81" t="s">
        <v>227</v>
      </c>
      <c r="G45" s="307" t="str" cm="1">
        <f t="array" ref="G45">+_xlfn.CONCAT((C45:F45)&amp;"_")</f>
        <v>Mélèze d'Europe_F1_ME1_d5_GSM Alpes du Sud_</v>
      </c>
      <c r="H45" s="110" t="s">
        <v>1433</v>
      </c>
    </row>
    <row r="63" spans="1:8" x14ac:dyDescent="0.25">
      <c r="A63" s="322" t="s">
        <v>1507</v>
      </c>
    </row>
    <row r="64" spans="1:8" x14ac:dyDescent="0.25">
      <c r="A64" s="320" t="s">
        <v>200</v>
      </c>
      <c r="B64" s="320" t="s">
        <v>408</v>
      </c>
      <c r="C64" s="320" t="s">
        <v>200</v>
      </c>
      <c r="D64" s="320" t="s">
        <v>201</v>
      </c>
      <c r="E64" s="320" t="s">
        <v>202</v>
      </c>
      <c r="F64" s="320" t="s">
        <v>203</v>
      </c>
      <c r="G64" s="320" t="s">
        <v>409</v>
      </c>
      <c r="H64" s="321" t="s">
        <v>1505</v>
      </c>
    </row>
    <row r="65" spans="1:8" x14ac:dyDescent="0.25">
      <c r="A65" s="100"/>
      <c r="B65" s="100"/>
      <c r="C65" s="110" t="s">
        <v>312</v>
      </c>
      <c r="D65" s="110" t="s">
        <v>9</v>
      </c>
      <c r="E65" s="110" t="s">
        <v>313</v>
      </c>
      <c r="F65" s="110" t="s">
        <v>227</v>
      </c>
      <c r="G65" s="307" t="str" cm="1">
        <f t="array" ref="G65">+_xlfn.CONCAT((C65:F65)&amp;"_")</f>
        <v>Mélèze d'Europe_F1_ME1_d5_GSM Alpes du Sud_</v>
      </c>
      <c r="H65" s="317" t="s">
        <v>1433</v>
      </c>
    </row>
    <row r="66" spans="1:8" x14ac:dyDescent="0.25">
      <c r="A66" s="100"/>
      <c r="B66" s="100"/>
      <c r="C66" s="110" t="s">
        <v>312</v>
      </c>
      <c r="D66" s="110" t="s">
        <v>10</v>
      </c>
      <c r="E66" s="110" t="s">
        <v>314</v>
      </c>
      <c r="F66" s="110" t="s">
        <v>227</v>
      </c>
      <c r="G66" s="307" t="str" cm="1">
        <f t="array" ref="G66">+_xlfn.CONCAT((C66:F66)&amp;"_")</f>
        <v>Mélèze d'Europe_F2_ME2_d6_GSM Alpes du Sud_</v>
      </c>
      <c r="H66" s="317" t="s">
        <v>1433</v>
      </c>
    </row>
    <row r="67" spans="1:8" x14ac:dyDescent="0.25">
      <c r="A67" s="100" t="s">
        <v>431</v>
      </c>
      <c r="B67" s="100"/>
      <c r="C67" s="110" t="s">
        <v>221</v>
      </c>
      <c r="D67" s="110" t="s">
        <v>9</v>
      </c>
      <c r="E67" s="110" t="s">
        <v>306</v>
      </c>
      <c r="F67" s="110" t="s">
        <v>307</v>
      </c>
      <c r="G67" s="307" t="str" cm="1">
        <f t="array" ref="G67">+_xlfn.CONCAT((C67:F67)&amp;"_")</f>
        <v>Sapin pectiné_F1_Normal_GS Sapinières du Massif Central_</v>
      </c>
      <c r="H67" s="317" t="s">
        <v>1433</v>
      </c>
    </row>
    <row r="68" spans="1:8" x14ac:dyDescent="0.25">
      <c r="A68" s="100" t="s">
        <v>431</v>
      </c>
      <c r="B68" s="100"/>
      <c r="C68" s="110" t="s">
        <v>221</v>
      </c>
      <c r="D68" s="110" t="s">
        <v>10</v>
      </c>
      <c r="E68" s="110" t="s">
        <v>306</v>
      </c>
      <c r="F68" s="110" t="s">
        <v>307</v>
      </c>
      <c r="G68" s="307" t="str" cm="1">
        <f t="array" ref="G68">+_xlfn.CONCAT((C68:F68)&amp;"_")</f>
        <v>Sapin pectiné_F2_Normal_GS Sapinières du Massif Central_</v>
      </c>
      <c r="H68" s="317" t="s">
        <v>1433</v>
      </c>
    </row>
    <row r="69" spans="1:8" x14ac:dyDescent="0.25">
      <c r="A69" s="100" t="s">
        <v>431</v>
      </c>
      <c r="B69" s="100"/>
      <c r="C69" s="110" t="s">
        <v>221</v>
      </c>
      <c r="D69" s="110" t="s">
        <v>144</v>
      </c>
      <c r="E69" s="110" t="s">
        <v>306</v>
      </c>
      <c r="F69" s="110" t="s">
        <v>307</v>
      </c>
      <c r="G69" s="307" t="str" cm="1">
        <f t="array" ref="G69">+_xlfn.CONCAT((C69:F69)&amp;"_")</f>
        <v>Sapin pectiné_F3_Normal_GS Sapinières du Massif Central_</v>
      </c>
      <c r="H69" s="317" t="s">
        <v>1433</v>
      </c>
    </row>
    <row r="70" spans="1:8" x14ac:dyDescent="0.25">
      <c r="A70" s="100"/>
      <c r="B70" s="100"/>
      <c r="C70" s="110" t="s">
        <v>1409</v>
      </c>
      <c r="D70" s="110" t="s">
        <v>9</v>
      </c>
      <c r="E70" s="110" t="s">
        <v>309</v>
      </c>
      <c r="F70" s="110" t="s">
        <v>227</v>
      </c>
      <c r="G70" s="307" t="str" cm="1">
        <f t="array" ref="G70">+_xlfn.CONCAT((C70:F70)&amp;"_")</f>
        <v>Cedre_Atlas_F1_CA1_d5_GSM Alpes du Sud_</v>
      </c>
      <c r="H70" s="316" t="s">
        <v>1433</v>
      </c>
    </row>
    <row r="71" spans="1:8" x14ac:dyDescent="0.25">
      <c r="A71" s="100"/>
      <c r="B71" s="100"/>
      <c r="C71" s="110" t="s">
        <v>1409</v>
      </c>
      <c r="D71" s="110" t="s">
        <v>10</v>
      </c>
      <c r="E71" s="110" t="s">
        <v>310</v>
      </c>
      <c r="F71" s="110" t="s">
        <v>227</v>
      </c>
      <c r="G71" s="307" t="str" cm="1">
        <f t="array" ref="G71">+_xlfn.CONCAT((C71:F71)&amp;"_")</f>
        <v>Cedre_Atlas_F2_CA2_d5_GSM Alpes du Sud_</v>
      </c>
      <c r="H71" s="316" t="s">
        <v>1433</v>
      </c>
    </row>
    <row r="72" spans="1:8" x14ac:dyDescent="0.25">
      <c r="A72" s="100"/>
      <c r="B72" s="100"/>
      <c r="C72" s="110" t="s">
        <v>1409</v>
      </c>
      <c r="D72" s="110" t="s">
        <v>144</v>
      </c>
      <c r="E72" s="110" t="s">
        <v>311</v>
      </c>
      <c r="F72" s="110" t="s">
        <v>227</v>
      </c>
      <c r="G72" s="307" t="str" cm="1">
        <f t="array" ref="G72">+_xlfn.CONCAT((C72:F72)&amp;"_")</f>
        <v>Cedre_Atlas_F3_CA3_d5_GSM Alpes du Sud_</v>
      </c>
      <c r="H72" s="316" t="s">
        <v>1433</v>
      </c>
    </row>
    <row r="73" spans="1:8" x14ac:dyDescent="0.25">
      <c r="A73" s="100" t="s">
        <v>17</v>
      </c>
      <c r="B73" s="100" t="s">
        <v>20</v>
      </c>
      <c r="C73" s="110" t="s">
        <v>389</v>
      </c>
      <c r="D73" s="110" t="s">
        <v>9</v>
      </c>
      <c r="E73" s="110" t="s">
        <v>18</v>
      </c>
      <c r="F73" s="110" t="s">
        <v>137</v>
      </c>
      <c r="G73" s="307" t="str" cm="1">
        <f t="array" ref="G73">+_xlfn.CONCAT((C73:F73)&amp;"_")</f>
        <v>Chêne sessile_F1_Classique_Guide chênaie atlantique_</v>
      </c>
      <c r="H73" s="317" t="s">
        <v>1506</v>
      </c>
    </row>
    <row r="74" spans="1:8" x14ac:dyDescent="0.25">
      <c r="A74" s="100" t="s">
        <v>17</v>
      </c>
      <c r="B74" s="100" t="s">
        <v>20</v>
      </c>
      <c r="C74" s="110" t="s">
        <v>389</v>
      </c>
      <c r="D74" s="110" t="s">
        <v>144</v>
      </c>
      <c r="E74" s="110" t="s">
        <v>18</v>
      </c>
      <c r="F74" s="110" t="s">
        <v>137</v>
      </c>
      <c r="G74" s="307" t="str" cm="1">
        <f t="array" ref="G74">+_xlfn.CONCAT((C74:F74)&amp;"_")</f>
        <v>Chêne sessile_F3_Classique_Guide chênaie atlantique_</v>
      </c>
      <c r="H74" s="317" t="s">
        <v>1506</v>
      </c>
    </row>
    <row r="75" spans="1:8" x14ac:dyDescent="0.25">
      <c r="A75" s="100" t="s">
        <v>17</v>
      </c>
      <c r="B75" s="100" t="s">
        <v>20</v>
      </c>
      <c r="C75" s="110" t="s">
        <v>389</v>
      </c>
      <c r="D75" s="110" t="s">
        <v>10</v>
      </c>
      <c r="E75" s="110" t="s">
        <v>18</v>
      </c>
      <c r="F75" s="110" t="s">
        <v>137</v>
      </c>
      <c r="G75" s="307" t="str" cm="1">
        <f t="array" ref="G75">+_xlfn.CONCAT((C75:F75)&amp;"_")</f>
        <v>Chêne sessile_F2_Classique_Guide chênaie atlantique_</v>
      </c>
      <c r="H75" s="317" t="s">
        <v>1506</v>
      </c>
    </row>
    <row r="76" spans="1:8" x14ac:dyDescent="0.25">
      <c r="C76"/>
      <c r="D76"/>
      <c r="E76"/>
      <c r="F76" s="111"/>
    </row>
    <row r="77" spans="1:8" x14ac:dyDescent="0.25">
      <c r="C77"/>
      <c r="D77"/>
      <c r="E77"/>
      <c r="F77" s="111"/>
    </row>
    <row r="78" spans="1:8" x14ac:dyDescent="0.25">
      <c r="C78"/>
      <c r="D78"/>
      <c r="E78"/>
      <c r="F78" s="111"/>
    </row>
    <row r="79" spans="1:8" x14ac:dyDescent="0.25">
      <c r="C79"/>
      <c r="D79"/>
      <c r="E79"/>
      <c r="F79" s="111"/>
    </row>
    <row r="80" spans="1:8" x14ac:dyDescent="0.25">
      <c r="C80" s="310" t="s">
        <v>200</v>
      </c>
      <c r="D80" s="310" t="s">
        <v>201</v>
      </c>
      <c r="E80" s="310" t="s">
        <v>1474</v>
      </c>
      <c r="F80" s="310" t="s">
        <v>1474</v>
      </c>
      <c r="G80" s="310" t="s">
        <v>1475</v>
      </c>
    </row>
    <row r="81" spans="3:7" x14ac:dyDescent="0.25">
      <c r="C81" s="307" t="s">
        <v>751</v>
      </c>
      <c r="D81" s="307" t="s">
        <v>10</v>
      </c>
      <c r="E81" s="307" t="s">
        <v>1388</v>
      </c>
      <c r="F81" s="307" t="s">
        <v>1388</v>
      </c>
      <c r="G81" s="307" t="str">
        <f t="shared" ref="G81:G144" si="0">+_xlfn.CONCAT(C81:F81)</f>
        <v>A1 génériqueF2BT31-RDVTECH44BT31-RDVTECH44</v>
      </c>
    </row>
    <row r="82" spans="3:7" x14ac:dyDescent="0.25">
      <c r="C82" s="307" t="s">
        <v>772</v>
      </c>
      <c r="D82" s="307" t="s">
        <v>10</v>
      </c>
      <c r="E82" s="307" t="s">
        <v>1388</v>
      </c>
      <c r="F82" s="307" t="s">
        <v>1388</v>
      </c>
      <c r="G82" s="307" t="str">
        <f t="shared" si="0"/>
        <v>A2 génériqueF2BT31-RDVTECH44BT31-RDVTECH44</v>
      </c>
    </row>
    <row r="83" spans="3:7" x14ac:dyDescent="0.25">
      <c r="C83" s="307" t="s">
        <v>848</v>
      </c>
      <c r="D83" s="307" t="s">
        <v>10</v>
      </c>
      <c r="E83" s="307" t="s">
        <v>1388</v>
      </c>
      <c r="F83" s="307" t="s">
        <v>1388</v>
      </c>
      <c r="G83" s="307" t="str">
        <f t="shared" si="0"/>
        <v>A3 génériqueF2BT31-RDVTECH44BT31-RDVTECH44</v>
      </c>
    </row>
    <row r="84" spans="3:7" x14ac:dyDescent="0.25">
      <c r="C84" s="307" t="s">
        <v>1170</v>
      </c>
      <c r="D84" s="307" t="s">
        <v>10</v>
      </c>
      <c r="E84" s="307" t="s">
        <v>1388</v>
      </c>
      <c r="F84" s="307" t="s">
        <v>1388</v>
      </c>
      <c r="G84" s="307" t="str">
        <f t="shared" si="0"/>
        <v>AbricotierF2BT31-RDVTECH44BT31-RDVTECH44</v>
      </c>
    </row>
    <row r="85" spans="3:7" x14ac:dyDescent="0.25">
      <c r="C85" s="307" t="s">
        <v>496</v>
      </c>
      <c r="D85" s="307" t="s">
        <v>10</v>
      </c>
      <c r="E85" s="307" t="s">
        <v>1388</v>
      </c>
      <c r="F85" s="307" t="s">
        <v>1388</v>
      </c>
      <c r="G85" s="307" t="str">
        <f t="shared" si="0"/>
        <v>AilanteF2BT31-RDVTECH44BT31-RDVTECH44</v>
      </c>
    </row>
    <row r="86" spans="3:7" x14ac:dyDescent="0.25">
      <c r="C86" s="307" t="s">
        <v>1046</v>
      </c>
      <c r="D86" s="307" t="s">
        <v>10</v>
      </c>
      <c r="E86" s="307" t="s">
        <v>1388</v>
      </c>
      <c r="F86" s="307" t="s">
        <v>1388</v>
      </c>
      <c r="G86" s="307" t="str">
        <f t="shared" si="0"/>
        <v>Alisier blancF2BT31-RDVTECH44BT31-RDVTECH44</v>
      </c>
    </row>
    <row r="87" spans="3:7" x14ac:dyDescent="0.25">
      <c r="C87" s="307" t="s">
        <v>1051</v>
      </c>
      <c r="D87" s="307" t="s">
        <v>10</v>
      </c>
      <c r="E87" s="307" t="s">
        <v>1388</v>
      </c>
      <c r="F87" s="307" t="s">
        <v>1388</v>
      </c>
      <c r="G87" s="307" t="str">
        <f t="shared" si="0"/>
        <v>Alisier de FontainebleauF2BT31-RDVTECH44BT31-RDVTECH44</v>
      </c>
    </row>
    <row r="88" spans="3:7" x14ac:dyDescent="0.25">
      <c r="C88" s="307" t="s">
        <v>1056</v>
      </c>
      <c r="D88" s="307" t="s">
        <v>10</v>
      </c>
      <c r="E88" s="307" t="s">
        <v>1388</v>
      </c>
      <c r="F88" s="307" t="s">
        <v>1388</v>
      </c>
      <c r="G88" s="307" t="str">
        <f t="shared" si="0"/>
        <v>Alisier de MougeotF2BT31-RDVTECH44BT31-RDVTECH44</v>
      </c>
    </row>
    <row r="89" spans="3:7" x14ac:dyDescent="0.25">
      <c r="C89" s="307" t="s">
        <v>1013</v>
      </c>
      <c r="D89" s="307" t="s">
        <v>10</v>
      </c>
      <c r="E89" s="307" t="s">
        <v>1388</v>
      </c>
      <c r="F89" s="307" t="s">
        <v>1388</v>
      </c>
      <c r="G89" s="307" t="str">
        <f t="shared" si="0"/>
        <v>Alisier torminalF2BT31-RDVTECH44BT31-RDVTECH44</v>
      </c>
    </row>
    <row r="90" spans="3:7" x14ac:dyDescent="0.25">
      <c r="C90" s="307" t="s">
        <v>1041</v>
      </c>
      <c r="D90" s="307" t="s">
        <v>10</v>
      </c>
      <c r="E90" s="307" t="s">
        <v>1388</v>
      </c>
      <c r="F90" s="307" t="s">
        <v>1388</v>
      </c>
      <c r="G90" s="307" t="str">
        <f t="shared" si="0"/>
        <v>AmandierF2BT31-RDVTECH44BT31-RDVTECH44</v>
      </c>
    </row>
    <row r="91" spans="3:7" x14ac:dyDescent="0.25">
      <c r="C91" s="307" t="s">
        <v>1320</v>
      </c>
      <c r="D91" s="307" t="s">
        <v>10</v>
      </c>
      <c r="E91" s="307" t="s">
        <v>1388</v>
      </c>
      <c r="F91" s="307" t="s">
        <v>1388</v>
      </c>
      <c r="G91" s="307" t="str">
        <f t="shared" si="0"/>
        <v>ArbousierF2BT31-RDVTECH44BT31-RDVTECH44</v>
      </c>
    </row>
    <row r="92" spans="3:7" x14ac:dyDescent="0.25">
      <c r="C92" s="307" t="s">
        <v>1144</v>
      </c>
      <c r="D92" s="307" t="s">
        <v>10</v>
      </c>
      <c r="E92" s="307" t="s">
        <v>1388</v>
      </c>
      <c r="F92" s="307" t="s">
        <v>1388</v>
      </c>
      <c r="G92" s="307" t="str">
        <f t="shared" si="0"/>
        <v>Arbre de JudéeF2BT31-RDVTECH44BT31-RDVTECH44</v>
      </c>
    </row>
    <row r="93" spans="3:7" x14ac:dyDescent="0.25">
      <c r="C93" s="307" t="s">
        <v>573</v>
      </c>
      <c r="D93" s="307" t="s">
        <v>10</v>
      </c>
      <c r="E93" s="307" t="s">
        <v>1388</v>
      </c>
      <c r="F93" s="307" t="s">
        <v>1388</v>
      </c>
      <c r="G93" s="307" t="str">
        <f t="shared" si="0"/>
        <v>Aubépine AzerolierF2BT31-RDVTECH44BT31-RDVTECH44</v>
      </c>
    </row>
    <row r="94" spans="3:7" x14ac:dyDescent="0.25">
      <c r="C94" s="307" t="s">
        <v>576</v>
      </c>
      <c r="D94" s="307" t="s">
        <v>10</v>
      </c>
      <c r="E94" s="307" t="s">
        <v>1388</v>
      </c>
      <c r="F94" s="307" t="s">
        <v>1388</v>
      </c>
      <c r="G94" s="307" t="str">
        <f t="shared" si="0"/>
        <v>Aubépine épineuseF2BT31-RDVTECH44BT31-RDVTECH44</v>
      </c>
    </row>
    <row r="95" spans="3:7" x14ac:dyDescent="0.25">
      <c r="C95" s="307" t="s">
        <v>581</v>
      </c>
      <c r="D95" s="307" t="s">
        <v>10</v>
      </c>
      <c r="E95" s="307" t="s">
        <v>1388</v>
      </c>
      <c r="F95" s="307" t="s">
        <v>1388</v>
      </c>
      <c r="G95" s="307" t="str">
        <f t="shared" si="0"/>
        <v>Aubépine monogyneF2BT31-RDVTECH44BT31-RDVTECH44</v>
      </c>
    </row>
    <row r="96" spans="3:7" x14ac:dyDescent="0.25">
      <c r="C96" s="307" t="s">
        <v>1344</v>
      </c>
      <c r="D96" s="307" t="s">
        <v>10</v>
      </c>
      <c r="E96" s="307" t="s">
        <v>1388</v>
      </c>
      <c r="F96" s="307" t="s">
        <v>1388</v>
      </c>
      <c r="G96" s="307" t="str">
        <f t="shared" si="0"/>
        <v>Aulne blancF2BT31-RDVTECH44BT31-RDVTECH44</v>
      </c>
    </row>
    <row r="97" spans="3:7" x14ac:dyDescent="0.25">
      <c r="C97" s="307" t="s">
        <v>1349</v>
      </c>
      <c r="D97" s="307" t="s">
        <v>10</v>
      </c>
      <c r="E97" s="307" t="s">
        <v>1388</v>
      </c>
      <c r="F97" s="307" t="s">
        <v>1388</v>
      </c>
      <c r="G97" s="307" t="str">
        <f t="shared" si="0"/>
        <v>Aulne de CorseF2BT31-RDVTECH44BT31-RDVTECH44</v>
      </c>
    </row>
    <row r="98" spans="3:7" x14ac:dyDescent="0.25">
      <c r="C98" s="307" t="s">
        <v>606</v>
      </c>
      <c r="D98" s="307" t="s">
        <v>10</v>
      </c>
      <c r="E98" s="307" t="s">
        <v>1388</v>
      </c>
      <c r="F98" s="307" t="s">
        <v>1388</v>
      </c>
      <c r="G98" s="307" t="str">
        <f t="shared" si="0"/>
        <v>Aulne génériqueF2BT31-RDVTECH44BT31-RDVTECH44</v>
      </c>
    </row>
    <row r="99" spans="3:7" x14ac:dyDescent="0.25">
      <c r="C99" s="307" t="s">
        <v>1354</v>
      </c>
      <c r="D99" s="307" t="s">
        <v>10</v>
      </c>
      <c r="E99" s="307" t="s">
        <v>1388</v>
      </c>
      <c r="F99" s="307" t="s">
        <v>1388</v>
      </c>
      <c r="G99" s="307" t="str">
        <f t="shared" si="0"/>
        <v>Aulne glutineuxF2BT31-RDVTECH44BT31-RDVTECH44</v>
      </c>
    </row>
    <row r="100" spans="3:7" x14ac:dyDescent="0.25">
      <c r="C100" s="307" t="s">
        <v>330</v>
      </c>
      <c r="D100" s="307" t="s">
        <v>10</v>
      </c>
      <c r="E100" s="307" t="s">
        <v>1388</v>
      </c>
      <c r="F100" s="307" t="s">
        <v>1388</v>
      </c>
      <c r="G100" s="307" t="str">
        <f t="shared" si="0"/>
        <v>Aulne vert F2BT31-RDVTECH44BT31-RDVTECH44</v>
      </c>
    </row>
    <row r="101" spans="3:7" x14ac:dyDescent="0.25">
      <c r="C101" s="307" t="s">
        <v>724</v>
      </c>
      <c r="D101" s="307" t="s">
        <v>10</v>
      </c>
      <c r="E101" s="307" t="s">
        <v>1388</v>
      </c>
      <c r="F101" s="307" t="s">
        <v>1388</v>
      </c>
      <c r="G101" s="307" t="str">
        <f t="shared" si="0"/>
        <v>Autre conifère exotiqueF2BT31-RDVTECH44BT31-RDVTECH44</v>
      </c>
    </row>
    <row r="102" spans="3:7" x14ac:dyDescent="0.25">
      <c r="C102" s="307" t="s">
        <v>494</v>
      </c>
      <c r="D102" s="307" t="s">
        <v>10</v>
      </c>
      <c r="E102" s="307" t="s">
        <v>1388</v>
      </c>
      <c r="F102" s="307" t="s">
        <v>1388</v>
      </c>
      <c r="G102" s="307" t="str">
        <f t="shared" si="0"/>
        <v>Autre feuillu exotiqueF2BT31-RDVTECH44BT31-RDVTECH44</v>
      </c>
    </row>
    <row r="103" spans="3:7" x14ac:dyDescent="0.25">
      <c r="C103" s="307" t="s">
        <v>889</v>
      </c>
      <c r="D103" s="307" t="s">
        <v>10</v>
      </c>
      <c r="E103" s="307" t="s">
        <v>1388</v>
      </c>
      <c r="F103" s="307" t="s">
        <v>1388</v>
      </c>
      <c r="G103" s="307" t="str">
        <f t="shared" si="0"/>
        <v>B1 génériqueF2BT31-RDVTECH44BT31-RDVTECH44</v>
      </c>
    </row>
    <row r="104" spans="3:7" x14ac:dyDescent="0.25">
      <c r="C104" s="307" t="s">
        <v>949</v>
      </c>
      <c r="D104" s="307" t="s">
        <v>10</v>
      </c>
      <c r="E104" s="307" t="s">
        <v>1388</v>
      </c>
      <c r="F104" s="307" t="s">
        <v>1388</v>
      </c>
      <c r="G104" s="307" t="str">
        <f t="shared" si="0"/>
        <v>B2 génériqueF2BT31-RDVTECH44BT31-RDVTECH44</v>
      </c>
    </row>
    <row r="105" spans="3:7" x14ac:dyDescent="0.25">
      <c r="C105" s="307" t="s">
        <v>608</v>
      </c>
      <c r="D105" s="307" t="s">
        <v>10</v>
      </c>
      <c r="E105" s="307" t="s">
        <v>1388</v>
      </c>
      <c r="F105" s="307" t="s">
        <v>1388</v>
      </c>
      <c r="G105" s="307" t="str">
        <f t="shared" si="0"/>
        <v>Bouleau génériqueF2BT31-RDVTECH44BT31-RDVTECH44</v>
      </c>
    </row>
    <row r="106" spans="3:7" x14ac:dyDescent="0.25">
      <c r="C106" s="307" t="s">
        <v>1334</v>
      </c>
      <c r="D106" s="307" t="s">
        <v>10</v>
      </c>
      <c r="E106" s="307" t="s">
        <v>1388</v>
      </c>
      <c r="F106" s="307" t="s">
        <v>1388</v>
      </c>
      <c r="G106" s="307" t="str">
        <f t="shared" si="0"/>
        <v>Bouleau pubescentF2BT31-RDVTECH44BT31-RDVTECH44</v>
      </c>
    </row>
    <row r="107" spans="3:7" x14ac:dyDescent="0.25">
      <c r="C107" s="307" t="s">
        <v>1339</v>
      </c>
      <c r="D107" s="307" t="s">
        <v>10</v>
      </c>
      <c r="E107" s="307" t="s">
        <v>1388</v>
      </c>
      <c r="F107" s="307" t="s">
        <v>1388</v>
      </c>
      <c r="G107" s="307" t="str">
        <f t="shared" si="0"/>
        <v>Bouleau verruqueuxF2BT31-RDVTECH44BT31-RDVTECH44</v>
      </c>
    </row>
    <row r="108" spans="3:7" x14ac:dyDescent="0.25">
      <c r="C108" s="307" t="s">
        <v>1127</v>
      </c>
      <c r="D108" s="307" t="s">
        <v>10</v>
      </c>
      <c r="E108" s="307" t="s">
        <v>1388</v>
      </c>
      <c r="F108" s="307" t="s">
        <v>1388</v>
      </c>
      <c r="G108" s="307" t="str">
        <f t="shared" si="0"/>
        <v>BourdaineF2BT31-RDVTECH44BT31-RDVTECH44</v>
      </c>
    </row>
    <row r="109" spans="3:7" x14ac:dyDescent="0.25">
      <c r="C109" s="307" t="s">
        <v>1286</v>
      </c>
      <c r="D109" s="307" t="s">
        <v>10</v>
      </c>
      <c r="E109" s="307" t="s">
        <v>1388</v>
      </c>
      <c r="F109" s="307" t="s">
        <v>1388</v>
      </c>
      <c r="G109" s="307" t="str">
        <f t="shared" si="0"/>
        <v>Bruyère arborescenteF2BT31-RDVTECH44BT31-RDVTECH44</v>
      </c>
    </row>
    <row r="110" spans="3:7" x14ac:dyDescent="0.25">
      <c r="C110" s="307" t="s">
        <v>586</v>
      </c>
      <c r="D110" s="307" t="s">
        <v>10</v>
      </c>
      <c r="E110" s="307" t="s">
        <v>1388</v>
      </c>
      <c r="F110" s="307" t="s">
        <v>1388</v>
      </c>
      <c r="G110" s="307" t="str">
        <f t="shared" si="0"/>
        <v>BuisF2BT31-RDVTECH44BT31-RDVTECH44</v>
      </c>
    </row>
    <row r="111" spans="3:7" x14ac:dyDescent="0.25">
      <c r="C111" s="307" t="s">
        <v>1006</v>
      </c>
      <c r="D111" s="307" t="s">
        <v>10</v>
      </c>
      <c r="E111" s="307" t="s">
        <v>1388</v>
      </c>
      <c r="F111" s="307" t="s">
        <v>1388</v>
      </c>
      <c r="G111" s="307" t="str">
        <f t="shared" si="0"/>
        <v>C1 génériqueF2BT31-RDVTECH44BT31-RDVTECH44</v>
      </c>
    </row>
    <row r="112" spans="3:7" x14ac:dyDescent="0.25">
      <c r="C112" s="307" t="s">
        <v>1217</v>
      </c>
      <c r="D112" s="307" t="s">
        <v>10</v>
      </c>
      <c r="E112" s="307" t="s">
        <v>1388</v>
      </c>
      <c r="F112" s="307" t="s">
        <v>1388</v>
      </c>
      <c r="G112" s="307" t="str">
        <f t="shared" si="0"/>
        <v>C2 génériqueF2BT31-RDVTECH44BT31-RDVTECH44</v>
      </c>
    </row>
    <row r="113" spans="3:7" x14ac:dyDescent="0.25">
      <c r="C113" s="307" t="s">
        <v>1260</v>
      </c>
      <c r="D113" s="307" t="s">
        <v>10</v>
      </c>
      <c r="E113" s="307" t="s">
        <v>1388</v>
      </c>
      <c r="F113" s="307" t="s">
        <v>1388</v>
      </c>
      <c r="G113" s="307" t="str">
        <f t="shared" si="0"/>
        <v>C3 génériqueF2BT31-RDVTECH44BT31-RDVTECH44</v>
      </c>
    </row>
    <row r="114" spans="3:7" x14ac:dyDescent="0.25">
      <c r="C114" s="307" t="s">
        <v>501</v>
      </c>
      <c r="D114" s="307" t="s">
        <v>10</v>
      </c>
      <c r="E114" s="307" t="s">
        <v>1388</v>
      </c>
      <c r="F114" s="307" t="s">
        <v>1388</v>
      </c>
      <c r="G114" s="307" t="str">
        <f t="shared" si="0"/>
        <v>CaroubierF2BT31-RDVTECH44BT31-RDVTECH44</v>
      </c>
    </row>
    <row r="115" spans="3:7" x14ac:dyDescent="0.25">
      <c r="C115" s="307" t="s">
        <v>506</v>
      </c>
      <c r="D115" s="307" t="s">
        <v>10</v>
      </c>
      <c r="E115" s="307" t="s">
        <v>1388</v>
      </c>
      <c r="F115" s="307" t="s">
        <v>1388</v>
      </c>
      <c r="G115" s="307" t="str">
        <f t="shared" si="0"/>
        <v>CatalpaF2BT31-RDVTECH44BT31-RDVTECH44</v>
      </c>
    </row>
    <row r="116" spans="3:7" x14ac:dyDescent="0.25">
      <c r="C116" s="307" t="s">
        <v>1138</v>
      </c>
      <c r="D116" s="307" t="s">
        <v>10</v>
      </c>
      <c r="E116" s="307" t="s">
        <v>1388</v>
      </c>
      <c r="F116" s="307" t="s">
        <v>1388</v>
      </c>
      <c r="G116" s="307" t="str">
        <f t="shared" si="0"/>
        <v>CédratierF2BT31-RDVTECH44BT31-RDVTECH44</v>
      </c>
    </row>
    <row r="117" spans="3:7" x14ac:dyDescent="0.25">
      <c r="C117" s="307" t="s">
        <v>869</v>
      </c>
      <c r="D117" s="307" t="s">
        <v>10</v>
      </c>
      <c r="E117" s="307" t="s">
        <v>1388</v>
      </c>
      <c r="F117" s="307" t="s">
        <v>1388</v>
      </c>
      <c r="G117" s="307" t="str">
        <f t="shared" si="0"/>
        <v>Cèdre de chypreF2BT31-RDVTECH44BT31-RDVTECH44</v>
      </c>
    </row>
    <row r="118" spans="3:7" x14ac:dyDescent="0.25">
      <c r="C118" s="307" t="s">
        <v>308</v>
      </c>
      <c r="D118" s="307" t="s">
        <v>10</v>
      </c>
      <c r="E118" s="307" t="s">
        <v>1388</v>
      </c>
      <c r="F118" s="307" t="s">
        <v>1388</v>
      </c>
      <c r="G118" s="307" t="str">
        <f t="shared" si="0"/>
        <v>Cèdre de l'AtlasF2BT31-RDVTECH44BT31-RDVTECH44</v>
      </c>
    </row>
    <row r="119" spans="3:7" x14ac:dyDescent="0.25">
      <c r="C119" s="307" t="s">
        <v>874</v>
      </c>
      <c r="D119" s="307" t="s">
        <v>10</v>
      </c>
      <c r="E119" s="307" t="s">
        <v>1388</v>
      </c>
      <c r="F119" s="307" t="s">
        <v>1388</v>
      </c>
      <c r="G119" s="307" t="str">
        <f t="shared" si="0"/>
        <v>Cèdre de l'HymalayaF2BT31-RDVTECH44BT31-RDVTECH44</v>
      </c>
    </row>
    <row r="120" spans="3:7" x14ac:dyDescent="0.25">
      <c r="C120" s="307" t="s">
        <v>865</v>
      </c>
      <c r="D120" s="307" t="s">
        <v>10</v>
      </c>
      <c r="E120" s="307" t="s">
        <v>1388</v>
      </c>
      <c r="F120" s="307" t="s">
        <v>1388</v>
      </c>
      <c r="G120" s="307" t="str">
        <f t="shared" si="0"/>
        <v>Cèdre du LibanF2BT31-RDVTECH44BT31-RDVTECH44</v>
      </c>
    </row>
    <row r="121" spans="3:7" x14ac:dyDescent="0.25">
      <c r="C121" s="307" t="s">
        <v>891</v>
      </c>
      <c r="D121" s="307" t="s">
        <v>10</v>
      </c>
      <c r="E121" s="307" t="s">
        <v>1388</v>
      </c>
      <c r="F121" s="307" t="s">
        <v>1388</v>
      </c>
      <c r="G121" s="307" t="str">
        <f t="shared" si="0"/>
        <v>Cedrus atlantica ou libaniF2BT31-RDVTECH44BT31-RDVTECH44</v>
      </c>
    </row>
    <row r="122" spans="3:7" x14ac:dyDescent="0.25">
      <c r="C122" s="307" t="s">
        <v>1021</v>
      </c>
      <c r="D122" s="307" t="s">
        <v>10</v>
      </c>
      <c r="E122" s="307" t="s">
        <v>1388</v>
      </c>
      <c r="F122" s="307" t="s">
        <v>1388</v>
      </c>
      <c r="G122" s="307" t="str">
        <f t="shared" si="0"/>
        <v>CerisierF2BT31-RDVTECH44BT31-RDVTECH44</v>
      </c>
    </row>
    <row r="123" spans="3:7" x14ac:dyDescent="0.25">
      <c r="C123" s="307" t="s">
        <v>1026</v>
      </c>
      <c r="D123" s="307" t="s">
        <v>10</v>
      </c>
      <c r="E123" s="307" t="s">
        <v>1388</v>
      </c>
      <c r="F123" s="307" t="s">
        <v>1388</v>
      </c>
      <c r="G123" s="307" t="str">
        <f t="shared" si="0"/>
        <v>Cerisier à grappesF2BT31-RDVTECH44BT31-RDVTECH44</v>
      </c>
    </row>
    <row r="124" spans="3:7" x14ac:dyDescent="0.25">
      <c r="C124" s="307" t="s">
        <v>1184</v>
      </c>
      <c r="D124" s="307" t="s">
        <v>10</v>
      </c>
      <c r="E124" s="307" t="s">
        <v>1388</v>
      </c>
      <c r="F124" s="307" t="s">
        <v>1388</v>
      </c>
      <c r="G124" s="307" t="str">
        <f t="shared" si="0"/>
        <v>Cerisier de Sainte-LucieF2BT31-RDVTECH44BT31-RDVTECH44</v>
      </c>
    </row>
    <row r="125" spans="3:7" x14ac:dyDescent="0.25">
      <c r="C125" s="307" t="s">
        <v>1036</v>
      </c>
      <c r="D125" s="307" t="s">
        <v>10</v>
      </c>
      <c r="E125" s="307" t="s">
        <v>1388</v>
      </c>
      <c r="F125" s="307" t="s">
        <v>1388</v>
      </c>
      <c r="G125" s="307" t="str">
        <f t="shared" si="0"/>
        <v>Cerisier tardifF2BT31-RDVTECH44BT31-RDVTECH44</v>
      </c>
    </row>
    <row r="126" spans="3:7" x14ac:dyDescent="0.25">
      <c r="C126" s="307" t="s">
        <v>1230</v>
      </c>
      <c r="D126" s="307" t="s">
        <v>10</v>
      </c>
      <c r="E126" s="307" t="s">
        <v>1388</v>
      </c>
      <c r="F126" s="307" t="s">
        <v>1388</v>
      </c>
      <c r="G126" s="307" t="str">
        <f t="shared" si="0"/>
        <v>CharmeF2BT31-RDVTECH44BT31-RDVTECH44</v>
      </c>
    </row>
    <row r="127" spans="3:7" x14ac:dyDescent="0.25">
      <c r="C127" s="307" t="s">
        <v>1234</v>
      </c>
      <c r="D127" s="307" t="s">
        <v>10</v>
      </c>
      <c r="E127" s="307" t="s">
        <v>1388</v>
      </c>
      <c r="F127" s="307" t="s">
        <v>1388</v>
      </c>
      <c r="G127" s="307" t="str">
        <f t="shared" si="0"/>
        <v>Charme houblonF2BT31-RDVTECH44BT31-RDVTECH44</v>
      </c>
    </row>
    <row r="128" spans="3:7" x14ac:dyDescent="0.25">
      <c r="C128" s="307" t="s">
        <v>641</v>
      </c>
      <c r="D128" s="307" t="s">
        <v>10</v>
      </c>
      <c r="E128" s="307" t="s">
        <v>1388</v>
      </c>
      <c r="F128" s="307" t="s">
        <v>1388</v>
      </c>
      <c r="G128" s="307" t="str">
        <f t="shared" si="0"/>
        <v>ChâtaignierF2BT31-RDVTECH44BT31-RDVTECH44</v>
      </c>
    </row>
    <row r="129" spans="3:7" x14ac:dyDescent="0.25">
      <c r="C129" s="307" t="s">
        <v>668</v>
      </c>
      <c r="D129" s="307" t="s">
        <v>10</v>
      </c>
      <c r="E129" s="307" t="s">
        <v>1388</v>
      </c>
      <c r="F129" s="307" t="s">
        <v>1388</v>
      </c>
      <c r="G129" s="307" t="str">
        <f t="shared" si="0"/>
        <v>Chêne cheveluF2BT31-RDVTECH44BT31-RDVTECH44</v>
      </c>
    </row>
    <row r="130" spans="3:7" x14ac:dyDescent="0.25">
      <c r="C130" s="307" t="s">
        <v>685</v>
      </c>
      <c r="D130" s="307" t="s">
        <v>10</v>
      </c>
      <c r="E130" s="307" t="s">
        <v>1388</v>
      </c>
      <c r="F130" s="307" t="s">
        <v>1388</v>
      </c>
      <c r="G130" s="307" t="str">
        <f t="shared" si="0"/>
        <v>Chêne des maraisF2BT31-RDVTECH44BT31-RDVTECH44</v>
      </c>
    </row>
    <row r="131" spans="3:7" x14ac:dyDescent="0.25">
      <c r="C131" s="307" t="s">
        <v>680</v>
      </c>
      <c r="D131" s="307" t="s">
        <v>10</v>
      </c>
      <c r="E131" s="307" t="s">
        <v>1388</v>
      </c>
      <c r="F131" s="307" t="s">
        <v>1388</v>
      </c>
      <c r="G131" s="307" t="str">
        <f t="shared" si="0"/>
        <v>Chêne écarlateF2BT31-RDVTECH44BT31-RDVTECH44</v>
      </c>
    </row>
    <row r="132" spans="3:7" x14ac:dyDescent="0.25">
      <c r="C132" s="307" t="s">
        <v>672</v>
      </c>
      <c r="D132" s="307" t="s">
        <v>10</v>
      </c>
      <c r="E132" s="307" t="s">
        <v>1388</v>
      </c>
      <c r="F132" s="307" t="s">
        <v>1388</v>
      </c>
      <c r="G132" s="307" t="str">
        <f t="shared" si="0"/>
        <v>Chêne faux-liègeF2BT31-RDVTECH44BT31-RDVTECH44</v>
      </c>
    </row>
    <row r="133" spans="3:7" x14ac:dyDescent="0.25">
      <c r="C133" s="307" t="s">
        <v>388</v>
      </c>
      <c r="D133" s="307" t="s">
        <v>10</v>
      </c>
      <c r="E133" s="307" t="s">
        <v>1388</v>
      </c>
      <c r="F133" s="307" t="s">
        <v>1388</v>
      </c>
      <c r="G133" s="307" t="str">
        <f t="shared" si="0"/>
        <v>Chêne pédonculéF2BT31-RDVTECH44BT31-RDVTECH44</v>
      </c>
    </row>
    <row r="134" spans="3:7" x14ac:dyDescent="0.25">
      <c r="C134" s="307" t="s">
        <v>654</v>
      </c>
      <c r="D134" s="307" t="s">
        <v>10</v>
      </c>
      <c r="E134" s="307" t="s">
        <v>1388</v>
      </c>
      <c r="F134" s="307" t="s">
        <v>1388</v>
      </c>
      <c r="G134" s="307" t="str">
        <f t="shared" si="0"/>
        <v>Chêne pubescentF2BT31-RDVTECH44BT31-RDVTECH44</v>
      </c>
    </row>
    <row r="135" spans="3:7" x14ac:dyDescent="0.25">
      <c r="C135" s="307" t="s">
        <v>631</v>
      </c>
      <c r="D135" s="307" t="s">
        <v>10</v>
      </c>
      <c r="E135" s="307" t="s">
        <v>1388</v>
      </c>
      <c r="F135" s="307" t="s">
        <v>1388</v>
      </c>
      <c r="G135" s="307" t="str">
        <f t="shared" si="0"/>
        <v>Chêne rougeF2BT31-RDVTECH44BT31-RDVTECH44</v>
      </c>
    </row>
    <row r="136" spans="3:7" x14ac:dyDescent="0.25">
      <c r="C136" s="307" t="s">
        <v>389</v>
      </c>
      <c r="D136" s="307" t="s">
        <v>10</v>
      </c>
      <c r="E136" s="307" t="s">
        <v>1388</v>
      </c>
      <c r="F136" s="307" t="s">
        <v>1388</v>
      </c>
      <c r="G136" s="307" t="str">
        <f t="shared" si="0"/>
        <v>Chêne sessileF2BT31-RDVTECH44BT31-RDVTECH44</v>
      </c>
    </row>
    <row r="137" spans="3:7" x14ac:dyDescent="0.25">
      <c r="C137" s="307" t="s">
        <v>659</v>
      </c>
      <c r="D137" s="307" t="s">
        <v>10</v>
      </c>
      <c r="E137" s="307" t="s">
        <v>1388</v>
      </c>
      <c r="F137" s="307" t="s">
        <v>1388</v>
      </c>
      <c r="G137" s="307" t="str">
        <f t="shared" si="0"/>
        <v>Chêne tauzinF2BT31-RDVTECH44BT31-RDVTECH44</v>
      </c>
    </row>
    <row r="138" spans="3:7" x14ac:dyDescent="0.25">
      <c r="C138" s="307" t="s">
        <v>636</v>
      </c>
      <c r="D138" s="307" t="s">
        <v>10</v>
      </c>
      <c r="E138" s="307" t="s">
        <v>1388</v>
      </c>
      <c r="F138" s="307" t="s">
        <v>1388</v>
      </c>
      <c r="G138" s="307" t="str">
        <f t="shared" si="0"/>
        <v>Chêne vertF2BT31-RDVTECH44BT31-RDVTECH44</v>
      </c>
    </row>
    <row r="139" spans="3:7" x14ac:dyDescent="0.25">
      <c r="C139" s="307" t="s">
        <v>675</v>
      </c>
      <c r="D139" s="307" t="s">
        <v>10</v>
      </c>
      <c r="E139" s="307" t="s">
        <v>1388</v>
      </c>
      <c r="F139" s="307" t="s">
        <v>1388</v>
      </c>
      <c r="G139" s="307" t="str">
        <f t="shared" si="0"/>
        <v>Chêne-liègeF2BT31-RDVTECH44BT31-RDVTECH44</v>
      </c>
    </row>
    <row r="140" spans="3:7" x14ac:dyDescent="0.25">
      <c r="C140" s="307" t="s">
        <v>1132</v>
      </c>
      <c r="D140" s="307" t="s">
        <v>10</v>
      </c>
      <c r="E140" s="307" t="s">
        <v>1388</v>
      </c>
      <c r="F140" s="307" t="s">
        <v>1388</v>
      </c>
      <c r="G140" s="307" t="str">
        <f t="shared" si="0"/>
        <v>CognassierF2BT31-RDVTECH44BT31-RDVTECH44</v>
      </c>
    </row>
    <row r="141" spans="3:7" x14ac:dyDescent="0.25">
      <c r="C141" s="307" t="s">
        <v>1061</v>
      </c>
      <c r="D141" s="307" t="s">
        <v>10</v>
      </c>
      <c r="E141" s="307" t="s">
        <v>1388</v>
      </c>
      <c r="F141" s="307" t="s">
        <v>1388</v>
      </c>
      <c r="G141" s="307" t="str">
        <f t="shared" si="0"/>
        <v>CormierF2BT31-RDVTECH44BT31-RDVTECH44</v>
      </c>
    </row>
    <row r="142" spans="3:7" x14ac:dyDescent="0.25">
      <c r="C142" s="307" t="s">
        <v>960</v>
      </c>
      <c r="D142" s="307" t="s">
        <v>10</v>
      </c>
      <c r="E142" s="307" t="s">
        <v>1388</v>
      </c>
      <c r="F142" s="307" t="s">
        <v>1388</v>
      </c>
      <c r="G142" s="307" t="str">
        <f t="shared" si="0"/>
        <v>Cornouiller mâleF2BT31-RDVTECH44BT31-RDVTECH44</v>
      </c>
    </row>
    <row r="143" spans="3:7" x14ac:dyDescent="0.25">
      <c r="C143" s="307" t="s">
        <v>726</v>
      </c>
      <c r="D143" s="307" t="s">
        <v>10</v>
      </c>
      <c r="E143" s="307" t="s">
        <v>1388</v>
      </c>
      <c r="F143" s="307" t="s">
        <v>1388</v>
      </c>
      <c r="G143" s="307" t="str">
        <f t="shared" si="0"/>
        <v>Cryptoméria du JaponF2BT31-RDVTECH44BT31-RDVTECH44</v>
      </c>
    </row>
    <row r="144" spans="3:7" x14ac:dyDescent="0.25">
      <c r="C144" s="307" t="s">
        <v>778</v>
      </c>
      <c r="D144" s="307" t="s">
        <v>10</v>
      </c>
      <c r="E144" s="307" t="s">
        <v>1388</v>
      </c>
      <c r="F144" s="307" t="s">
        <v>1388</v>
      </c>
      <c r="G144" s="307" t="str">
        <f t="shared" si="0"/>
        <v>Cupressus génériqueF2BT31-RDVTECH44BT31-RDVTECH44</v>
      </c>
    </row>
    <row r="145" spans="3:7" x14ac:dyDescent="0.25">
      <c r="C145" s="307" t="s">
        <v>719</v>
      </c>
      <c r="D145" s="307" t="s">
        <v>10</v>
      </c>
      <c r="E145" s="307" t="s">
        <v>1388</v>
      </c>
      <c r="F145" s="307" t="s">
        <v>1388</v>
      </c>
      <c r="G145" s="307" t="str">
        <f t="shared" ref="G145:G208" si="1">+_xlfn.CONCAT(C145:F145)</f>
        <v>Cyprès chauveF2BT31-RDVTECH44BT31-RDVTECH44</v>
      </c>
    </row>
    <row r="146" spans="3:7" x14ac:dyDescent="0.25">
      <c r="C146" s="307" t="s">
        <v>736</v>
      </c>
      <c r="D146" s="307" t="s">
        <v>10</v>
      </c>
      <c r="E146" s="307" t="s">
        <v>1388</v>
      </c>
      <c r="F146" s="307" t="s">
        <v>1388</v>
      </c>
      <c r="G146" s="307" t="str">
        <f t="shared" si="1"/>
        <v>Cyprès de LambertF2BT31-RDVTECH44BT31-RDVTECH44</v>
      </c>
    </row>
    <row r="147" spans="3:7" x14ac:dyDescent="0.25">
      <c r="C147" s="307" t="s">
        <v>714</v>
      </c>
      <c r="D147" s="307" t="s">
        <v>10</v>
      </c>
      <c r="E147" s="307" t="s">
        <v>1388</v>
      </c>
      <c r="F147" s="307" t="s">
        <v>1388</v>
      </c>
      <c r="G147" s="307" t="str">
        <f t="shared" si="1"/>
        <v>Cyprès de l'ArizonaF2BT31-RDVTECH44BT31-RDVTECH44</v>
      </c>
    </row>
    <row r="148" spans="3:7" x14ac:dyDescent="0.25">
      <c r="C148" s="307" t="s">
        <v>731</v>
      </c>
      <c r="D148" s="307" t="s">
        <v>10</v>
      </c>
      <c r="E148" s="307" t="s">
        <v>1388</v>
      </c>
      <c r="F148" s="307" t="s">
        <v>1388</v>
      </c>
      <c r="G148" s="307" t="str">
        <f t="shared" si="1"/>
        <v>Cyprès de LawsonF2BT31-RDVTECH44BT31-RDVTECH44</v>
      </c>
    </row>
    <row r="149" spans="3:7" x14ac:dyDescent="0.25">
      <c r="C149" s="308" t="s">
        <v>774</v>
      </c>
      <c r="D149" s="307" t="s">
        <v>10</v>
      </c>
      <c r="E149" s="307" t="s">
        <v>1388</v>
      </c>
      <c r="F149" s="307" t="s">
        <v>1388</v>
      </c>
      <c r="G149" s="307" t="str">
        <f t="shared" si="1"/>
        <v>Cypres de LeylandF2BT31-RDVTECH44BT31-RDVTECH44</v>
      </c>
    </row>
    <row r="150" spans="3:7" x14ac:dyDescent="0.25">
      <c r="C150" s="307" t="s">
        <v>754</v>
      </c>
      <c r="D150" s="307" t="s">
        <v>10</v>
      </c>
      <c r="E150" s="307" t="s">
        <v>1388</v>
      </c>
      <c r="F150" s="307" t="s">
        <v>1388</v>
      </c>
      <c r="G150" s="307" t="str">
        <f t="shared" si="1"/>
        <v>Cyprès de ProvenceF2BT31-RDVTECH44BT31-RDVTECH44</v>
      </c>
    </row>
    <row r="151" spans="3:7" x14ac:dyDescent="0.25">
      <c r="C151" s="307" t="s">
        <v>568</v>
      </c>
      <c r="D151" s="307" t="s">
        <v>10</v>
      </c>
      <c r="E151" s="307" t="s">
        <v>1388</v>
      </c>
      <c r="F151" s="307" t="s">
        <v>1388</v>
      </c>
      <c r="G151" s="307" t="str">
        <f t="shared" si="1"/>
        <v>Cytise aubourF2BT31-RDVTECH44BT31-RDVTECH44</v>
      </c>
    </row>
    <row r="152" spans="3:7" x14ac:dyDescent="0.25">
      <c r="C152" s="307" t="s">
        <v>563</v>
      </c>
      <c r="D152" s="307" t="s">
        <v>10</v>
      </c>
      <c r="E152" s="307" t="s">
        <v>1388</v>
      </c>
      <c r="F152" s="307" t="s">
        <v>1388</v>
      </c>
      <c r="G152" s="307" t="str">
        <f t="shared" si="1"/>
        <v>Cytise des AlpesF2BT31-RDVTECH44BT31-RDVTECH44</v>
      </c>
    </row>
    <row r="153" spans="3:7" x14ac:dyDescent="0.25">
      <c r="C153" s="307" t="s">
        <v>615</v>
      </c>
      <c r="D153" s="307" t="s">
        <v>10</v>
      </c>
      <c r="E153" s="307" t="s">
        <v>1388</v>
      </c>
      <c r="F153" s="307" t="s">
        <v>1388</v>
      </c>
      <c r="G153" s="307" t="str">
        <f t="shared" si="1"/>
        <v>Cytise génériqueF2BT31-RDVTECH44BT31-RDVTECH44</v>
      </c>
    </row>
    <row r="154" spans="3:7" x14ac:dyDescent="0.25">
      <c r="C154" s="307" t="s">
        <v>1301</v>
      </c>
      <c r="D154" s="307" t="s">
        <v>10</v>
      </c>
      <c r="E154" s="307" t="s">
        <v>1388</v>
      </c>
      <c r="F154" s="307" t="s">
        <v>1388</v>
      </c>
      <c r="G154" s="307" t="str">
        <f t="shared" si="1"/>
        <v>D1 génériqueF2BT31-RDVTECH44BT31-RDVTECH44</v>
      </c>
    </row>
    <row r="155" spans="3:7" x14ac:dyDescent="0.25">
      <c r="C155" s="307" t="s">
        <v>611</v>
      </c>
      <c r="D155" s="307" t="s">
        <v>10</v>
      </c>
      <c r="E155" s="307" t="s">
        <v>1388</v>
      </c>
      <c r="F155" s="307" t="s">
        <v>1388</v>
      </c>
      <c r="G155" s="307" t="str">
        <f t="shared" si="1"/>
        <v>D2 génériqueF2BT31-RDVTECH44BT31-RDVTECH44</v>
      </c>
    </row>
    <row r="156" spans="3:7" x14ac:dyDescent="0.25">
      <c r="C156" s="307" t="s">
        <v>131</v>
      </c>
      <c r="D156" s="307" t="s">
        <v>10</v>
      </c>
      <c r="E156" s="307" t="s">
        <v>1388</v>
      </c>
      <c r="F156" s="307" t="s">
        <v>1388</v>
      </c>
      <c r="G156" s="307" t="str">
        <f t="shared" si="1"/>
        <v>DouglasF2BT31-RDVTECH44BT31-RDVTECH44</v>
      </c>
    </row>
    <row r="157" spans="3:7" x14ac:dyDescent="0.25">
      <c r="C157" s="307" t="s">
        <v>645</v>
      </c>
      <c r="D157" s="307" t="s">
        <v>10</v>
      </c>
      <c r="E157" s="307" t="s">
        <v>1388</v>
      </c>
      <c r="F157" s="307" t="s">
        <v>1388</v>
      </c>
      <c r="G157" s="307" t="str">
        <f t="shared" si="1"/>
        <v>E1 génériqueF2BT31-RDVTECH44BT31-RDVTECH44</v>
      </c>
    </row>
    <row r="158" spans="3:7" x14ac:dyDescent="0.25">
      <c r="C158" s="307" t="s">
        <v>703</v>
      </c>
      <c r="D158" s="307" t="s">
        <v>10</v>
      </c>
      <c r="E158" s="307" t="s">
        <v>1388</v>
      </c>
      <c r="F158" s="307" t="s">
        <v>1388</v>
      </c>
      <c r="G158" s="307" t="str">
        <f t="shared" si="1"/>
        <v>E2 génériqueF2BT31-RDVTECH44BT31-RDVTECH44</v>
      </c>
    </row>
    <row r="159" spans="3:7" x14ac:dyDescent="0.25">
      <c r="C159" s="307" t="s">
        <v>786</v>
      </c>
      <c r="D159" s="307" t="s">
        <v>10</v>
      </c>
      <c r="E159" s="307" t="s">
        <v>1388</v>
      </c>
      <c r="F159" s="307" t="s">
        <v>1388</v>
      </c>
      <c r="G159" s="307" t="str">
        <f t="shared" si="1"/>
        <v>Epicéa communF2BT31-RDVTECH44BT31-RDVTECH44</v>
      </c>
    </row>
    <row r="160" spans="3:7" x14ac:dyDescent="0.25">
      <c r="C160" s="307" t="s">
        <v>793</v>
      </c>
      <c r="D160" s="307" t="s">
        <v>10</v>
      </c>
      <c r="E160" s="307" t="s">
        <v>1388</v>
      </c>
      <c r="F160" s="307" t="s">
        <v>1388</v>
      </c>
      <c r="G160" s="307" t="str">
        <f t="shared" si="1"/>
        <v>Epicéa de SitkaF2BT31-RDVTECH44BT31-RDVTECH44</v>
      </c>
    </row>
    <row r="161" spans="3:7" x14ac:dyDescent="0.25">
      <c r="C161" s="307" t="s">
        <v>797</v>
      </c>
      <c r="D161" s="307" t="s">
        <v>10</v>
      </c>
      <c r="E161" s="307" t="s">
        <v>1388</v>
      </c>
      <c r="F161" s="307" t="s">
        <v>1388</v>
      </c>
      <c r="G161" s="307" t="str">
        <f t="shared" si="1"/>
        <v>Epicéa omoricaF2BT31-RDVTECH44BT31-RDVTECH44</v>
      </c>
    </row>
    <row r="162" spans="3:7" x14ac:dyDescent="0.25">
      <c r="C162" s="307" t="s">
        <v>984</v>
      </c>
      <c r="D162" s="307" t="s">
        <v>10</v>
      </c>
      <c r="E162" s="307" t="s">
        <v>1388</v>
      </c>
      <c r="F162" s="307" t="s">
        <v>1388</v>
      </c>
      <c r="G162" s="307" t="str">
        <f t="shared" si="1"/>
        <v>Erable à feuilles d'obierF2BT31-RDVTECH44BT31-RDVTECH44</v>
      </c>
    </row>
    <row r="163" spans="3:7" x14ac:dyDescent="0.25">
      <c r="C163" s="307" t="s">
        <v>974</v>
      </c>
      <c r="D163" s="307" t="s">
        <v>10</v>
      </c>
      <c r="E163" s="307" t="s">
        <v>1388</v>
      </c>
      <c r="F163" s="307" t="s">
        <v>1388</v>
      </c>
      <c r="G163" s="307" t="str">
        <f t="shared" si="1"/>
        <v>Erable champêtreF2BT31-RDVTECH44BT31-RDVTECH44</v>
      </c>
    </row>
    <row r="164" spans="3:7" x14ac:dyDescent="0.25">
      <c r="C164" s="307" t="s">
        <v>979</v>
      </c>
      <c r="D164" s="307" t="s">
        <v>10</v>
      </c>
      <c r="E164" s="307" t="s">
        <v>1388</v>
      </c>
      <c r="F164" s="307" t="s">
        <v>1388</v>
      </c>
      <c r="G164" s="307" t="str">
        <f t="shared" si="1"/>
        <v>Erable de MontpellierF2BT31-RDVTECH44BT31-RDVTECH44</v>
      </c>
    </row>
    <row r="165" spans="3:7" x14ac:dyDescent="0.25">
      <c r="C165" s="307" t="s">
        <v>1004</v>
      </c>
      <c r="D165" s="307" t="s">
        <v>10</v>
      </c>
      <c r="E165" s="307" t="s">
        <v>1388</v>
      </c>
      <c r="F165" s="307" t="s">
        <v>1388</v>
      </c>
      <c r="G165" s="307" t="str">
        <f t="shared" si="1"/>
        <v>Erable générique F2BT31-RDVTECH44BT31-RDVTECH44</v>
      </c>
    </row>
    <row r="166" spans="3:7" x14ac:dyDescent="0.25">
      <c r="C166" s="307" t="s">
        <v>989</v>
      </c>
      <c r="D166" s="307" t="s">
        <v>10</v>
      </c>
      <c r="E166" s="307" t="s">
        <v>1388</v>
      </c>
      <c r="F166" s="307" t="s">
        <v>1388</v>
      </c>
      <c r="G166" s="307" t="str">
        <f t="shared" si="1"/>
        <v>Erable negundoF2BT31-RDVTECH44BT31-RDVTECH44</v>
      </c>
    </row>
    <row r="167" spans="3:7" x14ac:dyDescent="0.25">
      <c r="C167" s="307" t="s">
        <v>964</v>
      </c>
      <c r="D167" s="307" t="s">
        <v>10</v>
      </c>
      <c r="E167" s="307" t="s">
        <v>1388</v>
      </c>
      <c r="F167" s="307" t="s">
        <v>1388</v>
      </c>
      <c r="G167" s="307" t="str">
        <f t="shared" si="1"/>
        <v>Erable planeF2BT31-RDVTECH44BT31-RDVTECH44</v>
      </c>
    </row>
    <row r="168" spans="3:7" x14ac:dyDescent="0.25">
      <c r="C168" s="307" t="s">
        <v>969</v>
      </c>
      <c r="D168" s="307" t="s">
        <v>10</v>
      </c>
      <c r="E168" s="307" t="s">
        <v>1388</v>
      </c>
      <c r="F168" s="307" t="s">
        <v>1388</v>
      </c>
      <c r="G168" s="307" t="str">
        <f t="shared" si="1"/>
        <v>Erable sycomoreF2BT31-RDVTECH44BT31-RDVTECH44</v>
      </c>
    </row>
    <row r="169" spans="3:7" x14ac:dyDescent="0.25">
      <c r="C169" s="307" t="s">
        <v>1267</v>
      </c>
      <c r="D169" s="307" t="s">
        <v>10</v>
      </c>
      <c r="E169" s="307" t="s">
        <v>1388</v>
      </c>
      <c r="F169" s="307" t="s">
        <v>1388</v>
      </c>
      <c r="G169" s="307" t="str">
        <f t="shared" si="1"/>
        <v>Eucalyptus (Genre)F2BT31-RDVTECH44BT31-RDVTECH44</v>
      </c>
    </row>
    <row r="170" spans="3:7" x14ac:dyDescent="0.25">
      <c r="C170" s="307" t="s">
        <v>613</v>
      </c>
      <c r="D170" s="307" t="s">
        <v>10</v>
      </c>
      <c r="E170" s="307" t="s">
        <v>1388</v>
      </c>
      <c r="F170" s="307" t="s">
        <v>1388</v>
      </c>
      <c r="G170" s="307" t="str">
        <f t="shared" si="1"/>
        <v>Feuillu exotiqueF2BT31-RDVTECH44BT31-RDVTECH44</v>
      </c>
    </row>
    <row r="171" spans="3:7" x14ac:dyDescent="0.25">
      <c r="C171" s="307" t="s">
        <v>443</v>
      </c>
      <c r="D171" s="307" t="s">
        <v>10</v>
      </c>
      <c r="E171" s="307" t="s">
        <v>1388</v>
      </c>
      <c r="F171" s="307" t="s">
        <v>1388</v>
      </c>
      <c r="G171" s="307" t="str">
        <f t="shared" si="1"/>
        <v>Figuier de CarieF2BT31-RDVTECH44BT31-RDVTECH44</v>
      </c>
    </row>
    <row r="172" spans="3:7" x14ac:dyDescent="0.25">
      <c r="C172" s="307" t="s">
        <v>1148</v>
      </c>
      <c r="D172" s="307" t="s">
        <v>10</v>
      </c>
      <c r="E172" s="307" t="s">
        <v>1388</v>
      </c>
      <c r="F172" s="307" t="s">
        <v>1388</v>
      </c>
      <c r="G172" s="307" t="str">
        <f t="shared" si="1"/>
        <v>Filaire à feuilles étroitesF2BT31-RDVTECH44BT31-RDVTECH44</v>
      </c>
    </row>
    <row r="173" spans="3:7" x14ac:dyDescent="0.25">
      <c r="C173" s="307" t="s">
        <v>1153</v>
      </c>
      <c r="D173" s="307" t="s">
        <v>10</v>
      </c>
      <c r="E173" s="307" t="s">
        <v>1388</v>
      </c>
      <c r="F173" s="307" t="s">
        <v>1388</v>
      </c>
      <c r="G173" s="307" t="str">
        <f t="shared" si="1"/>
        <v>Filaire à feuilles largesF2BT31-RDVTECH44BT31-RDVTECH44</v>
      </c>
    </row>
    <row r="174" spans="3:7" x14ac:dyDescent="0.25">
      <c r="C174" s="307" t="s">
        <v>509</v>
      </c>
      <c r="D174" s="307" t="s">
        <v>10</v>
      </c>
      <c r="E174" s="307" t="s">
        <v>1388</v>
      </c>
      <c r="F174" s="307" t="s">
        <v>1388</v>
      </c>
      <c r="G174" s="307" t="str">
        <f t="shared" si="1"/>
        <v>FilaoF2BT31-RDVTECH44BT31-RDVTECH44</v>
      </c>
    </row>
    <row r="175" spans="3:7" x14ac:dyDescent="0.25">
      <c r="C175" s="307" t="s">
        <v>1247</v>
      </c>
      <c r="D175" s="307" t="s">
        <v>10</v>
      </c>
      <c r="E175" s="307" t="s">
        <v>1388</v>
      </c>
      <c r="F175" s="307" t="s">
        <v>1388</v>
      </c>
      <c r="G175" s="307" t="str">
        <f t="shared" si="1"/>
        <v>Frêne à  fleurF2BT31-RDVTECH44BT31-RDVTECH44</v>
      </c>
    </row>
    <row r="176" spans="3:7" x14ac:dyDescent="0.25">
      <c r="C176" s="307" t="s">
        <v>1242</v>
      </c>
      <c r="D176" s="307" t="s">
        <v>10</v>
      </c>
      <c r="E176" s="307" t="s">
        <v>1388</v>
      </c>
      <c r="F176" s="307" t="s">
        <v>1388</v>
      </c>
      <c r="G176" s="307" t="str">
        <f t="shared" si="1"/>
        <v>Frêne communF2BT31-RDVTECH44BT31-RDVTECH44</v>
      </c>
    </row>
    <row r="177" spans="3:7" x14ac:dyDescent="0.25">
      <c r="C177" s="307" t="s">
        <v>1257</v>
      </c>
      <c r="D177" s="307" t="s">
        <v>10</v>
      </c>
      <c r="E177" s="307" t="s">
        <v>1388</v>
      </c>
      <c r="F177" s="307" t="s">
        <v>1388</v>
      </c>
      <c r="G177" s="307" t="str">
        <f t="shared" si="1"/>
        <v>Frêne d'AmériqueF2BT31-RDVTECH44BT31-RDVTECH44</v>
      </c>
    </row>
    <row r="178" spans="3:7" x14ac:dyDescent="0.25">
      <c r="C178" s="307" t="s">
        <v>1252</v>
      </c>
      <c r="D178" s="307" t="s">
        <v>10</v>
      </c>
      <c r="E178" s="307" t="s">
        <v>1388</v>
      </c>
      <c r="F178" s="307" t="s">
        <v>1388</v>
      </c>
      <c r="G178" s="307" t="str">
        <f t="shared" si="1"/>
        <v>Frêne oxyphylleF2BT31-RDVTECH44BT31-RDVTECH44</v>
      </c>
    </row>
    <row r="179" spans="3:7" x14ac:dyDescent="0.25">
      <c r="C179" s="307" t="s">
        <v>1219</v>
      </c>
      <c r="D179" s="307" t="s">
        <v>10</v>
      </c>
      <c r="E179" s="307" t="s">
        <v>1388</v>
      </c>
      <c r="F179" s="307" t="s">
        <v>1388</v>
      </c>
      <c r="G179" s="307" t="str">
        <f t="shared" si="1"/>
        <v>Fruitiers diversF2BT31-RDVTECH44BT31-RDVTECH44</v>
      </c>
    </row>
    <row r="180" spans="3:7" x14ac:dyDescent="0.25">
      <c r="C180" s="307" t="s">
        <v>994</v>
      </c>
      <c r="D180" s="307" t="s">
        <v>10</v>
      </c>
      <c r="E180" s="307" t="s">
        <v>1388</v>
      </c>
      <c r="F180" s="307" t="s">
        <v>1388</v>
      </c>
      <c r="G180" s="307" t="str">
        <f t="shared" si="1"/>
        <v>Fusain d'EuropeF2BT31-RDVTECH44BT31-RDVTECH44</v>
      </c>
    </row>
    <row r="181" spans="3:7" x14ac:dyDescent="0.25">
      <c r="C181" s="307" t="s">
        <v>762</v>
      </c>
      <c r="D181" s="307" t="s">
        <v>10</v>
      </c>
      <c r="E181" s="307" t="s">
        <v>1388</v>
      </c>
      <c r="F181" s="307" t="s">
        <v>1388</v>
      </c>
      <c r="G181" s="307" t="str">
        <f t="shared" si="1"/>
        <v>Genévrier communF2BT31-RDVTECH44BT31-RDVTECH44</v>
      </c>
    </row>
    <row r="182" spans="3:7" x14ac:dyDescent="0.25">
      <c r="C182" s="307" t="s">
        <v>767</v>
      </c>
      <c r="D182" s="307" t="s">
        <v>10</v>
      </c>
      <c r="E182" s="307" t="s">
        <v>1388</v>
      </c>
      <c r="F182" s="307" t="s">
        <v>1388</v>
      </c>
      <c r="G182" s="307" t="str">
        <f t="shared" si="1"/>
        <v>Genévrier oxycèdreF2BT31-RDVTECH44BT31-RDVTECH44</v>
      </c>
    </row>
    <row r="183" spans="3:7" x14ac:dyDescent="0.25">
      <c r="C183" s="307" t="s">
        <v>758</v>
      </c>
      <c r="D183" s="307" t="s">
        <v>10</v>
      </c>
      <c r="E183" s="307" t="s">
        <v>1388</v>
      </c>
      <c r="F183" s="307" t="s">
        <v>1388</v>
      </c>
      <c r="G183" s="307" t="str">
        <f t="shared" si="1"/>
        <v>Genévrier thurifèreF2BT31-RDVTECH44BT31-RDVTECH44</v>
      </c>
    </row>
    <row r="184" spans="3:7" x14ac:dyDescent="0.25">
      <c r="C184" s="307" t="s">
        <v>1223</v>
      </c>
      <c r="D184" s="307" t="s">
        <v>10</v>
      </c>
      <c r="E184" s="307" t="s">
        <v>1388</v>
      </c>
      <c r="F184" s="307" t="s">
        <v>1388</v>
      </c>
      <c r="G184" s="307" t="str">
        <f t="shared" si="1"/>
        <v>Genre prunusF2BT31-RDVTECH44BT31-RDVTECH44</v>
      </c>
    </row>
    <row r="185" spans="3:7" x14ac:dyDescent="0.25">
      <c r="C185" s="307" t="s">
        <v>1226</v>
      </c>
      <c r="D185" s="307" t="s">
        <v>10</v>
      </c>
      <c r="E185" s="307" t="s">
        <v>1388</v>
      </c>
      <c r="F185" s="307" t="s">
        <v>1388</v>
      </c>
      <c r="G185" s="307" t="str">
        <f t="shared" si="1"/>
        <v>HêtreF2BT31-RDVTECH44BT31-RDVTECH44</v>
      </c>
    </row>
    <row r="186" spans="3:7" x14ac:dyDescent="0.25">
      <c r="C186" s="307" t="s">
        <v>999</v>
      </c>
      <c r="D186" s="307" t="s">
        <v>10</v>
      </c>
      <c r="E186" s="307" t="s">
        <v>1388</v>
      </c>
      <c r="F186" s="307" t="s">
        <v>1388</v>
      </c>
      <c r="G186" s="307" t="str">
        <f t="shared" si="1"/>
        <v>HouxF2BT31-RDVTECH44BT31-RDVTECH44</v>
      </c>
    </row>
    <row r="187" spans="3:7" x14ac:dyDescent="0.25">
      <c r="C187" s="307" t="s">
        <v>1238</v>
      </c>
      <c r="D187" s="307" t="s">
        <v>10</v>
      </c>
      <c r="E187" s="307" t="s">
        <v>1388</v>
      </c>
      <c r="F187" s="307" t="s">
        <v>1388</v>
      </c>
      <c r="G187" s="307" t="str">
        <f t="shared" si="1"/>
        <v>IfF2BT31-RDVTECH44BT31-RDVTECH44</v>
      </c>
    </row>
    <row r="188" spans="3:7" x14ac:dyDescent="0.25">
      <c r="C188" s="307" t="s">
        <v>780</v>
      </c>
      <c r="D188" s="307" t="s">
        <v>10</v>
      </c>
      <c r="E188" s="307" t="s">
        <v>1388</v>
      </c>
      <c r="F188" s="307" t="s">
        <v>1388</v>
      </c>
      <c r="G188" s="307" t="str">
        <f t="shared" si="1"/>
        <v>inconnu (resineux) sp.F2BT31-RDVTECH44BT31-RDVTECH44</v>
      </c>
    </row>
    <row r="189" spans="3:7" x14ac:dyDescent="0.25">
      <c r="C189" s="307" t="s">
        <v>1158</v>
      </c>
      <c r="D189" s="307" t="s">
        <v>10</v>
      </c>
      <c r="E189" s="307" t="s">
        <v>1388</v>
      </c>
      <c r="F189" s="307" t="s">
        <v>1388</v>
      </c>
      <c r="G189" s="307" t="str">
        <f t="shared" si="1"/>
        <v>KakiF2BT31-RDVTECH44BT31-RDVTECH44</v>
      </c>
    </row>
    <row r="190" spans="3:7" x14ac:dyDescent="0.25">
      <c r="C190" s="307" t="s">
        <v>1161</v>
      </c>
      <c r="D190" s="307" t="s">
        <v>10</v>
      </c>
      <c r="E190" s="307" t="s">
        <v>1388</v>
      </c>
      <c r="F190" s="307" t="s">
        <v>1388</v>
      </c>
      <c r="G190" s="307" t="str">
        <f t="shared" si="1"/>
        <v>Laurier nobleF2BT31-RDVTECH44BT31-RDVTECH44</v>
      </c>
    </row>
    <row r="191" spans="3:7" x14ac:dyDescent="0.25">
      <c r="C191" s="307" t="s">
        <v>514</v>
      </c>
      <c r="D191" s="307" t="s">
        <v>10</v>
      </c>
      <c r="E191" s="307" t="s">
        <v>1388</v>
      </c>
      <c r="F191" s="307" t="s">
        <v>1388</v>
      </c>
      <c r="G191" s="307" t="str">
        <f t="shared" si="1"/>
        <v>LiquidambarF2BT31-RDVTECH44BT31-RDVTECH44</v>
      </c>
    </row>
    <row r="192" spans="3:7" x14ac:dyDescent="0.25">
      <c r="C192" s="307" t="s">
        <v>1141</v>
      </c>
      <c r="D192" s="307" t="s">
        <v>10</v>
      </c>
      <c r="E192" s="307" t="s">
        <v>1388</v>
      </c>
      <c r="F192" s="307" t="s">
        <v>1388</v>
      </c>
      <c r="G192" s="307" t="str">
        <f t="shared" si="1"/>
        <v>MandarinierF2BT31-RDVTECH44BT31-RDVTECH44</v>
      </c>
    </row>
    <row r="193" spans="3:7" x14ac:dyDescent="0.25">
      <c r="C193" s="307" t="s">
        <v>519</v>
      </c>
      <c r="D193" s="307" t="s">
        <v>10</v>
      </c>
      <c r="E193" s="307" t="s">
        <v>1388</v>
      </c>
      <c r="F193" s="307" t="s">
        <v>1388</v>
      </c>
      <c r="G193" s="307" t="str">
        <f t="shared" si="1"/>
        <v>Marronnier d'IndeF2BT31-RDVTECH44BT31-RDVTECH44</v>
      </c>
    </row>
    <row r="194" spans="3:7" x14ac:dyDescent="0.25">
      <c r="C194" s="307" t="s">
        <v>312</v>
      </c>
      <c r="D194" s="307" t="s">
        <v>10</v>
      </c>
      <c r="E194" s="307" t="s">
        <v>1388</v>
      </c>
      <c r="F194" s="307" t="s">
        <v>1388</v>
      </c>
      <c r="G194" s="307" t="str">
        <f t="shared" si="1"/>
        <v>Mélèze d'EuropeF2BT31-RDVTECH44BT31-RDVTECH44</v>
      </c>
    </row>
    <row r="195" spans="3:7" x14ac:dyDescent="0.25">
      <c r="C195" s="307" t="s">
        <v>884</v>
      </c>
      <c r="D195" s="307" t="s">
        <v>10</v>
      </c>
      <c r="E195" s="307" t="s">
        <v>1388</v>
      </c>
      <c r="F195" s="307" t="s">
        <v>1388</v>
      </c>
      <c r="G195" s="307" t="str">
        <f t="shared" si="1"/>
        <v>Mélèze du JaponF2BT31-RDVTECH44BT31-RDVTECH44</v>
      </c>
    </row>
    <row r="196" spans="3:7" x14ac:dyDescent="0.25">
      <c r="C196" s="307" t="s">
        <v>879</v>
      </c>
      <c r="D196" s="307" t="s">
        <v>10</v>
      </c>
      <c r="E196" s="307" t="s">
        <v>1388</v>
      </c>
      <c r="F196" s="307" t="s">
        <v>1388</v>
      </c>
      <c r="G196" s="307" t="str">
        <f t="shared" si="1"/>
        <v>Mélèze hybrideF2BT31-RDVTECH44BT31-RDVTECH44</v>
      </c>
    </row>
    <row r="197" spans="3:7" x14ac:dyDescent="0.25">
      <c r="C197" s="307" t="s">
        <v>1031</v>
      </c>
      <c r="D197" s="307" t="s">
        <v>10</v>
      </c>
      <c r="E197" s="307" t="s">
        <v>1388</v>
      </c>
      <c r="F197" s="307" t="s">
        <v>1388</v>
      </c>
      <c r="G197" s="307" t="str">
        <f t="shared" si="1"/>
        <v>MerisierF2BT31-RDVTECH44BT31-RDVTECH44</v>
      </c>
    </row>
    <row r="198" spans="3:7" x14ac:dyDescent="0.25">
      <c r="C198" s="307" t="s">
        <v>664</v>
      </c>
      <c r="D198" s="307" t="s">
        <v>10</v>
      </c>
      <c r="E198" s="307" t="s">
        <v>1388</v>
      </c>
      <c r="F198" s="307" t="s">
        <v>1388</v>
      </c>
      <c r="G198" s="307" t="str">
        <f t="shared" si="1"/>
        <v>MicocoulierF2BT31-RDVTECH44BT31-RDVTECH44</v>
      </c>
    </row>
    <row r="199" spans="3:7" x14ac:dyDescent="0.25">
      <c r="C199" s="307" t="s">
        <v>524</v>
      </c>
      <c r="D199" s="307" t="s">
        <v>10</v>
      </c>
      <c r="E199" s="307" t="s">
        <v>1388</v>
      </c>
      <c r="F199" s="307" t="s">
        <v>1388</v>
      </c>
      <c r="G199" s="307" t="str">
        <f t="shared" si="1"/>
        <v>MimosaF2BT31-RDVTECH44BT31-RDVTECH44</v>
      </c>
    </row>
    <row r="200" spans="3:7" x14ac:dyDescent="0.25">
      <c r="C200" s="307" t="s">
        <v>690</v>
      </c>
      <c r="D200" s="307" t="s">
        <v>10</v>
      </c>
      <c r="E200" s="307" t="s">
        <v>1388</v>
      </c>
      <c r="F200" s="307" t="s">
        <v>1388</v>
      </c>
      <c r="G200" s="307" t="str">
        <f t="shared" si="1"/>
        <v>Murier blancF2BT31-RDVTECH44BT31-RDVTECH44</v>
      </c>
    </row>
    <row r="201" spans="3:7" x14ac:dyDescent="0.25">
      <c r="C201" s="307" t="s">
        <v>695</v>
      </c>
      <c r="D201" s="307" t="s">
        <v>10</v>
      </c>
      <c r="E201" s="307" t="s">
        <v>1388</v>
      </c>
      <c r="F201" s="307" t="s">
        <v>1388</v>
      </c>
      <c r="G201" s="307" t="str">
        <f t="shared" si="1"/>
        <v>Murier de ChineF2BT31-RDVTECH44BT31-RDVTECH44</v>
      </c>
    </row>
    <row r="202" spans="3:7" x14ac:dyDescent="0.25">
      <c r="C202" s="307" t="s">
        <v>705</v>
      </c>
      <c r="D202" s="307" t="s">
        <v>10</v>
      </c>
      <c r="E202" s="307" t="s">
        <v>1388</v>
      </c>
      <c r="F202" s="307" t="s">
        <v>1388</v>
      </c>
      <c r="G202" s="307" t="str">
        <f t="shared" si="1"/>
        <v>Murier génériqueF2BT31-RDVTECH44BT31-RDVTECH44</v>
      </c>
    </row>
    <row r="203" spans="3:7" x14ac:dyDescent="0.25">
      <c r="C203" s="307" t="s">
        <v>698</v>
      </c>
      <c r="D203" s="307" t="s">
        <v>10</v>
      </c>
      <c r="E203" s="307" t="s">
        <v>1388</v>
      </c>
      <c r="F203" s="307" t="s">
        <v>1388</v>
      </c>
      <c r="G203" s="307" t="str">
        <f t="shared" si="1"/>
        <v>Murier noirF2BT31-RDVTECH44BT31-RDVTECH44</v>
      </c>
    </row>
    <row r="204" spans="3:7" x14ac:dyDescent="0.25">
      <c r="C204" s="307" t="s">
        <v>1202</v>
      </c>
      <c r="D204" s="307" t="s">
        <v>10</v>
      </c>
      <c r="E204" s="307" t="s">
        <v>1388</v>
      </c>
      <c r="F204" s="307" t="s">
        <v>1388</v>
      </c>
      <c r="G204" s="307" t="str">
        <f t="shared" si="1"/>
        <v>Nerprun alaterneF2BT31-RDVTECH44BT31-RDVTECH44</v>
      </c>
    </row>
    <row r="205" spans="3:7" x14ac:dyDescent="0.25">
      <c r="C205" s="307" t="s">
        <v>1212</v>
      </c>
      <c r="D205" s="307" t="s">
        <v>10</v>
      </c>
      <c r="E205" s="307" t="s">
        <v>1388</v>
      </c>
      <c r="F205" s="307" t="s">
        <v>1388</v>
      </c>
      <c r="G205" s="307" t="str">
        <f t="shared" si="1"/>
        <v>Nerprun des AlpesF2BT31-RDVTECH44BT31-RDVTECH44</v>
      </c>
    </row>
    <row r="206" spans="3:7" x14ac:dyDescent="0.25">
      <c r="C206" s="307" t="s">
        <v>1207</v>
      </c>
      <c r="D206" s="307" t="s">
        <v>10</v>
      </c>
      <c r="E206" s="307" t="s">
        <v>1388</v>
      </c>
      <c r="F206" s="307" t="s">
        <v>1388</v>
      </c>
      <c r="G206" s="307" t="str">
        <f t="shared" si="1"/>
        <v>Nerprun purgatifF2BT31-RDVTECH44BT31-RDVTECH44</v>
      </c>
    </row>
    <row r="207" spans="3:7" x14ac:dyDescent="0.25">
      <c r="C207" s="307" t="s">
        <v>1263</v>
      </c>
      <c r="D207" s="307" t="s">
        <v>10</v>
      </c>
      <c r="E207" s="307" t="s">
        <v>1388</v>
      </c>
      <c r="F207" s="307" t="s">
        <v>1388</v>
      </c>
      <c r="G207" s="307" t="str">
        <f t="shared" si="1"/>
        <v>Noisetier coudrierF2BT31-RDVTECH44BT31-RDVTECH44</v>
      </c>
    </row>
    <row r="208" spans="3:7" x14ac:dyDescent="0.25">
      <c r="C208" s="307" t="s">
        <v>1114</v>
      </c>
      <c r="D208" s="307" t="s">
        <v>10</v>
      </c>
      <c r="E208" s="307" t="s">
        <v>1388</v>
      </c>
      <c r="F208" s="307" t="s">
        <v>1388</v>
      </c>
      <c r="G208" s="307" t="str">
        <f t="shared" si="1"/>
        <v>Noyer communF2BT31-RDVTECH44BT31-RDVTECH44</v>
      </c>
    </row>
    <row r="209" spans="3:7" x14ac:dyDescent="0.25">
      <c r="C209" s="307" t="s">
        <v>1119</v>
      </c>
      <c r="D209" s="307" t="s">
        <v>10</v>
      </c>
      <c r="E209" s="307" t="s">
        <v>1388</v>
      </c>
      <c r="F209" s="307" t="s">
        <v>1388</v>
      </c>
      <c r="G209" s="307" t="str">
        <f t="shared" ref="G209:G272" si="2">+_xlfn.CONCAT(C209:F209)</f>
        <v>Noyer noirF2BT31-RDVTECH44BT31-RDVTECH44</v>
      </c>
    </row>
    <row r="210" spans="3:7" x14ac:dyDescent="0.25">
      <c r="C210" s="307" t="s">
        <v>1164</v>
      </c>
      <c r="D210" s="307" t="s">
        <v>10</v>
      </c>
      <c r="E210" s="307" t="s">
        <v>1388</v>
      </c>
      <c r="F210" s="307" t="s">
        <v>1388</v>
      </c>
      <c r="G210" s="307" t="str">
        <f t="shared" si="2"/>
        <v>Olivier de BohêmeF2BT31-RDVTECH44BT31-RDVTECH44</v>
      </c>
    </row>
    <row r="211" spans="3:7" x14ac:dyDescent="0.25">
      <c r="C211" s="307" t="s">
        <v>1009</v>
      </c>
      <c r="D211" s="307" t="s">
        <v>10</v>
      </c>
      <c r="E211" s="307" t="s">
        <v>1388</v>
      </c>
      <c r="F211" s="307" t="s">
        <v>1388</v>
      </c>
      <c r="G211" s="307" t="str">
        <f t="shared" si="2"/>
        <v>Olivier d'EuropeF2BT31-RDVTECH44BT31-RDVTECH44</v>
      </c>
    </row>
    <row r="212" spans="3:7" x14ac:dyDescent="0.25">
      <c r="C212" s="307" t="s">
        <v>1135</v>
      </c>
      <c r="D212" s="307" t="s">
        <v>10</v>
      </c>
      <c r="E212" s="307" t="s">
        <v>1388</v>
      </c>
      <c r="F212" s="307" t="s">
        <v>1388</v>
      </c>
      <c r="G212" s="307" t="str">
        <f t="shared" si="2"/>
        <v>OrangerF2BT31-RDVTECH44BT31-RDVTECH44</v>
      </c>
    </row>
    <row r="213" spans="3:7" x14ac:dyDescent="0.25">
      <c r="C213" s="307" t="s">
        <v>1167</v>
      </c>
      <c r="D213" s="307" t="s">
        <v>10</v>
      </c>
      <c r="E213" s="307" t="s">
        <v>1388</v>
      </c>
      <c r="F213" s="307" t="s">
        <v>1388</v>
      </c>
      <c r="G213" s="307" t="str">
        <f t="shared" si="2"/>
        <v>Oranger des OsagesF2BT31-RDVTECH44BT31-RDVTECH44</v>
      </c>
    </row>
    <row r="214" spans="3:7" x14ac:dyDescent="0.25">
      <c r="C214" s="307" t="s">
        <v>1271</v>
      </c>
      <c r="D214" s="307" t="s">
        <v>10</v>
      </c>
      <c r="E214" s="307" t="s">
        <v>1388</v>
      </c>
      <c r="F214" s="307" t="s">
        <v>1388</v>
      </c>
      <c r="G214" s="307" t="str">
        <f t="shared" si="2"/>
        <v>Orme champêtreF2BT31-RDVTECH44BT31-RDVTECH44</v>
      </c>
    </row>
    <row r="215" spans="3:7" x14ac:dyDescent="0.25">
      <c r="C215" s="307" t="s">
        <v>1281</v>
      </c>
      <c r="D215" s="307" t="s">
        <v>10</v>
      </c>
      <c r="E215" s="307" t="s">
        <v>1388</v>
      </c>
      <c r="F215" s="307" t="s">
        <v>1388</v>
      </c>
      <c r="G215" s="307" t="str">
        <f t="shared" si="2"/>
        <v>Orme de montagneF2BT31-RDVTECH44BT31-RDVTECH44</v>
      </c>
    </row>
    <row r="216" spans="3:7" x14ac:dyDescent="0.25">
      <c r="C216" s="307" t="s">
        <v>1303</v>
      </c>
      <c r="D216" s="307" t="s">
        <v>10</v>
      </c>
      <c r="E216" s="307" t="s">
        <v>1388</v>
      </c>
      <c r="F216" s="307" t="s">
        <v>1388</v>
      </c>
      <c r="G216" s="307" t="str">
        <f t="shared" si="2"/>
        <v>Orme génériqueF2BT31-RDVTECH44BT31-RDVTECH44</v>
      </c>
    </row>
    <row r="217" spans="3:7" x14ac:dyDescent="0.25">
      <c r="C217" s="307" t="s">
        <v>1276</v>
      </c>
      <c r="D217" s="307" t="s">
        <v>10</v>
      </c>
      <c r="E217" s="307" t="s">
        <v>1388</v>
      </c>
      <c r="F217" s="307" t="s">
        <v>1388</v>
      </c>
      <c r="G217" s="307" t="str">
        <f t="shared" si="2"/>
        <v>Orme lisseF2BT31-RDVTECH44BT31-RDVTECH44</v>
      </c>
    </row>
    <row r="218" spans="3:7" x14ac:dyDescent="0.25">
      <c r="C218" s="307" t="s">
        <v>1124</v>
      </c>
      <c r="D218" s="307" t="s">
        <v>10</v>
      </c>
      <c r="E218" s="307" t="s">
        <v>1388</v>
      </c>
      <c r="F218" s="307" t="s">
        <v>1388</v>
      </c>
      <c r="G218" s="307" t="str">
        <f t="shared" si="2"/>
        <v>PaulowniaF2BT31-RDVTECH44BT31-RDVTECH44</v>
      </c>
    </row>
    <row r="219" spans="3:7" x14ac:dyDescent="0.25">
      <c r="C219" s="307" t="s">
        <v>1310</v>
      </c>
      <c r="D219" s="307" t="s">
        <v>10</v>
      </c>
      <c r="E219" s="307" t="s">
        <v>1388</v>
      </c>
      <c r="F219" s="307" t="s">
        <v>1388</v>
      </c>
      <c r="G219" s="307" t="str">
        <f t="shared" si="2"/>
        <v>Peuplier Autre cultivéF2BT31-RDVTECH44BT31-RDVTECH44</v>
      </c>
    </row>
    <row r="220" spans="3:7" x14ac:dyDescent="0.25">
      <c r="C220" s="307" t="s">
        <v>548</v>
      </c>
      <c r="D220" s="307" t="s">
        <v>10</v>
      </c>
      <c r="E220" s="307" t="s">
        <v>1388</v>
      </c>
      <c r="F220" s="307" t="s">
        <v>1388</v>
      </c>
      <c r="G220" s="307" t="str">
        <f t="shared" si="2"/>
        <v>Peuplier blancF2BT31-RDVTECH44BT31-RDVTECH44</v>
      </c>
    </row>
    <row r="221" spans="3:7" x14ac:dyDescent="0.25">
      <c r="C221" s="307" t="s">
        <v>619</v>
      </c>
      <c r="D221" s="307" t="s">
        <v>10</v>
      </c>
      <c r="E221" s="307" t="s">
        <v>1388</v>
      </c>
      <c r="F221" s="307" t="s">
        <v>1388</v>
      </c>
      <c r="G221" s="307" t="str">
        <f t="shared" si="2"/>
        <v>Peuplier générique non sélectionnéF2BT31-RDVTECH44BT31-RDVTECH44</v>
      </c>
    </row>
    <row r="222" spans="3:7" x14ac:dyDescent="0.25">
      <c r="C222" s="307" t="s">
        <v>553</v>
      </c>
      <c r="D222" s="307" t="s">
        <v>10</v>
      </c>
      <c r="E222" s="307" t="s">
        <v>1388</v>
      </c>
      <c r="F222" s="307" t="s">
        <v>1388</v>
      </c>
      <c r="G222" s="307" t="str">
        <f t="shared" si="2"/>
        <v>Peuplier grisardF2BT31-RDVTECH44BT31-RDVTECH44</v>
      </c>
    </row>
    <row r="223" spans="3:7" x14ac:dyDescent="0.25">
      <c r="C223" s="307" t="s">
        <v>558</v>
      </c>
      <c r="D223" s="307" t="s">
        <v>10</v>
      </c>
      <c r="E223" s="307" t="s">
        <v>1388</v>
      </c>
      <c r="F223" s="307" t="s">
        <v>1388</v>
      </c>
      <c r="G223" s="307" t="str">
        <f t="shared" si="2"/>
        <v>Peuplier noirF2BT31-RDVTECH44BT31-RDVTECH44</v>
      </c>
    </row>
    <row r="224" spans="3:7" x14ac:dyDescent="0.25">
      <c r="C224" s="307" t="s">
        <v>369</v>
      </c>
      <c r="D224" s="307" t="s">
        <v>10</v>
      </c>
      <c r="E224" s="307" t="s">
        <v>1388</v>
      </c>
      <c r="F224" s="307" t="s">
        <v>1388</v>
      </c>
      <c r="G224" s="307" t="str">
        <f t="shared" si="2"/>
        <v>Pin à crochets F2BT31-RDVTECH44BT31-RDVTECH44</v>
      </c>
    </row>
    <row r="225" spans="3:7" x14ac:dyDescent="0.25">
      <c r="C225" s="307" t="s">
        <v>934</v>
      </c>
      <c r="D225" s="307" t="s">
        <v>10</v>
      </c>
      <c r="E225" s="307" t="s">
        <v>1388</v>
      </c>
      <c r="F225" s="307" t="s">
        <v>1388</v>
      </c>
      <c r="G225" s="307" t="str">
        <f t="shared" si="2"/>
        <v>Pin brutia (ou) eldaricaF2BT31-RDVTECH44BT31-RDVTECH44</v>
      </c>
    </row>
    <row r="226" spans="3:7" x14ac:dyDescent="0.25">
      <c r="C226" s="307" t="s">
        <v>368</v>
      </c>
      <c r="D226" s="307" t="s">
        <v>10</v>
      </c>
      <c r="E226" s="307" t="s">
        <v>1388</v>
      </c>
      <c r="F226" s="307" t="s">
        <v>1388</v>
      </c>
      <c r="G226" s="307" t="str">
        <f t="shared" si="2"/>
        <v>Pin cembro F2BT31-RDVTECH44BT31-RDVTECH44</v>
      </c>
    </row>
    <row r="227" spans="3:7" x14ac:dyDescent="0.25">
      <c r="C227" s="307" t="s">
        <v>367</v>
      </c>
      <c r="D227" s="307" t="s">
        <v>10</v>
      </c>
      <c r="E227" s="307" t="s">
        <v>1388</v>
      </c>
      <c r="F227" s="307" t="s">
        <v>1388</v>
      </c>
      <c r="G227" s="307" t="str">
        <f t="shared" si="2"/>
        <v>Pin d'AlepF2BT31-RDVTECH44BT31-RDVTECH44</v>
      </c>
    </row>
    <row r="228" spans="3:7" x14ac:dyDescent="0.25">
      <c r="C228" s="307" t="s">
        <v>944</v>
      </c>
      <c r="D228" s="307" t="s">
        <v>10</v>
      </c>
      <c r="E228" s="307" t="s">
        <v>1388</v>
      </c>
      <c r="F228" s="307" t="s">
        <v>1388</v>
      </c>
      <c r="G228" s="307" t="str">
        <f t="shared" si="2"/>
        <v>Pin de MontereyF2BT31-RDVTECH44BT31-RDVTECH44</v>
      </c>
    </row>
    <row r="229" spans="3:7" x14ac:dyDescent="0.25">
      <c r="C229" s="307" t="s">
        <v>939</v>
      </c>
      <c r="D229" s="307" t="s">
        <v>10</v>
      </c>
      <c r="E229" s="307" t="s">
        <v>1388</v>
      </c>
      <c r="F229" s="307" t="s">
        <v>1388</v>
      </c>
      <c r="G229" s="307" t="str">
        <f t="shared" si="2"/>
        <v>Pin de MurrayF2BT31-RDVTECH44BT31-RDVTECH44</v>
      </c>
    </row>
    <row r="230" spans="3:7" x14ac:dyDescent="0.25">
      <c r="C230" s="307" t="s">
        <v>926</v>
      </c>
      <c r="D230" s="307" t="s">
        <v>10</v>
      </c>
      <c r="E230" s="307" t="s">
        <v>1388</v>
      </c>
      <c r="F230" s="307" t="s">
        <v>1388</v>
      </c>
      <c r="G230" s="307" t="str">
        <f t="shared" si="2"/>
        <v>Pin de SalzmannF2BT31-RDVTECH44BT31-RDVTECH44</v>
      </c>
    </row>
    <row r="231" spans="3:7" x14ac:dyDescent="0.25">
      <c r="C231" s="307" t="s">
        <v>954</v>
      </c>
      <c r="D231" s="307" t="s">
        <v>10</v>
      </c>
      <c r="E231" s="307" t="s">
        <v>1388</v>
      </c>
      <c r="F231" s="307" t="s">
        <v>1388</v>
      </c>
      <c r="G231" s="307" t="str">
        <f t="shared" si="2"/>
        <v>Pin génériqueF2BT31-RDVTECH44BT31-RDVTECH44</v>
      </c>
    </row>
    <row r="232" spans="3:7" x14ac:dyDescent="0.25">
      <c r="C232" s="307" t="s">
        <v>918</v>
      </c>
      <c r="D232" s="307" t="s">
        <v>10</v>
      </c>
      <c r="E232" s="307" t="s">
        <v>1388</v>
      </c>
      <c r="F232" s="307" t="s">
        <v>1388</v>
      </c>
      <c r="G232" s="307" t="str">
        <f t="shared" si="2"/>
        <v>Pin laricio de CalabreF2BT31-RDVTECH44BT31-RDVTECH44</v>
      </c>
    </row>
    <row r="233" spans="3:7" x14ac:dyDescent="0.25">
      <c r="C233" s="307" t="s">
        <v>922</v>
      </c>
      <c r="D233" s="307" t="s">
        <v>10</v>
      </c>
      <c r="E233" s="307" t="s">
        <v>1388</v>
      </c>
      <c r="F233" s="307" t="s">
        <v>1388</v>
      </c>
      <c r="G233" s="307" t="str">
        <f t="shared" si="2"/>
        <v>Pin laricio de CorseF2BT31-RDVTECH44BT31-RDVTECH44</v>
      </c>
    </row>
    <row r="234" spans="3:7" x14ac:dyDescent="0.25">
      <c r="C234" s="307" t="s">
        <v>895</v>
      </c>
      <c r="D234" s="307" t="s">
        <v>10</v>
      </c>
      <c r="E234" s="307" t="s">
        <v>1388</v>
      </c>
      <c r="F234" s="307" t="s">
        <v>1388</v>
      </c>
      <c r="G234" s="307" t="str">
        <f t="shared" si="2"/>
        <v>Pin maritimeF2BT31-RDVTECH44BT31-RDVTECH44</v>
      </c>
    </row>
    <row r="235" spans="3:7" x14ac:dyDescent="0.25">
      <c r="C235" s="307" t="s">
        <v>911</v>
      </c>
      <c r="D235" s="307" t="s">
        <v>10</v>
      </c>
      <c r="E235" s="307" t="s">
        <v>1388</v>
      </c>
      <c r="F235" s="307" t="s">
        <v>1388</v>
      </c>
      <c r="G235" s="307" t="str">
        <f t="shared" si="2"/>
        <v>Pin mugoF2BT31-RDVTECH44BT31-RDVTECH44</v>
      </c>
    </row>
    <row r="236" spans="3:7" x14ac:dyDescent="0.25">
      <c r="C236" s="307" t="s">
        <v>371</v>
      </c>
      <c r="D236" s="307" t="s">
        <v>10</v>
      </c>
      <c r="E236" s="307" t="s">
        <v>1388</v>
      </c>
      <c r="F236" s="307" t="s">
        <v>1388</v>
      </c>
      <c r="G236" s="307" t="str">
        <f t="shared" si="2"/>
        <v>Pin noir d'AutricheF2BT31-RDVTECH44BT31-RDVTECH44</v>
      </c>
    </row>
    <row r="237" spans="3:7" x14ac:dyDescent="0.25">
      <c r="C237" s="307" t="s">
        <v>951</v>
      </c>
      <c r="D237" s="307" t="s">
        <v>10</v>
      </c>
      <c r="E237" s="307" t="s">
        <v>1388</v>
      </c>
      <c r="F237" s="307" t="s">
        <v>1388</v>
      </c>
      <c r="G237" s="307" t="str">
        <f t="shared" si="2"/>
        <v>Pin noir pallasianaF2BT31-RDVTECH44BT31-RDVTECH44</v>
      </c>
    </row>
    <row r="238" spans="3:7" x14ac:dyDescent="0.25">
      <c r="C238" s="307" t="s">
        <v>905</v>
      </c>
      <c r="D238" s="307" t="s">
        <v>10</v>
      </c>
      <c r="E238" s="307" t="s">
        <v>1388</v>
      </c>
      <c r="F238" s="307" t="s">
        <v>1388</v>
      </c>
      <c r="G238" s="307" t="str">
        <f t="shared" si="2"/>
        <v>Pin parasolF2BT31-RDVTECH44BT31-RDVTECH44</v>
      </c>
    </row>
    <row r="239" spans="3:7" x14ac:dyDescent="0.25">
      <c r="C239" s="307" t="s">
        <v>387</v>
      </c>
      <c r="D239" s="307" t="s">
        <v>10</v>
      </c>
      <c r="E239" s="307" t="s">
        <v>1388</v>
      </c>
      <c r="F239" s="307" t="s">
        <v>1388</v>
      </c>
      <c r="G239" s="307" t="str">
        <f t="shared" si="2"/>
        <v>Pin sylvestreF2BT31-RDVTECH44BT31-RDVTECH44</v>
      </c>
    </row>
    <row r="240" spans="3:7" x14ac:dyDescent="0.25">
      <c r="C240" s="307" t="s">
        <v>852</v>
      </c>
      <c r="D240" s="307" t="s">
        <v>10</v>
      </c>
      <c r="E240" s="307" t="s">
        <v>1388</v>
      </c>
      <c r="F240" s="307" t="s">
        <v>1388</v>
      </c>
      <c r="G240" s="307" t="str">
        <f t="shared" si="2"/>
        <v>Pin WeymouthF2BT31-RDVTECH44BT31-RDVTECH44</v>
      </c>
    </row>
    <row r="241" spans="3:7" x14ac:dyDescent="0.25">
      <c r="C241" s="307" t="s">
        <v>915</v>
      </c>
      <c r="D241" s="307" t="s">
        <v>10</v>
      </c>
      <c r="E241" s="307" t="s">
        <v>1388</v>
      </c>
      <c r="F241" s="307" t="s">
        <v>1388</v>
      </c>
      <c r="G241" s="307" t="str">
        <f t="shared" si="2"/>
        <v>Pinus taedaF2BT31-RDVTECH44BT31-RDVTECH44</v>
      </c>
    </row>
    <row r="242" spans="3:7" x14ac:dyDescent="0.25">
      <c r="C242" s="307" t="s">
        <v>1179</v>
      </c>
      <c r="D242" s="307" t="s">
        <v>10</v>
      </c>
      <c r="E242" s="307" t="s">
        <v>1388</v>
      </c>
      <c r="F242" s="307" t="s">
        <v>1388</v>
      </c>
      <c r="G242" s="307" t="str">
        <f t="shared" si="2"/>
        <v>Pistachier lentisqueF2BT31-RDVTECH44BT31-RDVTECH44</v>
      </c>
    </row>
    <row r="243" spans="3:7" x14ac:dyDescent="0.25">
      <c r="C243" s="307" t="s">
        <v>1197</v>
      </c>
      <c r="D243" s="307" t="s">
        <v>10</v>
      </c>
      <c r="E243" s="307" t="s">
        <v>1388</v>
      </c>
      <c r="F243" s="307" t="s">
        <v>1388</v>
      </c>
      <c r="G243" s="307" t="str">
        <f t="shared" si="2"/>
        <v>Pistachier térébintheF2BT31-RDVTECH44BT31-RDVTECH44</v>
      </c>
    </row>
    <row r="244" spans="3:7" x14ac:dyDescent="0.25">
      <c r="C244" s="307" t="s">
        <v>532</v>
      </c>
      <c r="D244" s="307" t="s">
        <v>10</v>
      </c>
      <c r="E244" s="307" t="s">
        <v>1388</v>
      </c>
      <c r="F244" s="307" t="s">
        <v>1388</v>
      </c>
      <c r="G244" s="307" t="str">
        <f t="shared" si="2"/>
        <v>Pistachier vraiF2BT31-RDVTECH44BT31-RDVTECH44</v>
      </c>
    </row>
    <row r="245" spans="3:7" x14ac:dyDescent="0.25">
      <c r="C245" s="307" t="s">
        <v>529</v>
      </c>
      <c r="D245" s="307" t="s">
        <v>10</v>
      </c>
      <c r="E245" s="307" t="s">
        <v>1388</v>
      </c>
      <c r="F245" s="307" t="s">
        <v>1388</v>
      </c>
      <c r="G245" s="307" t="str">
        <f t="shared" si="2"/>
        <v>PlaqueminierF2BT31-RDVTECH44BT31-RDVTECH44</v>
      </c>
    </row>
    <row r="246" spans="3:7" x14ac:dyDescent="0.25">
      <c r="C246" s="307" t="s">
        <v>1100</v>
      </c>
      <c r="D246" s="307" t="s">
        <v>10</v>
      </c>
      <c r="E246" s="307" t="s">
        <v>1388</v>
      </c>
      <c r="F246" s="307" t="s">
        <v>1388</v>
      </c>
      <c r="G246" s="307" t="str">
        <f t="shared" si="2"/>
        <v>Platane à feuilles d'érableF2BT31-RDVTECH44BT31-RDVTECH44</v>
      </c>
    </row>
    <row r="247" spans="3:7" x14ac:dyDescent="0.25">
      <c r="C247" s="307" t="s">
        <v>1105</v>
      </c>
      <c r="D247" s="307" t="s">
        <v>10</v>
      </c>
      <c r="E247" s="307" t="s">
        <v>1388</v>
      </c>
      <c r="F247" s="307" t="s">
        <v>1388</v>
      </c>
      <c r="G247" s="307" t="str">
        <f t="shared" si="2"/>
        <v>Platane d'OccidentF2BT31-RDVTECH44BT31-RDVTECH44</v>
      </c>
    </row>
    <row r="248" spans="3:7" x14ac:dyDescent="0.25">
      <c r="C248" s="307" t="s">
        <v>1109</v>
      </c>
      <c r="D248" s="307" t="s">
        <v>10</v>
      </c>
      <c r="E248" s="307" t="s">
        <v>1388</v>
      </c>
      <c r="F248" s="307" t="s">
        <v>1388</v>
      </c>
      <c r="G248" s="307" t="str">
        <f t="shared" si="2"/>
        <v>Platane d'OrientF2BT31-RDVTECH44BT31-RDVTECH44</v>
      </c>
    </row>
    <row r="249" spans="3:7" x14ac:dyDescent="0.25">
      <c r="C249" s="307" t="s">
        <v>1221</v>
      </c>
      <c r="D249" s="307" t="s">
        <v>10</v>
      </c>
      <c r="E249" s="307" t="s">
        <v>1388</v>
      </c>
      <c r="F249" s="307" t="s">
        <v>1388</v>
      </c>
      <c r="G249" s="307" t="str">
        <f t="shared" si="2"/>
        <v>Platane génériqueF2BT31-RDVTECH44BT31-RDVTECH44</v>
      </c>
    </row>
    <row r="250" spans="3:7" x14ac:dyDescent="0.25">
      <c r="C250" s="307" t="s">
        <v>1066</v>
      </c>
      <c r="D250" s="307" t="s">
        <v>10</v>
      </c>
      <c r="E250" s="307" t="s">
        <v>1388</v>
      </c>
      <c r="F250" s="307" t="s">
        <v>1388</v>
      </c>
      <c r="G250" s="307" t="str">
        <f t="shared" si="2"/>
        <v>Poirier à feuilles d'amandierF2BT31-RDVTECH44BT31-RDVTECH44</v>
      </c>
    </row>
    <row r="251" spans="3:7" x14ac:dyDescent="0.25">
      <c r="C251" s="307" t="s">
        <v>1081</v>
      </c>
      <c r="D251" s="307" t="s">
        <v>10</v>
      </c>
      <c r="E251" s="307" t="s">
        <v>1388</v>
      </c>
      <c r="F251" s="307" t="s">
        <v>1388</v>
      </c>
      <c r="G251" s="307" t="str">
        <f t="shared" si="2"/>
        <v>Poirier à feuilles en coeurF2BT31-RDVTECH44BT31-RDVTECH44</v>
      </c>
    </row>
    <row r="252" spans="3:7" x14ac:dyDescent="0.25">
      <c r="C252" s="307" t="s">
        <v>1071</v>
      </c>
      <c r="D252" s="307" t="s">
        <v>10</v>
      </c>
      <c r="E252" s="307" t="s">
        <v>1388</v>
      </c>
      <c r="F252" s="307" t="s">
        <v>1388</v>
      </c>
      <c r="G252" s="307" t="str">
        <f t="shared" si="2"/>
        <v>Poirier commun F2BT31-RDVTECH44BT31-RDVTECH44</v>
      </c>
    </row>
    <row r="253" spans="3:7" x14ac:dyDescent="0.25">
      <c r="C253" s="307" t="s">
        <v>1189</v>
      </c>
      <c r="D253" s="307" t="s">
        <v>10</v>
      </c>
      <c r="E253" s="307" t="s">
        <v>1388</v>
      </c>
      <c r="F253" s="307" t="s">
        <v>1388</v>
      </c>
      <c r="G253" s="307" t="str">
        <f t="shared" si="2"/>
        <v>Poirier neigeuxF2BT31-RDVTECH44BT31-RDVTECH44</v>
      </c>
    </row>
    <row r="254" spans="3:7" x14ac:dyDescent="0.25">
      <c r="C254" s="307" t="s">
        <v>1084</v>
      </c>
      <c r="D254" s="307" t="s">
        <v>10</v>
      </c>
      <c r="E254" s="307" t="s">
        <v>1388</v>
      </c>
      <c r="F254" s="307" t="s">
        <v>1388</v>
      </c>
      <c r="G254" s="307" t="str">
        <f t="shared" si="2"/>
        <v>Pommier sauvageF2BT31-RDVTECH44BT31-RDVTECH44</v>
      </c>
    </row>
    <row r="255" spans="3:7" x14ac:dyDescent="0.25">
      <c r="C255" s="307" t="s">
        <v>1176</v>
      </c>
      <c r="D255" s="307" t="s">
        <v>10</v>
      </c>
      <c r="E255" s="307" t="s">
        <v>1388</v>
      </c>
      <c r="F255" s="307" t="s">
        <v>1388</v>
      </c>
      <c r="G255" s="307" t="str">
        <f t="shared" si="2"/>
        <v>Prune-ceriseF2BT31-RDVTECH44BT31-RDVTECH44</v>
      </c>
    </row>
    <row r="256" spans="3:7" x14ac:dyDescent="0.25">
      <c r="C256" s="307" t="s">
        <v>1192</v>
      </c>
      <c r="D256" s="307" t="s">
        <v>10</v>
      </c>
      <c r="E256" s="307" t="s">
        <v>1388</v>
      </c>
      <c r="F256" s="307" t="s">
        <v>1388</v>
      </c>
      <c r="G256" s="307" t="str">
        <f t="shared" si="2"/>
        <v>PrunellierF2BT31-RDVTECH44BT31-RDVTECH44</v>
      </c>
    </row>
    <row r="257" spans="3:7" x14ac:dyDescent="0.25">
      <c r="C257" s="307" t="s">
        <v>1173</v>
      </c>
      <c r="D257" s="307" t="s">
        <v>10</v>
      </c>
      <c r="E257" s="307" t="s">
        <v>1388</v>
      </c>
      <c r="F257" s="307" t="s">
        <v>1388</v>
      </c>
      <c r="G257" s="307" t="str">
        <f t="shared" si="2"/>
        <v>Prunier de Briançon F2BT31-RDVTECH44BT31-RDVTECH44</v>
      </c>
    </row>
    <row r="258" spans="3:7" x14ac:dyDescent="0.25">
      <c r="C258" s="307" t="s">
        <v>1076</v>
      </c>
      <c r="D258" s="307" t="s">
        <v>10</v>
      </c>
      <c r="E258" s="307" t="s">
        <v>1388</v>
      </c>
      <c r="F258" s="307" t="s">
        <v>1388</v>
      </c>
      <c r="G258" s="307" t="str">
        <f t="shared" si="2"/>
        <v>Prunier domestiqueF2BT31-RDVTECH44BT31-RDVTECH44</v>
      </c>
    </row>
    <row r="259" spans="3:7" x14ac:dyDescent="0.25">
      <c r="C259" s="307" t="s">
        <v>707</v>
      </c>
      <c r="D259" s="307" t="s">
        <v>10</v>
      </c>
      <c r="E259" s="307" t="s">
        <v>1388</v>
      </c>
      <c r="F259" s="307" t="s">
        <v>1388</v>
      </c>
      <c r="G259" s="307" t="str">
        <f t="shared" si="2"/>
        <v>Quercus_generiqueF2BT31-RDVTECH44BT31-RDVTECH44</v>
      </c>
    </row>
    <row r="260" spans="3:7" x14ac:dyDescent="0.25">
      <c r="C260" s="307" t="s">
        <v>1306</v>
      </c>
      <c r="D260" s="307" t="s">
        <v>10</v>
      </c>
      <c r="E260" s="307" t="s">
        <v>1388</v>
      </c>
      <c r="F260" s="307" t="s">
        <v>1388</v>
      </c>
      <c r="G260" s="307" t="str">
        <f t="shared" si="2"/>
        <v>Robinier faux acaciaF2BT31-RDVTECH44BT31-RDVTECH44</v>
      </c>
    </row>
    <row r="261" spans="3:7" x14ac:dyDescent="0.25">
      <c r="C261" s="307" t="s">
        <v>833</v>
      </c>
      <c r="D261" s="307" t="s">
        <v>10</v>
      </c>
      <c r="E261" s="307" t="s">
        <v>1388</v>
      </c>
      <c r="F261" s="307" t="s">
        <v>1388</v>
      </c>
      <c r="G261" s="307" t="str">
        <f t="shared" si="2"/>
        <v>Sapin d'AndalousieF2BT31-RDVTECH44BT31-RDVTECH44</v>
      </c>
    </row>
    <row r="262" spans="3:7" x14ac:dyDescent="0.25">
      <c r="C262" s="307" t="s">
        <v>828</v>
      </c>
      <c r="D262" s="307" t="s">
        <v>10</v>
      </c>
      <c r="E262" s="307" t="s">
        <v>1388</v>
      </c>
      <c r="F262" s="307" t="s">
        <v>1388</v>
      </c>
      <c r="G262" s="307" t="str">
        <f t="shared" si="2"/>
        <v>Sapin de CéphalonieF2BT31-RDVTECH44BT31-RDVTECH44</v>
      </c>
    </row>
    <row r="263" spans="3:7" x14ac:dyDescent="0.25">
      <c r="C263" s="307" t="s">
        <v>805</v>
      </c>
      <c r="D263" s="307" t="s">
        <v>10</v>
      </c>
      <c r="E263" s="307" t="s">
        <v>1388</v>
      </c>
      <c r="F263" s="307" t="s">
        <v>1388</v>
      </c>
      <c r="G263" s="307" t="str">
        <f t="shared" si="2"/>
        <v>Sapin de CilicieF2BT31-RDVTECH44BT31-RDVTECH44</v>
      </c>
    </row>
    <row r="264" spans="3:7" x14ac:dyDescent="0.25">
      <c r="C264" s="307" t="s">
        <v>789</v>
      </c>
      <c r="D264" s="307" t="s">
        <v>10</v>
      </c>
      <c r="E264" s="307" t="s">
        <v>1388</v>
      </c>
      <c r="F264" s="307" t="s">
        <v>1388</v>
      </c>
      <c r="G264" s="307" t="str">
        <f t="shared" si="2"/>
        <v>Sapin de NordmannF2BT31-RDVTECH44BT31-RDVTECH44</v>
      </c>
    </row>
    <row r="265" spans="3:7" x14ac:dyDescent="0.25">
      <c r="C265" s="307" t="s">
        <v>825</v>
      </c>
      <c r="D265" s="307" t="s">
        <v>10</v>
      </c>
      <c r="E265" s="307" t="s">
        <v>1388</v>
      </c>
      <c r="F265" s="307" t="s">
        <v>1388</v>
      </c>
      <c r="G265" s="307" t="str">
        <f t="shared" si="2"/>
        <v>Sapin de TurquieF2BT31-RDVTECH44BT31-RDVTECH44</v>
      </c>
    </row>
    <row r="266" spans="3:7" x14ac:dyDescent="0.25">
      <c r="C266" s="307" t="s">
        <v>843</v>
      </c>
      <c r="D266" s="307" t="s">
        <v>10</v>
      </c>
      <c r="E266" s="307" t="s">
        <v>1388</v>
      </c>
      <c r="F266" s="307" t="s">
        <v>1388</v>
      </c>
      <c r="G266" s="307" t="str">
        <f t="shared" si="2"/>
        <v>Sapin de VancouverF2BT31-RDVTECH44BT31-RDVTECH44</v>
      </c>
    </row>
    <row r="267" spans="3:7" x14ac:dyDescent="0.25">
      <c r="C267" s="307" t="s">
        <v>800</v>
      </c>
      <c r="D267" s="307" t="s">
        <v>10</v>
      </c>
      <c r="E267" s="307" t="s">
        <v>1388</v>
      </c>
      <c r="F267" s="307" t="s">
        <v>1388</v>
      </c>
      <c r="G267" s="307" t="str">
        <f t="shared" si="2"/>
        <v>Sapin du ColoradoF2BT31-RDVTECH44BT31-RDVTECH44</v>
      </c>
    </row>
    <row r="268" spans="3:7" x14ac:dyDescent="0.25">
      <c r="C268" s="307" t="s">
        <v>838</v>
      </c>
      <c r="D268" s="307" t="s">
        <v>10</v>
      </c>
      <c r="E268" s="307" t="s">
        <v>1388</v>
      </c>
      <c r="F268" s="307" t="s">
        <v>1388</v>
      </c>
      <c r="G268" s="307" t="str">
        <f t="shared" si="2"/>
        <v>Sapin nobleF2BT31-RDVTECH44BT31-RDVTECH44</v>
      </c>
    </row>
    <row r="269" spans="3:7" x14ac:dyDescent="0.25">
      <c r="C269" s="307" t="s">
        <v>221</v>
      </c>
      <c r="D269" s="307" t="s">
        <v>10</v>
      </c>
      <c r="E269" s="307" t="s">
        <v>1388</v>
      </c>
      <c r="F269" s="307" t="s">
        <v>1388</v>
      </c>
      <c r="G269" s="307" t="str">
        <f t="shared" si="2"/>
        <v>Sapin pectinéF2BT31-RDVTECH44BT31-RDVTECH44</v>
      </c>
    </row>
    <row r="270" spans="3:7" x14ac:dyDescent="0.25">
      <c r="C270" s="307" t="s">
        <v>1329</v>
      </c>
      <c r="D270" s="307" t="s">
        <v>10</v>
      </c>
      <c r="E270" s="307" t="s">
        <v>1388</v>
      </c>
      <c r="F270" s="307" t="s">
        <v>1388</v>
      </c>
      <c r="G270" s="307" t="str">
        <f t="shared" si="2"/>
        <v>Saule à cinq étamines F2BT31-RDVTECH44BT31-RDVTECH44</v>
      </c>
    </row>
    <row r="271" spans="3:7" x14ac:dyDescent="0.25">
      <c r="C271" s="307" t="s">
        <v>1324</v>
      </c>
      <c r="D271" s="307" t="s">
        <v>10</v>
      </c>
      <c r="E271" s="307" t="s">
        <v>1388</v>
      </c>
      <c r="F271" s="307" t="s">
        <v>1388</v>
      </c>
      <c r="G271" s="307" t="str">
        <f t="shared" si="2"/>
        <v>Saule à trois étaminesF2BT31-RDVTECH44BT31-RDVTECH44</v>
      </c>
    </row>
    <row r="272" spans="3:7" x14ac:dyDescent="0.25">
      <c r="C272" s="307" t="s">
        <v>448</v>
      </c>
      <c r="D272" s="307" t="s">
        <v>10</v>
      </c>
      <c r="E272" s="307" t="s">
        <v>1388</v>
      </c>
      <c r="F272" s="307" t="s">
        <v>1388</v>
      </c>
      <c r="G272" s="307" t="str">
        <f t="shared" si="2"/>
        <v>Saule blancF2BT31-RDVTECH44BT31-RDVTECH44</v>
      </c>
    </row>
    <row r="273" spans="3:7" x14ac:dyDescent="0.25">
      <c r="C273" s="307" t="s">
        <v>468</v>
      </c>
      <c r="D273" s="307" t="s">
        <v>10</v>
      </c>
      <c r="E273" s="307" t="s">
        <v>1388</v>
      </c>
      <c r="F273" s="307" t="s">
        <v>1388</v>
      </c>
      <c r="G273" s="307" t="str">
        <f t="shared" ref="G273:G307" si="3">+_xlfn.CONCAT(C273:F273)</f>
        <v>Saule cassantF2BT31-RDVTECH44BT31-RDVTECH44</v>
      </c>
    </row>
    <row r="274" spans="3:7" x14ac:dyDescent="0.25">
      <c r="C274" s="307" t="s">
        <v>453</v>
      </c>
      <c r="D274" s="307" t="s">
        <v>10</v>
      </c>
      <c r="E274" s="307" t="s">
        <v>1388</v>
      </c>
      <c r="F274" s="307" t="s">
        <v>1388</v>
      </c>
      <c r="G274" s="307" t="str">
        <f t="shared" si="3"/>
        <v>Saule cendréF2BT31-RDVTECH44BT31-RDVTECH44</v>
      </c>
    </row>
    <row r="275" spans="3:7" x14ac:dyDescent="0.25">
      <c r="C275" s="307" t="s">
        <v>486</v>
      </c>
      <c r="D275" s="307" t="s">
        <v>10</v>
      </c>
      <c r="E275" s="307" t="s">
        <v>1388</v>
      </c>
      <c r="F275" s="307" t="s">
        <v>1388</v>
      </c>
      <c r="G275" s="307" t="str">
        <f t="shared" si="3"/>
        <v>Saule des vanniersF2BT31-RDVTECH44BT31-RDVTECH44</v>
      </c>
    </row>
    <row r="276" spans="3:7" x14ac:dyDescent="0.25">
      <c r="C276" s="307" t="s">
        <v>458</v>
      </c>
      <c r="D276" s="307" t="s">
        <v>10</v>
      </c>
      <c r="E276" s="307" t="s">
        <v>1388</v>
      </c>
      <c r="F276" s="307" t="s">
        <v>1388</v>
      </c>
      <c r="G276" s="307" t="str">
        <f t="shared" si="3"/>
        <v>Saule drapéF2BT31-RDVTECH44BT31-RDVTECH44</v>
      </c>
    </row>
    <row r="277" spans="3:7" x14ac:dyDescent="0.25">
      <c r="C277" s="307" t="s">
        <v>463</v>
      </c>
      <c r="D277" s="307" t="s">
        <v>10</v>
      </c>
      <c r="E277" s="307" t="s">
        <v>1388</v>
      </c>
      <c r="F277" s="307" t="s">
        <v>1388</v>
      </c>
      <c r="G277" s="307" t="str">
        <f t="shared" si="3"/>
        <v>Saule faux daphnéF2BT31-RDVTECH44BT31-RDVTECH44</v>
      </c>
    </row>
    <row r="278" spans="3:7" x14ac:dyDescent="0.25">
      <c r="C278" s="308" t="s">
        <v>623</v>
      </c>
      <c r="D278" s="307" t="s">
        <v>10</v>
      </c>
      <c r="E278" s="307" t="s">
        <v>1388</v>
      </c>
      <c r="F278" s="307" t="s">
        <v>1388</v>
      </c>
      <c r="G278" s="307" t="str">
        <f t="shared" si="3"/>
        <v>Saule génériqueF2BT31-RDVTECH44BT31-RDVTECH44</v>
      </c>
    </row>
    <row r="279" spans="3:7" x14ac:dyDescent="0.25">
      <c r="C279" s="307" t="s">
        <v>473</v>
      </c>
      <c r="D279" s="307" t="s">
        <v>10</v>
      </c>
      <c r="E279" s="307" t="s">
        <v>1388</v>
      </c>
      <c r="F279" s="307" t="s">
        <v>1388</v>
      </c>
      <c r="G279" s="307" t="str">
        <f t="shared" si="3"/>
        <v>Saule marsaultF2BT31-RDVTECH44BT31-RDVTECH44</v>
      </c>
    </row>
    <row r="280" spans="3:7" x14ac:dyDescent="0.25">
      <c r="C280" s="307" t="s">
        <v>478</v>
      </c>
      <c r="D280" s="307" t="s">
        <v>10</v>
      </c>
      <c r="E280" s="307" t="s">
        <v>1388</v>
      </c>
      <c r="F280" s="307" t="s">
        <v>1388</v>
      </c>
      <c r="G280" s="307" t="str">
        <f t="shared" si="3"/>
        <v>Saule pédicelléF2BT31-RDVTECH44BT31-RDVTECH44</v>
      </c>
    </row>
    <row r="281" spans="3:7" x14ac:dyDescent="0.25">
      <c r="C281" s="307" t="s">
        <v>491</v>
      </c>
      <c r="D281" s="307" t="s">
        <v>10</v>
      </c>
      <c r="E281" s="307" t="s">
        <v>1388</v>
      </c>
      <c r="F281" s="307" t="s">
        <v>1388</v>
      </c>
      <c r="G281" s="307" t="str">
        <f t="shared" si="3"/>
        <v>Saule rougeF2BT31-RDVTECH44BT31-RDVTECH44</v>
      </c>
    </row>
    <row r="282" spans="3:7" x14ac:dyDescent="0.25">
      <c r="C282" s="307" t="s">
        <v>481</v>
      </c>
      <c r="D282" s="307" t="s">
        <v>10</v>
      </c>
      <c r="E282" s="307" t="s">
        <v>1388</v>
      </c>
      <c r="F282" s="307" t="s">
        <v>1388</v>
      </c>
      <c r="G282" s="307" t="str">
        <f t="shared" si="3"/>
        <v>Saule rouxF2BT31-RDVTECH44BT31-RDVTECH44</v>
      </c>
    </row>
    <row r="283" spans="3:7" x14ac:dyDescent="0.25">
      <c r="C283" s="307" t="s">
        <v>741</v>
      </c>
      <c r="D283" s="307" t="s">
        <v>10</v>
      </c>
      <c r="E283" s="307" t="s">
        <v>1388</v>
      </c>
      <c r="F283" s="307" t="s">
        <v>1388</v>
      </c>
      <c r="G283" s="307" t="str">
        <f t="shared" si="3"/>
        <v>Séquoia géantF2BT31-RDVTECH44BT31-RDVTECH44</v>
      </c>
    </row>
    <row r="284" spans="3:7" x14ac:dyDescent="0.25">
      <c r="C284" s="307" t="s">
        <v>746</v>
      </c>
      <c r="D284" s="307" t="s">
        <v>10</v>
      </c>
      <c r="E284" s="307" t="s">
        <v>1388</v>
      </c>
      <c r="F284" s="307" t="s">
        <v>1388</v>
      </c>
      <c r="G284" s="307" t="str">
        <f t="shared" si="3"/>
        <v>Séquoia toujours vertF2BT31-RDVTECH44BT31-RDVTECH44</v>
      </c>
    </row>
    <row r="285" spans="3:7" x14ac:dyDescent="0.25">
      <c r="C285" s="307" t="s">
        <v>1089</v>
      </c>
      <c r="D285" s="307" t="s">
        <v>10</v>
      </c>
      <c r="E285" s="307" t="s">
        <v>1388</v>
      </c>
      <c r="F285" s="307" t="s">
        <v>1388</v>
      </c>
      <c r="G285" s="307" t="str">
        <f t="shared" si="3"/>
        <v>Sorbier de FinlandeF2BT31-RDVTECH44BT31-RDVTECH44</v>
      </c>
    </row>
    <row r="286" spans="3:7" x14ac:dyDescent="0.25">
      <c r="C286" s="307" t="s">
        <v>1097</v>
      </c>
      <c r="D286" s="307" t="s">
        <v>10</v>
      </c>
      <c r="E286" s="307" t="s">
        <v>1388</v>
      </c>
      <c r="F286" s="307" t="s">
        <v>1388</v>
      </c>
      <c r="G286" s="307" t="str">
        <f t="shared" si="3"/>
        <v>Sorbier de SuèdeF2BT31-RDVTECH44BT31-RDVTECH44</v>
      </c>
    </row>
    <row r="287" spans="3:7" x14ac:dyDescent="0.25">
      <c r="C287" s="307" t="s">
        <v>1092</v>
      </c>
      <c r="D287" s="307" t="s">
        <v>10</v>
      </c>
      <c r="E287" s="307" t="s">
        <v>1388</v>
      </c>
      <c r="F287" s="307" t="s">
        <v>1388</v>
      </c>
      <c r="G287" s="307" t="str">
        <f t="shared" si="3"/>
        <v>Sorbier des oiseleursF2BT31-RDVTECH44BT31-RDVTECH44</v>
      </c>
    </row>
    <row r="288" spans="3:7" x14ac:dyDescent="0.25">
      <c r="C288" s="307" t="s">
        <v>591</v>
      </c>
      <c r="D288" s="307" t="s">
        <v>10</v>
      </c>
      <c r="E288" s="307" t="s">
        <v>1388</v>
      </c>
      <c r="F288" s="307" t="s">
        <v>1388</v>
      </c>
      <c r="G288" s="307" t="str">
        <f t="shared" si="3"/>
        <v>Sumac de VirginieF2BT31-RDVTECH44BT31-RDVTECH44</v>
      </c>
    </row>
    <row r="289" spans="3:7" x14ac:dyDescent="0.25">
      <c r="C289" s="307" t="s">
        <v>1296</v>
      </c>
      <c r="D289" s="307" t="s">
        <v>10</v>
      </c>
      <c r="E289" s="307" t="s">
        <v>1388</v>
      </c>
      <c r="F289" s="307" t="s">
        <v>1388</v>
      </c>
      <c r="G289" s="307" t="str">
        <f t="shared" si="3"/>
        <v>Sureau à grappesF2BT31-RDVTECH44BT31-RDVTECH44</v>
      </c>
    </row>
    <row r="290" spans="3:7" x14ac:dyDescent="0.25">
      <c r="C290" s="307" t="s">
        <v>1291</v>
      </c>
      <c r="D290" s="307" t="s">
        <v>10</v>
      </c>
      <c r="E290" s="307" t="s">
        <v>1388</v>
      </c>
      <c r="F290" s="307" t="s">
        <v>1388</v>
      </c>
      <c r="G290" s="307" t="str">
        <f t="shared" si="3"/>
        <v>Sureau noirF2BT31-RDVTECH44BT31-RDVTECH44</v>
      </c>
    </row>
    <row r="291" spans="3:7" x14ac:dyDescent="0.25">
      <c r="C291" s="307" t="s">
        <v>599</v>
      </c>
      <c r="D291" s="307" t="s">
        <v>10</v>
      </c>
      <c r="E291" s="307" t="s">
        <v>1388</v>
      </c>
      <c r="F291" s="307" t="s">
        <v>1388</v>
      </c>
      <c r="G291" s="307" t="str">
        <f t="shared" si="3"/>
        <v>Tamaris d'AfriqueF2BT31-RDVTECH44BT31-RDVTECH44</v>
      </c>
    </row>
    <row r="292" spans="3:7" x14ac:dyDescent="0.25">
      <c r="C292" s="307" t="s">
        <v>594</v>
      </c>
      <c r="D292" s="307" t="s">
        <v>10</v>
      </c>
      <c r="E292" s="307" t="s">
        <v>1388</v>
      </c>
      <c r="F292" s="307" t="s">
        <v>1388</v>
      </c>
      <c r="G292" s="307" t="str">
        <f t="shared" si="3"/>
        <v>Tamaris de FranceF2BT31-RDVTECH44BT31-RDVTECH44</v>
      </c>
    </row>
    <row r="293" spans="3:7" x14ac:dyDescent="0.25">
      <c r="C293" s="307" t="s">
        <v>594</v>
      </c>
      <c r="D293" s="307" t="s">
        <v>10</v>
      </c>
      <c r="E293" s="307" t="s">
        <v>1388</v>
      </c>
      <c r="F293" s="307" t="s">
        <v>1388</v>
      </c>
      <c r="G293" s="307" t="str">
        <f t="shared" si="3"/>
        <v>Tamaris de FranceF2BT31-RDVTECH44BT31-RDVTECH44</v>
      </c>
    </row>
    <row r="294" spans="3:7" x14ac:dyDescent="0.25">
      <c r="C294" s="307" t="s">
        <v>809</v>
      </c>
      <c r="D294" s="307" t="s">
        <v>10</v>
      </c>
      <c r="E294" s="307" t="s">
        <v>1388</v>
      </c>
      <c r="F294" s="307" t="s">
        <v>1388</v>
      </c>
      <c r="G294" s="307" t="str">
        <f t="shared" si="3"/>
        <v>Thuya du CanadaF2BT31-RDVTECH44BT31-RDVTECH44</v>
      </c>
    </row>
    <row r="295" spans="3:7" x14ac:dyDescent="0.25">
      <c r="C295" s="307" t="s">
        <v>812</v>
      </c>
      <c r="D295" s="307" t="s">
        <v>10</v>
      </c>
      <c r="E295" s="307" t="s">
        <v>1388</v>
      </c>
      <c r="F295" s="307" t="s">
        <v>1388</v>
      </c>
      <c r="G295" s="307" t="str">
        <f t="shared" si="3"/>
        <v>Thuya géantF2BT31-RDVTECH44BT31-RDVTECH44</v>
      </c>
    </row>
    <row r="296" spans="3:7" x14ac:dyDescent="0.25">
      <c r="C296" s="307" t="s">
        <v>1359</v>
      </c>
      <c r="D296" s="307" t="s">
        <v>10</v>
      </c>
      <c r="E296" s="307" t="s">
        <v>1388</v>
      </c>
      <c r="F296" s="307" t="s">
        <v>1388</v>
      </c>
      <c r="G296" s="307" t="str">
        <f t="shared" si="3"/>
        <v>Tilleul à grandes feuillesF2BT31-RDVTECH44BT31-RDVTECH44</v>
      </c>
    </row>
    <row r="297" spans="3:7" x14ac:dyDescent="0.25">
      <c r="C297" s="307" t="s">
        <v>435</v>
      </c>
      <c r="D297" s="307" t="s">
        <v>10</v>
      </c>
      <c r="E297" s="307" t="s">
        <v>1388</v>
      </c>
      <c r="F297" s="307" t="s">
        <v>1388</v>
      </c>
      <c r="G297" s="307" t="str">
        <f t="shared" si="3"/>
        <v>Tilleul à petites feuillesF2BT31-RDVTECH44BT31-RDVTECH44</v>
      </c>
    </row>
    <row r="298" spans="3:7" x14ac:dyDescent="0.25">
      <c r="C298" s="307" t="s">
        <v>540</v>
      </c>
      <c r="D298" s="307" t="s">
        <v>10</v>
      </c>
      <c r="E298" s="307" t="s">
        <v>1388</v>
      </c>
      <c r="F298" s="307" t="s">
        <v>1388</v>
      </c>
      <c r="G298" s="307" t="str">
        <f t="shared" si="3"/>
        <v>Tilleul argentéF2BT31-RDVTECH44BT31-RDVTECH44</v>
      </c>
    </row>
    <row r="299" spans="3:7" x14ac:dyDescent="0.25">
      <c r="C299" s="307" t="s">
        <v>537</v>
      </c>
      <c r="D299" s="307" t="s">
        <v>10</v>
      </c>
      <c r="E299" s="307" t="s">
        <v>1388</v>
      </c>
      <c r="F299" s="307" t="s">
        <v>1388</v>
      </c>
      <c r="G299" s="307" t="str">
        <f t="shared" si="3"/>
        <v>Tilleul d'Amérique du NordF2BT31-RDVTECH44BT31-RDVTECH44</v>
      </c>
    </row>
    <row r="300" spans="3:7" x14ac:dyDescent="0.25">
      <c r="C300" s="307" t="s">
        <v>440</v>
      </c>
      <c r="D300" s="307" t="s">
        <v>10</v>
      </c>
      <c r="E300" s="307" t="s">
        <v>1388</v>
      </c>
      <c r="F300" s="307" t="s">
        <v>1388</v>
      </c>
      <c r="G300" s="307" t="str">
        <f t="shared" si="3"/>
        <v>Tilleul de HollandeF2BT31-RDVTECH44BT31-RDVTECH44</v>
      </c>
    </row>
    <row r="301" spans="3:7" x14ac:dyDescent="0.25">
      <c r="C301" s="309" t="s">
        <v>626</v>
      </c>
      <c r="D301" s="307" t="s">
        <v>10</v>
      </c>
      <c r="E301" s="307" t="s">
        <v>1388</v>
      </c>
      <c r="F301" s="307" t="s">
        <v>1388</v>
      </c>
      <c r="G301" s="307" t="str">
        <f t="shared" si="3"/>
        <v>Tilleul génériqueF2BT31-RDVTECH44BT31-RDVTECH44</v>
      </c>
    </row>
    <row r="302" spans="3:7" x14ac:dyDescent="0.25">
      <c r="C302" s="307" t="s">
        <v>545</v>
      </c>
      <c r="D302" s="307" t="s">
        <v>10</v>
      </c>
      <c r="E302" s="307" t="s">
        <v>1388</v>
      </c>
      <c r="F302" s="307" t="s">
        <v>1388</v>
      </c>
      <c r="G302" s="307" t="str">
        <f t="shared" si="3"/>
        <v>Tilleul vertF2BT31-RDVTECH44BT31-RDVTECH44</v>
      </c>
    </row>
    <row r="303" spans="3:7" x14ac:dyDescent="0.25">
      <c r="C303" s="307" t="s">
        <v>1313</v>
      </c>
      <c r="D303" s="307" t="s">
        <v>10</v>
      </c>
      <c r="E303" s="307" t="s">
        <v>1388</v>
      </c>
      <c r="F303" s="307" t="s">
        <v>1388</v>
      </c>
      <c r="G303" s="307" t="str">
        <f t="shared" si="3"/>
        <v>TrembleF2BT31-RDVTECH44BT31-RDVTECH44</v>
      </c>
    </row>
    <row r="304" spans="3:7" x14ac:dyDescent="0.25">
      <c r="C304" s="307" t="s">
        <v>822</v>
      </c>
      <c r="D304" s="307" t="s">
        <v>10</v>
      </c>
      <c r="E304" s="307" t="s">
        <v>1388</v>
      </c>
      <c r="F304" s="307" t="s">
        <v>1388</v>
      </c>
      <c r="G304" s="307" t="str">
        <f t="shared" si="3"/>
        <v>Tsuga du CanadaF2BT31-RDVTECH44BT31-RDVTECH44</v>
      </c>
    </row>
    <row r="305" spans="3:7" x14ac:dyDescent="0.25">
      <c r="C305" s="307" t="s">
        <v>817</v>
      </c>
      <c r="D305" s="307" t="s">
        <v>10</v>
      </c>
      <c r="E305" s="307" t="s">
        <v>1388</v>
      </c>
      <c r="F305" s="307" t="s">
        <v>1388</v>
      </c>
      <c r="G305" s="307" t="str">
        <f t="shared" si="3"/>
        <v>Tsuga hétérophylleF2BT31-RDVTECH44BT31-RDVTECH44</v>
      </c>
    </row>
    <row r="306" spans="3:7" x14ac:dyDescent="0.25">
      <c r="C306" s="307" t="s">
        <v>1017</v>
      </c>
      <c r="D306" s="307" t="s">
        <v>10</v>
      </c>
      <c r="E306" s="307" t="s">
        <v>1388</v>
      </c>
      <c r="F306" s="307" t="s">
        <v>1388</v>
      </c>
      <c r="G306" s="307" t="str">
        <f t="shared" si="3"/>
        <v>Tulipier de VirginieF2BT31-RDVTECH44BT31-RDVTECH44</v>
      </c>
    </row>
    <row r="307" spans="3:7" x14ac:dyDescent="0.25">
      <c r="C307" s="307" t="s">
        <v>603</v>
      </c>
      <c r="D307" s="307" t="s">
        <v>10</v>
      </c>
      <c r="E307" s="307" t="s">
        <v>1388</v>
      </c>
      <c r="F307" s="307" t="s">
        <v>1388</v>
      </c>
      <c r="G307" s="307" t="str">
        <f t="shared" si="3"/>
        <v>Vernis vraiF2BT31-RDVTECH44BT31-RDVTECH44</v>
      </c>
    </row>
    <row r="308" spans="3:7" x14ac:dyDescent="0.25">
      <c r="C308"/>
      <c r="D308"/>
      <c r="E308"/>
      <c r="F308"/>
    </row>
    <row r="309" spans="3:7" x14ac:dyDescent="0.25">
      <c r="C309"/>
      <c r="D309"/>
      <c r="E309"/>
      <c r="F309"/>
    </row>
    <row r="310" spans="3:7" x14ac:dyDescent="0.25">
      <c r="C310"/>
      <c r="D310"/>
      <c r="E310"/>
      <c r="F310"/>
    </row>
    <row r="311" spans="3:7" x14ac:dyDescent="0.25">
      <c r="C311"/>
      <c r="D311"/>
      <c r="E311"/>
      <c r="F311"/>
    </row>
    <row r="312" spans="3:7" x14ac:dyDescent="0.25">
      <c r="C312" s="289" t="s">
        <v>1434</v>
      </c>
      <c r="D312"/>
      <c r="E312"/>
      <c r="F312"/>
    </row>
    <row r="313" spans="3:7" x14ac:dyDescent="0.25">
      <c r="C313" s="290" t="s">
        <v>1435</v>
      </c>
      <c r="D313"/>
      <c r="E313"/>
      <c r="F313"/>
    </row>
    <row r="314" spans="3:7" x14ac:dyDescent="0.25">
      <c r="C314" s="290" t="s">
        <v>1426</v>
      </c>
      <c r="D314"/>
      <c r="E314"/>
      <c r="F314"/>
    </row>
    <row r="315" spans="3:7" x14ac:dyDescent="0.25">
      <c r="C315" s="290" t="s">
        <v>1427</v>
      </c>
      <c r="D315"/>
      <c r="E315"/>
      <c r="F315"/>
    </row>
    <row r="316" spans="3:7" x14ac:dyDescent="0.25">
      <c r="C316" s="112"/>
      <c r="D316"/>
      <c r="E316"/>
      <c r="F316"/>
    </row>
    <row r="317" spans="3:7" x14ac:dyDescent="0.25">
      <c r="C317" s="289" t="s">
        <v>1436</v>
      </c>
      <c r="D317"/>
      <c r="E317"/>
      <c r="F317"/>
    </row>
    <row r="318" spans="3:7" x14ac:dyDescent="0.25">
      <c r="C318" s="290" t="s">
        <v>1437</v>
      </c>
      <c r="D318"/>
      <c r="E318"/>
      <c r="F318"/>
    </row>
    <row r="319" spans="3:7" x14ac:dyDescent="0.25">
      <c r="C319" s="290" t="s">
        <v>1438</v>
      </c>
      <c r="D319"/>
      <c r="E319"/>
      <c r="F319"/>
    </row>
    <row r="320" spans="3:7" x14ac:dyDescent="0.25">
      <c r="C320" s="290" t="s">
        <v>1439</v>
      </c>
      <c r="D320"/>
      <c r="E320"/>
      <c r="F320"/>
    </row>
    <row r="321" spans="3:6" ht="30" x14ac:dyDescent="0.25">
      <c r="C321" s="290" t="s">
        <v>1440</v>
      </c>
      <c r="D321"/>
      <c r="E321"/>
      <c r="F321"/>
    </row>
    <row r="322" spans="3:6" x14ac:dyDescent="0.25">
      <c r="C322" s="290" t="s">
        <v>1427</v>
      </c>
      <c r="D322"/>
      <c r="E322"/>
      <c r="F322"/>
    </row>
    <row r="323" spans="3:6" x14ac:dyDescent="0.25">
      <c r="C323" s="290" t="s">
        <v>1441</v>
      </c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spans="3:6" x14ac:dyDescent="0.25">
      <c r="C785"/>
      <c r="D785"/>
      <c r="E785"/>
      <c r="F785"/>
    </row>
    <row r="786" spans="3:6" x14ac:dyDescent="0.25">
      <c r="C786"/>
      <c r="D786"/>
      <c r="E786"/>
      <c r="F786"/>
    </row>
    <row r="787" spans="3:6" x14ac:dyDescent="0.25">
      <c r="C787"/>
      <c r="D787"/>
      <c r="E787"/>
      <c r="F787"/>
    </row>
    <row r="788" spans="3:6" x14ac:dyDescent="0.25">
      <c r="C788"/>
      <c r="D788"/>
      <c r="E788"/>
      <c r="F788"/>
    </row>
    <row r="789" spans="3:6" x14ac:dyDescent="0.25">
      <c r="C789"/>
      <c r="D789"/>
      <c r="E789"/>
      <c r="F789"/>
    </row>
    <row r="790" spans="3:6" x14ac:dyDescent="0.25">
      <c r="C790"/>
      <c r="D790"/>
      <c r="E790"/>
      <c r="F790"/>
    </row>
    <row r="791" spans="3:6" x14ac:dyDescent="0.25">
      <c r="C791"/>
      <c r="D791"/>
      <c r="E791"/>
      <c r="F791"/>
    </row>
    <row r="792" spans="3:6" x14ac:dyDescent="0.25">
      <c r="C792"/>
      <c r="D792"/>
      <c r="E792"/>
      <c r="F792"/>
    </row>
    <row r="793" spans="3:6" x14ac:dyDescent="0.25">
      <c r="C793"/>
      <c r="D793"/>
      <c r="E793"/>
      <c r="F793"/>
    </row>
    <row r="794" spans="3:6" x14ac:dyDescent="0.25">
      <c r="C794"/>
      <c r="D794"/>
      <c r="E794"/>
      <c r="F794"/>
    </row>
    <row r="795" spans="3:6" x14ac:dyDescent="0.25">
      <c r="C795"/>
      <c r="D795"/>
      <c r="E795"/>
      <c r="F795"/>
    </row>
    <row r="796" spans="3:6" x14ac:dyDescent="0.25">
      <c r="C796"/>
      <c r="D796"/>
      <c r="E796"/>
      <c r="F796"/>
    </row>
    <row r="797" spans="3:6" x14ac:dyDescent="0.25">
      <c r="C797"/>
      <c r="D797"/>
      <c r="E797"/>
      <c r="F797"/>
    </row>
    <row r="798" spans="3:6" x14ac:dyDescent="0.25">
      <c r="C798"/>
      <c r="D798"/>
      <c r="E798"/>
      <c r="F798"/>
    </row>
    <row r="799" spans="3:6" x14ac:dyDescent="0.25">
      <c r="C799"/>
      <c r="D799"/>
      <c r="E799"/>
      <c r="F799"/>
    </row>
    <row r="800" spans="3:6" x14ac:dyDescent="0.25">
      <c r="C800"/>
      <c r="D800"/>
      <c r="E800"/>
    </row>
    <row r="801" spans="3:5" x14ac:dyDescent="0.25">
      <c r="C801"/>
      <c r="D801"/>
      <c r="E801"/>
    </row>
    <row r="802" spans="3:5" x14ac:dyDescent="0.25">
      <c r="C802"/>
      <c r="D802"/>
      <c r="E802"/>
    </row>
    <row r="803" spans="3:5" x14ac:dyDescent="0.25">
      <c r="C803"/>
      <c r="D803"/>
      <c r="E803"/>
    </row>
    <row r="804" spans="3:5" x14ac:dyDescent="0.25">
      <c r="C804"/>
      <c r="D804"/>
      <c r="E804"/>
    </row>
    <row r="805" spans="3:5" x14ac:dyDescent="0.25">
      <c r="C805"/>
      <c r="D805"/>
      <c r="E805"/>
    </row>
    <row r="806" spans="3:5" x14ac:dyDescent="0.25">
      <c r="C806"/>
      <c r="D806"/>
      <c r="E806"/>
    </row>
    <row r="807" spans="3:5" x14ac:dyDescent="0.25">
      <c r="C807"/>
      <c r="D807"/>
      <c r="E807"/>
    </row>
    <row r="808" spans="3:5" x14ac:dyDescent="0.25">
      <c r="C808"/>
      <c r="D808"/>
      <c r="E808"/>
    </row>
    <row r="809" spans="3:5" x14ac:dyDescent="0.25">
      <c r="C809"/>
      <c r="D809"/>
      <c r="E809"/>
    </row>
    <row r="810" spans="3:5" x14ac:dyDescent="0.25">
      <c r="C810"/>
      <c r="D810"/>
      <c r="E810"/>
    </row>
    <row r="811" spans="3:5" x14ac:dyDescent="0.25">
      <c r="C811"/>
      <c r="D811"/>
      <c r="E811"/>
    </row>
    <row r="812" spans="3:5" x14ac:dyDescent="0.25">
      <c r="C812"/>
      <c r="D812"/>
      <c r="E812"/>
    </row>
    <row r="813" spans="3:5" x14ac:dyDescent="0.25">
      <c r="C813"/>
      <c r="D813"/>
      <c r="E813"/>
    </row>
  </sheetData>
  <autoFilter ref="A7:H7" xr:uid="{8095405B-F26F-46A9-B89A-E1FD17EF12B6}">
    <sortState xmlns:xlrd2="http://schemas.microsoft.com/office/spreadsheetml/2017/richdata2" ref="A8:H43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5050"/>
  </sheetPr>
  <dimension ref="A6:H10"/>
  <sheetViews>
    <sheetView workbookViewId="0">
      <selection activeCell="A10" sqref="A10"/>
    </sheetView>
  </sheetViews>
  <sheetFormatPr baseColWidth="10" defaultRowHeight="15" x14ac:dyDescent="0.25"/>
  <cols>
    <col min="1" max="1" width="30.42578125" bestFit="1" customWidth="1"/>
    <col min="2" max="2" width="33.140625" customWidth="1"/>
    <col min="3" max="3" width="9.140625" customWidth="1"/>
    <col min="4" max="5" width="13.42578125" customWidth="1"/>
    <col min="6" max="6" width="36.42578125" customWidth="1"/>
    <col min="7" max="7" width="40.140625" customWidth="1"/>
    <col min="8" max="8" width="32.5703125" customWidth="1"/>
  </cols>
  <sheetData>
    <row r="6" spans="1:8" x14ac:dyDescent="0.25">
      <c r="A6" s="112"/>
      <c r="B6" s="112"/>
      <c r="C6" s="112"/>
      <c r="D6" s="112"/>
      <c r="E6" s="112"/>
      <c r="G6" s="137"/>
    </row>
    <row r="7" spans="1:8" ht="30" x14ac:dyDescent="0.25">
      <c r="A7" s="130" t="s">
        <v>320</v>
      </c>
      <c r="B7" s="130"/>
      <c r="C7" s="130"/>
      <c r="D7" s="130"/>
      <c r="E7" s="130"/>
      <c r="G7" s="137" t="s">
        <v>421</v>
      </c>
    </row>
    <row r="8" spans="1:8" x14ac:dyDescent="0.25">
      <c r="A8" s="125"/>
      <c r="B8" s="125"/>
      <c r="C8" s="125"/>
      <c r="D8" s="125"/>
      <c r="E8" s="125"/>
    </row>
    <row r="9" spans="1:8" ht="45" x14ac:dyDescent="0.25">
      <c r="A9" s="126" t="s">
        <v>200</v>
      </c>
      <c r="B9" s="126" t="s">
        <v>1412</v>
      </c>
      <c r="C9" s="126" t="s">
        <v>201</v>
      </c>
      <c r="D9" s="126" t="s">
        <v>202</v>
      </c>
      <c r="E9" s="126" t="s">
        <v>1421</v>
      </c>
      <c r="F9" s="79" t="s">
        <v>321</v>
      </c>
      <c r="G9" s="79" t="s">
        <v>322</v>
      </c>
      <c r="H9" s="79" t="s">
        <v>412</v>
      </c>
    </row>
    <row r="10" spans="1:8" x14ac:dyDescent="0.25">
      <c r="A10" s="127" t="s">
        <v>1410</v>
      </c>
      <c r="B10" s="127" t="s">
        <v>1416</v>
      </c>
      <c r="C10" s="127" t="s">
        <v>9</v>
      </c>
      <c r="D10" s="127" t="s">
        <v>146</v>
      </c>
      <c r="E10" s="127"/>
      <c r="F10" s="100">
        <v>30</v>
      </c>
      <c r="G10" s="100" t="str">
        <f>+_xlfn.CONCAT(A10,F10,"_")</f>
        <v>Chene_pedoncule30_</v>
      </c>
      <c r="H10" s="119">
        <f>+MIN(F32:F33)</f>
        <v>0</v>
      </c>
    </row>
  </sheetData>
  <conditionalFormatting sqref="G9">
    <cfRule type="duplicateValues" dxfId="2" priority="2"/>
  </conditionalFormatting>
  <conditionalFormatting sqref="H9">
    <cfRule type="duplicateValues" dxfId="1" priority="1"/>
  </conditionalFormatting>
  <conditionalFormatting sqref="A9:F9">
    <cfRule type="duplicateValues" dxfId="0" priority="44"/>
  </conditionalFormatting>
  <dataValidations count="3">
    <dataValidation type="list" allowBlank="1" showInputMessage="1" showErrorMessage="1" sqref="B10" xr:uid="{00000000-0002-0000-0000-000000000000}">
      <formula1>INDIRECT($A$10)</formula1>
    </dataValidation>
    <dataValidation type="list" allowBlank="1" showInputMessage="1" showErrorMessage="1" sqref="C10" xr:uid="{00000000-0002-0000-0000-000001000000}">
      <formula1>INDIRECT(CONCATENATE($A$10,$B$10))</formula1>
    </dataValidation>
    <dataValidation type="list" allowBlank="1" showInputMessage="1" showErrorMessage="1" sqref="D10:E10" xr:uid="{00000000-0002-0000-0000-000002000000}">
      <formula1>INDIRECT(CONCATENATE($A$10,$B$10,$C$10))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'Liste test'!$A$3:$A$6</xm:f>
          </x14:formula1>
          <xm:sqref>A10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6"/>
  <sheetViews>
    <sheetView workbookViewId="0">
      <selection activeCell="G22" sqref="G22"/>
    </sheetView>
  </sheetViews>
  <sheetFormatPr baseColWidth="10" defaultRowHeight="15" x14ac:dyDescent="0.25"/>
  <cols>
    <col min="1" max="1" width="16.140625" bestFit="1" customWidth="1"/>
    <col min="3" max="3" width="32.140625" bestFit="1" customWidth="1"/>
    <col min="4" max="4" width="24.140625" bestFit="1" customWidth="1"/>
    <col min="6" max="6" width="36.42578125" bestFit="1" customWidth="1"/>
    <col min="7" max="7" width="24.140625" bestFit="1" customWidth="1"/>
    <col min="10" max="10" width="23.140625" customWidth="1"/>
    <col min="11" max="11" width="24.140625" bestFit="1" customWidth="1"/>
    <col min="13" max="13" width="25.140625" bestFit="1" customWidth="1"/>
  </cols>
  <sheetData>
    <row r="2" spans="1:13" x14ac:dyDescent="0.25">
      <c r="A2" t="s">
        <v>1413</v>
      </c>
      <c r="C2" t="s">
        <v>1414</v>
      </c>
      <c r="F2" t="s">
        <v>1419</v>
      </c>
      <c r="J2" t="s">
        <v>1420</v>
      </c>
    </row>
    <row r="3" spans="1:13" x14ac:dyDescent="0.25">
      <c r="A3" s="131" t="s">
        <v>1409</v>
      </c>
      <c r="C3" s="131" t="s">
        <v>1409</v>
      </c>
      <c r="D3" s="131" t="s">
        <v>1415</v>
      </c>
      <c r="F3" s="131" t="s">
        <v>1409</v>
      </c>
      <c r="G3" s="131" t="s">
        <v>1415</v>
      </c>
      <c r="H3" s="279" t="s">
        <v>9</v>
      </c>
      <c r="J3" s="131" t="s">
        <v>1409</v>
      </c>
      <c r="K3" s="131" t="s">
        <v>1415</v>
      </c>
      <c r="L3" s="279" t="s">
        <v>9</v>
      </c>
      <c r="M3" s="131" t="s">
        <v>309</v>
      </c>
    </row>
    <row r="4" spans="1:13" x14ac:dyDescent="0.25">
      <c r="A4" s="131" t="s">
        <v>1410</v>
      </c>
      <c r="C4" s="1" t="s">
        <v>1410</v>
      </c>
      <c r="D4" t="s">
        <v>1416</v>
      </c>
      <c r="F4" s="131" t="s">
        <v>1409</v>
      </c>
      <c r="G4" s="131" t="s">
        <v>1415</v>
      </c>
      <c r="H4" s="137" t="s">
        <v>10</v>
      </c>
      <c r="J4" s="131" t="s">
        <v>1409</v>
      </c>
      <c r="K4" s="131" t="s">
        <v>1415</v>
      </c>
      <c r="L4" s="137" t="s">
        <v>10</v>
      </c>
      <c r="M4" s="131" t="s">
        <v>310</v>
      </c>
    </row>
    <row r="5" spans="1:13" x14ac:dyDescent="0.25">
      <c r="A5" s="131" t="s">
        <v>1411</v>
      </c>
      <c r="C5" t="s">
        <v>1411</v>
      </c>
      <c r="D5" t="s">
        <v>1416</v>
      </c>
      <c r="F5" s="131" t="s">
        <v>1409</v>
      </c>
      <c r="G5" s="131" t="s">
        <v>1415</v>
      </c>
      <c r="H5" s="137" t="s">
        <v>144</v>
      </c>
      <c r="J5" s="131" t="s">
        <v>1409</v>
      </c>
      <c r="K5" s="131" t="s">
        <v>1415</v>
      </c>
      <c r="L5" s="137" t="s">
        <v>144</v>
      </c>
      <c r="M5" s="131" t="s">
        <v>311</v>
      </c>
    </row>
    <row r="6" spans="1:13" x14ac:dyDescent="0.25">
      <c r="A6" s="131" t="s">
        <v>131</v>
      </c>
      <c r="C6" t="s">
        <v>1411</v>
      </c>
      <c r="D6" t="s">
        <v>1417</v>
      </c>
      <c r="F6" s="1" t="s">
        <v>1410</v>
      </c>
      <c r="G6" t="s">
        <v>1416</v>
      </c>
      <c r="H6" s="137" t="s">
        <v>9</v>
      </c>
      <c r="J6" s="1" t="s">
        <v>1410</v>
      </c>
      <c r="K6" t="s">
        <v>1416</v>
      </c>
      <c r="L6" s="137" t="s">
        <v>9</v>
      </c>
      <c r="M6" s="131" t="s">
        <v>146</v>
      </c>
    </row>
    <row r="7" spans="1:13" x14ac:dyDescent="0.25">
      <c r="C7" t="s">
        <v>131</v>
      </c>
      <c r="D7" t="s">
        <v>1418</v>
      </c>
      <c r="F7" s="1" t="s">
        <v>1410</v>
      </c>
      <c r="G7" t="s">
        <v>1416</v>
      </c>
      <c r="H7" s="137" t="s">
        <v>10</v>
      </c>
      <c r="J7" s="1" t="s">
        <v>1410</v>
      </c>
      <c r="K7" t="s">
        <v>1416</v>
      </c>
      <c r="L7" s="137" t="s">
        <v>10</v>
      </c>
      <c r="M7" s="131" t="s">
        <v>146</v>
      </c>
    </row>
    <row r="8" spans="1:13" x14ac:dyDescent="0.25">
      <c r="F8" t="s">
        <v>1411</v>
      </c>
      <c r="G8" t="s">
        <v>1416</v>
      </c>
      <c r="H8" s="280" t="s">
        <v>9</v>
      </c>
      <c r="J8" t="s">
        <v>1411</v>
      </c>
      <c r="K8" t="s">
        <v>1416</v>
      </c>
      <c r="L8" s="280" t="s">
        <v>9</v>
      </c>
      <c r="M8" s="279" t="s">
        <v>18</v>
      </c>
    </row>
    <row r="9" spans="1:13" x14ac:dyDescent="0.25">
      <c r="F9" t="s">
        <v>1411</v>
      </c>
      <c r="G9" t="s">
        <v>1416</v>
      </c>
      <c r="H9" s="280" t="s">
        <v>10</v>
      </c>
      <c r="J9" t="s">
        <v>1411</v>
      </c>
      <c r="K9" t="s">
        <v>1416</v>
      </c>
      <c r="L9" s="280" t="s">
        <v>9</v>
      </c>
      <c r="M9" s="279" t="s">
        <v>146</v>
      </c>
    </row>
    <row r="10" spans="1:13" x14ac:dyDescent="0.25">
      <c r="F10" t="s">
        <v>1411</v>
      </c>
      <c r="G10" t="s">
        <v>1417</v>
      </c>
      <c r="H10" s="280" t="s">
        <v>9</v>
      </c>
      <c r="J10" t="s">
        <v>1411</v>
      </c>
      <c r="K10" t="s">
        <v>1416</v>
      </c>
      <c r="L10" s="280" t="s">
        <v>10</v>
      </c>
      <c r="M10" s="279" t="s">
        <v>146</v>
      </c>
    </row>
    <row r="11" spans="1:13" x14ac:dyDescent="0.25">
      <c r="F11" t="s">
        <v>1411</v>
      </c>
      <c r="G11" t="s">
        <v>1417</v>
      </c>
      <c r="H11" s="280" t="s">
        <v>10</v>
      </c>
      <c r="J11" t="s">
        <v>1411</v>
      </c>
      <c r="K11" t="s">
        <v>1417</v>
      </c>
      <c r="L11" s="280" t="s">
        <v>9</v>
      </c>
      <c r="M11" s="279" t="s">
        <v>18</v>
      </c>
    </row>
    <row r="12" spans="1:13" x14ac:dyDescent="0.25">
      <c r="F12" t="s">
        <v>1411</v>
      </c>
      <c r="G12" t="s">
        <v>1417</v>
      </c>
      <c r="H12" s="280" t="s">
        <v>144</v>
      </c>
      <c r="J12" t="s">
        <v>1411</v>
      </c>
      <c r="K12" t="s">
        <v>1417</v>
      </c>
      <c r="L12" s="280" t="s">
        <v>10</v>
      </c>
      <c r="M12" s="279" t="s">
        <v>18</v>
      </c>
    </row>
    <row r="13" spans="1:13" x14ac:dyDescent="0.25">
      <c r="F13" t="s">
        <v>131</v>
      </c>
      <c r="G13" t="s">
        <v>1418</v>
      </c>
      <c r="H13" s="280" t="s">
        <v>9</v>
      </c>
      <c r="J13" t="s">
        <v>1411</v>
      </c>
      <c r="K13" t="s">
        <v>1417</v>
      </c>
      <c r="L13" s="280" t="s">
        <v>144</v>
      </c>
      <c r="M13" s="279" t="s">
        <v>18</v>
      </c>
    </row>
    <row r="14" spans="1:13" x14ac:dyDescent="0.25">
      <c r="F14" t="s">
        <v>131</v>
      </c>
      <c r="G14" t="s">
        <v>1418</v>
      </c>
      <c r="H14" s="280" t="s">
        <v>10</v>
      </c>
      <c r="J14" s="137" t="s">
        <v>131</v>
      </c>
      <c r="K14" s="137" t="s">
        <v>1418</v>
      </c>
      <c r="L14" s="137" t="s">
        <v>9</v>
      </c>
      <c r="M14" s="120" t="s">
        <v>12</v>
      </c>
    </row>
    <row r="15" spans="1:13" x14ac:dyDescent="0.25">
      <c r="F15" t="s">
        <v>131</v>
      </c>
      <c r="G15" t="s">
        <v>1418</v>
      </c>
      <c r="H15" s="280" t="s">
        <v>144</v>
      </c>
      <c r="J15" s="137" t="s">
        <v>131</v>
      </c>
      <c r="K15" s="137" t="s">
        <v>1418</v>
      </c>
      <c r="L15" s="137" t="s">
        <v>10</v>
      </c>
      <c r="M15" s="120" t="s">
        <v>12</v>
      </c>
    </row>
    <row r="16" spans="1:13" x14ac:dyDescent="0.25">
      <c r="J16" s="137" t="s">
        <v>131</v>
      </c>
      <c r="K16" s="137" t="s">
        <v>1418</v>
      </c>
      <c r="L16" s="137" t="s">
        <v>144</v>
      </c>
      <c r="M16" s="120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topLeftCell="E1" zoomScale="85" zoomScaleNormal="85" workbookViewId="0">
      <selection activeCell="S8" sqref="S8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6" spans="1:20" x14ac:dyDescent="0.25">
      <c r="H6" s="351" t="s">
        <v>1515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350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+LBC!$B$146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 source1'!$A$8,'Coef Feuillus divers'!$G$2:$AA$228,10,FALSE)</f>
        <v>#N/A</v>
      </c>
      <c r="K8" s="268" t="e">
        <f>+VLOOKUP('Autre source1'!$A$8,'Coef Feuillus divers'!$G$2:$AA$228,11,FALSE)</f>
        <v>#N/A</v>
      </c>
      <c r="L8" s="268" t="e">
        <f>+VLOOKUP('Autre source1'!$A$8,'Coef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+LBC!$B$146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 source1'!$A$8,'Coef Feuillus divers'!$G$2:$AA$228,10,FALSE)</f>
        <v>#N/A</v>
      </c>
      <c r="K9" s="268" t="e">
        <f>+VLOOKUP('Autre source1'!$A$8,'Coef Feuillus divers'!$G$2:$AA$228,11,FALSE)</f>
        <v>#N/A</v>
      </c>
      <c r="L9" s="268" t="e">
        <f>+VLOOKUP('Autre source1'!$A$8,'Coef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+LBC!$B$146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 source1'!$A$8,'Coef Feuillus divers'!$G$2:$AA$228,10,FALSE)</f>
        <v>#N/A</v>
      </c>
      <c r="K10" s="268" t="e">
        <f>+VLOOKUP('Autre source1'!$A$8,'Coef Feuillus divers'!$G$2:$AA$228,11,FALSE)</f>
        <v>#N/A</v>
      </c>
      <c r="L10" s="268" t="e">
        <f>+VLOOKUP('Autre source1'!$A$8,'Coef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+LBC!$B$146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 source1'!$A$8,'Coef Feuillus divers'!$G$2:$AA$228,10,FALSE)</f>
        <v>#N/A</v>
      </c>
      <c r="K11" s="268" t="e">
        <f>+VLOOKUP('Autre source1'!$A$8,'Coef Feuillus divers'!$G$2:$AA$228,11,FALSE)</f>
        <v>#N/A</v>
      </c>
      <c r="L11" s="268" t="e">
        <f>+VLOOKUP('Autre source1'!$A$8,'Coef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+LBC!$B$146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 source1'!$A$8,'Coef Feuillus divers'!$G$2:$AA$228,10,FALSE)</f>
        <v>#N/A</v>
      </c>
      <c r="K12" s="268" t="e">
        <f>+VLOOKUP('Autre source1'!$A$8,'Coef Feuillus divers'!$G$2:$AA$228,11,FALSE)</f>
        <v>#N/A</v>
      </c>
      <c r="L12" s="268" t="e">
        <f>+VLOOKUP('Autre source1'!$A$8,'Coef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+LBC!$B$146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 source1'!$A$8,'Coef Feuillus divers'!$G$2:$AA$228,10,FALSE)</f>
        <v>#N/A</v>
      </c>
      <c r="K13" s="268" t="e">
        <f>+VLOOKUP('Autre source1'!$A$8,'Coef Feuillus divers'!$G$2:$AA$228,11,FALSE)</f>
        <v>#N/A</v>
      </c>
      <c r="L13" s="268" t="e">
        <f>+VLOOKUP('Autre source1'!$A$8,'Coef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+LBC!$B$146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 source1'!$A$8,'Coef Feuillus divers'!$G$2:$AA$228,10,FALSE)</f>
        <v>#N/A</v>
      </c>
      <c r="K14" s="268" t="e">
        <f>+VLOOKUP('Autre source1'!$A$8,'Coef Feuillus divers'!$G$2:$AA$228,11,FALSE)</f>
        <v>#N/A</v>
      </c>
      <c r="L14" s="268" t="e">
        <f>+VLOOKUP('Autre source1'!$A$8,'Coef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+LBC!$B$146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 source1'!$A$8,'Coef Feuillus divers'!$G$2:$AA$228,10,FALSE)</f>
        <v>#N/A</v>
      </c>
      <c r="K15" s="268" t="e">
        <f>+VLOOKUP('Autre source1'!$A$8,'Coef Feuillus divers'!$G$2:$AA$228,11,FALSE)</f>
        <v>#N/A</v>
      </c>
      <c r="L15" s="268" t="e">
        <f>+VLOOKUP('Autre source1'!$A$8,'Coef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+LBC!$B$146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 source1'!$A$8,'Coef Feuillus divers'!$G$2:$AA$228,10,FALSE)</f>
        <v>#N/A</v>
      </c>
      <c r="K16" s="268" t="e">
        <f>+VLOOKUP('Autre source1'!$A$8,'Coef Feuillus divers'!$G$2:$AA$228,11,FALSE)</f>
        <v>#N/A</v>
      </c>
      <c r="L16" s="268" t="e">
        <f>+VLOOKUP('Autre source1'!$A$8,'Coef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+LBC!$B$146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 source1'!$A$8,'Coef Feuillus divers'!$G$2:$AA$228,10,FALSE)</f>
        <v>#N/A</v>
      </c>
      <c r="K17" s="268" t="e">
        <f>+VLOOKUP('Autre source1'!$A$8,'Coef Feuillus divers'!$G$2:$AA$228,11,FALSE)</f>
        <v>#N/A</v>
      </c>
      <c r="L17" s="268" t="e">
        <f>+VLOOKUP('Autre source1'!$A$8,'Coef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+LBC!$B$146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 source1'!$A$8,'Coef Feuillus divers'!$G$2:$AA$228,10,FALSE)</f>
        <v>#N/A</v>
      </c>
      <c r="K18" s="268" t="e">
        <f>+VLOOKUP('Autre source1'!$A$8,'Coef Feuillus divers'!$G$2:$AA$228,11,FALSE)</f>
        <v>#N/A</v>
      </c>
      <c r="L18" s="268" t="e">
        <f>+VLOOKUP('Autre source1'!$A$8,'Coef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+LBC!$B$146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 source1'!$A$8,'Coef Feuillus divers'!$G$2:$AA$228,10,FALSE)</f>
        <v>#N/A</v>
      </c>
      <c r="K19" s="268" t="e">
        <f>+VLOOKUP('Autre source1'!$A$8,'Coef Feuillus divers'!$G$2:$AA$228,11,FALSE)</f>
        <v>#N/A</v>
      </c>
      <c r="L19" s="268" t="e">
        <f>+VLOOKUP('Autre source1'!$A$8,'Coef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+LBC!$B$146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 source1'!$A$8,'Coef Feuillus divers'!$G$2:$AA$228,10,FALSE)</f>
        <v>#N/A</v>
      </c>
      <c r="K20" s="268" t="e">
        <f>+VLOOKUP('Autre source1'!$A$8,'Coef Feuillus divers'!$G$2:$AA$228,11,FALSE)</f>
        <v>#N/A</v>
      </c>
      <c r="L20" s="268" t="e">
        <f>+VLOOKUP('Autre source1'!$A$8,'Coef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+LBC!$B$146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 source1'!$A$8,'Coef Feuillus divers'!$G$2:$AA$228,10,FALSE)</f>
        <v>#N/A</v>
      </c>
      <c r="K21" s="268" t="e">
        <f>+VLOOKUP('Autre source1'!$A$8,'Coef Feuillus divers'!$G$2:$AA$228,11,FALSE)</f>
        <v>#N/A</v>
      </c>
      <c r="L21" s="268" t="e">
        <f>+VLOOKUP('Autre source1'!$A$8,'Coef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+LBC!$B$146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 source1'!$A$8,'Coef Feuillus divers'!$G$2:$AA$228,10,FALSE)</f>
        <v>#N/A</v>
      </c>
      <c r="K22" s="268" t="e">
        <f>+VLOOKUP('Autre source1'!$A$8,'Coef Feuillus divers'!$G$2:$AA$228,11,FALSE)</f>
        <v>#N/A</v>
      </c>
      <c r="L22" s="268" t="e">
        <f>+VLOOKUP('Autre source1'!$A$8,'Coef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+LBC!$B$146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 source1'!$A$8,'Coef Feuillus divers'!$G$2:$AA$228,10,FALSE)</f>
        <v>#N/A</v>
      </c>
      <c r="K23" s="268" t="e">
        <f>+VLOOKUP('Autre source1'!$A$8,'Coef Feuillus divers'!$G$2:$AA$228,11,FALSE)</f>
        <v>#N/A</v>
      </c>
      <c r="L23" s="268" t="e">
        <f>+VLOOKUP('Autre source1'!$A$8,'Coef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+LBC!$B$146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 source1'!$A$8,'Coef Feuillus divers'!$G$2:$AA$228,10,FALSE)</f>
        <v>#N/A</v>
      </c>
      <c r="K24" s="268" t="e">
        <f>+VLOOKUP('Autre source1'!$A$8,'Coef Feuillus divers'!$G$2:$AA$228,11,FALSE)</f>
        <v>#N/A</v>
      </c>
      <c r="L24" s="268" t="e">
        <f>+VLOOKUP('Autre source1'!$A$8,'Coef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+LBC!$B$146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 source1'!$A$8,'Coef Feuillus divers'!$G$2:$AA$228,10,FALSE)</f>
        <v>#N/A</v>
      </c>
      <c r="K25" s="268" t="e">
        <f>+VLOOKUP('Autre source1'!$A$8,'Coef Feuillus divers'!$G$2:$AA$228,11,FALSE)</f>
        <v>#N/A</v>
      </c>
      <c r="L25" s="268" t="e">
        <f>+VLOOKUP('Autre source1'!$A$8,'Coef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B907-6ECC-4070-A751-E7A3C453305D}">
  <sheetPr>
    <tabColor rgb="FFFFC000"/>
  </sheetPr>
  <dimension ref="A3:AG25"/>
  <sheetViews>
    <sheetView showGridLines="0" topLeftCell="A13" zoomScale="85" zoomScaleNormal="85" workbookViewId="0">
      <selection activeCell="H8" sqref="H8:H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+LBC!$B$149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sources2'!$A$8,'Coef Feuillus divers'!$G$2:$AA$228,10,FALSE)</f>
        <v>#N/A</v>
      </c>
      <c r="K8" s="268" t="e">
        <f>+VLOOKUP('Autres sources2'!$A$8,'Coef Feuillus divers'!$G$2:$AA$228,11,FALSE)</f>
        <v>#N/A</v>
      </c>
      <c r="L8" s="268" t="e">
        <f>+VLOOKUP('Autres sources2'!$A$8,'Coef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+LBC!$B$149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sources2'!$A$8,'Coef Feuillus divers'!$G$2:$AA$228,10,FALSE)</f>
        <v>#N/A</v>
      </c>
      <c r="K9" s="268" t="e">
        <f>+VLOOKUP('Autres sources2'!$A$8,'Coef Feuillus divers'!$G$2:$AA$228,11,FALSE)</f>
        <v>#N/A</v>
      </c>
      <c r="L9" s="268" t="e">
        <f>+VLOOKUP('Autres sources2'!$A$8,'Coef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+LBC!$B$149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sources2'!$A$8,'Coef Feuillus divers'!$G$2:$AA$228,10,FALSE)</f>
        <v>#N/A</v>
      </c>
      <c r="K10" s="268" t="e">
        <f>+VLOOKUP('Autres sources2'!$A$8,'Coef Feuillus divers'!$G$2:$AA$228,11,FALSE)</f>
        <v>#N/A</v>
      </c>
      <c r="L10" s="268" t="e">
        <f>+VLOOKUP('Autres sources2'!$A$8,'Coef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+LBC!$B$149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sources2'!$A$8,'Coef Feuillus divers'!$G$2:$AA$228,10,FALSE)</f>
        <v>#N/A</v>
      </c>
      <c r="K11" s="268" t="e">
        <f>+VLOOKUP('Autres sources2'!$A$8,'Coef Feuillus divers'!$G$2:$AA$228,11,FALSE)</f>
        <v>#N/A</v>
      </c>
      <c r="L11" s="268" t="e">
        <f>+VLOOKUP('Autres sources2'!$A$8,'Coef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+LBC!$B$149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sources2'!$A$8,'Coef Feuillus divers'!$G$2:$AA$228,10,FALSE)</f>
        <v>#N/A</v>
      </c>
      <c r="K12" s="268" t="e">
        <f>+VLOOKUP('Autres sources2'!$A$8,'Coef Feuillus divers'!$G$2:$AA$228,11,FALSE)</f>
        <v>#N/A</v>
      </c>
      <c r="L12" s="268" t="e">
        <f>+VLOOKUP('Autres sources2'!$A$8,'Coef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+LBC!$B$149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sources2'!$A$8,'Coef Feuillus divers'!$G$2:$AA$228,10,FALSE)</f>
        <v>#N/A</v>
      </c>
      <c r="K13" s="268" t="e">
        <f>+VLOOKUP('Autres sources2'!$A$8,'Coef Feuillus divers'!$G$2:$AA$228,11,FALSE)</f>
        <v>#N/A</v>
      </c>
      <c r="L13" s="268" t="e">
        <f>+VLOOKUP('Autres sources2'!$A$8,'Coef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+LBC!$B$149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sources2'!$A$8,'Coef Feuillus divers'!$G$2:$AA$228,10,FALSE)</f>
        <v>#N/A</v>
      </c>
      <c r="K14" s="268" t="e">
        <f>+VLOOKUP('Autres sources2'!$A$8,'Coef Feuillus divers'!$G$2:$AA$228,11,FALSE)</f>
        <v>#N/A</v>
      </c>
      <c r="L14" s="268" t="e">
        <f>+VLOOKUP('Autres sources2'!$A$8,'Coef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+LBC!$B$149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sources2'!$A$8,'Coef Feuillus divers'!$G$2:$AA$228,10,FALSE)</f>
        <v>#N/A</v>
      </c>
      <c r="K15" s="268" t="e">
        <f>+VLOOKUP('Autres sources2'!$A$8,'Coef Feuillus divers'!$G$2:$AA$228,11,FALSE)</f>
        <v>#N/A</v>
      </c>
      <c r="L15" s="268" t="e">
        <f>+VLOOKUP('Autres sources2'!$A$8,'Coef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+LBC!$B$149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sources2'!$A$8,'Coef Feuillus divers'!$G$2:$AA$228,10,FALSE)</f>
        <v>#N/A</v>
      </c>
      <c r="K16" s="268" t="e">
        <f>+VLOOKUP('Autres sources2'!$A$8,'Coef Feuillus divers'!$G$2:$AA$228,11,FALSE)</f>
        <v>#N/A</v>
      </c>
      <c r="L16" s="268" t="e">
        <f>+VLOOKUP('Autres sources2'!$A$8,'Coef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+LBC!$B$149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sources2'!$A$8,'Coef Feuillus divers'!$G$2:$AA$228,10,FALSE)</f>
        <v>#N/A</v>
      </c>
      <c r="K17" s="268" t="e">
        <f>+VLOOKUP('Autres sources2'!$A$8,'Coef Feuillus divers'!$G$2:$AA$228,11,FALSE)</f>
        <v>#N/A</v>
      </c>
      <c r="L17" s="268" t="e">
        <f>+VLOOKUP('Autres sources2'!$A$8,'Coef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+LBC!$B$149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sources2'!$A$8,'Coef Feuillus divers'!$G$2:$AA$228,10,FALSE)</f>
        <v>#N/A</v>
      </c>
      <c r="K18" s="268" t="e">
        <f>+VLOOKUP('Autres sources2'!$A$8,'Coef Feuillus divers'!$G$2:$AA$228,11,FALSE)</f>
        <v>#N/A</v>
      </c>
      <c r="L18" s="268" t="e">
        <f>+VLOOKUP('Autres sources2'!$A$8,'Coef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+LBC!$B$149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sources2'!$A$8,'Coef Feuillus divers'!$G$2:$AA$228,10,FALSE)</f>
        <v>#N/A</v>
      </c>
      <c r="K19" s="268" t="e">
        <f>+VLOOKUP('Autres sources2'!$A$8,'Coef Feuillus divers'!$G$2:$AA$228,11,FALSE)</f>
        <v>#N/A</v>
      </c>
      <c r="L19" s="268" t="e">
        <f>+VLOOKUP('Autres sources2'!$A$8,'Coef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+LBC!$B$149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sources2'!$A$8,'Coef Feuillus divers'!$G$2:$AA$228,10,FALSE)</f>
        <v>#N/A</v>
      </c>
      <c r="K20" s="268" t="e">
        <f>+VLOOKUP('Autres sources2'!$A$8,'Coef Feuillus divers'!$G$2:$AA$228,11,FALSE)</f>
        <v>#N/A</v>
      </c>
      <c r="L20" s="268" t="e">
        <f>+VLOOKUP('Autres sources2'!$A$8,'Coef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+LBC!$B$149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sources2'!$A$8,'Coef Feuillus divers'!$G$2:$AA$228,10,FALSE)</f>
        <v>#N/A</v>
      </c>
      <c r="K21" s="268" t="e">
        <f>+VLOOKUP('Autres sources2'!$A$8,'Coef Feuillus divers'!$G$2:$AA$228,11,FALSE)</f>
        <v>#N/A</v>
      </c>
      <c r="L21" s="268" t="e">
        <f>+VLOOKUP('Autres sources2'!$A$8,'Coef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+LBC!$B$149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sources2'!$A$8,'Coef Feuillus divers'!$G$2:$AA$228,10,FALSE)</f>
        <v>#N/A</v>
      </c>
      <c r="K22" s="268" t="e">
        <f>+VLOOKUP('Autres sources2'!$A$8,'Coef Feuillus divers'!$G$2:$AA$228,11,FALSE)</f>
        <v>#N/A</v>
      </c>
      <c r="L22" s="268" t="e">
        <f>+VLOOKUP('Autres sources2'!$A$8,'Coef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+LBC!$B$149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sources2'!$A$8,'Coef Feuillus divers'!$G$2:$AA$228,10,FALSE)</f>
        <v>#N/A</v>
      </c>
      <c r="K23" s="268" t="e">
        <f>+VLOOKUP('Autres sources2'!$A$8,'Coef Feuillus divers'!$G$2:$AA$228,11,FALSE)</f>
        <v>#N/A</v>
      </c>
      <c r="L23" s="268" t="e">
        <f>+VLOOKUP('Autres sources2'!$A$8,'Coef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+LBC!$B$149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sources2'!$A$8,'Coef Feuillus divers'!$G$2:$AA$228,10,FALSE)</f>
        <v>#N/A</v>
      </c>
      <c r="K24" s="268" t="e">
        <f>+VLOOKUP('Autres sources2'!$A$8,'Coef Feuillus divers'!$G$2:$AA$228,11,FALSE)</f>
        <v>#N/A</v>
      </c>
      <c r="L24" s="268" t="e">
        <f>+VLOOKUP('Autres sources2'!$A$8,'Coef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+LBC!$B$149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sources2'!$A$8,'Coef Feuillus divers'!$G$2:$AA$228,10,FALSE)</f>
        <v>#N/A</v>
      </c>
      <c r="K25" s="268" t="e">
        <f>+VLOOKUP('Autres sources2'!$A$8,'Coef Feuillus divers'!$G$2:$AA$228,11,FALSE)</f>
        <v>#N/A</v>
      </c>
      <c r="L25" s="268" t="e">
        <f>+VLOOKUP('Autres sources2'!$A$8,'Coef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24</vt:i4>
      </vt:variant>
      <vt:variant>
        <vt:lpstr>Plages nommées</vt:lpstr>
      </vt:variant>
      <vt:variant>
        <vt:i4>23</vt:i4>
      </vt:variant>
    </vt:vector>
  </HeadingPairs>
  <TitlesOfParts>
    <vt:vector size="47" baseType="lpstr">
      <vt:lpstr>carto_sylv</vt:lpstr>
      <vt:lpstr>LBC</vt:lpstr>
      <vt:lpstr>BDD-Modèles</vt:lpstr>
      <vt:lpstr>BDD-Guides</vt:lpstr>
      <vt:lpstr>Liste</vt:lpstr>
      <vt:lpstr>Test</vt:lpstr>
      <vt:lpstr>Liste test</vt:lpstr>
      <vt:lpstr>Autre source1</vt:lpstr>
      <vt:lpstr>Autres sources2</vt:lpstr>
      <vt:lpstr>Autres sources3</vt:lpstr>
      <vt:lpstr>Autres sources4</vt:lpstr>
      <vt:lpstr>Autres sources5</vt:lpstr>
      <vt:lpstr>Autres sources6</vt:lpstr>
      <vt:lpstr>Autres sources7</vt:lpstr>
      <vt:lpstr>Autres sources8</vt:lpstr>
      <vt:lpstr>Autres sources9</vt:lpstr>
      <vt:lpstr>Autres sources10</vt:lpstr>
      <vt:lpstr>Autres sources11</vt:lpstr>
      <vt:lpstr>Autres sources12</vt:lpstr>
      <vt:lpstr>Sc de ref</vt:lpstr>
      <vt:lpstr>Coef Feuillus divers</vt:lpstr>
      <vt:lpstr>dico_mod</vt:lpstr>
      <vt:lpstr>dico_var</vt:lpstr>
      <vt:lpstr>infradensité</vt:lpstr>
      <vt:lpstr>Cedre_Atlas</vt:lpstr>
      <vt:lpstr>Cedre_AtlasGSM_Alpes_du_Sud</vt:lpstr>
      <vt:lpstr>Cedre_AtlasGSM_Alpes_du_SudF1</vt:lpstr>
      <vt:lpstr>Cedre_AtlasGSM_Alpes_du_SudF2</vt:lpstr>
      <vt:lpstr>Cedre_AtlasGSM_Alpes_du_SudF3</vt:lpstr>
      <vt:lpstr>Chene_pedoncule</vt:lpstr>
      <vt:lpstr>Chene_pedonculeguide_chenaie_continentale</vt:lpstr>
      <vt:lpstr>Chene_pedonculeguide_chenaie_continentaleF1</vt:lpstr>
      <vt:lpstr>Chene_pedonculeguide_chenaie_continentaleF2</vt:lpstr>
      <vt:lpstr>Chene_sessile</vt:lpstr>
      <vt:lpstr>Chene_sessileguide_chenaie_atlantique</vt:lpstr>
      <vt:lpstr>Chene_sessileguide_chenaie_atlantiqueF1</vt:lpstr>
      <vt:lpstr>Chene_sessileguide_chenaie_atlantiqueF2</vt:lpstr>
      <vt:lpstr>Chene_sessileguide_chenaie_atlantiqueF3</vt:lpstr>
      <vt:lpstr>Chene_sessileguide_chenaie_continentale</vt:lpstr>
      <vt:lpstr>Chene_sessileguide_chenaie_continentaleF1</vt:lpstr>
      <vt:lpstr>Chene_sessileguide_chenaie_continentaleF2</vt:lpstr>
      <vt:lpstr>Douglas</vt:lpstr>
      <vt:lpstr>Douglasguide_national</vt:lpstr>
      <vt:lpstr>Douglasguide_nationalF1</vt:lpstr>
      <vt:lpstr>Douglasguide_nationalF2</vt:lpstr>
      <vt:lpstr>Douglasguide_nationalF3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DUHAU Stephane</cp:lastModifiedBy>
  <cp:lastPrinted>2022-03-16T17:45:22Z</cp:lastPrinted>
  <dcterms:created xsi:type="dcterms:W3CDTF">2021-01-04T14:27:57Z</dcterms:created>
  <dcterms:modified xsi:type="dcterms:W3CDTF">2022-03-16T17:53:39Z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