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Dijon\La Saulnaire\"/>
    </mc:Choice>
  </mc:AlternateContent>
  <xr:revisionPtr revIDLastSave="0" documentId="13_ncr:1_{177915CF-466E-4C4C-8697-E70CD3DD05BF}" xr6:coauthVersionLast="47" xr6:coauthVersionMax="47" xr10:uidLastSave="{00000000-0000-0000-0000-000000000000}"/>
  <bookViews>
    <workbookView xWindow="-26655" yWindow="960" windowWidth="21600" windowHeight="1138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B174" i="1" l="1"/>
  <c r="B173" i="1"/>
  <c r="B172" i="1"/>
  <c r="B171" i="1"/>
  <c r="B170" i="1"/>
  <c r="B169" i="1"/>
  <c r="B168" i="1"/>
  <c r="B167" i="1"/>
  <c r="B146" i="1"/>
  <c r="D146" i="1" s="1"/>
  <c r="B120" i="1"/>
  <c r="D120" i="1" s="1"/>
  <c r="B94" i="1"/>
  <c r="D94" i="1" s="1"/>
  <c r="B72" i="1"/>
  <c r="D72" i="1" s="1"/>
  <c r="D71" i="1"/>
  <c r="D70" i="1"/>
  <c r="D69" i="1"/>
  <c r="D68" i="1"/>
  <c r="D67" i="1"/>
  <c r="D66" i="1"/>
  <c r="D65" i="1"/>
  <c r="D64" i="1"/>
  <c r="D63" i="1"/>
  <c r="D62" i="1"/>
  <c r="B43" i="1"/>
  <c r="D43" i="1" s="1"/>
  <c r="D42" i="1"/>
  <c r="D41" i="1"/>
  <c r="D40" i="1"/>
  <c r="D39" i="1"/>
  <c r="D38" i="1"/>
  <c r="D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R4" i="2"/>
  <c r="FQ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EW7" i="2" s="1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EX38" i="2"/>
  <c r="HG38" i="2"/>
  <c r="FS38" i="2"/>
  <c r="HI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A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EB113" i="2"/>
  <c r="HG113" i="2"/>
  <c r="EW113" i="2"/>
  <c r="HI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G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HH144" i="2" s="1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A144" i="2"/>
  <c r="FR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G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HG150" i="2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DI154" i="2"/>
  <c r="AC154" i="2"/>
  <c r="EW155" i="2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EB156" i="2" l="1"/>
  <c r="DH156" i="2"/>
  <c r="FS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D160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C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I163" i="2" l="1"/>
  <c r="DH164" i="2"/>
  <c r="EA164" i="2"/>
  <c r="EX164" i="2"/>
  <c r="EV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EB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A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EA178" i="2"/>
  <c r="HH178" i="2"/>
  <c r="HG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V179" i="2"/>
  <c r="DF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DI192" i="2" l="1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A194" i="2" l="1"/>
  <c r="HG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 l="1"/>
  <c r="EA201" i="2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51" i="2" l="1" a="1"/>
  <c r="BC151" i="2" s="1"/>
  <c r="BC192" i="2" a="1"/>
  <c r="BC192" i="2" s="1"/>
  <c r="BC47" i="2" a="1"/>
  <c r="BC47" i="2" s="1"/>
  <c r="BC7" i="2" a="1"/>
  <c r="BC7" i="2" s="1"/>
  <c r="BC55" i="2" a="1"/>
  <c r="BC55" i="2" s="1"/>
  <c r="BC68" i="2" a="1"/>
  <c r="BC68" i="2" s="1"/>
  <c r="BC185" i="2" a="1"/>
  <c r="BC18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I203" i="2" s="1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<sst xmlns="http://schemas.openxmlformats.org/spreadsheetml/2006/main" count="1175" uniqueCount="324">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</sst>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2.0575379614796372</c:v>
                </c:pt>
                <c:pt idx="2">
                  <c:v>2.9133398068911021</c:v>
                </c:pt>
                <c:pt idx="3">
                  <c:v>4.1266638689145365</c:v>
                </c:pt>
                <c:pt idx="4">
                  <c:v>5.8474843900153717</c:v>
                </c:pt>
                <c:pt idx="5">
                  <c:v>8.2889276698844174</c:v>
                </c:pt>
                <c:pt idx="6">
                  <c:v>11.753958229926276</c:v>
                </c:pt>
                <c:pt idx="7">
                  <c:v>16.673378126901387</c:v>
                </c:pt>
                <c:pt idx="8">
                  <c:v>23.659949504836316</c:v>
                </c:pt>
                <c:pt idx="9">
                  <c:v>33.585501037747001</c:v>
                </c:pt>
                <c:pt idx="10">
                  <c:v>47.690805729373977</c:v>
                </c:pt>
                <c:pt idx="11">
                  <c:v>75.558860801897666</c:v>
                </c:pt>
                <c:pt idx="12">
                  <c:v>103.15988932242193</c:v>
                </c:pt>
                <c:pt idx="13">
                  <c:v>130.57674992713748</c:v>
                </c:pt>
                <c:pt idx="14">
                  <c:v>157.85387700396475</c:v>
                </c:pt>
                <c:pt idx="15">
                  <c:v>185.0189099293344</c:v>
                </c:pt>
                <c:pt idx="16">
                  <c:v>212.09065246496911</c:v>
                </c:pt>
                <c:pt idx="17">
                  <c:v>239.08269579606318</c:v>
                </c:pt>
                <c:pt idx="18">
                  <c:v>266.00530378420564</c:v>
                </c:pt>
                <c:pt idx="19">
                  <c:v>292.86648987993851</c:v>
                </c:pt>
                <c:pt idx="20">
                  <c:v>319.67267638199866</c:v>
                </c:pt>
                <c:pt idx="21">
                  <c:v>205.69292373404804</c:v>
                </c:pt>
                <c:pt idx="22">
                  <c:v>241.97042473428789</c:v>
                </c:pt>
                <c:pt idx="23">
                  <c:v>278.12400868528636</c:v>
                </c:pt>
                <c:pt idx="24">
                  <c:v>314.17205102468091</c:v>
                </c:pt>
                <c:pt idx="25">
                  <c:v>350.12835739990146</c:v>
                </c:pt>
                <c:pt idx="26">
                  <c:v>386.00366373649166</c:v>
                </c:pt>
                <c:pt idx="27">
                  <c:v>421.80654704119564</c:v>
                </c:pt>
                <c:pt idx="28">
                  <c:v>457.54400989580841</c:v>
                </c:pt>
                <c:pt idx="29">
                  <c:v>493.22187244613178</c:v>
                </c:pt>
                <c:pt idx="30">
                  <c:v>528.84504491471182</c:v>
                </c:pt>
                <c:pt idx="31">
                  <c:v>380.76413736439571</c:v>
                </c:pt>
                <c:pt idx="32">
                  <c:v>415.50731229097477</c:v>
                </c:pt>
                <c:pt idx="33">
                  <c:v>450.18785522380881</c:v>
                </c:pt>
                <c:pt idx="34">
                  <c:v>484.8112620680497</c:v>
                </c:pt>
                <c:pt idx="35">
                  <c:v>519.38218040475874</c:v>
                </c:pt>
                <c:pt idx="36">
                  <c:v>553.90458932902277</c:v>
                </c:pt>
                <c:pt idx="37">
                  <c:v>588.38193210780025</c:v>
                </c:pt>
                <c:pt idx="38">
                  <c:v>622.81721612844763</c:v>
                </c:pt>
                <c:pt idx="39">
                  <c:v>657.21308960049214</c:v>
                </c:pt>
                <c:pt idx="40">
                  <c:v>691.57190137448958</c:v>
                </c:pt>
                <c:pt idx="41">
                  <c:v>539.01365151586447</c:v>
                </c:pt>
                <c:pt idx="42">
                  <c:v>568.07863482731716</c:v>
                </c:pt>
                <c:pt idx="43">
                  <c:v>597.11255058718575</c:v>
                </c:pt>
                <c:pt idx="44">
                  <c:v>626.11711964454901</c:v>
                </c:pt>
                <c:pt idx="45">
                  <c:v>655.09389063044625</c:v>
                </c:pt>
                <c:pt idx="46">
                  <c:v>684.04426419847312</c:v>
                </c:pt>
                <c:pt idx="47">
                  <c:v>712.96951295203337</c:v>
                </c:pt>
                <c:pt idx="48">
                  <c:v>741.87079797292688</c:v>
                </c:pt>
                <c:pt idx="49">
                  <c:v>770.74918264325231</c:v>
                </c:pt>
                <c:pt idx="50">
                  <c:v>799.60564429058593</c:v>
                </c:pt>
                <c:pt idx="51">
                  <c:v>661.68649249180817</c:v>
                </c:pt>
                <c:pt idx="52">
                  <c:v>685.92633203218918</c:v>
                </c:pt>
                <c:pt idx="53">
                  <c:v>710.14861029192286</c:v>
                </c:pt>
                <c:pt idx="54">
                  <c:v>734.35400976783649</c:v>
                </c:pt>
                <c:pt idx="55">
                  <c:v>758.54316435646831</c:v>
                </c:pt>
                <c:pt idx="56">
                  <c:v>782.71666428503977</c:v>
                </c:pt>
                <c:pt idx="57">
                  <c:v>806.87506040233473</c:v>
                </c:pt>
                <c:pt idx="58">
                  <c:v>831.01886792961568</c:v>
                </c:pt>
                <c:pt idx="59">
                  <c:v>855.14856975354303</c:v>
                </c:pt>
                <c:pt idx="60">
                  <c:v>879.26461932860639</c:v>
                </c:pt>
                <c:pt idx="61">
                  <c:v>780.95697426856452</c:v>
                </c:pt>
                <c:pt idx="62">
                  <c:v>801.0127318113814</c:v>
                </c:pt>
                <c:pt idx="63">
                  <c:v>821.05835347290338</c:v>
                </c:pt>
                <c:pt idx="64">
                  <c:v>841.09412125848519</c:v>
                </c:pt>
                <c:pt idx="65">
                  <c:v>861.12030265969315</c:v>
                </c:pt>
                <c:pt idx="66">
                  <c:v>881.13715172820503</c:v>
                </c:pt>
                <c:pt idx="67">
                  <c:v>901.14491004717593</c:v>
                </c:pt>
                <c:pt idx="68">
                  <c:v>921.14380761196799</c:v>
                </c:pt>
                <c:pt idx="69">
                  <c:v>941.13406363052036</c:v>
                </c:pt>
                <c:pt idx="70">
                  <c:v>961.11588725227614</c:v>
                </c:pt>
                <c:pt idx="71">
                  <c:v>877.04088347687787</c:v>
                </c:pt>
                <c:pt idx="72">
                  <c:v>893.54067793915567</c:v>
                </c:pt>
                <c:pt idx="73">
                  <c:v>910.03438961413349</c:v>
                </c:pt>
                <c:pt idx="74">
                  <c:v>926.5221441533381</c:v>
                </c:pt>
                <c:pt idx="75">
                  <c:v>943.0040623769188</c:v>
                </c:pt>
                <c:pt idx="76">
                  <c:v>959.4802605423265</c:v>
                </c:pt>
                <c:pt idx="77">
                  <c:v>975.95085059359735</c:v>
                </c:pt>
                <c:pt idx="78">
                  <c:v>992.41594039296217</c:v>
                </c:pt>
                <c:pt idx="79">
                  <c:v>1008.8756339363023</c:v>
                </c:pt>
                <c:pt idx="80">
                  <c:v>1025.3300315538318</c:v>
                </c:pt>
                <c:pt idx="81">
                  <c:v>1.4514589267555721E-11</c:v>
                </c:pt>
                <c:pt idx="82">
                  <c:v>1.4514589267555721E-11</c:v>
                </c:pt>
                <c:pt idx="83">
                  <c:v>1.4514589267555721E-11</c:v>
                </c:pt>
                <c:pt idx="84">
                  <c:v>1.4514589267555721E-11</c:v>
                </c:pt>
                <c:pt idx="85">
                  <c:v>1.4514589267555721E-11</c:v>
                </c:pt>
                <c:pt idx="86">
                  <c:v>1.4514589267555721E-11</c:v>
                </c:pt>
                <c:pt idx="87">
                  <c:v>1.4514589267555721E-11</c:v>
                </c:pt>
                <c:pt idx="88">
                  <c:v>1.4514589267555721E-11</c:v>
                </c:pt>
                <c:pt idx="89">
                  <c:v>1.4514589267555721E-11</c:v>
                </c:pt>
                <c:pt idx="90">
                  <c:v>1.4514589267555721E-11</c:v>
                </c:pt>
                <c:pt idx="91">
                  <c:v>1.4514589267555721E-11</c:v>
                </c:pt>
                <c:pt idx="92">
                  <c:v>1.4514589267555721E-11</c:v>
                </c:pt>
                <c:pt idx="93">
                  <c:v>1.4514589267555721E-11</c:v>
                </c:pt>
                <c:pt idx="94">
                  <c:v>1.4514589267555721E-11</c:v>
                </c:pt>
                <c:pt idx="95">
                  <c:v>1.4514589267555721E-11</c:v>
                </c:pt>
                <c:pt idx="96">
                  <c:v>1.4514589267555721E-11</c:v>
                </c:pt>
                <c:pt idx="97">
                  <c:v>1.4514589267555721E-11</c:v>
                </c:pt>
                <c:pt idx="98">
                  <c:v>1.4514589267555721E-11</c:v>
                </c:pt>
                <c:pt idx="99">
                  <c:v>1.4514589267555721E-11</c:v>
                </c:pt>
                <c:pt idx="100">
                  <c:v>1.4514589267555721E-11</c:v>
                </c:pt>
                <c:pt idx="101">
                  <c:v>1.4514589267555721E-11</c:v>
                </c:pt>
                <c:pt idx="102">
                  <c:v>1.4514589267555721E-11</c:v>
                </c:pt>
                <c:pt idx="103">
                  <c:v>1.4514589267555721E-11</c:v>
                </c:pt>
                <c:pt idx="104">
                  <c:v>1.4514589267555721E-11</c:v>
                </c:pt>
                <c:pt idx="105">
                  <c:v>1.4514589267555721E-11</c:v>
                </c:pt>
                <c:pt idx="106">
                  <c:v>1.4514589267555721E-11</c:v>
                </c:pt>
                <c:pt idx="107">
                  <c:v>1.4514589267555721E-11</c:v>
                </c:pt>
                <c:pt idx="108">
                  <c:v>1.4514589267555721E-11</c:v>
                </c:pt>
                <c:pt idx="109">
                  <c:v>1.4514589267555721E-11</c:v>
                </c:pt>
                <c:pt idx="110">
                  <c:v>1.4514589267555721E-11</c:v>
                </c:pt>
                <c:pt idx="111">
                  <c:v>1.4514589267555721E-11</c:v>
                </c:pt>
                <c:pt idx="112">
                  <c:v>1.4514589267555721E-11</c:v>
                </c:pt>
                <c:pt idx="113">
                  <c:v>1.4514589267555721E-11</c:v>
                </c:pt>
                <c:pt idx="114">
                  <c:v>1.4514589267555721E-11</c:v>
                </c:pt>
                <c:pt idx="115">
                  <c:v>1.4514589267555721E-11</c:v>
                </c:pt>
                <c:pt idx="116">
                  <c:v>1.4514589267555721E-11</c:v>
                </c:pt>
                <c:pt idx="117">
                  <c:v>1.4514589267555721E-11</c:v>
                </c:pt>
                <c:pt idx="118">
                  <c:v>1.4514589267555721E-11</c:v>
                </c:pt>
                <c:pt idx="119">
                  <c:v>1.4514589267555721E-11</c:v>
                </c:pt>
                <c:pt idx="120">
                  <c:v>1.4514589267555721E-11</c:v>
                </c:pt>
                <c:pt idx="121">
                  <c:v>1.4514589267555721E-11</c:v>
                </c:pt>
                <c:pt idx="122">
                  <c:v>1.4514589267555721E-11</c:v>
                </c:pt>
                <c:pt idx="123">
                  <c:v>1.4514589267555721E-11</c:v>
                </c:pt>
                <c:pt idx="124">
                  <c:v>1.4514589267555721E-11</c:v>
                </c:pt>
                <c:pt idx="125">
                  <c:v>1.4514589267555721E-11</c:v>
                </c:pt>
                <c:pt idx="126">
                  <c:v>1.4514589267555721E-11</c:v>
                </c:pt>
                <c:pt idx="127">
                  <c:v>1.4514589267555721E-11</c:v>
                </c:pt>
                <c:pt idx="128">
                  <c:v>1.4514589267555721E-11</c:v>
                </c:pt>
                <c:pt idx="129">
                  <c:v>1.4514589267555721E-11</c:v>
                </c:pt>
                <c:pt idx="130">
                  <c:v>1.4514589267555721E-11</c:v>
                </c:pt>
                <c:pt idx="131">
                  <c:v>1.4514589267555721E-11</c:v>
                </c:pt>
                <c:pt idx="132">
                  <c:v>1.4514589267555721E-11</c:v>
                </c:pt>
                <c:pt idx="133">
                  <c:v>1.4514589267555721E-11</c:v>
                </c:pt>
                <c:pt idx="134">
                  <c:v>1.4514589267555721E-11</c:v>
                </c:pt>
                <c:pt idx="135">
                  <c:v>1.4514589267555721E-11</c:v>
                </c:pt>
                <c:pt idx="136">
                  <c:v>1.4514589267555721E-11</c:v>
                </c:pt>
                <c:pt idx="137">
                  <c:v>1.4514589267555721E-11</c:v>
                </c:pt>
                <c:pt idx="138">
                  <c:v>1.4514589267555721E-11</c:v>
                </c:pt>
                <c:pt idx="139">
                  <c:v>1.4514589267555721E-11</c:v>
                </c:pt>
                <c:pt idx="140">
                  <c:v>1.4514589267555721E-11</c:v>
                </c:pt>
                <c:pt idx="141">
                  <c:v>1.4514589267555721E-11</c:v>
                </c:pt>
                <c:pt idx="142">
                  <c:v>1.4514589267555721E-11</c:v>
                </c:pt>
                <c:pt idx="143">
                  <c:v>1.4514589267555721E-11</c:v>
                </c:pt>
                <c:pt idx="144">
                  <c:v>1.4514589267555721E-11</c:v>
                </c:pt>
                <c:pt idx="145">
                  <c:v>1.4514589267555721E-11</c:v>
                </c:pt>
                <c:pt idx="146">
                  <c:v>1.4514589267555721E-11</c:v>
                </c:pt>
                <c:pt idx="147">
                  <c:v>1.4514589267555721E-11</c:v>
                </c:pt>
                <c:pt idx="148">
                  <c:v>1.4514589267555721E-11</c:v>
                </c:pt>
                <c:pt idx="149">
                  <c:v>1.4514589267555721E-11</c:v>
                </c:pt>
                <c:pt idx="150">
                  <c:v>1.4514589267555721E-11</c:v>
                </c:pt>
                <c:pt idx="151">
                  <c:v>1.4514589267555721E-11</c:v>
                </c:pt>
                <c:pt idx="152">
                  <c:v>1.4514589267555721E-11</c:v>
                </c:pt>
                <c:pt idx="153">
                  <c:v>1.4514589267555721E-11</c:v>
                </c:pt>
                <c:pt idx="154">
                  <c:v>1.4514589267555721E-11</c:v>
                </c:pt>
                <c:pt idx="155">
                  <c:v>1.4514589267555721E-11</c:v>
                </c:pt>
                <c:pt idx="156">
                  <c:v>1.4514589267555721E-11</c:v>
                </c:pt>
                <c:pt idx="157">
                  <c:v>1.4514589267555721E-11</c:v>
                </c:pt>
                <c:pt idx="158">
                  <c:v>1.4514589267555721E-11</c:v>
                </c:pt>
                <c:pt idx="159">
                  <c:v>1.4514589267555721E-11</c:v>
                </c:pt>
                <c:pt idx="160">
                  <c:v>1.4514589267555721E-11</c:v>
                </c:pt>
                <c:pt idx="161">
                  <c:v>1.4514589267555721E-11</c:v>
                </c:pt>
                <c:pt idx="162">
                  <c:v>1.4514589267555721E-11</c:v>
                </c:pt>
                <c:pt idx="163">
                  <c:v>1.4514589267555721E-11</c:v>
                </c:pt>
                <c:pt idx="164">
                  <c:v>1.4514589267555721E-11</c:v>
                </c:pt>
                <c:pt idx="165">
                  <c:v>1.4514589267555721E-11</c:v>
                </c:pt>
                <c:pt idx="166">
                  <c:v>1.4514589267555721E-11</c:v>
                </c:pt>
                <c:pt idx="167">
                  <c:v>1.4514589267555721E-11</c:v>
                </c:pt>
                <c:pt idx="168">
                  <c:v>1.4514589267555721E-11</c:v>
                </c:pt>
                <c:pt idx="169">
                  <c:v>1.4514589267555721E-11</c:v>
                </c:pt>
                <c:pt idx="170">
                  <c:v>1.4514589267555721E-11</c:v>
                </c:pt>
                <c:pt idx="171">
                  <c:v>1.4514589267555721E-11</c:v>
                </c:pt>
                <c:pt idx="172">
                  <c:v>1.4514589267555721E-11</c:v>
                </c:pt>
                <c:pt idx="173">
                  <c:v>1.4514589267555721E-11</c:v>
                </c:pt>
                <c:pt idx="174">
                  <c:v>1.4514589267555721E-11</c:v>
                </c:pt>
                <c:pt idx="175">
                  <c:v>1.4514589267555721E-11</c:v>
                </c:pt>
                <c:pt idx="176">
                  <c:v>1.4514589267555721E-11</c:v>
                </c:pt>
                <c:pt idx="177">
                  <c:v>1.4514589267555721E-11</c:v>
                </c:pt>
                <c:pt idx="178">
                  <c:v>1.4514589267555721E-11</c:v>
                </c:pt>
                <c:pt idx="179">
                  <c:v>1.4514589267555721E-11</c:v>
                </c:pt>
                <c:pt idx="180">
                  <c:v>1.4514589267555721E-11</c:v>
                </c:pt>
                <c:pt idx="181">
                  <c:v>1.4514589267555721E-11</c:v>
                </c:pt>
                <c:pt idx="182">
                  <c:v>1.4514589267555721E-11</c:v>
                </c:pt>
                <c:pt idx="183">
                  <c:v>1.4514589267555721E-11</c:v>
                </c:pt>
                <c:pt idx="184">
                  <c:v>1.4514589267555721E-11</c:v>
                </c:pt>
                <c:pt idx="185">
                  <c:v>1.4514589267555721E-11</c:v>
                </c:pt>
                <c:pt idx="186">
                  <c:v>1.4514589267555721E-11</c:v>
                </c:pt>
                <c:pt idx="187">
                  <c:v>1.4514589267555721E-11</c:v>
                </c:pt>
                <c:pt idx="188">
                  <c:v>1.4514589267555721E-11</c:v>
                </c:pt>
                <c:pt idx="189">
                  <c:v>1.4514589267555721E-11</c:v>
                </c:pt>
                <c:pt idx="190">
                  <c:v>1.4514589267555721E-11</c:v>
                </c:pt>
                <c:pt idx="191">
                  <c:v>1.4514589267555721E-11</c:v>
                </c:pt>
                <c:pt idx="192">
                  <c:v>1.4514589267555721E-11</c:v>
                </c:pt>
                <c:pt idx="193">
                  <c:v>1.4514589267555721E-11</c:v>
                </c:pt>
                <c:pt idx="194">
                  <c:v>1.4514589267555721E-11</c:v>
                </c:pt>
                <c:pt idx="195">
                  <c:v>1.4514589267555721E-11</c:v>
                </c:pt>
                <c:pt idx="196">
                  <c:v>1.4514589267555721E-11</c:v>
                </c:pt>
                <c:pt idx="197">
                  <c:v>1.4514589267555721E-11</c:v>
                </c:pt>
                <c:pt idx="198">
                  <c:v>1.4514589267555721E-11</c:v>
                </c:pt>
                <c:pt idx="199">
                  <c:v>1.4514589267555721E-11</c:v>
                </c:pt>
                <c:pt idx="200">
                  <c:v>1.4514589267555721E-11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2.8857801734533957</c:v>
                </c:pt>
                <c:pt idx="2">
                  <c:v>3.6047166540305375</c:v>
                </c:pt>
                <c:pt idx="3">
                  <c:v>4.5034527785323979</c:v>
                </c:pt>
                <c:pt idx="4">
                  <c:v>5.6271175445401775</c:v>
                </c:pt>
                <c:pt idx="5">
                  <c:v>7.0322053389879331</c:v>
                </c:pt>
                <c:pt idx="6">
                  <c:v>8.7894471555287339</c:v>
                </c:pt>
                <c:pt idx="7">
                  <c:v>10.987409244221809</c:v>
                </c:pt>
                <c:pt idx="8">
                  <c:v>13.737003974686814</c:v>
                </c:pt>
                <c:pt idx="9">
                  <c:v>17.177144743765361</c:v>
                </c:pt>
                <c:pt idx="10">
                  <c:v>21.481835814606853</c:v>
                </c:pt>
                <c:pt idx="11">
                  <c:v>26.869062105561046</c:v>
                </c:pt>
                <c:pt idx="12">
                  <c:v>33.611937010108598</c:v>
                </c:pt>
                <c:pt idx="13">
                  <c:v>42.052683166951695</c:v>
                </c:pt>
                <c:pt idx="14">
                  <c:v>52.620167797323553</c:v>
                </c:pt>
                <c:pt idx="15">
                  <c:v>65.851898429518272</c:v>
                </c:pt>
                <c:pt idx="16">
                  <c:v>82.421616144006791</c:v>
                </c:pt>
                <c:pt idx="17">
                  <c:v>103.17391396561358</c:v>
                </c:pt>
                <c:pt idx="18">
                  <c:v>129.16767286822821</c:v>
                </c:pt>
                <c:pt idx="19">
                  <c:v>161.73056610106445</c:v>
                </c:pt>
                <c:pt idx="20">
                  <c:v>202.52745814509981</c:v>
                </c:pt>
                <c:pt idx="21">
                  <c:v>151.92056403664665</c:v>
                </c:pt>
                <c:pt idx="22">
                  <c:v>168.04258893965877</c:v>
                </c:pt>
                <c:pt idx="23">
                  <c:v>184.12813820679631</c:v>
                </c:pt>
                <c:pt idx="24">
                  <c:v>200.18084844254145</c:v>
                </c:pt>
                <c:pt idx="25">
                  <c:v>216.20372460175975</c:v>
                </c:pt>
                <c:pt idx="26">
                  <c:v>232.19928942325339</c:v>
                </c:pt>
                <c:pt idx="27">
                  <c:v>248.16968942779488</c:v>
                </c:pt>
                <c:pt idx="28">
                  <c:v>264.1167721479751</c:v>
                </c:pt>
                <c:pt idx="29">
                  <c:v>280.04214369956082</c:v>
                </c:pt>
                <c:pt idx="30">
                  <c:v>295.94721255485501</c:v>
                </c:pt>
                <c:pt idx="31">
                  <c:v>208.39124575488827</c:v>
                </c:pt>
                <c:pt idx="32">
                  <c:v>229.86009453547467</c:v>
                </c:pt>
                <c:pt idx="33">
                  <c:v>251.28309296155342</c:v>
                </c:pt>
                <c:pt idx="34">
                  <c:v>272.6646989766358</c:v>
                </c:pt>
                <c:pt idx="35">
                  <c:v>294.00861390700948</c:v>
                </c:pt>
                <c:pt idx="36">
                  <c:v>315.31795766675845</c:v>
                </c:pt>
                <c:pt idx="37">
                  <c:v>336.59539404232538</c:v>
                </c:pt>
                <c:pt idx="38">
                  <c:v>357.84322260194625</c:v>
                </c:pt>
                <c:pt idx="39">
                  <c:v>379.06344761508916</c:v>
                </c:pt>
                <c:pt idx="40">
                  <c:v>400.25783072357081</c:v>
                </c:pt>
                <c:pt idx="41">
                  <c:v>313.76929290842912</c:v>
                </c:pt>
                <c:pt idx="42">
                  <c:v>335.43558947776097</c:v>
                </c:pt>
                <c:pt idx="43">
                  <c:v>357.07106927741569</c:v>
                </c:pt>
                <c:pt idx="44">
                  <c:v>378.6778610090978</c:v>
                </c:pt>
                <c:pt idx="45">
                  <c:v>400.25783072357075</c:v>
                </c:pt>
                <c:pt idx="46">
                  <c:v>421.81262693312578</c:v>
                </c:pt>
                <c:pt idx="47">
                  <c:v>443.3437160197393</c:v>
                </c:pt>
                <c:pt idx="48">
                  <c:v>464.85241040566939</c:v>
                </c:pt>
                <c:pt idx="49">
                  <c:v>486.33989123889143</c:v>
                </c:pt>
                <c:pt idx="50">
                  <c:v>507.80722686130594</c:v>
                </c:pt>
                <c:pt idx="51">
                  <c:v>419.11960237942048</c:v>
                </c:pt>
                <c:pt idx="52">
                  <c:v>437.96309211649071</c:v>
                </c:pt>
                <c:pt idx="53">
                  <c:v>456.78919677852781</c:v>
                </c:pt>
                <c:pt idx="54">
                  <c:v>475.59873329316815</c:v>
                </c:pt>
                <c:pt idx="55">
                  <c:v>494.3924487367961</c:v>
                </c:pt>
                <c:pt idx="56">
                  <c:v>513.17102878971104</c:v>
                </c:pt>
                <c:pt idx="57">
                  <c:v>531.93510488968684</c:v>
                </c:pt>
                <c:pt idx="58">
                  <c:v>550.68526032404009</c:v>
                </c:pt>
                <c:pt idx="59">
                  <c:v>569.42203544921153</c:v>
                </c:pt>
                <c:pt idx="60">
                  <c:v>588.14593218796983</c:v>
                </c:pt>
                <c:pt idx="61">
                  <c:v>497.26768589837212</c:v>
                </c:pt>
                <c:pt idx="62">
                  <c:v>513.55411203705933</c:v>
                </c:pt>
                <c:pt idx="63">
                  <c:v>529.82963703400833</c:v>
                </c:pt>
                <c:pt idx="64">
                  <c:v>546.09464274073571</c:v>
                </c:pt>
                <c:pt idx="65">
                  <c:v>562.34948641975654</c:v>
                </c:pt>
                <c:pt idx="66">
                  <c:v>578.59450300758772</c:v>
                </c:pt>
                <c:pt idx="67">
                  <c:v>594.83000711050624</c:v>
                </c:pt>
                <c:pt idx="68">
                  <c:v>611.05629477119896</c:v>
                </c:pt>
                <c:pt idx="69">
                  <c:v>627.27364503811202</c:v>
                </c:pt>
                <c:pt idx="70">
                  <c:v>643.48232136416652</c:v>
                </c:pt>
                <c:pt idx="71">
                  <c:v>550.68526032404009</c:v>
                </c:pt>
                <c:pt idx="72">
                  <c:v>564.83464686291791</c:v>
                </c:pt>
                <c:pt idx="73">
                  <c:v>578.97662295224802</c:v>
                </c:pt>
                <c:pt idx="74">
                  <c:v>593.11139502123308</c:v>
                </c:pt>
                <c:pt idx="75">
                  <c:v>607.23915886223847</c:v>
                </c:pt>
                <c:pt idx="76">
                  <c:v>621.36010041874761</c:v>
                </c:pt>
                <c:pt idx="77">
                  <c:v>635.47439649799799</c:v>
                </c:pt>
                <c:pt idx="78">
                  <c:v>649.58221541705041</c:v>
                </c:pt>
                <c:pt idx="79">
                  <c:v>663.6837175898421</c:v>
                </c:pt>
                <c:pt idx="80">
                  <c:v>677.7790560617857</c:v>
                </c:pt>
                <c:pt idx="81">
                  <c:v>583.56165301259591</c:v>
                </c:pt>
                <c:pt idx="82">
                  <c:v>596.16663396016543</c:v>
                </c:pt>
                <c:pt idx="83">
                  <c:v>608.76607282046416</c:v>
                </c:pt>
                <c:pt idx="84">
                  <c:v>621.36010041874761</c:v>
                </c:pt>
                <c:pt idx="85">
                  <c:v>633.94884184663999</c:v>
                </c:pt>
                <c:pt idx="86">
                  <c:v>646.53241682467001</c:v>
                </c:pt>
                <c:pt idx="87">
                  <c:v>659.11094003512596</c:v>
                </c:pt>
                <c:pt idx="88">
                  <c:v>671.68452142819649</c:v>
                </c:pt>
                <c:pt idx="89">
                  <c:v>684.253266504007</c:v>
                </c:pt>
                <c:pt idx="90">
                  <c:v>696.81727657286876</c:v>
                </c:pt>
                <c:pt idx="91">
                  <c:v>601.32161215624558</c:v>
                </c:pt>
                <c:pt idx="92">
                  <c:v>612.58301041135337</c:v>
                </c:pt>
                <c:pt idx="93">
                  <c:v>623.84011521480909</c:v>
                </c:pt>
                <c:pt idx="94">
                  <c:v>635.09301493951546</c:v>
                </c:pt>
                <c:pt idx="95">
                  <c:v>646.3417945722922</c:v>
                </c:pt>
                <c:pt idx="96">
                  <c:v>657.58653590152937</c:v>
                </c:pt>
                <c:pt idx="97">
                  <c:v>668.82731769134693</c:v>
                </c:pt>
                <c:pt idx="98">
                  <c:v>680.06421584344059</c:v>
                </c:pt>
                <c:pt idx="99">
                  <c:v>691.29730354767969</c:v>
                </c:pt>
                <c:pt idx="100">
                  <c:v>702.52665142241415</c:v>
                </c:pt>
                <c:pt idx="101">
                  <c:v>607.62089481714133</c:v>
                </c:pt>
                <c:pt idx="102">
                  <c:v>617.54429227660387</c:v>
                </c:pt>
                <c:pt idx="103">
                  <c:v>627.46438526884356</c:v>
                </c:pt>
                <c:pt idx="104">
                  <c:v>637.38123339273795</c:v>
                </c:pt>
                <c:pt idx="105">
                  <c:v>647.29489424172436</c:v>
                </c:pt>
                <c:pt idx="106">
                  <c:v>657.20542350161338</c:v>
                </c:pt>
                <c:pt idx="107">
                  <c:v>667.11287504220002</c:v>
                </c:pt>
                <c:pt idx="108">
                  <c:v>677.01730100314978</c:v>
                </c:pt>
                <c:pt idx="109">
                  <c:v>686.91875187459846</c:v>
                </c:pt>
                <c:pt idx="110">
                  <c:v>696.8172765728682</c:v>
                </c:pt>
                <c:pt idx="111">
                  <c:v>609.91120610652558</c:v>
                </c:pt>
                <c:pt idx="112">
                  <c:v>620.21540909579812</c:v>
                </c:pt>
                <c:pt idx="113">
                  <c:v>630.51606604803237</c:v>
                </c:pt>
                <c:pt idx="114">
                  <c:v>640.81324304839393</c:v>
                </c:pt>
                <c:pt idx="115">
                  <c:v>651.10700388552448</c:v>
                </c:pt>
                <c:pt idx="116">
                  <c:v>661.39741016716164</c:v>
                </c:pt>
                <c:pt idx="117">
                  <c:v>671.68452142819569</c:v>
                </c:pt>
                <c:pt idx="118">
                  <c:v>681.96839523176038</c:v>
                </c:pt>
                <c:pt idx="119">
                  <c:v>692.24908726391561</c:v>
                </c:pt>
                <c:pt idx="120">
                  <c:v>702.52665142241358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2.0615802021639595</c:v>
                </c:pt>
                <c:pt idx="2">
                  <c:v>2.6306720199279545</c:v>
                </c:pt>
                <c:pt idx="3">
                  <c:v>3.357488018453298</c:v>
                </c:pt>
                <c:pt idx="4">
                  <c:v>4.2859059270606634</c:v>
                </c:pt>
                <c:pt idx="5">
                  <c:v>5.4720527619498105</c:v>
                </c:pt>
                <c:pt idx="6">
                  <c:v>6.9877355562224617</c:v>
                </c:pt>
                <c:pt idx="7">
                  <c:v>8.9248358288257617</c:v>
                </c:pt>
                <c:pt idx="8">
                  <c:v>11.400939260761424</c:v>
                </c:pt>
                <c:pt idx="9">
                  <c:v>14.566548705207111</c:v>
                </c:pt>
                <c:pt idx="10">
                  <c:v>18.614327012382446</c:v>
                </c:pt>
                <c:pt idx="11">
                  <c:v>23.790942352926717</c:v>
                </c:pt>
                <c:pt idx="12">
                  <c:v>30.41225067621362</c:v>
                </c:pt>
                <c:pt idx="13">
                  <c:v>38.88275778896849</c:v>
                </c:pt>
                <c:pt idx="14">
                  <c:v>49.720570316163929</c:v>
                </c:pt>
                <c:pt idx="15">
                  <c:v>63.589387248149137</c:v>
                </c:pt>
                <c:pt idx="16">
                  <c:v>81.339523385051294</c:v>
                </c:pt>
                <c:pt idx="17">
                  <c:v>104.0605203802959</c:v>
                </c:pt>
                <c:pt idx="18">
                  <c:v>133.14862574111029</c:v>
                </c:pt>
                <c:pt idx="19">
                  <c:v>170.39335065109825</c:v>
                </c:pt>
                <c:pt idx="20">
                  <c:v>218.08851241049035</c:v>
                </c:pt>
                <c:pt idx="21">
                  <c:v>159.32874195250244</c:v>
                </c:pt>
                <c:pt idx="22">
                  <c:v>181.66813736078151</c:v>
                </c:pt>
                <c:pt idx="23">
                  <c:v>203.94321057745549</c:v>
                </c:pt>
                <c:pt idx="24">
                  <c:v>226.16197789995076</c:v>
                </c:pt>
                <c:pt idx="25">
                  <c:v>248.33074918569818</c:v>
                </c:pt>
                <c:pt idx="26">
                  <c:v>270.45461449361864</c:v>
                </c:pt>
                <c:pt idx="27">
                  <c:v>292.53776259751828</c:v>
                </c:pt>
                <c:pt idx="28">
                  <c:v>314.583698040076</c:v>
                </c:pt>
                <c:pt idx="29">
                  <c:v>336.59539404232538</c:v>
                </c:pt>
                <c:pt idx="30">
                  <c:v>358.57540326704753</c:v>
                </c:pt>
                <c:pt idx="31">
                  <c:v>266.56923588073727</c:v>
                </c:pt>
                <c:pt idx="32">
                  <c:v>286.78647711903716</c:v>
                </c:pt>
                <c:pt idx="33">
                  <c:v>306.97184146318881</c:v>
                </c:pt>
                <c:pt idx="34">
                  <c:v>327.1277190437109</c:v>
                </c:pt>
                <c:pt idx="35">
                  <c:v>347.25618143588719</c:v>
                </c:pt>
                <c:pt idx="36">
                  <c:v>367.3590405061089</c:v>
                </c:pt>
                <c:pt idx="37">
                  <c:v>387.43789369626415</c:v>
                </c:pt>
                <c:pt idx="38">
                  <c:v>407.49415942665138</c:v>
                </c:pt>
                <c:pt idx="39">
                  <c:v>427.5291051635549</c:v>
                </c:pt>
                <c:pt idx="40">
                  <c:v>447.54386995067108</c:v>
                </c:pt>
                <c:pt idx="41">
                  <c:v>355.11389600890448</c:v>
                </c:pt>
                <c:pt idx="42">
                  <c:v>371.6161159842477</c:v>
                </c:pt>
                <c:pt idx="43">
                  <c:v>388.10236266830719</c:v>
                </c:pt>
                <c:pt idx="44">
                  <c:v>404.57340992986133</c:v>
                </c:pt>
                <c:pt idx="45">
                  <c:v>421.02996350009448</c:v>
                </c:pt>
                <c:pt idx="46">
                  <c:v>437.47266945596533</c:v>
                </c:pt>
                <c:pt idx="47">
                  <c:v>453.90212136173136</c:v>
                </c:pt>
                <c:pt idx="48">
                  <c:v>470.31886632272807</c:v>
                </c:pt>
                <c:pt idx="49">
                  <c:v>486.72341015001916</c:v>
                </c:pt>
                <c:pt idx="50">
                  <c:v>503.11622179266834</c:v>
                </c:pt>
                <c:pt idx="51">
                  <c:v>426.33554561113533</c:v>
                </c:pt>
                <c:pt idx="52">
                  <c:v>439.59333149267508</c:v>
                </c:pt>
                <c:pt idx="53">
                  <c:v>452.84254581303099</c:v>
                </c:pt>
                <c:pt idx="54">
                  <c:v>466.08347466593301</c:v>
                </c:pt>
                <c:pt idx="55">
                  <c:v>479.31638656594276</c:v>
                </c:pt>
                <c:pt idx="56">
                  <c:v>492.54153399430987</c:v>
                </c:pt>
                <c:pt idx="57">
                  <c:v>505.75915477017423</c:v>
                </c:pt>
                <c:pt idx="58">
                  <c:v>518.96947327099519</c:v>
                </c:pt>
                <c:pt idx="59">
                  <c:v>532.17270152227172</c:v>
                </c:pt>
                <c:pt idx="60">
                  <c:v>545.36904017352083</c:v>
                </c:pt>
                <c:pt idx="61">
                  <c:v>483.02020001617831</c:v>
                </c:pt>
                <c:pt idx="62">
                  <c:v>493.33480119409711</c:v>
                </c:pt>
                <c:pt idx="63">
                  <c:v>503.64483183617267</c:v>
                </c:pt>
                <c:pt idx="64">
                  <c:v>513.9503987019458</c:v>
                </c:pt>
                <c:pt idx="65">
                  <c:v>524.2516039201148</c:v>
                </c:pt>
                <c:pt idx="66">
                  <c:v>534.54854527839552</c:v>
                </c:pt>
                <c:pt idx="67">
                  <c:v>544.84131648988216</c:v>
                </c:pt>
                <c:pt idx="68">
                  <c:v>555.13000743824</c:v>
                </c:pt>
                <c:pt idx="69">
                  <c:v>565.4147044037735</c:v>
                </c:pt>
                <c:pt idx="70">
                  <c:v>575.69549027219523</c:v>
                </c:pt>
                <c:pt idx="71">
                  <c:v>524.25160392011492</c:v>
                </c:pt>
                <c:pt idx="72">
                  <c:v>532.17270152227195</c:v>
                </c:pt>
                <c:pt idx="73">
                  <c:v>540.0913190698044</c:v>
                </c:pt>
                <c:pt idx="74">
                  <c:v>548.00749806060492</c:v>
                </c:pt>
                <c:pt idx="75">
                  <c:v>555.92127869561818</c:v>
                </c:pt>
                <c:pt idx="76">
                  <c:v>563.83269993765953</c:v>
                </c:pt>
                <c:pt idx="77">
                  <c:v>571.74179956676232</c:v>
                </c:pt>
                <c:pt idx="78">
                  <c:v>579.64861423230275</c:v>
                </c:pt>
                <c:pt idx="79">
                  <c:v>587.55317950213146</c:v>
                </c:pt>
                <c:pt idx="80">
                  <c:v>595.45552990892566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1.6170477687135845</c:v>
                </c:pt>
                <c:pt idx="2">
                  <c:v>2.0787639367154895</c:v>
                </c:pt>
                <c:pt idx="3">
                  <c:v>2.6728515620112283</c:v>
                </c:pt>
                <c:pt idx="4">
                  <c:v>3.437406441883438</c:v>
                </c:pt>
                <c:pt idx="5">
                  <c:v>4.4215274412213068</c:v>
                </c:pt>
                <c:pt idx="6">
                  <c:v>5.6885050327127749</c:v>
                </c:pt>
                <c:pt idx="7">
                  <c:v>7.3199366628626912</c:v>
                </c:pt>
                <c:pt idx="8">
                  <c:v>9.4210391035778134</c:v>
                </c:pt>
                <c:pt idx="9">
                  <c:v>12.127506898809335</c:v>
                </c:pt>
                <c:pt idx="10">
                  <c:v>15.614368090636267</c:v>
                </c:pt>
                <c:pt idx="11">
                  <c:v>20.107420396916325</c:v>
                </c:pt>
                <c:pt idx="12">
                  <c:v>25.898001696997479</c:v>
                </c:pt>
                <c:pt idx="13">
                  <c:v>33.362069430777979</c:v>
                </c:pt>
                <c:pt idx="14">
                  <c:v>42.98484904288366</c:v>
                </c:pt>
                <c:pt idx="15">
                  <c:v>55.392680952717761</c:v>
                </c:pt>
                <c:pt idx="16">
                  <c:v>71.39417335620432</c:v>
                </c:pt>
                <c:pt idx="17">
                  <c:v>92.033386382811628</c:v>
                </c:pt>
                <c:pt idx="18">
                  <c:v>118.65857306447469</c:v>
                </c:pt>
                <c:pt idx="19">
                  <c:v>153.0110377258012</c:v>
                </c:pt>
                <c:pt idx="20">
                  <c:v>197.34001206009097</c:v>
                </c:pt>
                <c:pt idx="21">
                  <c:v>184.95416062839448</c:v>
                </c:pt>
                <c:pt idx="22">
                  <c:v>217.28640168375577</c:v>
                </c:pt>
                <c:pt idx="23">
                  <c:v>249.50786753728917</c:v>
                </c:pt>
                <c:pt idx="24">
                  <c:v>281.63488083258886</c:v>
                </c:pt>
                <c:pt idx="25">
                  <c:v>313.67972773621716</c:v>
                </c:pt>
                <c:pt idx="26">
                  <c:v>345.65197625454124</c:v>
                </c:pt>
                <c:pt idx="27">
                  <c:v>377.55927905431093</c:v>
                </c:pt>
                <c:pt idx="28">
                  <c:v>409.40788985944613</c:v>
                </c:pt>
                <c:pt idx="29">
                  <c:v>441.20301042174765</c:v>
                </c:pt>
                <c:pt idx="30">
                  <c:v>472.94903211084278</c:v>
                </c:pt>
                <c:pt idx="31">
                  <c:v>346.26814356590194</c:v>
                </c:pt>
                <c:pt idx="32">
                  <c:v>377.25178103754297</c:v>
                </c:pt>
                <c:pt idx="33">
                  <c:v>408.18002729369368</c:v>
                </c:pt>
                <c:pt idx="34">
                  <c:v>439.05766418389027</c:v>
                </c:pt>
                <c:pt idx="35">
                  <c:v>469.88874656116565</c:v>
                </c:pt>
                <c:pt idx="36">
                  <c:v>500.67675423246686</c:v>
                </c:pt>
                <c:pt idx="37">
                  <c:v>531.42470457108436</c:v>
                </c:pt>
                <c:pt idx="38">
                  <c:v>562.13523770674237</c:v>
                </c:pt>
                <c:pt idx="39">
                  <c:v>592.81068213344474</c:v>
                </c:pt>
                <c:pt idx="40">
                  <c:v>623.45310603627365</c:v>
                </c:pt>
                <c:pt idx="41">
                  <c:v>494.76702073522966</c:v>
                </c:pt>
                <c:pt idx="42">
                  <c:v>522.67258502991763</c:v>
                </c:pt>
                <c:pt idx="43">
                  <c:v>550.54676208766227</c:v>
                </c:pt>
                <c:pt idx="44">
                  <c:v>578.39136238785147</c:v>
                </c:pt>
                <c:pt idx="45">
                  <c:v>606.20800808921422</c:v>
                </c:pt>
                <c:pt idx="46">
                  <c:v>633.99816053221537</c:v>
                </c:pt>
                <c:pt idx="47">
                  <c:v>661.76314267207567</c:v>
                </c:pt>
                <c:pt idx="48">
                  <c:v>689.50415755436609</c:v>
                </c:pt>
                <c:pt idx="49">
                  <c:v>717.22230366547376</c:v>
                </c:pt>
                <c:pt idx="50">
                  <c:v>744.91858778918106</c:v>
                </c:pt>
                <c:pt idx="51">
                  <c:v>613.91882183995131</c:v>
                </c:pt>
                <c:pt idx="52">
                  <c:v>638.86388198088434</c:v>
                </c:pt>
                <c:pt idx="53">
                  <c:v>663.78883127058646</c:v>
                </c:pt>
                <c:pt idx="54">
                  <c:v>688.69453012843235</c:v>
                </c:pt>
                <c:pt idx="55">
                  <c:v>713.58177174919865</c:v>
                </c:pt>
                <c:pt idx="56">
                  <c:v>738.45128956315682</c:v>
                </c:pt>
                <c:pt idx="57">
                  <c:v>763.30376364005758</c:v>
                </c:pt>
                <c:pt idx="58">
                  <c:v>788.13982621668822</c:v>
                </c:pt>
                <c:pt idx="59">
                  <c:v>812.96006649231504</c:v>
                </c:pt>
                <c:pt idx="60">
                  <c:v>837.76503480879137</c:v>
                </c:pt>
                <c:pt idx="61">
                  <c:v>719.64911520900421</c:v>
                </c:pt>
                <c:pt idx="62">
                  <c:v>741.88718461992028</c:v>
                </c:pt>
                <c:pt idx="63">
                  <c:v>764.11169534741384</c:v>
                </c:pt>
                <c:pt idx="64">
                  <c:v>786.32309676432089</c:v>
                </c:pt>
                <c:pt idx="65">
                  <c:v>808.52181081981951</c:v>
                </c:pt>
                <c:pt idx="66">
                  <c:v>830.70823443499012</c:v>
                </c:pt>
                <c:pt idx="67">
                  <c:v>852.88274162947266</c:v>
                </c:pt>
                <c:pt idx="68">
                  <c:v>875.0456854157427</c:v>
                </c:pt>
                <c:pt idx="69">
                  <c:v>897.19739949175846</c:v>
                </c:pt>
                <c:pt idx="70">
                  <c:v>919.33819975798235</c:v>
                </c:pt>
                <c:pt idx="71">
                  <c:v>816.08672585610759</c:v>
                </c:pt>
                <c:pt idx="72">
                  <c:v>835.74892853811264</c:v>
                </c:pt>
                <c:pt idx="73">
                  <c:v>855.40183391745848</c:v>
                </c:pt>
                <c:pt idx="74">
                  <c:v>875.0456854157427</c:v>
                </c:pt>
                <c:pt idx="75">
                  <c:v>894.68071464843649</c:v>
                </c:pt>
                <c:pt idx="76">
                  <c:v>914.30714224922247</c:v>
                </c:pt>
                <c:pt idx="77">
                  <c:v>933.9251786199651</c:v>
                </c:pt>
                <c:pt idx="78">
                  <c:v>953.53502461447681</c:v>
                </c:pt>
                <c:pt idx="79">
                  <c:v>973.13687216318976</c:v>
                </c:pt>
                <c:pt idx="80">
                  <c:v>992.73090484495003</c:v>
                </c:pt>
                <c:pt idx="81">
                  <c:v>1.6301611558033651E-12</c:v>
                </c:pt>
                <c:pt idx="82">
                  <c:v>1.6301611558033651E-12</c:v>
                </c:pt>
                <c:pt idx="83">
                  <c:v>1.6301611558033651E-12</c:v>
                </c:pt>
                <c:pt idx="84">
                  <c:v>1.6301611558033651E-12</c:v>
                </c:pt>
                <c:pt idx="85">
                  <c:v>1.6301611558033651E-12</c:v>
                </c:pt>
                <c:pt idx="86">
                  <c:v>1.6301611558033651E-12</c:v>
                </c:pt>
                <c:pt idx="87">
                  <c:v>1.6301611558033651E-12</c:v>
                </c:pt>
                <c:pt idx="88">
                  <c:v>1.6301611558033651E-12</c:v>
                </c:pt>
                <c:pt idx="89">
                  <c:v>1.6301611558033651E-12</c:v>
                </c:pt>
                <c:pt idx="90">
                  <c:v>1.6301611558033651E-12</c:v>
                </c:pt>
                <c:pt idx="91">
                  <c:v>1.6301611558033651E-12</c:v>
                </c:pt>
                <c:pt idx="92">
                  <c:v>1.6301611558033651E-12</c:v>
                </c:pt>
                <c:pt idx="93">
                  <c:v>1.6301611558033651E-12</c:v>
                </c:pt>
                <c:pt idx="94">
                  <c:v>1.6301611558033651E-12</c:v>
                </c:pt>
                <c:pt idx="95">
                  <c:v>1.6301611558033651E-12</c:v>
                </c:pt>
                <c:pt idx="96">
                  <c:v>1.6301611558033651E-12</c:v>
                </c:pt>
                <c:pt idx="97">
                  <c:v>1.6301611558033651E-12</c:v>
                </c:pt>
                <c:pt idx="98">
                  <c:v>1.6301611558033651E-12</c:v>
                </c:pt>
                <c:pt idx="99">
                  <c:v>1.6301611558033651E-12</c:v>
                </c:pt>
                <c:pt idx="100">
                  <c:v>1.6301611558033651E-12</c:v>
                </c:pt>
                <c:pt idx="101">
                  <c:v>1.6301611558033651E-12</c:v>
                </c:pt>
                <c:pt idx="102">
                  <c:v>1.6301611558033651E-12</c:v>
                </c:pt>
                <c:pt idx="103">
                  <c:v>1.6301611558033651E-12</c:v>
                </c:pt>
                <c:pt idx="104">
                  <c:v>1.6301611558033651E-12</c:v>
                </c:pt>
                <c:pt idx="105">
                  <c:v>1.6301611558033651E-12</c:v>
                </c:pt>
                <c:pt idx="106">
                  <c:v>1.6301611558033651E-12</c:v>
                </c:pt>
                <c:pt idx="107">
                  <c:v>1.6301611558033651E-12</c:v>
                </c:pt>
                <c:pt idx="108">
                  <c:v>1.6301611558033651E-12</c:v>
                </c:pt>
                <c:pt idx="109">
                  <c:v>1.6301611558033651E-12</c:v>
                </c:pt>
                <c:pt idx="110">
                  <c:v>1.6301611558033651E-12</c:v>
                </c:pt>
                <c:pt idx="111">
                  <c:v>1.6301611558033651E-12</c:v>
                </c:pt>
                <c:pt idx="112">
                  <c:v>1.6301611558033651E-12</c:v>
                </c:pt>
                <c:pt idx="113">
                  <c:v>1.6301611558033651E-12</c:v>
                </c:pt>
                <c:pt idx="114">
                  <c:v>1.6301611558033651E-12</c:v>
                </c:pt>
                <c:pt idx="115">
                  <c:v>1.6301611558033651E-12</c:v>
                </c:pt>
                <c:pt idx="116">
                  <c:v>1.6301611558033651E-12</c:v>
                </c:pt>
                <c:pt idx="117">
                  <c:v>1.6301611558033651E-12</c:v>
                </c:pt>
                <c:pt idx="118">
                  <c:v>1.6301611558033651E-12</c:v>
                </c:pt>
                <c:pt idx="119">
                  <c:v>1.6301611558033651E-12</c:v>
                </c:pt>
                <c:pt idx="120">
                  <c:v>1.6301611558033651E-12</c:v>
                </c:pt>
                <c:pt idx="121">
                  <c:v>1.6301611558033651E-12</c:v>
                </c:pt>
                <c:pt idx="122">
                  <c:v>1.6301611558033651E-12</c:v>
                </c:pt>
                <c:pt idx="123">
                  <c:v>1.6301611558033651E-12</c:v>
                </c:pt>
                <c:pt idx="124">
                  <c:v>1.6301611558033651E-12</c:v>
                </c:pt>
                <c:pt idx="125">
                  <c:v>1.6301611558033651E-12</c:v>
                </c:pt>
                <c:pt idx="126">
                  <c:v>1.6301611558033651E-12</c:v>
                </c:pt>
                <c:pt idx="127">
                  <c:v>1.6301611558033651E-12</c:v>
                </c:pt>
                <c:pt idx="128">
                  <c:v>1.6301611558033651E-12</c:v>
                </c:pt>
                <c:pt idx="129">
                  <c:v>1.6301611558033651E-12</c:v>
                </c:pt>
                <c:pt idx="130">
                  <c:v>1.6301611558033651E-12</c:v>
                </c:pt>
                <c:pt idx="131">
                  <c:v>1.6301611558033651E-12</c:v>
                </c:pt>
                <c:pt idx="132">
                  <c:v>1.6301611558033651E-12</c:v>
                </c:pt>
                <c:pt idx="133">
                  <c:v>1.6301611558033651E-12</c:v>
                </c:pt>
                <c:pt idx="134">
                  <c:v>1.6301611558033651E-12</c:v>
                </c:pt>
                <c:pt idx="135">
                  <c:v>1.6301611558033651E-12</c:v>
                </c:pt>
                <c:pt idx="136">
                  <c:v>1.6301611558033651E-12</c:v>
                </c:pt>
                <c:pt idx="137">
                  <c:v>1.6301611558033651E-12</c:v>
                </c:pt>
                <c:pt idx="138">
                  <c:v>1.6301611558033651E-12</c:v>
                </c:pt>
                <c:pt idx="139">
                  <c:v>1.6301611558033651E-12</c:v>
                </c:pt>
                <c:pt idx="140">
                  <c:v>1.6301611558033651E-12</c:v>
                </c:pt>
                <c:pt idx="141">
                  <c:v>1.6301611558033651E-12</c:v>
                </c:pt>
                <c:pt idx="142">
                  <c:v>1.6301611558033651E-12</c:v>
                </c:pt>
                <c:pt idx="143">
                  <c:v>1.6301611558033651E-12</c:v>
                </c:pt>
                <c:pt idx="144">
                  <c:v>1.6301611558033651E-12</c:v>
                </c:pt>
                <c:pt idx="145">
                  <c:v>1.6301611558033651E-12</c:v>
                </c:pt>
                <c:pt idx="146">
                  <c:v>1.6301611558033651E-12</c:v>
                </c:pt>
                <c:pt idx="147">
                  <c:v>1.6301611558033651E-12</c:v>
                </c:pt>
                <c:pt idx="148">
                  <c:v>1.6301611558033651E-12</c:v>
                </c:pt>
                <c:pt idx="149">
                  <c:v>1.6301611558033651E-12</c:v>
                </c:pt>
                <c:pt idx="150">
                  <c:v>1.6301611558033651E-12</c:v>
                </c:pt>
                <c:pt idx="151">
                  <c:v>1.6301611558033651E-12</c:v>
                </c:pt>
                <c:pt idx="152">
                  <c:v>1.6301611558033651E-12</c:v>
                </c:pt>
                <c:pt idx="153">
                  <c:v>1.6301611558033651E-12</c:v>
                </c:pt>
                <c:pt idx="154">
                  <c:v>1.6301611558033651E-12</c:v>
                </c:pt>
                <c:pt idx="155">
                  <c:v>1.6301611558033651E-12</c:v>
                </c:pt>
                <c:pt idx="156">
                  <c:v>1.6301611558033651E-12</c:v>
                </c:pt>
                <c:pt idx="157">
                  <c:v>1.6301611558033651E-12</c:v>
                </c:pt>
                <c:pt idx="158">
                  <c:v>1.6301611558033651E-12</c:v>
                </c:pt>
                <c:pt idx="159">
                  <c:v>1.6301611558033651E-12</c:v>
                </c:pt>
                <c:pt idx="160">
                  <c:v>1.6301611558033651E-12</c:v>
                </c:pt>
                <c:pt idx="161">
                  <c:v>1.6301611558033651E-12</c:v>
                </c:pt>
                <c:pt idx="162">
                  <c:v>1.6301611558033651E-12</c:v>
                </c:pt>
                <c:pt idx="163">
                  <c:v>1.6301611558033651E-12</c:v>
                </c:pt>
                <c:pt idx="164">
                  <c:v>1.6301611558033651E-12</c:v>
                </c:pt>
                <c:pt idx="165">
                  <c:v>1.6301611558033651E-12</c:v>
                </c:pt>
                <c:pt idx="166">
                  <c:v>1.6301611558033651E-12</c:v>
                </c:pt>
                <c:pt idx="167">
                  <c:v>1.6301611558033651E-12</c:v>
                </c:pt>
                <c:pt idx="168">
                  <c:v>1.6301611558033651E-12</c:v>
                </c:pt>
                <c:pt idx="169">
                  <c:v>1.6301611558033651E-12</c:v>
                </c:pt>
                <c:pt idx="170">
                  <c:v>1.6301611558033651E-12</c:v>
                </c:pt>
                <c:pt idx="171">
                  <c:v>1.6301611558033651E-12</c:v>
                </c:pt>
                <c:pt idx="172">
                  <c:v>1.6301611558033651E-12</c:v>
                </c:pt>
                <c:pt idx="173">
                  <c:v>1.6301611558033651E-12</c:v>
                </c:pt>
                <c:pt idx="174">
                  <c:v>1.6301611558033651E-12</c:v>
                </c:pt>
                <c:pt idx="175">
                  <c:v>1.6301611558033651E-12</c:v>
                </c:pt>
                <c:pt idx="176">
                  <c:v>1.6301611558033651E-12</c:v>
                </c:pt>
                <c:pt idx="177">
                  <c:v>1.6301611558033651E-12</c:v>
                </c:pt>
                <c:pt idx="178">
                  <c:v>1.6301611558033651E-12</c:v>
                </c:pt>
                <c:pt idx="179">
                  <c:v>1.6301611558033651E-12</c:v>
                </c:pt>
                <c:pt idx="180">
                  <c:v>1.6301611558033651E-12</c:v>
                </c:pt>
                <c:pt idx="181">
                  <c:v>1.6301611558033651E-12</c:v>
                </c:pt>
                <c:pt idx="182">
                  <c:v>1.6301611558033651E-12</c:v>
                </c:pt>
                <c:pt idx="183">
                  <c:v>1.6301611558033651E-12</c:v>
                </c:pt>
                <c:pt idx="184">
                  <c:v>1.6301611558033651E-12</c:v>
                </c:pt>
                <c:pt idx="185">
                  <c:v>1.6301611558033651E-12</c:v>
                </c:pt>
                <c:pt idx="186">
                  <c:v>1.6301611558033651E-12</c:v>
                </c:pt>
                <c:pt idx="187">
                  <c:v>1.6301611558033651E-12</c:v>
                </c:pt>
                <c:pt idx="188">
                  <c:v>1.6301611558033651E-12</c:v>
                </c:pt>
                <c:pt idx="189">
                  <c:v>1.6301611558033651E-12</c:v>
                </c:pt>
                <c:pt idx="190">
                  <c:v>1.6301611558033651E-12</c:v>
                </c:pt>
                <c:pt idx="191">
                  <c:v>1.6301611558033651E-12</c:v>
                </c:pt>
                <c:pt idx="192">
                  <c:v>1.6301611558033651E-12</c:v>
                </c:pt>
                <c:pt idx="193">
                  <c:v>1.6301611558033651E-12</c:v>
                </c:pt>
                <c:pt idx="194">
                  <c:v>1.6301611558033651E-12</c:v>
                </c:pt>
                <c:pt idx="195">
                  <c:v>1.6301611558033651E-12</c:v>
                </c:pt>
                <c:pt idx="196">
                  <c:v>1.6301611558033651E-12</c:v>
                </c:pt>
                <c:pt idx="197">
                  <c:v>1.6301611558033651E-12</c:v>
                </c:pt>
                <c:pt idx="198">
                  <c:v>1.6301611558033651E-12</c:v>
                </c:pt>
                <c:pt idx="199">
                  <c:v>1.6301611558033651E-12</c:v>
                </c:pt>
                <c:pt idx="200">
                  <c:v>1.6301611558033651E-12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2.0218418282279322</c:v>
                </c:pt>
                <c:pt idx="2">
                  <c:v>2.6360496080189324</c:v>
                </c:pt>
                <c:pt idx="3">
                  <c:v>3.4376071928904097</c:v>
                </c:pt>
                <c:pt idx="4">
                  <c:v>4.4838804944562147</c:v>
                </c:pt>
                <c:pt idx="5">
                  <c:v>5.8498634945450689</c:v>
                </c:pt>
                <c:pt idx="6">
                  <c:v>7.6336131343985665</c:v>
                </c:pt>
                <c:pt idx="7">
                  <c:v>9.9633649274988603</c:v>
                </c:pt>
                <c:pt idx="8">
                  <c:v>13.006850500532698</c:v>
                </c:pt>
                <c:pt idx="9">
                  <c:v>16.983500304843684</c:v>
                </c:pt>
                <c:pt idx="10">
                  <c:v>22.180427269847645</c:v>
                </c:pt>
                <c:pt idx="11">
                  <c:v>28.973365955831355</c:v>
                </c:pt>
                <c:pt idx="12">
                  <c:v>37.854107503626764</c:v>
                </c:pt>
                <c:pt idx="13">
                  <c:v>49.466450547205547</c:v>
                </c:pt>
                <c:pt idx="14">
                  <c:v>64.653317933866688</c:v>
                </c:pt>
                <c:pt idx="15">
                  <c:v>84.518515441682425</c:v>
                </c:pt>
                <c:pt idx="16">
                  <c:v>110.50769323119829</c:v>
                </c:pt>
                <c:pt idx="17">
                  <c:v>144.51449433955739</c:v>
                </c:pt>
                <c:pt idx="18">
                  <c:v>189.01974328011374</c:v>
                </c:pt>
                <c:pt idx="19">
                  <c:v>247.27398120247301</c:v>
                </c:pt>
                <c:pt idx="20">
                  <c:v>323.53687529895296</c:v>
                </c:pt>
                <c:pt idx="21">
                  <c:v>239.90544326410898</c:v>
                </c:pt>
                <c:pt idx="22">
                  <c:v>273.06648912870259</c:v>
                </c:pt>
                <c:pt idx="23">
                  <c:v>306.13695480290926</c:v>
                </c:pt>
                <c:pt idx="24">
                  <c:v>339.12799502984518</c:v>
                </c:pt>
                <c:pt idx="25">
                  <c:v>372.04841549558</c:v>
                </c:pt>
                <c:pt idx="26">
                  <c:v>404.90533618013222</c:v>
                </c:pt>
                <c:pt idx="27">
                  <c:v>437.70462758915534</c:v>
                </c:pt>
                <c:pt idx="28">
                  <c:v>470.45120917853865</c:v>
                </c:pt>
                <c:pt idx="29">
                  <c:v>503.14926026454214</c:v>
                </c:pt>
                <c:pt idx="30">
                  <c:v>535.80237321728123</c:v>
                </c:pt>
                <c:pt idx="31">
                  <c:v>391.54059595731172</c:v>
                </c:pt>
                <c:pt idx="32">
                  <c:v>424.99823145221512</c:v>
                </c:pt>
                <c:pt idx="33">
                  <c:v>458.39921191670413</c:v>
                </c:pt>
                <c:pt idx="34">
                  <c:v>491.74823970258666</c:v>
                </c:pt>
                <c:pt idx="35">
                  <c:v>525.0493279508172</c:v>
                </c:pt>
                <c:pt idx="36">
                  <c:v>558.30593979483751</c:v>
                </c:pt>
                <c:pt idx="37">
                  <c:v>591.52109266667196</c:v>
                </c:pt>
                <c:pt idx="38">
                  <c:v>624.69743796060493</c:v>
                </c:pt>
                <c:pt idx="39">
                  <c:v>657.83732290092178</c:v>
                </c:pt>
                <c:pt idx="40">
                  <c:v>690.94283930246741</c:v>
                </c:pt>
                <c:pt idx="41">
                  <c:v>543.39002099916354</c:v>
                </c:pt>
                <c:pt idx="42">
                  <c:v>572.45570251510333</c:v>
                </c:pt>
                <c:pt idx="43">
                  <c:v>601.49057626451474</c:v>
                </c:pt>
                <c:pt idx="44">
                  <c:v>630.49633633636552</c:v>
                </c:pt>
                <c:pt idx="45">
                  <c:v>659.47450845181413</c:v>
                </c:pt>
                <c:pt idx="46">
                  <c:v>688.42647350626828</c:v>
                </c:pt>
                <c:pt idx="47">
                  <c:v>717.35348694890706</c:v>
                </c:pt>
                <c:pt idx="48">
                  <c:v>746.25669487700088</c:v>
                </c:pt>
                <c:pt idx="49">
                  <c:v>775.13714751001635</c:v>
                </c:pt>
                <c:pt idx="50">
                  <c:v>803.99581055365343</c:v>
                </c:pt>
                <c:pt idx="51">
                  <c:v>677.60394151339892</c:v>
                </c:pt>
                <c:pt idx="52">
                  <c:v>702.01262795401738</c:v>
                </c:pt>
                <c:pt idx="53">
                  <c:v>726.40395613171552</c:v>
                </c:pt>
                <c:pt idx="54">
                  <c:v>750.77859014378737</c:v>
                </c:pt>
                <c:pt idx="55">
                  <c:v>775.13714751001635</c:v>
                </c:pt>
                <c:pt idx="56">
                  <c:v>799.48020382947016</c:v>
                </c:pt>
                <c:pt idx="57">
                  <c:v>823.80829684134676</c:v>
                </c:pt>
                <c:pt idx="58">
                  <c:v>848.12192998180683</c:v>
                </c:pt>
                <c:pt idx="59">
                  <c:v>872.42157551229047</c:v>
                </c:pt>
                <c:pt idx="60">
                  <c:v>896.70767728166027</c:v>
                </c:pt>
                <c:pt idx="61">
                  <c:v>803.87038396050366</c:v>
                </c:pt>
                <c:pt idx="62">
                  <c:v>823.80829684134676</c:v>
                </c:pt>
                <c:pt idx="63">
                  <c:v>843.73649725335815</c:v>
                </c:pt>
                <c:pt idx="64">
                  <c:v>863.65524661378765</c:v>
                </c:pt>
                <c:pt idx="65">
                  <c:v>883.56479331396974</c:v>
                </c:pt>
                <c:pt idx="66">
                  <c:v>903.46537365315351</c:v>
                </c:pt>
                <c:pt idx="67">
                  <c:v>923.35721268588384</c:v>
                </c:pt>
                <c:pt idx="68">
                  <c:v>943.24052499266656</c:v>
                </c:pt>
                <c:pt idx="69">
                  <c:v>963.11551538236188</c:v>
                </c:pt>
                <c:pt idx="70">
                  <c:v>982.98237953366845</c:v>
                </c:pt>
                <c:pt idx="71">
                  <c:v>910.34717626275653</c:v>
                </c:pt>
                <c:pt idx="72">
                  <c:v>926.48407924698665</c:v>
                </c:pt>
                <c:pt idx="73">
                  <c:v>942.61539138060652</c:v>
                </c:pt>
                <c:pt idx="74">
                  <c:v>958.74122170976887</c:v>
                </c:pt>
                <c:pt idx="75">
                  <c:v>974.86167531767205</c:v>
                </c:pt>
                <c:pt idx="76">
                  <c:v>990.97685353306395</c:v>
                </c:pt>
                <c:pt idx="77">
                  <c:v>1007.0868541244918</c:v>
                </c:pt>
                <c:pt idx="78">
                  <c:v>1023.1917714814939</c:v>
                </c:pt>
                <c:pt idx="79">
                  <c:v>1039.291696783808</c:v>
                </c:pt>
                <c:pt idx="80">
                  <c:v>1055.3867181595597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161.3963988836461</c:v>
                </c:pt>
                <c:pt idx="22">
                  <c:v>170.74399063136909</c:v>
                </c:pt>
                <c:pt idx="23">
                  <c:v>180.07953633511511</c:v>
                </c:pt>
                <c:pt idx="24">
                  <c:v>189.40374922883845</c:v>
                </c:pt>
                <c:pt idx="25">
                  <c:v>198.71726649156165</c:v>
                </c:pt>
                <c:pt idx="26">
                  <c:v>208.02066062067857</c:v>
                </c:pt>
                <c:pt idx="27">
                  <c:v>217.3144486608976</c:v>
                </c:pt>
                <c:pt idx="28">
                  <c:v>226.59909976948094</c:v>
                </c:pt>
                <c:pt idx="29">
                  <c:v>235.87504147501636</c:v>
                </c:pt>
                <c:pt idx="30">
                  <c:v>245.14266489892427</c:v>
                </c:pt>
                <c:pt idx="31">
                  <c:v>208.93025151398959</c:v>
                </c:pt>
                <c:pt idx="32">
                  <c:v>219.0307656524819</c:v>
                </c:pt>
                <c:pt idx="33">
                  <c:v>229.12058085809744</c:v>
                </c:pt>
                <c:pt idx="34">
                  <c:v>239.20023509293381</c:v>
                </c:pt>
                <c:pt idx="35">
                  <c:v>249.27021723566543</c:v>
                </c:pt>
                <c:pt idx="36">
                  <c:v>259.33097340507067</c:v>
                </c:pt>
                <c:pt idx="37">
                  <c:v>269.38291224993577</c:v>
                </c:pt>
                <c:pt idx="38">
                  <c:v>279.4264094073539</c:v>
                </c:pt>
                <c:pt idx="39">
                  <c:v>289.46181128597163</c:v>
                </c:pt>
                <c:pt idx="40">
                  <c:v>299.48943829674107</c:v>
                </c:pt>
                <c:pt idx="41">
                  <c:v>227.20431355624598</c:v>
                </c:pt>
                <c:pt idx="42">
                  <c:v>238.79723773455569</c:v>
                </c:pt>
                <c:pt idx="43">
                  <c:v>250.37734432120666</c:v>
                </c:pt>
                <c:pt idx="44">
                  <c:v>261.945310006184</c:v>
                </c:pt>
                <c:pt idx="45">
                  <c:v>273.50174679153514</c:v>
                </c:pt>
                <c:pt idx="46">
                  <c:v>285.04721070608576</c:v>
                </c:pt>
                <c:pt idx="47">
                  <c:v>296.58220903324576</c:v>
                </c:pt>
                <c:pt idx="48">
                  <c:v>308.10720635475906</c:v>
                </c:pt>
                <c:pt idx="49">
                  <c:v>319.62262964231485</c:v>
                </c:pt>
                <c:pt idx="50">
                  <c:v>331.12887257662896</c:v>
                </c:pt>
                <c:pt idx="51">
                  <c:v>261.04041434217822</c:v>
                </c:pt>
                <c:pt idx="52">
                  <c:v>274.60656174697795</c:v>
                </c:pt>
                <c:pt idx="53">
                  <c:v>288.15765529324972</c:v>
                </c:pt>
                <c:pt idx="54">
                  <c:v>301.69450278359409</c:v>
                </c:pt>
                <c:pt idx="55">
                  <c:v>315.21783358823507</c:v>
                </c:pt>
                <c:pt idx="56">
                  <c:v>328.72830936987799</c:v>
                </c:pt>
                <c:pt idx="57">
                  <c:v>342.2265329523762</c:v>
                </c:pt>
                <c:pt idx="58">
                  <c:v>355.71305571649367</c:v>
                </c:pt>
                <c:pt idx="59">
                  <c:v>369.18838381508658</c:v>
                </c:pt>
                <c:pt idx="60">
                  <c:v>382.65298343324525</c:v>
                </c:pt>
                <c:pt idx="61">
                  <c:v>314.81733022074968</c:v>
                </c:pt>
                <c:pt idx="62">
                  <c:v>330.32872765301551</c:v>
                </c:pt>
                <c:pt idx="63">
                  <c:v>345.82406144357361</c:v>
                </c:pt>
                <c:pt idx="64">
                  <c:v>361.30415262392557</c:v>
                </c:pt>
                <c:pt idx="65">
                  <c:v>376.76974613287081</c:v>
                </c:pt>
                <c:pt idx="66">
                  <c:v>392.22152076799466</c:v>
                </c:pt>
                <c:pt idx="67">
                  <c:v>407.66009748688685</c:v>
                </c:pt>
                <c:pt idx="68">
                  <c:v>423.08604638514606</c:v>
                </c:pt>
                <c:pt idx="69">
                  <c:v>438.49989260360843</c:v>
                </c:pt>
                <c:pt idx="70">
                  <c:v>453.90212136173136</c:v>
                </c:pt>
                <c:pt idx="71">
                  <c:v>387.83657804664409</c:v>
                </c:pt>
                <c:pt idx="72">
                  <c:v>404.77256638639187</c:v>
                </c:pt>
                <c:pt idx="73">
                  <c:v>421.69323961894656</c:v>
                </c:pt>
                <c:pt idx="74">
                  <c:v>438.59929855364607</c:v>
                </c:pt>
                <c:pt idx="75">
                  <c:v>455.49138558575515</c:v>
                </c:pt>
                <c:pt idx="76">
                  <c:v>472.37009159588234</c:v>
                </c:pt>
                <c:pt idx="77">
                  <c:v>489.23596181208933</c:v>
                </c:pt>
                <c:pt idx="78">
                  <c:v>506.08950082174573</c:v>
                </c:pt>
                <c:pt idx="79">
                  <c:v>522.93117688121504</c:v>
                </c:pt>
                <c:pt idx="80">
                  <c:v>539.76142564164627</c:v>
                </c:pt>
                <c:pt idx="81">
                  <c:v>474.45420688971325</c:v>
                </c:pt>
                <c:pt idx="82">
                  <c:v>491.8143485962089</c:v>
                </c:pt>
                <c:pt idx="83">
                  <c:v>509.16150115519235</c:v>
                </c:pt>
                <c:pt idx="84">
                  <c:v>526.49616916569187</c:v>
                </c:pt>
                <c:pt idx="85">
                  <c:v>543.81882130875795</c:v>
                </c:pt>
                <c:pt idx="86">
                  <c:v>561.12989399028811</c:v>
                </c:pt>
                <c:pt idx="87">
                  <c:v>578.42979451115264</c:v>
                </c:pt>
                <c:pt idx="88">
                  <c:v>595.7189038385352</c:v>
                </c:pt>
                <c:pt idx="89">
                  <c:v>612.99757903900297</c:v>
                </c:pt>
                <c:pt idx="90">
                  <c:v>630.26615542315449</c:v>
                </c:pt>
                <c:pt idx="91">
                  <c:v>566.1727153890298</c:v>
                </c:pt>
                <c:pt idx="92">
                  <c:v>584.45749051831808</c:v>
                </c:pt>
                <c:pt idx="93">
                  <c:v>602.73034768336277</c:v>
                </c:pt>
                <c:pt idx="94">
                  <c:v>620.99169878755254</c:v>
                </c:pt>
                <c:pt idx="95">
                  <c:v>639.24192955322633</c:v>
                </c:pt>
                <c:pt idx="96">
                  <c:v>657.48140190092874</c:v>
                </c:pt>
                <c:pt idx="97">
                  <c:v>675.71045605112249</c:v>
                </c:pt>
                <c:pt idx="98">
                  <c:v>693.92941238749461</c:v>
                </c:pt>
                <c:pt idx="99">
                  <c:v>712.13857311456889</c:v>
                </c:pt>
                <c:pt idx="100">
                  <c:v>730.33822373711973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24" sqref="C24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6.25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18</v>
      </c>
      <c r="C9" s="35">
        <v>0.42799999999999999</v>
      </c>
      <c r="D9" s="36">
        <f t="shared" ref="D9:D18" si="0">C9*$C$5</f>
        <v>2.6749999999999998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14</v>
      </c>
      <c r="C10" s="35">
        <v>4.1000000000000002E-2</v>
      </c>
      <c r="D10" s="36">
        <f t="shared" si="0"/>
        <v>0.25625000000000003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27</v>
      </c>
      <c r="C11" s="35">
        <v>0.13200000000000001</v>
      </c>
      <c r="D11" s="36">
        <f t="shared" si="0"/>
        <v>0.82500000000000007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47</v>
      </c>
      <c r="C12" s="35">
        <v>0.22900000000000001</v>
      </c>
      <c r="D12" s="36">
        <f t="shared" si="0"/>
        <v>1.4312500000000001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35</v>
      </c>
      <c r="C13" s="35">
        <v>9.7000000000000003E-2</v>
      </c>
      <c r="D13" s="36">
        <f t="shared" si="0"/>
        <v>0.60625000000000007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164</v>
      </c>
      <c r="C14" s="35">
        <v>7.1999999999999995E-2</v>
      </c>
      <c r="D14" s="36">
        <f t="shared" si="0"/>
        <v>0.44999999999999996</v>
      </c>
      <c r="E14" s="37">
        <v>100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0.99899999999999989</v>
      </c>
      <c r="D19" s="41">
        <f>SUM(D9:D18)</f>
        <v>6.2437500000000004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10</v>
      </c>
      <c r="B36" s="63">
        <v>37</v>
      </c>
      <c r="C36" s="63"/>
      <c r="D36" s="63">
        <v>0</v>
      </c>
      <c r="E36" s="54"/>
      <c r="F36" s="54"/>
      <c r="G36" s="54"/>
      <c r="H36" s="54"/>
      <c r="I36" s="52">
        <f>IFERROR(B36/A36,"")</f>
        <v>3.7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20</v>
      </c>
      <c r="B37" s="63">
        <v>261</v>
      </c>
      <c r="C37" s="63">
        <v>1</v>
      </c>
      <c r="D37" s="63">
        <f>48+77</f>
        <v>125</v>
      </c>
      <c r="E37" s="54"/>
      <c r="F37" s="54">
        <v>0.5</v>
      </c>
      <c r="G37" s="54">
        <v>0.5</v>
      </c>
      <c r="H37" s="54"/>
      <c r="I37" s="56">
        <f t="shared" ref="I37:I55" si="1">IF(A37&lt;&gt;0,(B37-(B36-D36))/(A37-A36),"")</f>
        <v>22.4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v>437</v>
      </c>
      <c r="C38" s="63">
        <v>2</v>
      </c>
      <c r="D38" s="63">
        <f>77+77</f>
        <v>154</v>
      </c>
      <c r="E38" s="54">
        <v>0.2</v>
      </c>
      <c r="F38" s="54">
        <v>0.4</v>
      </c>
      <c r="G38" s="54">
        <v>0.4</v>
      </c>
      <c r="H38" s="54"/>
      <c r="I38" s="56">
        <f t="shared" si="1"/>
        <v>30.1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40</v>
      </c>
      <c r="B39" s="63">
        <v>575</v>
      </c>
      <c r="C39" s="63">
        <v>3</v>
      </c>
      <c r="D39" s="63">
        <f>77+77</f>
        <v>154</v>
      </c>
      <c r="E39" s="54"/>
      <c r="F39" s="54"/>
      <c r="G39" s="54"/>
      <c r="H39" s="54"/>
      <c r="I39" s="52">
        <f t="shared" si="1"/>
        <v>29.2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50</v>
      </c>
      <c r="B40" s="63">
        <v>667</v>
      </c>
      <c r="C40" s="63">
        <v>4</v>
      </c>
      <c r="D40" s="63">
        <f>76+62</f>
        <v>138</v>
      </c>
      <c r="E40" s="54"/>
      <c r="F40" s="54"/>
      <c r="G40" s="54"/>
      <c r="H40" s="54"/>
      <c r="I40" s="52">
        <f t="shared" si="1"/>
        <v>24.6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60</v>
      </c>
      <c r="B41" s="63">
        <v>735</v>
      </c>
      <c r="C41" s="63">
        <v>5</v>
      </c>
      <c r="D41" s="63">
        <f>53+48</f>
        <v>101</v>
      </c>
      <c r="E41" s="54"/>
      <c r="F41" s="54"/>
      <c r="G41" s="54"/>
      <c r="H41" s="54"/>
      <c r="I41" s="56">
        <f t="shared" si="1"/>
        <v>20.6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70</v>
      </c>
      <c r="B42" s="63">
        <v>805</v>
      </c>
      <c r="C42" s="63">
        <v>6</v>
      </c>
      <c r="D42" s="63">
        <f>44+42</f>
        <v>86</v>
      </c>
      <c r="E42" s="54"/>
      <c r="F42" s="54"/>
      <c r="G42" s="54"/>
      <c r="H42" s="54"/>
      <c r="I42" s="56">
        <f t="shared" si="1"/>
        <v>17.100000000000001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80</v>
      </c>
      <c r="B43" s="63">
        <f>782+78</f>
        <v>860</v>
      </c>
      <c r="C43" s="63">
        <v>7</v>
      </c>
      <c r="D43" s="63">
        <f>B43</f>
        <v>860</v>
      </c>
      <c r="E43" s="54"/>
      <c r="F43" s="54"/>
      <c r="G43" s="54"/>
      <c r="H43" s="54"/>
      <c r="I43" s="52">
        <f t="shared" si="1"/>
        <v>14.1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101</v>
      </c>
      <c r="C62" s="63">
        <v>1</v>
      </c>
      <c r="D62" s="63">
        <f>6+28</f>
        <v>34</v>
      </c>
      <c r="E62" s="54"/>
      <c r="F62" s="54">
        <v>0.25</v>
      </c>
      <c r="G62" s="54">
        <v>0.25</v>
      </c>
      <c r="H62" s="54">
        <v>0.5</v>
      </c>
      <c r="I62" s="56">
        <f>IFERROR(B62/A62,"")</f>
        <v>5.05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30</v>
      </c>
      <c r="B63" s="63">
        <v>149</v>
      </c>
      <c r="C63" s="63">
        <v>2</v>
      </c>
      <c r="D63" s="63">
        <f>28+28</f>
        <v>56</v>
      </c>
      <c r="E63" s="54">
        <v>0.1</v>
      </c>
      <c r="F63" s="54">
        <v>0.45</v>
      </c>
      <c r="G63" s="54">
        <v>0.45</v>
      </c>
      <c r="H63" s="54"/>
      <c r="I63" s="52">
        <f>IF(A63&lt;&gt;0,(B63-(B62-D62))/(A63-A62),"")</f>
        <v>8.1999999999999993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40</v>
      </c>
      <c r="B64" s="63">
        <v>203</v>
      </c>
      <c r="C64" s="63">
        <v>3</v>
      </c>
      <c r="D64" s="63">
        <f>28+28</f>
        <v>56</v>
      </c>
      <c r="E64" s="54"/>
      <c r="F64" s="54"/>
      <c r="G64" s="54"/>
      <c r="H64" s="54"/>
      <c r="I64" s="52">
        <f>IF(A64&lt;&gt;0,(B64-(B63-D63))/(A64-A63),"")</f>
        <v>11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50</v>
      </c>
      <c r="B65" s="63">
        <v>259</v>
      </c>
      <c r="C65" s="63">
        <v>4</v>
      </c>
      <c r="D65" s="63">
        <f>28+28</f>
        <v>56</v>
      </c>
      <c r="E65" s="54"/>
      <c r="F65" s="54"/>
      <c r="G65" s="54"/>
      <c r="H65" s="54"/>
      <c r="I65" s="52">
        <f>IF(A65&lt;&gt;0,(B65-(B64-D64))/(A65-A64),"")</f>
        <v>11.2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60</v>
      </c>
      <c r="B66" s="63">
        <v>301</v>
      </c>
      <c r="C66" s="63">
        <v>5</v>
      </c>
      <c r="D66" s="63">
        <f t="shared" ref="D66:D69" si="2">28+28</f>
        <v>56</v>
      </c>
      <c r="E66" s="54"/>
      <c r="F66" s="54"/>
      <c r="G66" s="54"/>
      <c r="H66" s="54"/>
      <c r="I66" s="52">
        <f t="shared" ref="I66:I81" si="3">IF(A66&lt;&gt;0,(B66-(B65-D65))/(A66-A65),"")</f>
        <v>9.8000000000000007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70</v>
      </c>
      <c r="B67" s="63">
        <v>330</v>
      </c>
      <c r="C67" s="63">
        <v>6</v>
      </c>
      <c r="D67" s="63">
        <f t="shared" si="2"/>
        <v>56</v>
      </c>
      <c r="E67" s="54"/>
      <c r="F67" s="54"/>
      <c r="G67" s="54"/>
      <c r="H67" s="54"/>
      <c r="I67" s="52">
        <f t="shared" si="3"/>
        <v>8.5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80</v>
      </c>
      <c r="B68" s="63">
        <v>348</v>
      </c>
      <c r="C68" s="63">
        <v>7</v>
      </c>
      <c r="D68" s="63">
        <f t="shared" si="2"/>
        <v>56</v>
      </c>
      <c r="E68" s="54"/>
      <c r="F68" s="54"/>
      <c r="G68" s="54"/>
      <c r="H68" s="54"/>
      <c r="I68" s="52">
        <f t="shared" si="3"/>
        <v>7.4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90</v>
      </c>
      <c r="B69" s="53">
        <v>358</v>
      </c>
      <c r="C69" s="53">
        <v>8</v>
      </c>
      <c r="D69" s="53">
        <f t="shared" si="2"/>
        <v>56</v>
      </c>
      <c r="E69" s="54"/>
      <c r="F69" s="54"/>
      <c r="G69" s="54"/>
      <c r="H69" s="54"/>
      <c r="I69" s="52">
        <f t="shared" si="3"/>
        <v>6.6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100</v>
      </c>
      <c r="B70" s="53">
        <v>361</v>
      </c>
      <c r="C70" s="53">
        <v>9</v>
      </c>
      <c r="D70" s="53">
        <f>28+27</f>
        <v>55</v>
      </c>
      <c r="E70" s="54"/>
      <c r="F70" s="54"/>
      <c r="G70" s="54"/>
      <c r="H70" s="54"/>
      <c r="I70" s="52">
        <f t="shared" si="3"/>
        <v>5.9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110</v>
      </c>
      <c r="B71" s="53">
        <v>358</v>
      </c>
      <c r="C71" s="53">
        <v>10</v>
      </c>
      <c r="D71" s="53">
        <f>26+25</f>
        <v>51</v>
      </c>
      <c r="E71" s="54"/>
      <c r="F71" s="54"/>
      <c r="G71" s="54"/>
      <c r="H71" s="54"/>
      <c r="I71" s="52">
        <f t="shared" si="3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120</v>
      </c>
      <c r="B72" s="53">
        <f>306+27+28</f>
        <v>361</v>
      </c>
      <c r="C72" s="53">
        <v>11</v>
      </c>
      <c r="D72" s="53">
        <f>B72</f>
        <v>361</v>
      </c>
      <c r="E72" s="54"/>
      <c r="F72" s="54"/>
      <c r="G72" s="54"/>
      <c r="H72" s="54"/>
      <c r="I72" s="52">
        <f t="shared" si="3"/>
        <v>5.4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3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3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3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3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3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3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3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3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3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Mélèze d'Europe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3">
        <v>158</v>
      </c>
      <c r="C88" s="63">
        <v>1</v>
      </c>
      <c r="D88" s="63">
        <v>60</v>
      </c>
      <c r="E88" s="54"/>
      <c r="F88" s="54">
        <v>0.5</v>
      </c>
      <c r="G88" s="54">
        <v>0.5</v>
      </c>
      <c r="H88" s="93"/>
      <c r="I88" s="56">
        <f>IFERROR(B88/A88,"")</f>
        <v>7.9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30</v>
      </c>
      <c r="B89" s="63">
        <v>263</v>
      </c>
      <c r="C89" s="63">
        <v>2</v>
      </c>
      <c r="D89" s="63">
        <v>84</v>
      </c>
      <c r="E89" s="54">
        <v>0.2</v>
      </c>
      <c r="F89" s="54">
        <v>0.4</v>
      </c>
      <c r="G89" s="54">
        <v>0.4</v>
      </c>
      <c r="H89" s="93"/>
      <c r="I89" s="56">
        <f t="shared" ref="I89:I107" si="4">IF(A89&lt;&gt;0,(B89-(B88-D88))/(A89-A88),"")</f>
        <v>16.5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40</v>
      </c>
      <c r="B90" s="63">
        <v>330</v>
      </c>
      <c r="C90" s="63">
        <v>3</v>
      </c>
      <c r="D90" s="63">
        <v>82</v>
      </c>
      <c r="E90" s="93"/>
      <c r="F90" s="93"/>
      <c r="G90" s="93"/>
      <c r="H90" s="93"/>
      <c r="I90" s="56">
        <f t="shared" si="4"/>
        <v>15.1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50</v>
      </c>
      <c r="B91" s="63">
        <v>372</v>
      </c>
      <c r="C91" s="63">
        <v>4</v>
      </c>
      <c r="D91" s="63">
        <v>68</v>
      </c>
      <c r="E91" s="93"/>
      <c r="F91" s="93"/>
      <c r="G91" s="93"/>
      <c r="H91" s="93"/>
      <c r="I91" s="56">
        <f t="shared" si="4"/>
        <v>12.4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60</v>
      </c>
      <c r="B92" s="63">
        <v>404</v>
      </c>
      <c r="C92" s="63">
        <v>5</v>
      </c>
      <c r="D92" s="63">
        <v>55</v>
      </c>
      <c r="E92" s="93"/>
      <c r="F92" s="93"/>
      <c r="G92" s="93"/>
      <c r="H92" s="93"/>
      <c r="I92" s="56">
        <f t="shared" si="4"/>
        <v>10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70</v>
      </c>
      <c r="B93" s="63">
        <v>427</v>
      </c>
      <c r="C93" s="63">
        <v>6</v>
      </c>
      <c r="D93" s="63">
        <v>45</v>
      </c>
      <c r="E93" s="93"/>
      <c r="F93" s="93"/>
      <c r="G93" s="93"/>
      <c r="H93" s="93"/>
      <c r="I93" s="56">
        <f t="shared" si="4"/>
        <v>7.8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80</v>
      </c>
      <c r="B94" s="63">
        <f>406+36</f>
        <v>442</v>
      </c>
      <c r="C94" s="63">
        <v>7</v>
      </c>
      <c r="D94" s="63">
        <f>B94</f>
        <v>442</v>
      </c>
      <c r="E94" s="93"/>
      <c r="F94" s="93"/>
      <c r="G94" s="93"/>
      <c r="H94" s="93"/>
      <c r="I94" s="56">
        <f t="shared" si="4"/>
        <v>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4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4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4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4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4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4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4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4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4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4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4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4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4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Sapin méditerranéen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3">
        <v>185</v>
      </c>
      <c r="C114" s="53">
        <v>1</v>
      </c>
      <c r="D114" s="63">
        <v>43</v>
      </c>
      <c r="E114" s="54"/>
      <c r="F114" s="54">
        <v>0.5</v>
      </c>
      <c r="G114" s="54">
        <v>0.5</v>
      </c>
      <c r="H114" s="54"/>
      <c r="I114" s="56">
        <f>IFERROR(B114/A114,"")</f>
        <v>9.25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30</v>
      </c>
      <c r="B115" s="63">
        <v>453</v>
      </c>
      <c r="C115" s="53">
        <v>2</v>
      </c>
      <c r="D115" s="63">
        <v>154</v>
      </c>
      <c r="E115" s="54">
        <v>0.2</v>
      </c>
      <c r="F115" s="54">
        <v>0.4</v>
      </c>
      <c r="G115" s="54">
        <v>0.4</v>
      </c>
      <c r="H115" s="54"/>
      <c r="I115" s="56">
        <f t="shared" ref="I115:I133" si="5">IF(A115&lt;&gt;0,(B115-(B114-D114))/(A115-A114),"")</f>
        <v>31.1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40</v>
      </c>
      <c r="B116" s="63">
        <v>601</v>
      </c>
      <c r="C116" s="53">
        <v>3</v>
      </c>
      <c r="D116" s="63">
        <v>154</v>
      </c>
      <c r="E116" s="54">
        <v>0.3</v>
      </c>
      <c r="F116" s="54">
        <v>0.35</v>
      </c>
      <c r="G116" s="54">
        <v>0.35</v>
      </c>
      <c r="H116" s="54"/>
      <c r="I116" s="56">
        <f t="shared" si="5"/>
        <v>30.2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50</v>
      </c>
      <c r="B117" s="63">
        <v>721</v>
      </c>
      <c r="C117" s="53">
        <v>4</v>
      </c>
      <c r="D117" s="63">
        <v>154</v>
      </c>
      <c r="E117" s="54"/>
      <c r="F117" s="54"/>
      <c r="G117" s="54"/>
      <c r="H117" s="54"/>
      <c r="I117" s="56">
        <f t="shared" si="5"/>
        <v>27.4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60</v>
      </c>
      <c r="B118" s="63">
        <v>813</v>
      </c>
      <c r="C118" s="53">
        <v>5</v>
      </c>
      <c r="D118" s="63">
        <v>139</v>
      </c>
      <c r="E118" s="54"/>
      <c r="F118" s="54"/>
      <c r="G118" s="54"/>
      <c r="H118" s="54"/>
      <c r="I118" s="56">
        <f t="shared" si="5"/>
        <v>24.6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70</v>
      </c>
      <c r="B119" s="63">
        <v>894</v>
      </c>
      <c r="C119" s="53">
        <v>6</v>
      </c>
      <c r="D119" s="63">
        <v>122</v>
      </c>
      <c r="E119" s="54"/>
      <c r="F119" s="54"/>
      <c r="G119" s="54"/>
      <c r="H119" s="54"/>
      <c r="I119" s="56">
        <f t="shared" si="5"/>
        <v>22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80</v>
      </c>
      <c r="B120" s="63">
        <f>852+115</f>
        <v>967</v>
      </c>
      <c r="C120" s="63">
        <v>7</v>
      </c>
      <c r="D120" s="63">
        <f>B120</f>
        <v>967</v>
      </c>
      <c r="E120" s="93"/>
      <c r="F120" s="93"/>
      <c r="G120" s="93"/>
      <c r="H120" s="93"/>
      <c r="I120" s="56">
        <f t="shared" si="5"/>
        <v>19.5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5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5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5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5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5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5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5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5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5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5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5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5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5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Pin laricio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20</v>
      </c>
      <c r="B140" s="63">
        <v>247</v>
      </c>
      <c r="C140" s="53">
        <v>1</v>
      </c>
      <c r="D140" s="63">
        <v>91</v>
      </c>
      <c r="E140" s="54"/>
      <c r="F140" s="54">
        <v>0.5</v>
      </c>
      <c r="G140" s="54">
        <v>0.5</v>
      </c>
      <c r="H140" s="54"/>
      <c r="I140" s="60">
        <f>IFERROR(B140/A140,"")</f>
        <v>12.35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30</v>
      </c>
      <c r="B141" s="63">
        <v>414</v>
      </c>
      <c r="C141" s="53">
        <v>2</v>
      </c>
      <c r="D141" s="63">
        <v>140</v>
      </c>
      <c r="E141" s="54">
        <v>0.1</v>
      </c>
      <c r="F141" s="54">
        <v>0.45</v>
      </c>
      <c r="G141" s="54">
        <v>0.45</v>
      </c>
      <c r="H141" s="54"/>
      <c r="I141" s="60">
        <f t="shared" ref="I141:I159" si="6">IF(A141&lt;&gt;0,(B141-(B140-D140))/(A141-A140),"")</f>
        <v>25.8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40</v>
      </c>
      <c r="B142" s="63">
        <v>537</v>
      </c>
      <c r="C142" s="53">
        <v>3</v>
      </c>
      <c r="D142" s="63">
        <v>140</v>
      </c>
      <c r="E142" s="54"/>
      <c r="F142" s="54"/>
      <c r="G142" s="54"/>
      <c r="H142" s="54"/>
      <c r="I142" s="60">
        <f t="shared" si="6"/>
        <v>26.3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50</v>
      </c>
      <c r="B143" s="63">
        <v>627</v>
      </c>
      <c r="C143" s="53">
        <v>4</v>
      </c>
      <c r="D143" s="63">
        <v>120</v>
      </c>
      <c r="E143" s="54"/>
      <c r="F143" s="54"/>
      <c r="G143" s="54"/>
      <c r="H143" s="54"/>
      <c r="I143" s="60">
        <f t="shared" si="6"/>
        <v>23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60</v>
      </c>
      <c r="B144" s="63">
        <v>701</v>
      </c>
      <c r="C144" s="53">
        <v>5</v>
      </c>
      <c r="D144" s="63">
        <v>90</v>
      </c>
      <c r="E144" s="54"/>
      <c r="F144" s="54"/>
      <c r="G144" s="54"/>
      <c r="H144" s="54"/>
      <c r="I144" s="60">
        <f t="shared" si="6"/>
        <v>19.399999999999999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70</v>
      </c>
      <c r="B145" s="63">
        <v>770</v>
      </c>
      <c r="C145" s="53">
        <v>6</v>
      </c>
      <c r="D145" s="63">
        <v>71</v>
      </c>
      <c r="E145" s="54"/>
      <c r="F145" s="54"/>
      <c r="G145" s="54"/>
      <c r="H145" s="54"/>
      <c r="I145" s="60">
        <f t="shared" si="6"/>
        <v>15.9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80</v>
      </c>
      <c r="B146" s="63">
        <f>763+65</f>
        <v>828</v>
      </c>
      <c r="C146" s="53">
        <v>7</v>
      </c>
      <c r="D146" s="63">
        <f>B146</f>
        <v>828</v>
      </c>
      <c r="E146" s="54"/>
      <c r="F146" s="54"/>
      <c r="G146" s="54"/>
      <c r="H146" s="54"/>
      <c r="I146" s="60">
        <f t="shared" si="6"/>
        <v>12.9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6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6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6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6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6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6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6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6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6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6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6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6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Cèdre de l'Atlas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20</v>
      </c>
      <c r="B166" s="63">
        <v>158</v>
      </c>
      <c r="C166" s="63">
        <v>1</v>
      </c>
      <c r="D166" s="63">
        <v>12.5</v>
      </c>
      <c r="E166" s="54"/>
      <c r="F166" s="54">
        <v>0.5</v>
      </c>
      <c r="G166" s="54">
        <v>0.5</v>
      </c>
      <c r="H166" s="54"/>
      <c r="I166" s="52">
        <f>IFERROR(B166/A166,"")</f>
        <v>7.9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30</v>
      </c>
      <c r="B167" s="63">
        <f>250-D166</f>
        <v>237.5</v>
      </c>
      <c r="C167" s="63">
        <v>2</v>
      </c>
      <c r="D167" s="63">
        <v>45.9</v>
      </c>
      <c r="E167" s="54">
        <v>0.2</v>
      </c>
      <c r="F167" s="54">
        <v>0.4</v>
      </c>
      <c r="G167" s="54">
        <v>0.4</v>
      </c>
      <c r="H167" s="54"/>
      <c r="I167" s="52">
        <f t="shared" ref="I167:I185" si="7">IF(A167&lt;&gt;0,(B167-(B166-D166))/(A167-A166),"")</f>
        <v>9.1999999999999993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40</v>
      </c>
      <c r="B168" s="63">
        <f>350-SUM(D166:D167)</f>
        <v>291.60000000000002</v>
      </c>
      <c r="C168" s="63">
        <v>3</v>
      </c>
      <c r="D168" s="63">
        <v>83.4</v>
      </c>
      <c r="E168" s="54"/>
      <c r="F168" s="54"/>
      <c r="G168" s="54"/>
      <c r="H168" s="54"/>
      <c r="I168" s="52">
        <f t="shared" si="7"/>
        <v>10.000000000000004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50</v>
      </c>
      <c r="B169" s="63">
        <f>465-SUM(D166:D168)</f>
        <v>323.2</v>
      </c>
      <c r="C169" s="63">
        <v>4</v>
      </c>
      <c r="D169" s="63">
        <v>83.4</v>
      </c>
      <c r="E169" s="54"/>
      <c r="F169" s="54"/>
      <c r="G169" s="54"/>
      <c r="H169" s="54"/>
      <c r="I169" s="52">
        <f t="shared" si="7"/>
        <v>11.499999999999996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60</v>
      </c>
      <c r="B170" s="63">
        <f>600-SUM(D166:D169)</f>
        <v>374.79999999999995</v>
      </c>
      <c r="C170" s="63">
        <v>5</v>
      </c>
      <c r="D170" s="63">
        <v>83.4</v>
      </c>
      <c r="E170" s="54"/>
      <c r="F170" s="54"/>
      <c r="G170" s="54"/>
      <c r="H170" s="54"/>
      <c r="I170" s="52">
        <f t="shared" si="7"/>
        <v>13.499999999999996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70</v>
      </c>
      <c r="B171" s="63">
        <f>755-SUM(D166:D170)</f>
        <v>446.4</v>
      </c>
      <c r="C171" s="63">
        <v>6</v>
      </c>
      <c r="D171" s="63">
        <v>83.4</v>
      </c>
      <c r="E171" s="54"/>
      <c r="F171" s="54"/>
      <c r="G171" s="54"/>
      <c r="H171" s="54"/>
      <c r="I171" s="52">
        <f t="shared" si="7"/>
        <v>15.5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80</v>
      </c>
      <c r="B172" s="63">
        <f>925-SUM(D166:D171)</f>
        <v>533</v>
      </c>
      <c r="C172" s="63">
        <v>7</v>
      </c>
      <c r="D172" s="63">
        <v>83.4</v>
      </c>
      <c r="E172" s="54"/>
      <c r="F172" s="54"/>
      <c r="G172" s="54"/>
      <c r="H172" s="54"/>
      <c r="I172" s="52">
        <f t="shared" si="7"/>
        <v>17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90</v>
      </c>
      <c r="B173" s="53">
        <f>1100-SUM(D166:D172)</f>
        <v>624.6</v>
      </c>
      <c r="C173" s="53">
        <v>8</v>
      </c>
      <c r="D173" s="53">
        <v>83.4</v>
      </c>
      <c r="E173" s="54"/>
      <c r="F173" s="54"/>
      <c r="G173" s="54"/>
      <c r="H173" s="54"/>
      <c r="I173" s="52">
        <f t="shared" si="7"/>
        <v>17.5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100</v>
      </c>
      <c r="B174" s="53">
        <f>1285-SUM(D166:D173)</f>
        <v>726.2</v>
      </c>
      <c r="C174" s="53">
        <v>9</v>
      </c>
      <c r="D174" s="53">
        <v>726.2</v>
      </c>
      <c r="E174" s="54"/>
      <c r="F174" s="54"/>
      <c r="G174" s="54"/>
      <c r="H174" s="54"/>
      <c r="I174" s="52">
        <f t="shared" si="7"/>
        <v>18.5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7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7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7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7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7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7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7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7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7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7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7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8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8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8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8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8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8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8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8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8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8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8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8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8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8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8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8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8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8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8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9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9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9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9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9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9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9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9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9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9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9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9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9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9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9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9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9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9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9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0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0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0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0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0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0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0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0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0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0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10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0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0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0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0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0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0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1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1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1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1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1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1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1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1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1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1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1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sessile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Mélèze d'Europe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Sapin méditerranéen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Pin laricio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Cèdre de l'Atlas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460.40450534123659</v>
      </c>
      <c r="T3" s="62">
        <f>IF('Données projet'!E9&gt;30,$R$33-$H$33,LOOKUP('Données projet'!$E$9,$A$3:$A$203,R3:R203)-LOOKUP('Données projet'!$E$9,$A$3:$A$203,$H$3:$H$203))</f>
        <v>467.77477728479198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321.03881567735544</v>
      </c>
      <c r="AO3" s="62">
        <f>IF('Données projet'!E10&gt;30,$AM$33-$H$33,LOOKUP('Données projet'!$E$10,$A$3:$A$203,AM3:AM203)-LOOKUP('Données projet'!$E$10,$A$3:$A$203,$H$3:$H$203))</f>
        <v>234.87694492493506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255.41017495879987</v>
      </c>
      <c r="BJ3" s="62">
        <f>IF('Données projet'!E11&gt;30,$BH$33-$H$33,LOOKUP('Données projet'!$E$11,$A$3:$A$203,BH3:BH203)-LOOKUP('Données projet'!$E$11,$A$3:$A$203,$H$3:$H$203))</f>
        <v>297.50513563712764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409.97612835032567</v>
      </c>
      <c r="CE3" s="62">
        <f>IF('Données projet'!E12&gt;30,$CC$33-$H$33,LOOKUP('Données projet'!$E$12,$A$3:$A$203,CC3:CC203)-LOOKUP('Données projet'!$E$12,$A$3:$A$203,$H$3:$H$203))</f>
        <v>411.87876448092288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463.3255103386889</v>
      </c>
      <c r="CZ3" s="62">
        <f>IF('Données projet'!E13&gt;30,$CX$33-$H$33,LOOKUP('Données projet'!$E$13,$A$3:$A$203,CX3:CX203)-LOOKUP('Données projet'!$E$13,$A$3:$A$203,$H$3:$H$203))</f>
        <v>474.73210558736127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293.33333333333331</v>
      </c>
      <c r="DT3" s="62">
        <f ca="1">AVERAGE(OFFSET($DS$3,0,0,'Données projet'!$E$14+1,1))-AVERAGE(OFFSET($H$3,0,0,'Données projet'!$E$14+1,1))</f>
        <v>215.23235148064941</v>
      </c>
      <c r="DU3" s="62">
        <f>IF('Données projet'!E14&gt;30,$DS$33-$H$33,LOOKUP('Données projet'!$E$14,$A$3:$A$203,DS3:DS203)-LOOKUP('Données projet'!$E$14,$A$3:$A$203,$H$3:$H$203))</f>
        <v>184.07239726900434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295.60554746801699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3.7</v>
      </c>
      <c r="N4" s="14">
        <f>IF('Données projet'!$A$36&gt;35,N3+M4-V3,IF(A4&lt;'Données projet'!$A$36,$K$205^A4,IF(A4='Données projet'!$A$36,'Données projet'!$B$36,N3+M4-V3)))</f>
        <v>1.4348951656753595</v>
      </c>
      <c r="O4" s="14">
        <f>N4*VLOOKUP('Données projet'!$B$9,Paramètres!$A$1:$I$89,3,0)*VLOOKUP('Données projet'!$B$9,Paramètres!$A$1:$I$89,5,0)</f>
        <v>0.80210639761252589</v>
      </c>
      <c r="P4" s="14">
        <f>EXP(-1.0587+0.8836*LN(O4)+0.284)</f>
        <v>0.37925511137099766</v>
      </c>
      <c r="Q4" s="22">
        <f t="shared" ref="Q4:Q34" si="2">(O4+P4)*0.475*44/12</f>
        <v>2.0575379614796372</v>
      </c>
      <c r="R4" s="62">
        <f t="shared" si="0"/>
        <v>295.39087129481294</v>
      </c>
      <c r="S4" s="62">
        <f ca="1">AVERAGE(OFFSET($R$3,0,0,'Données projet'!$E$9+1,1))-AVERAGE(OFFSET($H$3,0,0,'Données projet'!$E$9+1,1))</f>
        <v>460.40450534123659</v>
      </c>
      <c r="T4" s="62">
        <f>$T$3</f>
        <v>467.77477728479198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5.05</v>
      </c>
      <c r="AI4" s="14">
        <f>IF('Données projet'!$A$62&gt;35,AI3+AH4-AQ3,IF(A4&lt;'Données projet'!$A$62,$AF$205^A4,IF(A4='Données projet'!$A$62,'Données projet'!$B$62,AI3+AH4-AQ3)))</f>
        <v>1.2595519038446648</v>
      </c>
      <c r="AJ4" s="14">
        <f>AI4*VLOOKUP('Données projet'!$B$10,Paramètres!$A$1:$I$89,3,0)*VLOOKUP('Données projet'!$B$10,Paramètres!$A$1:$I$89,5,0)</f>
        <v>1.1396425625986528</v>
      </c>
      <c r="AK4" s="14">
        <f>EXP(-1.0587+0.8836*LN(AJ4)+0.284)</f>
        <v>0.51726471402530638</v>
      </c>
      <c r="AL4" s="22">
        <f t="shared" ref="AL4:AL67" si="4">(AJ4+AK4)*0.475*44/12</f>
        <v>2.8857801734533957</v>
      </c>
      <c r="AM4" s="62">
        <f t="shared" ref="AM4:AM67" si="5">AL4+(AD4+AE4)*44/12</f>
        <v>296.2191135067867</v>
      </c>
      <c r="AN4" s="62">
        <f ca="1">AVERAGE(OFFSET($AM$3,0,0,'Données projet'!$E$10+1,1))-AVERAGE(OFFSET($H$3,0,0,'Données projet'!$E$10+1,1))</f>
        <v>321.03881567735544</v>
      </c>
      <c r="AO4" s="62">
        <f>$AO$3</f>
        <v>234.87694492493506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7.9</v>
      </c>
      <c r="BD4" s="13">
        <f>IF('Données projet'!$A$88&gt;35,BD3+BC4-BL3,IF(A4&lt;'Données projet'!$A$88,$BA$205^A4,IF(A4='Données projet'!$A$88,'Données projet'!$B$88,BD3+BC4-BL3)))</f>
        <v>1.2880503926580862</v>
      </c>
      <c r="BE4" s="14">
        <f>BD4*VLOOKUP('Données projet'!$B$11,Paramètres!$A$1:$I$89,3,0)*VLOOKUP('Données projet'!$B$11,Paramètres!$A$1:$I$89,5,0)</f>
        <v>0.80374344501864581</v>
      </c>
      <c r="BF4" s="14">
        <f>EXP(-1.0587+0.8836*LN(BE4)+0.284)</f>
        <v>0.37993896770707264</v>
      </c>
      <c r="BG4" s="22">
        <f t="shared" ref="BG4:BG67" si="7">(BE4+BF4)*0.475*44/12</f>
        <v>2.0615802021639595</v>
      </c>
      <c r="BH4" s="62">
        <f t="shared" ref="BH4:BH67" si="8">BG4+(AY4+AZ4)*44/12</f>
        <v>295.39491353549727</v>
      </c>
      <c r="BI4" s="62">
        <f ca="1">AVERAGE(OFFSET($BH$3,0,0,'Données projet'!$E$11+1,1))-AVERAGE(OFFSET($H$3,0,0,'Données projet'!$E$11+1,1))</f>
        <v>255.41017495879987</v>
      </c>
      <c r="BJ4" s="62">
        <f>$BJ$3</f>
        <v>297.50513563712764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9.25</v>
      </c>
      <c r="BY4" s="13">
        <f>IF('Données projet'!$A$114&gt;35,BY3+BX4-CG3,IF(A4&lt;'Données projet'!$A$114,$BV$205^A4,IF(A4='Données projet'!$A$114,'Données projet'!$B$114,BY3+BX4-CG3)))</f>
        <v>1.2982507627371911</v>
      </c>
      <c r="BZ4" s="14">
        <f>BY4*VLOOKUP('Données projet'!$B$12,Paramètres!$A$1:$I$89,3,0)*VLOOKUP('Données projet'!$B$12,Paramètres!$A$1:$I$89,5,0)</f>
        <v>0.62445861687658888</v>
      </c>
      <c r="CA4" s="14">
        <f>EXP(-1.0587+0.8836*LN(BZ4)+0.284)</f>
        <v>0.30398986276757445</v>
      </c>
      <c r="CB4" s="22">
        <f t="shared" ref="CB4:CB67" si="10">(BZ4+CA4)*0.475*44/12</f>
        <v>1.6170477687135845</v>
      </c>
      <c r="CC4" s="62">
        <f t="shared" ref="CC4:CC67" si="11">CB4+(BT4+BU4)*44/12</f>
        <v>294.95038110204689</v>
      </c>
      <c r="CD4" s="62">
        <f ca="1">AVERAGE(OFFSET($CC$3,0,0,'Données projet'!$E$12+1,1))-AVERAGE(OFFSET($H$3,0,0,'Données projet'!$E$12+1,1))</f>
        <v>409.97612835032567</v>
      </c>
      <c r="CE4" s="62">
        <f>$CE$3</f>
        <v>411.87876448092288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12.35</v>
      </c>
      <c r="CT4" s="13">
        <f>IF('Données projet'!$A$140&gt;35,CT3+CS4-DB3,IF(A4&lt;'Données projet'!$A$140,$CQ$205^A4,IF(A4='Données projet'!$A$140,'Données projet'!$B$140,CT3+CS4-DB3)))</f>
        <v>1.3171488215983465</v>
      </c>
      <c r="CU4" s="18">
        <f>CT4*VLOOKUP('Données projet'!$B$13,Paramètres!$A$1:$I$89,3,0)*VLOOKUP('Données projet'!$B$13,Paramètres!$A$1:$I$89,5,0)</f>
        <v>0.78765499531581118</v>
      </c>
      <c r="CV4" s="14">
        <f>EXP(-1.0587+0.8836*LN(CU4)+0.284)</f>
        <v>0.37321112615477225</v>
      </c>
      <c r="CW4" s="22">
        <f t="shared" ref="CW4:CW67" si="13">(CU4+CV4)*0.475*44/12</f>
        <v>2.0218418282279322</v>
      </c>
      <c r="CX4" s="62">
        <f t="shared" ref="CX4:CX67" si="14">CW4+(CO4+CP4)*44/12</f>
        <v>295.35517516156125</v>
      </c>
      <c r="CY4" s="62">
        <f ca="1">AVERAGE(OFFSET($CX$3,0,0,'Données projet'!$E$13+1,1))-AVERAGE(OFFSET($H$3,0,0,'Données projet'!$E$13+1,1))</f>
        <v>463.3255103386889</v>
      </c>
      <c r="CZ4" s="62">
        <f>$CZ$3</f>
        <v>474.73210558736127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7.9</v>
      </c>
      <c r="DO4" s="13">
        <f>IF('Données projet'!$A$166&gt;35,DO3+DN4-DW3,IF(A4&lt;'Données projet'!$A$166,$DL$205^A4,IF(A4='Données projet'!$A$166,'Données projet'!$B$166,DO3+DN4-DW3)))</f>
        <v>1.2880503926580862</v>
      </c>
      <c r="DP4" s="18">
        <f>DO4*VLOOKUP('Données projet'!$B$14,Paramètres!$A$1:$I$89,3,0)*VLOOKUP('Données projet'!$B$14,Paramètres!$A$1:$I$89,5,0)</f>
        <v>0.60280758376398436</v>
      </c>
      <c r="DQ4" s="14">
        <f>EXP(-1.0587+0.8836*LN(DP4)+0.284)</f>
        <v>0.29465781953181042</v>
      </c>
      <c r="DR4" s="22">
        <f t="shared" ref="DR4:DR67" si="16">(DP4+DQ4)*0.475*44/12</f>
        <v>1.5630855774068424</v>
      </c>
      <c r="DS4" s="62">
        <f t="shared" ref="DS4:DS67" si="17">DR4+(DJ4+DK4)*44/12</f>
        <v>294.89641891074018</v>
      </c>
      <c r="DT4" s="62">
        <f ca="1">AVERAGE(OFFSET($DS$3,0,0,'Données projet'!$E$14+1,1))-AVERAGE(OFFSET($H$3,0,0,'Données projet'!$E$14+1,1))</f>
        <v>215.23235148064941</v>
      </c>
      <c r="DU4" s="62">
        <f>$DU$3</f>
        <v>184.07239726900434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297.76559610099633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3.7</v>
      </c>
      <c r="N5" s="14">
        <f>IF('Données projet'!$A$36&gt;35,N4+M5-V4,IF(A5&lt;'Données projet'!$A$36,$K$205^A5,IF(A5='Données projet'!$A$36,'Données projet'!$B$36,N4+M5-V4)))</f>
        <v>2.0589241364785171</v>
      </c>
      <c r="O5" s="14">
        <f>N5*VLOOKUP('Données projet'!$B$9,Paramètres!$A$1:$I$89,3,0)*VLOOKUP('Données projet'!$B$9,Paramètres!$A$1:$I$89,5,0)</f>
        <v>1.150938592291491</v>
      </c>
      <c r="P5" s="14">
        <f t="shared" ref="P5:P68" si="33">EXP(-1.0587+0.8836*LN(O5)+0.284)</f>
        <v>0.52179239731105564</v>
      </c>
      <c r="Q5" s="22">
        <f t="shared" si="2"/>
        <v>2.9133398068911021</v>
      </c>
      <c r="R5" s="62">
        <f t="shared" si="0"/>
        <v>296.2466731402244</v>
      </c>
      <c r="S5" s="62">
        <f ca="1">AVERAGE(OFFSET($R$3,0,0,'Données projet'!$E$9+1,1))-AVERAGE(OFFSET($H$3,0,0,'Données projet'!$E$9+1,1))</f>
        <v>460.40450534123659</v>
      </c>
      <c r="T5" s="62">
        <f t="shared" ref="T5:T68" si="34">$T$3</f>
        <v>467.77477728479198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5.05</v>
      </c>
      <c r="AI5" s="14">
        <f>IF('Données projet'!$A$62&gt;35,AI4+AH5-AQ4,IF(A5&lt;'Données projet'!$A$62,$AF$205^A5,IF(A5='Données projet'!$A$62,'Données projet'!$B$62,AI4+AH5-AQ4)))</f>
        <v>1.5864709984787195</v>
      </c>
      <c r="AJ5" s="14">
        <f>AI5*VLOOKUP('Données projet'!$B$10,Paramètres!$A$1:$I$89,3,0)*VLOOKUP('Données projet'!$B$10,Paramètres!$A$1:$I$89,5,0)</f>
        <v>1.4354389594235453</v>
      </c>
      <c r="AK5" s="14">
        <f t="shared" ref="AK5:AK68" si="35">EXP(-1.0587+0.8836*LN(AJ5)+0.284)</f>
        <v>0.63425481322556687</v>
      </c>
      <c r="AL5" s="22">
        <f t="shared" si="4"/>
        <v>3.6047166540305375</v>
      </c>
      <c r="AM5" s="62">
        <f t="shared" si="5"/>
        <v>296.93804998736385</v>
      </c>
      <c r="AN5" s="62">
        <f ca="1">AVERAGE(OFFSET($AM$3,0,0,'Données projet'!$E$10+1,1))-AVERAGE(OFFSET($H$3,0,0,'Données projet'!$E$10+1,1))</f>
        <v>321.03881567735544</v>
      </c>
      <c r="AO5" s="62">
        <f t="shared" ref="AO5:AO68" si="36">$AO$3</f>
        <v>234.87694492493506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7.9</v>
      </c>
      <c r="BD5" s="13">
        <f>IF('Données projet'!$A$88&gt;35,BD4+BC5-BL4,IF(A5&lt;'Données projet'!$A$88,$BA$205^A5,IF(A5='Données projet'!$A$88,'Données projet'!$B$88,BD4+BC5-BL4)))</f>
        <v>1.6590738140266501</v>
      </c>
      <c r="BE5" s="14">
        <f>BD5*VLOOKUP('Données projet'!$B$11,Paramètres!$A$1:$I$89,3,0)*VLOOKUP('Données projet'!$B$11,Paramètres!$A$1:$I$89,5,0)</f>
        <v>1.0352620599526297</v>
      </c>
      <c r="BF5" s="14">
        <f t="shared" ref="BF5:BF68" si="37">EXP(-1.0587+0.8836*LN(BE5)+0.284)</f>
        <v>0.4751716356997846</v>
      </c>
      <c r="BG5" s="22">
        <f t="shared" si="7"/>
        <v>2.6306720199279545</v>
      </c>
      <c r="BH5" s="62">
        <f t="shared" si="8"/>
        <v>295.96400535326126</v>
      </c>
      <c r="BI5" s="62">
        <f ca="1">AVERAGE(OFFSET($BH$3,0,0,'Données projet'!$E$11+1,1))-AVERAGE(OFFSET($H$3,0,0,'Données projet'!$E$11+1,1))</f>
        <v>255.41017495879987</v>
      </c>
      <c r="BJ5" s="62">
        <f t="shared" ref="BJ5:BJ68" si="38">$BJ$3</f>
        <v>297.50513563712764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9.25</v>
      </c>
      <c r="BY5" s="13">
        <f>IF('Données projet'!$A$114&gt;35,BY4+BX5-CG4,IF(A5&lt;'Données projet'!$A$114,$BV$205^A5,IF(A5='Données projet'!$A$114,'Données projet'!$B$114,BY4+BX5-CG4)))</f>
        <v>1.6854550429476984</v>
      </c>
      <c r="BZ5" s="14">
        <f>BY5*VLOOKUP('Données projet'!$B$12,Paramètres!$A$1:$I$89,3,0)*VLOOKUP('Données projet'!$B$12,Paramètres!$A$1:$I$89,5,0)</f>
        <v>0.81070387565784297</v>
      </c>
      <c r="CA5" s="14">
        <f t="shared" ref="CA5:CA68" si="39">EXP(-1.0587+0.8836*LN(BZ5)+0.284)</f>
        <v>0.38284479614052425</v>
      </c>
      <c r="CB5" s="22">
        <f t="shared" si="10"/>
        <v>2.0787639367154895</v>
      </c>
      <c r="CC5" s="62">
        <f t="shared" si="11"/>
        <v>295.41209727004878</v>
      </c>
      <c r="CD5" s="62">
        <f ca="1">AVERAGE(OFFSET($CC$3,0,0,'Données projet'!$E$12+1,1))-AVERAGE(OFFSET($H$3,0,0,'Données projet'!$E$12+1,1))</f>
        <v>409.97612835032567</v>
      </c>
      <c r="CE5" s="62">
        <f t="shared" ref="CE5:CE68" si="40">$CE$3</f>
        <v>411.87876448092288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12.35</v>
      </c>
      <c r="CT5" s="13">
        <f>IF('Données projet'!$A$140&gt;35,CT4+CS5-DB4,IF(A5&lt;'Données projet'!$A$140,$CQ$205^A5,IF(A5='Données projet'!$A$140,'Données projet'!$B$140,CT4+CS5-DB4)))</f>
        <v>1.7348810182379126</v>
      </c>
      <c r="CU5" s="18">
        <f>CT5*VLOOKUP('Données projet'!$B$13,Paramètres!$A$1:$I$89,3,0)*VLOOKUP('Données projet'!$B$13,Paramètres!$A$1:$I$89,5,0)</f>
        <v>1.0374588489062719</v>
      </c>
      <c r="CV5" s="14">
        <f t="shared" ref="CV5:CV68" si="41">EXP(-1.0587+0.8836*LN(CU5)+0.284)</f>
        <v>0.47606245713330664</v>
      </c>
      <c r="CW5" s="22">
        <f t="shared" si="13"/>
        <v>2.6360496080189324</v>
      </c>
      <c r="CX5" s="62">
        <f t="shared" si="14"/>
        <v>295.96938294135225</v>
      </c>
      <c r="CY5" s="62">
        <f ca="1">AVERAGE(OFFSET($CX$3,0,0,'Données projet'!$E$13+1,1))-AVERAGE(OFFSET($H$3,0,0,'Données projet'!$E$13+1,1))</f>
        <v>463.3255103386889</v>
      </c>
      <c r="CZ5" s="62">
        <f t="shared" ref="CZ5:CZ68" si="42">$CZ$3</f>
        <v>474.73210558736127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7.9</v>
      </c>
      <c r="DO5" s="13">
        <f>IF('Données projet'!$A$166&gt;35,DO4+DN5-DW4,IF(A5&lt;'Données projet'!$A$166,$DL$205^A5,IF(A5='Données projet'!$A$166,'Données projet'!$B$166,DO4+DN5-DW4)))</f>
        <v>1.6590738140266501</v>
      </c>
      <c r="DP5" s="18">
        <f>DO5*VLOOKUP('Données projet'!$B$14,Paramètres!$A$1:$I$89,3,0)*VLOOKUP('Données projet'!$B$14,Paramètres!$A$1:$I$89,5,0)</f>
        <v>0.77644654496447219</v>
      </c>
      <c r="DQ5" s="14">
        <f t="shared" ref="DQ5:DQ68" si="43">EXP(-1.0587+0.8836*LN(DP5)+0.284)</f>
        <v>0.36851455096495994</v>
      </c>
      <c r="DR5" s="22">
        <f t="shared" si="16"/>
        <v>1.9941405754104276</v>
      </c>
      <c r="DS5" s="62">
        <f t="shared" si="17"/>
        <v>295.32747390874374</v>
      </c>
      <c r="DT5" s="62">
        <f ca="1">AVERAGE(OFFSET($DS$3,0,0,'Données projet'!$E$14+1,1))-AVERAGE(OFFSET($H$3,0,0,'Données projet'!$E$14+1,1))</f>
        <v>215.23235148064941</v>
      </c>
      <c r="DU5" s="62">
        <f t="shared" ref="DU5:DU68" si="44">$DU$3</f>
        <v>184.07239726900434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299.88942090728119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3.7</v>
      </c>
      <c r="N6" s="14">
        <f>IF('Données projet'!$A$36&gt;35,N5+M6-V5,IF(A6&lt;'Données projet'!$A$36,$K$205^A6,IF(A6='Données projet'!$A$36,'Données projet'!$B$36,N5+M6-V5)))</f>
        <v>2.9543402899253381</v>
      </c>
      <c r="O6" s="14">
        <f>N6*VLOOKUP('Données projet'!$B$9,Paramètres!$A$1:$I$89,3,0)*VLOOKUP('Données projet'!$B$9,Paramètres!$A$1:$I$89,5,0)</f>
        <v>1.6514762220682639</v>
      </c>
      <c r="P6" s="14">
        <f t="shared" si="33"/>
        <v>0.71790016199749873</v>
      </c>
      <c r="Q6" s="22">
        <f t="shared" si="2"/>
        <v>4.1266638689145365</v>
      </c>
      <c r="R6" s="62">
        <f t="shared" si="0"/>
        <v>297.45999720224785</v>
      </c>
      <c r="S6" s="62">
        <f ca="1">AVERAGE(OFFSET($R$3,0,0,'Données projet'!$E$9+1,1))-AVERAGE(OFFSET($H$3,0,0,'Données projet'!$E$9+1,1))</f>
        <v>460.40450534123659</v>
      </c>
      <c r="T6" s="62">
        <f t="shared" si="34"/>
        <v>467.77477728479198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5.05</v>
      </c>
      <c r="AI6" s="14">
        <f>IF('Données projet'!$A$62&gt;35,AI5+AH6-AQ5,IF(A6&lt;'Données projet'!$A$62,$AF$205^A6,IF(A6='Données projet'!$A$62,'Données projet'!$B$62,AI5+AH6-AQ5)))</f>
        <v>1.9982425665282175</v>
      </c>
      <c r="AJ6" s="14">
        <f>AI6*VLOOKUP('Données projet'!$B$10,Paramètres!$A$1:$I$89,3,0)*VLOOKUP('Données projet'!$B$10,Paramètres!$A$1:$I$89,5,0)</f>
        <v>1.808009874194731</v>
      </c>
      <c r="AK6" s="14">
        <f t="shared" si="35"/>
        <v>0.77770463979516313</v>
      </c>
      <c r="AL6" s="22">
        <f t="shared" si="4"/>
        <v>4.5034527785323979</v>
      </c>
      <c r="AM6" s="62">
        <f t="shared" si="5"/>
        <v>297.83678611186571</v>
      </c>
      <c r="AN6" s="62">
        <f ca="1">AVERAGE(OFFSET($AM$3,0,0,'Données projet'!$E$10+1,1))-AVERAGE(OFFSET($H$3,0,0,'Données projet'!$E$10+1,1))</f>
        <v>321.03881567735544</v>
      </c>
      <c r="AO6" s="62">
        <f t="shared" si="36"/>
        <v>234.87694492493506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7.9</v>
      </c>
      <c r="BD6" s="13">
        <f>IF('Données projet'!$A$88&gt;35,BD5+BC6-BL5,IF(A6&lt;'Données projet'!$A$88,$BA$205^A6,IF(A6='Données projet'!$A$88,'Données projet'!$B$88,BD5+BC6-BL5)))</f>
        <v>2.1369706776057753</v>
      </c>
      <c r="BE6" s="14">
        <f>BD6*VLOOKUP('Données projet'!$B$11,Paramètres!$A$1:$I$89,3,0)*VLOOKUP('Données projet'!$B$11,Paramètres!$A$1:$I$89,5,0)</f>
        <v>1.3334697028260039</v>
      </c>
      <c r="BF6" s="14">
        <f t="shared" si="37"/>
        <v>0.59427461398928705</v>
      </c>
      <c r="BG6" s="22">
        <f t="shared" si="7"/>
        <v>3.357488018453298</v>
      </c>
      <c r="BH6" s="62">
        <f t="shared" si="8"/>
        <v>296.69082135178661</v>
      </c>
      <c r="BI6" s="62">
        <f ca="1">AVERAGE(OFFSET($BH$3,0,0,'Données projet'!$E$11+1,1))-AVERAGE(OFFSET($H$3,0,0,'Données projet'!$E$11+1,1))</f>
        <v>255.41017495879987</v>
      </c>
      <c r="BJ6" s="62">
        <f t="shared" si="38"/>
        <v>297.50513563712764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9.25</v>
      </c>
      <c r="BY6" s="13">
        <f>IF('Données projet'!$A$114&gt;35,BY5+BX6-CG5,IF(A6&lt;'Données projet'!$A$114,$BV$205^A6,IF(A6='Données projet'!$A$114,'Données projet'!$B$114,BY5+BX6-CG5)))</f>
        <v>2.1881432950660948</v>
      </c>
      <c r="BZ6" s="14">
        <f>BY6*VLOOKUP('Données projet'!$B$12,Paramètres!$A$1:$I$89,3,0)*VLOOKUP('Données projet'!$B$12,Paramètres!$A$1:$I$89,5,0)</f>
        <v>1.0524969249267917</v>
      </c>
      <c r="CA6" s="14">
        <f t="shared" si="39"/>
        <v>0.48215468962510971</v>
      </c>
      <c r="CB6" s="22">
        <f t="shared" si="10"/>
        <v>2.6728515620112283</v>
      </c>
      <c r="CC6" s="62">
        <f t="shared" si="11"/>
        <v>296.00618489534452</v>
      </c>
      <c r="CD6" s="62">
        <f ca="1">AVERAGE(OFFSET($CC$3,0,0,'Données projet'!$E$12+1,1))-AVERAGE(OFFSET($H$3,0,0,'Données projet'!$E$12+1,1))</f>
        <v>409.97612835032567</v>
      </c>
      <c r="CE6" s="62">
        <f t="shared" si="40"/>
        <v>411.87876448092288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12.35</v>
      </c>
      <c r="CT6" s="13">
        <f>IF('Données projet'!$A$140&gt;35,CT5+CS6-DB5,IF(A6&lt;'Données projet'!$A$140,$CQ$205^A6,IF(A6='Données projet'!$A$140,'Données projet'!$B$140,CT5+CS6-DB5)))</f>
        <v>2.2850964887854062</v>
      </c>
      <c r="CU6" s="18">
        <f>CT6*VLOOKUP('Données projet'!$B$13,Paramètres!$A$1:$I$89,3,0)*VLOOKUP('Données projet'!$B$13,Paramètres!$A$1:$I$89,5,0)</f>
        <v>1.3664877002936731</v>
      </c>
      <c r="CV6" s="14">
        <f t="shared" si="41"/>
        <v>0.60725805638981578</v>
      </c>
      <c r="CW6" s="22">
        <f t="shared" si="13"/>
        <v>3.4376071928904097</v>
      </c>
      <c r="CX6" s="62">
        <f t="shared" si="14"/>
        <v>296.77094052622374</v>
      </c>
      <c r="CY6" s="62">
        <f ca="1">AVERAGE(OFFSET($CX$3,0,0,'Données projet'!$E$13+1,1))-AVERAGE(OFFSET($H$3,0,0,'Données projet'!$E$13+1,1))</f>
        <v>463.3255103386889</v>
      </c>
      <c r="CZ6" s="62">
        <f t="shared" si="42"/>
        <v>474.73210558736127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7.9</v>
      </c>
      <c r="DO6" s="13">
        <f>IF('Données projet'!$A$166&gt;35,DO5+DN6-DW5,IF(A6&lt;'Données projet'!$A$166,$DL$205^A6,IF(A6='Données projet'!$A$166,'Données projet'!$B$166,DO5+DN6-DW5)))</f>
        <v>2.1369706776057753</v>
      </c>
      <c r="DP6" s="18">
        <f>DO6*VLOOKUP('Données projet'!$B$14,Paramètres!$A$1:$I$89,3,0)*VLOOKUP('Données projet'!$B$14,Paramètres!$A$1:$I$89,5,0)</f>
        <v>1.0001022771195029</v>
      </c>
      <c r="DQ6" s="14">
        <f t="shared" si="43"/>
        <v>0.46088365986243646</v>
      </c>
      <c r="DR6" s="22">
        <f t="shared" si="16"/>
        <v>2.5445505069102112</v>
      </c>
      <c r="DS6" s="62">
        <f t="shared" si="17"/>
        <v>295.8778838402435</v>
      </c>
      <c r="DT6" s="62">
        <f ca="1">AVERAGE(OFFSET($DS$3,0,0,'Données projet'!$E$14+1,1))-AVERAGE(OFFSET($H$3,0,0,'Données projet'!$E$14+1,1))</f>
        <v>215.23235148064941</v>
      </c>
      <c r="DU6" s="62">
        <f t="shared" si="44"/>
        <v>184.07239726900434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301.9909165039561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3.7</v>
      </c>
      <c r="N7" s="14">
        <f>IF('Données projet'!$A$36&gt;35,N6+M7-V6,IF(A7&lt;'Données projet'!$A$36,$K$205^A7,IF(A7='Données projet'!$A$36,'Données projet'!$B$36,N6+M7-V6)))</f>
        <v>4.2391685997738078</v>
      </c>
      <c r="O7" s="14">
        <f>N7*VLOOKUP('Données projet'!$B$9,Paramètres!$A$1:$I$89,3,0)*VLOOKUP('Données projet'!$B$9,Paramètres!$A$1:$I$89,5,0)</f>
        <v>2.3696952472735586</v>
      </c>
      <c r="P7" s="14">
        <f t="shared" si="33"/>
        <v>0.98771205799842543</v>
      </c>
      <c r="Q7" s="22">
        <f t="shared" si="2"/>
        <v>5.8474843900153717</v>
      </c>
      <c r="R7" s="62">
        <f t="shared" si="0"/>
        <v>299.1808177233487</v>
      </c>
      <c r="S7" s="62">
        <f ca="1">AVERAGE(OFFSET($R$3,0,0,'Données projet'!$E$9+1,1))-AVERAGE(OFFSET($H$3,0,0,'Données projet'!$E$9+1,1))</f>
        <v>460.40450534123659</v>
      </c>
      <c r="T7" s="62">
        <f t="shared" si="34"/>
        <v>467.77477728479198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5.05</v>
      </c>
      <c r="AI7" s="14">
        <f>IF('Données projet'!$A$62&gt;35,AI6+AH7-AQ6,IF(A7&lt;'Données projet'!$A$62,$AF$205^A7,IF(A7='Données projet'!$A$62,'Données projet'!$B$62,AI6+AH7-AQ6)))</f>
        <v>2.5168902290140651</v>
      </c>
      <c r="AJ7" s="14">
        <f>AI7*VLOOKUP('Données projet'!$B$10,Paramètres!$A$1:$I$89,3,0)*VLOOKUP('Données projet'!$B$10,Paramètres!$A$1:$I$89,5,0)</f>
        <v>2.2772822792119261</v>
      </c>
      <c r="AK7" s="14">
        <f t="shared" si="35"/>
        <v>0.95359860760540094</v>
      </c>
      <c r="AL7" s="22">
        <f t="shared" si="4"/>
        <v>5.6271175445401775</v>
      </c>
      <c r="AM7" s="62">
        <f t="shared" si="5"/>
        <v>298.96045087787348</v>
      </c>
      <c r="AN7" s="62">
        <f ca="1">AVERAGE(OFFSET($AM$3,0,0,'Données projet'!$E$10+1,1))-AVERAGE(OFFSET($H$3,0,0,'Données projet'!$E$10+1,1))</f>
        <v>321.03881567735544</v>
      </c>
      <c r="AO7" s="62">
        <f t="shared" si="36"/>
        <v>234.87694492493506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7.9</v>
      </c>
      <c r="BD7" s="13">
        <f>IF('Données projet'!$A$88&gt;35,BD6+BC7-BL6,IF(A7&lt;'Données projet'!$A$88,$BA$205^A7,IF(A7='Données projet'!$A$88,'Données projet'!$B$88,BD6+BC7-BL6)))</f>
        <v>2.7525259203889356</v>
      </c>
      <c r="BE7" s="14">
        <f>BD7*VLOOKUP('Données projet'!$B$11,Paramètres!$A$1:$I$89,3,0)*VLOOKUP('Données projet'!$B$11,Paramètres!$A$1:$I$89,5,0)</f>
        <v>1.7175761743226958</v>
      </c>
      <c r="BF7" s="14">
        <f t="shared" si="37"/>
        <v>0.74323105652553223</v>
      </c>
      <c r="BG7" s="22">
        <f t="shared" si="7"/>
        <v>4.2859059270606634</v>
      </c>
      <c r="BH7" s="62">
        <f t="shared" si="8"/>
        <v>297.61923926039395</v>
      </c>
      <c r="BI7" s="62">
        <f ca="1">AVERAGE(OFFSET($BH$3,0,0,'Données projet'!$E$11+1,1))-AVERAGE(OFFSET($H$3,0,0,'Données projet'!$E$11+1,1))</f>
        <v>255.41017495879987</v>
      </c>
      <c r="BJ7" s="62">
        <f t="shared" si="38"/>
        <v>297.50513563712764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9.25</v>
      </c>
      <c r="BY7" s="13">
        <f>IF('Données projet'!$A$114&gt;35,BY6+BX7-CG6,IF(A7&lt;'Données projet'!$A$114,$BV$205^A7,IF(A7='Données projet'!$A$114,'Données projet'!$B$114,BY6+BX7-CG6)))</f>
        <v>2.840758701797828</v>
      </c>
      <c r="BZ7" s="14">
        <f>BY7*VLOOKUP('Données projet'!$B$12,Paramètres!$A$1:$I$89,3,0)*VLOOKUP('Données projet'!$B$12,Paramètres!$A$1:$I$89,5,0)</f>
        <v>1.3664049355647554</v>
      </c>
      <c r="CA7" s="14">
        <f t="shared" si="39"/>
        <v>0.60722555738267336</v>
      </c>
      <c r="CB7" s="22">
        <f t="shared" si="10"/>
        <v>3.437406441883438</v>
      </c>
      <c r="CC7" s="62">
        <f t="shared" si="11"/>
        <v>296.77073977521673</v>
      </c>
      <c r="CD7" s="62">
        <f ca="1">AVERAGE(OFFSET($CC$3,0,0,'Données projet'!$E$12+1,1))-AVERAGE(OFFSET($H$3,0,0,'Données projet'!$E$12+1,1))</f>
        <v>409.97612835032567</v>
      </c>
      <c r="CE7" s="62">
        <f t="shared" si="40"/>
        <v>411.87876448092288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12.35</v>
      </c>
      <c r="CT7" s="13">
        <f>IF('Données projet'!$A$140&gt;35,CT6+CS7-DB6,IF(A7&lt;'Données projet'!$A$140,$CQ$205^A7,IF(A7='Données projet'!$A$140,'Données projet'!$B$140,CT6+CS7-DB6)))</f>
        <v>3.0098121474422164</v>
      </c>
      <c r="CU7" s="18">
        <f>CT7*VLOOKUP('Données projet'!$B$13,Paramètres!$A$1:$I$89,3,0)*VLOOKUP('Données projet'!$B$13,Paramètres!$A$1:$I$89,5,0)</f>
        <v>1.7998676641704456</v>
      </c>
      <c r="CV7" s="14">
        <f t="shared" si="41"/>
        <v>0.77460917475178293</v>
      </c>
      <c r="CW7" s="22">
        <f t="shared" si="13"/>
        <v>4.4838804944562147</v>
      </c>
      <c r="CX7" s="62">
        <f t="shared" si="14"/>
        <v>297.81721382778954</v>
      </c>
      <c r="CY7" s="62">
        <f ca="1">AVERAGE(OFFSET($CX$3,0,0,'Données projet'!$E$13+1,1))-AVERAGE(OFFSET($H$3,0,0,'Données projet'!$E$13+1,1))</f>
        <v>463.3255103386889</v>
      </c>
      <c r="CZ7" s="62">
        <f t="shared" si="42"/>
        <v>474.73210558736127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7.9</v>
      </c>
      <c r="DO7" s="13">
        <f>IF('Données projet'!$A$166&gt;35,DO6+DN7-DW6,IF(A7&lt;'Données projet'!$A$166,$DL$205^A7,IF(A7='Données projet'!$A$166,'Données projet'!$B$166,DO6+DN7-DW6)))</f>
        <v>2.7525259203889356</v>
      </c>
      <c r="DP7" s="18">
        <f>DO7*VLOOKUP('Données projet'!$B$14,Paramètres!$A$1:$I$89,3,0)*VLOOKUP('Données projet'!$B$14,Paramètres!$A$1:$I$89,5,0)</f>
        <v>1.2881821307420218</v>
      </c>
      <c r="DQ7" s="14">
        <f t="shared" si="43"/>
        <v>0.57640532069082717</v>
      </c>
      <c r="DR7" s="22">
        <f t="shared" si="16"/>
        <v>3.2474898112455457</v>
      </c>
      <c r="DS7" s="62">
        <f t="shared" si="17"/>
        <v>296.58082314457886</v>
      </c>
      <c r="DT7" s="62">
        <f ca="1">AVERAGE(OFFSET($DS$3,0,0,'Données projet'!$E$14+1,1))-AVERAGE(OFFSET($H$3,0,0,'Données projet'!$E$14+1,1))</f>
        <v>215.23235148064941</v>
      </c>
      <c r="DU7" s="62">
        <f t="shared" si="44"/>
        <v>184.07239726900434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304.07638038697939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3.7</v>
      </c>
      <c r="N8" s="14">
        <f>IF('Données projet'!$A$36&gt;35,N7+M8-V7,IF(A8&lt;'Données projet'!$A$36,$K$205^A8,IF(A8='Données projet'!$A$36,'Données projet'!$B$36,N7+M8-V7)))</f>
        <v>6.0827625302982193</v>
      </c>
      <c r="O8" s="14">
        <f>N8*VLOOKUP('Données projet'!$B$9,Paramètres!$A$1:$I$89,3,0)*VLOOKUP('Données projet'!$B$9,Paramètres!$A$1:$I$89,5,0)</f>
        <v>3.4002642544367045</v>
      </c>
      <c r="P8" s="14">
        <f t="shared" si="33"/>
        <v>1.3589286660710962</v>
      </c>
      <c r="Q8" s="22">
        <f t="shared" si="2"/>
        <v>8.2889276698844174</v>
      </c>
      <c r="R8" s="62">
        <f t="shared" si="0"/>
        <v>301.62226100321772</v>
      </c>
      <c r="S8" s="62">
        <f ca="1">AVERAGE(OFFSET($R$3,0,0,'Données projet'!$E$9+1,1))-AVERAGE(OFFSET($H$3,0,0,'Données projet'!$E$9+1,1))</f>
        <v>460.40450534123659</v>
      </c>
      <c r="T8" s="62">
        <f t="shared" si="34"/>
        <v>467.77477728479198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5.05</v>
      </c>
      <c r="AI8" s="14">
        <f>IF('Données projet'!$A$62&gt;35,AI7+AH8-AQ7,IF(A8&lt;'Données projet'!$A$62,$AF$205^A8,IF(A8='Données projet'!$A$62,'Données projet'!$B$62,AI7+AH8-AQ7)))</f>
        <v>3.1701538797227</v>
      </c>
      <c r="AJ8" s="14">
        <f>AI8*VLOOKUP('Données projet'!$B$10,Paramètres!$A$1:$I$89,3,0)*VLOOKUP('Données projet'!$B$10,Paramètres!$A$1:$I$89,5,0)</f>
        <v>2.868355230373099</v>
      </c>
      <c r="AK8" s="14">
        <f t="shared" si="35"/>
        <v>1.1692746293328919</v>
      </c>
      <c r="AL8" s="22">
        <f t="shared" si="4"/>
        <v>7.0322053389879331</v>
      </c>
      <c r="AM8" s="62">
        <f t="shared" si="5"/>
        <v>300.36553867232124</v>
      </c>
      <c r="AN8" s="62">
        <f ca="1">AVERAGE(OFFSET($AM$3,0,0,'Données projet'!$E$10+1,1))-AVERAGE(OFFSET($H$3,0,0,'Données projet'!$E$10+1,1))</f>
        <v>321.03881567735544</v>
      </c>
      <c r="AO8" s="62">
        <f t="shared" si="36"/>
        <v>234.87694492493506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7.9</v>
      </c>
      <c r="BD8" s="13">
        <f>IF('Données projet'!$A$88&gt;35,BD7+BC8-BL7,IF(A8&lt;'Données projet'!$A$88,$BA$205^A8,IF(A8='Données projet'!$A$88,'Données projet'!$B$88,BD7+BC8-BL7)))</f>
        <v>3.5453920925585285</v>
      </c>
      <c r="BE8" s="14">
        <f>BD8*VLOOKUP('Données projet'!$B$11,Paramètres!$A$1:$I$89,3,0)*VLOOKUP('Données projet'!$B$11,Paramètres!$A$1:$I$89,5,0)</f>
        <v>2.2123246657565216</v>
      </c>
      <c r="BF8" s="14">
        <f t="shared" si="37"/>
        <v>0.9295238100041352</v>
      </c>
      <c r="BG8" s="22">
        <f t="shared" si="7"/>
        <v>5.4720527619498105</v>
      </c>
      <c r="BH8" s="62">
        <f t="shared" si="8"/>
        <v>298.8053860952831</v>
      </c>
      <c r="BI8" s="62">
        <f ca="1">AVERAGE(OFFSET($BH$3,0,0,'Données projet'!$E$11+1,1))-AVERAGE(OFFSET($H$3,0,0,'Données projet'!$E$11+1,1))</f>
        <v>255.41017495879987</v>
      </c>
      <c r="BJ8" s="62">
        <f t="shared" si="38"/>
        <v>297.50513563712764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9.25</v>
      </c>
      <c r="BY8" s="13">
        <f>IF('Données projet'!$A$114&gt;35,BY7+BX8-CG7,IF(A8&lt;'Données projet'!$A$114,$BV$205^A8,IF(A8='Données projet'!$A$114,'Données projet'!$B$114,BY7+BX8-CG7)))</f>
        <v>3.6880171513613429</v>
      </c>
      <c r="BZ8" s="14">
        <f>BY8*VLOOKUP('Données projet'!$B$12,Paramètres!$A$1:$I$89,3,0)*VLOOKUP('Données projet'!$B$12,Paramètres!$A$1:$I$89,5,0)</f>
        <v>1.7739362498048059</v>
      </c>
      <c r="CA8" s="14">
        <f t="shared" si="39"/>
        <v>0.76473979300168582</v>
      </c>
      <c r="CB8" s="22">
        <f t="shared" si="10"/>
        <v>4.4215274412213068</v>
      </c>
      <c r="CC8" s="62">
        <f t="shared" si="11"/>
        <v>297.75486077455463</v>
      </c>
      <c r="CD8" s="62">
        <f ca="1">AVERAGE(OFFSET($CC$3,0,0,'Données projet'!$E$12+1,1))-AVERAGE(OFFSET($H$3,0,0,'Données projet'!$E$12+1,1))</f>
        <v>409.97612835032567</v>
      </c>
      <c r="CE8" s="62">
        <f t="shared" si="40"/>
        <v>411.87876448092288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12.35</v>
      </c>
      <c r="CT8" s="13">
        <f>IF('Données projet'!$A$140&gt;35,CT7+CS8-DB7,IF(A8&lt;'Données projet'!$A$140,$CQ$205^A8,IF(A8='Données projet'!$A$140,'Données projet'!$B$140,CT7+CS8-DB7)))</f>
        <v>3.9643705232359037</v>
      </c>
      <c r="CU8" s="18">
        <f>CT8*VLOOKUP('Données projet'!$B$13,Paramètres!$A$1:$I$89,3,0)*VLOOKUP('Données projet'!$B$13,Paramètres!$A$1:$I$89,5,0)</f>
        <v>2.3706935728950707</v>
      </c>
      <c r="CV8" s="14">
        <f t="shared" si="41"/>
        <v>0.98807972540831823</v>
      </c>
      <c r="CW8" s="22">
        <f t="shared" si="13"/>
        <v>5.8498634945450689</v>
      </c>
      <c r="CX8" s="62">
        <f t="shared" si="14"/>
        <v>299.18319682787836</v>
      </c>
      <c r="CY8" s="62">
        <f ca="1">AVERAGE(OFFSET($CX$3,0,0,'Données projet'!$E$13+1,1))-AVERAGE(OFFSET($H$3,0,0,'Données projet'!$E$13+1,1))</f>
        <v>463.3255103386889</v>
      </c>
      <c r="CZ8" s="62">
        <f t="shared" si="42"/>
        <v>474.73210558736127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7.9</v>
      </c>
      <c r="DO8" s="13">
        <f>IF('Données projet'!$A$166&gt;35,DO7+DN8-DW7,IF(A8&lt;'Données projet'!$A$166,$DL$205^A8,IF(A8='Données projet'!$A$166,'Données projet'!$B$166,DO7+DN8-DW7)))</f>
        <v>3.5453920925585285</v>
      </c>
      <c r="DP8" s="18">
        <f>DO8*VLOOKUP('Données projet'!$B$14,Paramètres!$A$1:$I$89,3,0)*VLOOKUP('Données projet'!$B$14,Paramètres!$A$1:$I$89,5,0)</f>
        <v>1.6592434993173915</v>
      </c>
      <c r="DQ8" s="14">
        <f t="shared" si="43"/>
        <v>0.72088277944126433</v>
      </c>
      <c r="DR8" s="22">
        <f t="shared" si="16"/>
        <v>4.1453866021713255</v>
      </c>
      <c r="DS8" s="62">
        <f t="shared" si="17"/>
        <v>297.47871993550461</v>
      </c>
      <c r="DT8" s="62">
        <f ca="1">AVERAGE(OFFSET($DS$3,0,0,'Données projet'!$E$14+1,1))-AVERAGE(OFFSET($H$3,0,0,'Données projet'!$E$14+1,1))</f>
        <v>215.23235148064941</v>
      </c>
      <c r="DU8" s="62">
        <f t="shared" si="44"/>
        <v>184.07239726900434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306.1494049109736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3.7</v>
      </c>
      <c r="N9" s="14">
        <f>IF('Données projet'!$A$36&gt;35,N8+M9-V8,IF(A9&lt;'Données projet'!$A$36,$K$205^A9,IF(A9='Données projet'!$A$36,'Données projet'!$B$36,N8+M9-V8)))</f>
        <v>8.7281265486761317</v>
      </c>
      <c r="O9" s="14">
        <f>N9*VLOOKUP('Données projet'!$B$9,Paramètres!$A$1:$I$89,3,0)*VLOOKUP('Données projet'!$B$9,Paramètres!$A$1:$I$89,5,0)</f>
        <v>4.8790227407099573</v>
      </c>
      <c r="P9" s="14">
        <f t="shared" si="33"/>
        <v>1.8696614104438858</v>
      </c>
      <c r="Q9" s="22">
        <f t="shared" si="2"/>
        <v>11.753958229926276</v>
      </c>
      <c r="R9" s="62">
        <f t="shared" si="0"/>
        <v>305.08729156325961</v>
      </c>
      <c r="S9" s="62">
        <f ca="1">AVERAGE(OFFSET($R$3,0,0,'Données projet'!$E$9+1,1))-AVERAGE(OFFSET($H$3,0,0,'Données projet'!$E$9+1,1))</f>
        <v>460.40450534123659</v>
      </c>
      <c r="T9" s="62">
        <f t="shared" si="34"/>
        <v>467.77477728479198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5.05</v>
      </c>
      <c r="AI9" s="14">
        <f>IF('Données projet'!$A$62&gt;35,AI8+AH9-AQ8,IF(A9&lt;'Données projet'!$A$62,$AF$205^A9,IF(A9='Données projet'!$A$62,'Données projet'!$B$62,AI8+AH9-AQ8)))</f>
        <v>3.9929733546852768</v>
      </c>
      <c r="AJ9" s="14">
        <f>AI9*VLOOKUP('Données projet'!$B$10,Paramètres!$A$1:$I$89,3,0)*VLOOKUP('Données projet'!$B$10,Paramètres!$A$1:$I$89,5,0)</f>
        <v>3.6128422913192382</v>
      </c>
      <c r="AK9" s="14">
        <f t="shared" si="35"/>
        <v>1.4337302381709434</v>
      </c>
      <c r="AL9" s="22">
        <f t="shared" si="4"/>
        <v>8.7894471555287339</v>
      </c>
      <c r="AM9" s="62">
        <f t="shared" si="5"/>
        <v>302.12278048886208</v>
      </c>
      <c r="AN9" s="62">
        <f ca="1">AVERAGE(OFFSET($AM$3,0,0,'Données projet'!$E$10+1,1))-AVERAGE(OFFSET($H$3,0,0,'Données projet'!$E$10+1,1))</f>
        <v>321.03881567735544</v>
      </c>
      <c r="AO9" s="62">
        <f t="shared" si="36"/>
        <v>234.87694492493506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7.9</v>
      </c>
      <c r="BD9" s="13">
        <f>IF('Données projet'!$A$88&gt;35,BD8+BC9-BL8,IF(A9&lt;'Données projet'!$A$88,$BA$205^A9,IF(A9='Données projet'!$A$88,'Données projet'!$B$88,BD8+BC9-BL8)))</f>
        <v>4.566643676946887</v>
      </c>
      <c r="BE9" s="14">
        <f>BD9*VLOOKUP('Données projet'!$B$11,Paramètres!$A$1:$I$89,3,0)*VLOOKUP('Données projet'!$B$11,Paramètres!$A$1:$I$89,5,0)</f>
        <v>2.8495856544148572</v>
      </c>
      <c r="BF9" s="14">
        <f t="shared" si="37"/>
        <v>1.1625113156650257</v>
      </c>
      <c r="BG9" s="22">
        <f t="shared" si="7"/>
        <v>6.9877355562224617</v>
      </c>
      <c r="BH9" s="62">
        <f t="shared" si="8"/>
        <v>300.32106888955576</v>
      </c>
      <c r="BI9" s="62">
        <f ca="1">AVERAGE(OFFSET($BH$3,0,0,'Données projet'!$E$11+1,1))-AVERAGE(OFFSET($H$3,0,0,'Données projet'!$E$11+1,1))</f>
        <v>255.41017495879987</v>
      </c>
      <c r="BJ9" s="62">
        <f t="shared" si="38"/>
        <v>297.50513563712764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9.25</v>
      </c>
      <c r="BY9" s="13">
        <f>IF('Données projet'!$A$114&gt;35,BY8+BX9-CG8,IF(A9&lt;'Données projet'!$A$114,$BV$205^A9,IF(A9='Données projet'!$A$114,'Données projet'!$B$114,BY8+BX9-CG8)))</f>
        <v>4.7879710797427064</v>
      </c>
      <c r="BZ9" s="14">
        <f>BY9*VLOOKUP('Données projet'!$B$12,Paramètres!$A$1:$I$89,3,0)*VLOOKUP('Données projet'!$B$12,Paramètres!$A$1:$I$89,5,0)</f>
        <v>2.3030140893562421</v>
      </c>
      <c r="CA9" s="14">
        <f t="shared" si="39"/>
        <v>0.96311320215348506</v>
      </c>
      <c r="CB9" s="22">
        <f t="shared" si="10"/>
        <v>5.6885050327127749</v>
      </c>
      <c r="CC9" s="62">
        <f t="shared" si="11"/>
        <v>299.0218383660461</v>
      </c>
      <c r="CD9" s="62">
        <f ca="1">AVERAGE(OFFSET($CC$3,0,0,'Données projet'!$E$12+1,1))-AVERAGE(OFFSET($H$3,0,0,'Données projet'!$E$12+1,1))</f>
        <v>409.97612835032567</v>
      </c>
      <c r="CE9" s="62">
        <f t="shared" si="40"/>
        <v>411.87876448092288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12.35</v>
      </c>
      <c r="CT9" s="13">
        <f>IF('Données projet'!$A$140&gt;35,CT8+CS9-DB8,IF(A9&lt;'Données projet'!$A$140,$CQ$205^A9,IF(A9='Données projet'!$A$140,'Données projet'!$B$140,CT8+CS9-DB8)))</f>
        <v>5.2216659630593911</v>
      </c>
      <c r="CU9" s="18">
        <f>CT9*VLOOKUP('Données projet'!$B$13,Paramètres!$A$1:$I$89,3,0)*VLOOKUP('Données projet'!$B$13,Paramètres!$A$1:$I$89,5,0)</f>
        <v>3.1225562459095162</v>
      </c>
      <c r="CV9" s="14">
        <f t="shared" si="41"/>
        <v>1.2603795250370298</v>
      </c>
      <c r="CW9" s="22">
        <f t="shared" si="13"/>
        <v>7.6336131343985665</v>
      </c>
      <c r="CX9" s="62">
        <f t="shared" si="14"/>
        <v>300.96694646773187</v>
      </c>
      <c r="CY9" s="62">
        <f ca="1">AVERAGE(OFFSET($CX$3,0,0,'Données projet'!$E$13+1,1))-AVERAGE(OFFSET($H$3,0,0,'Données projet'!$E$13+1,1))</f>
        <v>463.3255103386889</v>
      </c>
      <c r="CZ9" s="62">
        <f t="shared" si="42"/>
        <v>474.73210558736127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7.9</v>
      </c>
      <c r="DO9" s="13">
        <f>IF('Données projet'!$A$166&gt;35,DO8+DN9-DW8,IF(A9&lt;'Données projet'!$A$166,$DL$205^A9,IF(A9='Données projet'!$A$166,'Données projet'!$B$166,DO8+DN9-DW8)))</f>
        <v>4.566643676946887</v>
      </c>
      <c r="DP9" s="18">
        <f>DO9*VLOOKUP('Données projet'!$B$14,Paramètres!$A$1:$I$89,3,0)*VLOOKUP('Données projet'!$B$14,Paramètres!$A$1:$I$89,5,0)</f>
        <v>2.1371892408111433</v>
      </c>
      <c r="DQ9" s="14">
        <f t="shared" si="43"/>
        <v>0.9015738804633705</v>
      </c>
      <c r="DR9" s="22">
        <f t="shared" si="16"/>
        <v>5.292512436219778</v>
      </c>
      <c r="DS9" s="62">
        <f t="shared" si="17"/>
        <v>298.62584576955311</v>
      </c>
      <c r="DT9" s="62">
        <f ca="1">AVERAGE(OFFSET($DS$3,0,0,'Données projet'!$E$14+1,1))-AVERAGE(OFFSET($H$3,0,0,'Données projet'!$E$14+1,1))</f>
        <v>215.23235148064941</v>
      </c>
      <c r="DU9" s="62">
        <f t="shared" si="44"/>
        <v>184.07239726900434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308.2123059280633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3.7</v>
      </c>
      <c r="N10" s="14">
        <f>IF('Données projet'!$A$36&gt;35,N9+M10-V9,IF(A10&lt;'Données projet'!$A$36,$K$205^A10,IF(A10='Données projet'!$A$36,'Données projet'!$B$36,N9+M10-V9)))</f>
        <v>12.523946590098141</v>
      </c>
      <c r="O10" s="14">
        <f>N10*VLOOKUP('Données projet'!$B$9,Paramètres!$A$1:$I$89,3,0)*VLOOKUP('Données projet'!$B$9,Paramètres!$A$1:$I$89,5,0)</f>
        <v>7.0008861438648609</v>
      </c>
      <c r="P10" s="14">
        <f t="shared" si="33"/>
        <v>2.5723453165569885</v>
      </c>
      <c r="Q10" s="22">
        <f t="shared" si="2"/>
        <v>16.673378126901387</v>
      </c>
      <c r="R10" s="62">
        <f t="shared" si="0"/>
        <v>310.00671146023473</v>
      </c>
      <c r="S10" s="62">
        <f ca="1">AVERAGE(OFFSET($R$3,0,0,'Données projet'!$E$9+1,1))-AVERAGE(OFFSET($H$3,0,0,'Données projet'!$E$9+1,1))</f>
        <v>460.40450534123659</v>
      </c>
      <c r="T10" s="62">
        <f t="shared" si="34"/>
        <v>467.77477728479198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5.05</v>
      </c>
      <c r="AI10" s="14">
        <f>IF('Données projet'!$A$62&gt;35,AI9+AH10-AQ9,IF(A10&lt;'Données projet'!$A$62,$AF$205^A10,IF(A10='Données projet'!$A$62,'Données projet'!$B$62,AI9+AH10-AQ9)))</f>
        <v>5.0293571908948582</v>
      </c>
      <c r="AJ10" s="14">
        <f>AI10*VLOOKUP('Données projet'!$B$10,Paramètres!$A$1:$I$89,3,0)*VLOOKUP('Données projet'!$B$10,Paramètres!$A$1:$I$89,5,0)</f>
        <v>4.5505623863216673</v>
      </c>
      <c r="AK10" s="14">
        <f t="shared" si="35"/>
        <v>1.7579979452889398</v>
      </c>
      <c r="AL10" s="22">
        <f t="shared" si="4"/>
        <v>10.987409244221809</v>
      </c>
      <c r="AM10" s="62">
        <f t="shared" si="5"/>
        <v>304.32074257755511</v>
      </c>
      <c r="AN10" s="62">
        <f ca="1">AVERAGE(OFFSET($AM$3,0,0,'Données projet'!$E$10+1,1))-AVERAGE(OFFSET($H$3,0,0,'Données projet'!$E$10+1,1))</f>
        <v>321.03881567735544</v>
      </c>
      <c r="AO10" s="62">
        <f t="shared" si="36"/>
        <v>234.87694492493506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7.9</v>
      </c>
      <c r="BD10" s="13">
        <f>IF('Données projet'!$A$88&gt;35,BD9+BC10-BL9,IF(A10&lt;'Données projet'!$A$88,$BA$205^A10,IF(A10='Données projet'!$A$88,'Données projet'!$B$88,BD9+BC10-BL9)))</f>
        <v>5.8820671812210037</v>
      </c>
      <c r="BE10" s="14">
        <f>BD10*VLOOKUP('Données projet'!$B$11,Paramètres!$A$1:$I$89,3,0)*VLOOKUP('Données projet'!$B$11,Paramètres!$A$1:$I$89,5,0)</f>
        <v>3.6704099210819061</v>
      </c>
      <c r="BF10" s="14">
        <f t="shared" si="37"/>
        <v>1.4538977318324067</v>
      </c>
      <c r="BG10" s="22">
        <f t="shared" si="7"/>
        <v>8.9248358288257617</v>
      </c>
      <c r="BH10" s="62">
        <f t="shared" si="8"/>
        <v>302.25816916215905</v>
      </c>
      <c r="BI10" s="62">
        <f ca="1">AVERAGE(OFFSET($BH$3,0,0,'Données projet'!$E$11+1,1))-AVERAGE(OFFSET($H$3,0,0,'Données projet'!$E$11+1,1))</f>
        <v>255.41017495879987</v>
      </c>
      <c r="BJ10" s="62">
        <f t="shared" si="38"/>
        <v>297.50513563712764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9.25</v>
      </c>
      <c r="BY10" s="13">
        <f>IF('Données projet'!$A$114&gt;35,BY9+BX10-CG9,IF(A10&lt;'Données projet'!$A$114,$BV$205^A10,IF(A10='Données projet'!$A$114,'Données projet'!$B$114,BY9+BX10-CG9)))</f>
        <v>6.2159871062395808</v>
      </c>
      <c r="BZ10" s="14">
        <f>BY10*VLOOKUP('Données projet'!$B$12,Paramètres!$A$1:$I$89,3,0)*VLOOKUP('Données projet'!$B$12,Paramètres!$A$1:$I$89,5,0)</f>
        <v>2.9898897981012387</v>
      </c>
      <c r="CA10" s="14">
        <f t="shared" si="39"/>
        <v>1.2129446494754259</v>
      </c>
      <c r="CB10" s="22">
        <f t="shared" si="10"/>
        <v>7.3199366628626912</v>
      </c>
      <c r="CC10" s="62">
        <f t="shared" si="11"/>
        <v>300.653269996196</v>
      </c>
      <c r="CD10" s="62">
        <f ca="1">AVERAGE(OFFSET($CC$3,0,0,'Données projet'!$E$12+1,1))-AVERAGE(OFFSET($H$3,0,0,'Données projet'!$E$12+1,1))</f>
        <v>409.97612835032567</v>
      </c>
      <c r="CE10" s="62">
        <f t="shared" si="40"/>
        <v>411.87876448092288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12.35</v>
      </c>
      <c r="CT10" s="13">
        <f>IF('Données projet'!$A$140&gt;35,CT9+CS10-DB9,IF(A10&lt;'Données projet'!$A$140,$CQ$205^A10,IF(A10='Données projet'!$A$140,'Données projet'!$B$140,CT9+CS10-DB9)))</f>
        <v>6.877711170023872</v>
      </c>
      <c r="CU10" s="18">
        <f>CT10*VLOOKUP('Données projet'!$B$13,Paramètres!$A$1:$I$89,3,0)*VLOOKUP('Données projet'!$B$13,Paramètres!$A$1:$I$89,5,0)</f>
        <v>4.1128712796742759</v>
      </c>
      <c r="CV10" s="14">
        <f t="shared" si="41"/>
        <v>1.6077210231958829</v>
      </c>
      <c r="CW10" s="22">
        <f t="shared" si="13"/>
        <v>9.9633649274988603</v>
      </c>
      <c r="CX10" s="62">
        <f t="shared" si="14"/>
        <v>303.29669826083216</v>
      </c>
      <c r="CY10" s="62">
        <f ca="1">AVERAGE(OFFSET($CX$3,0,0,'Données projet'!$E$13+1,1))-AVERAGE(OFFSET($H$3,0,0,'Données projet'!$E$13+1,1))</f>
        <v>463.3255103386889</v>
      </c>
      <c r="CZ10" s="62">
        <f t="shared" si="42"/>
        <v>474.73210558736127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7.9</v>
      </c>
      <c r="DO10" s="13">
        <f>IF('Données projet'!$A$166&gt;35,DO9+DN10-DW9,IF(A10&lt;'Données projet'!$A$166,$DL$205^A10,IF(A10='Données projet'!$A$166,'Données projet'!$B$166,DO9+DN10-DW9)))</f>
        <v>5.8820671812210037</v>
      </c>
      <c r="DP10" s="18">
        <f>DO10*VLOOKUP('Données projet'!$B$14,Paramètres!$A$1:$I$89,3,0)*VLOOKUP('Données projet'!$B$14,Paramètres!$A$1:$I$89,5,0)</f>
        <v>2.7528074408114294</v>
      </c>
      <c r="DQ10" s="14">
        <f t="shared" si="43"/>
        <v>1.1275556652411438</v>
      </c>
      <c r="DR10" s="22">
        <f t="shared" si="16"/>
        <v>6.7582990763748976</v>
      </c>
      <c r="DS10" s="62">
        <f t="shared" si="17"/>
        <v>300.09163240970821</v>
      </c>
      <c r="DT10" s="62">
        <f ca="1">AVERAGE(OFFSET($DS$3,0,0,'Données projet'!$E$14+1,1))-AVERAGE(OFFSET($H$3,0,0,'Données projet'!$E$14+1,1))</f>
        <v>215.23235148064941</v>
      </c>
      <c r="DU10" s="62">
        <f t="shared" si="44"/>
        <v>184.07239726900434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310.26669652068324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3.7</v>
      </c>
      <c r="N11" s="14">
        <f>IF('Données projet'!$A$36&gt;35,N10+M11-V10,IF(A11&lt;'Données projet'!$A$36,$K$205^A11,IF(A11='Données projet'!$A$36,'Données projet'!$B$36,N10+M11-V10)))</f>
        <v>17.970550417308225</v>
      </c>
      <c r="O11" s="14">
        <f>N11*VLOOKUP('Données projet'!$B$9,Paramètres!$A$1:$I$89,3,0)*VLOOKUP('Données projet'!$B$9,Paramètres!$A$1:$I$89,5,0)</f>
        <v>10.045537683275297</v>
      </c>
      <c r="P11" s="14">
        <f t="shared" si="33"/>
        <v>3.5391223195015331</v>
      </c>
      <c r="Q11" s="22">
        <f t="shared" si="2"/>
        <v>23.659949504836316</v>
      </c>
      <c r="R11" s="62">
        <f t="shared" si="0"/>
        <v>316.99328283816965</v>
      </c>
      <c r="S11" s="62">
        <f ca="1">AVERAGE(OFFSET($R$3,0,0,'Données projet'!$E$9+1,1))-AVERAGE(OFFSET($H$3,0,0,'Données projet'!$E$9+1,1))</f>
        <v>460.40450534123659</v>
      </c>
      <c r="T11" s="62">
        <f t="shared" si="34"/>
        <v>467.77477728479198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5.05</v>
      </c>
      <c r="AI11" s="14">
        <f>IF('Données projet'!$A$62&gt;35,AI10+AH11-AQ10,IF(A11&lt;'Données projet'!$A$62,$AF$205^A11,IF(A11='Données projet'!$A$62,'Données projet'!$B$62,AI10+AH11-AQ10)))</f>
        <v>6.334736424906473</v>
      </c>
      <c r="AJ11" s="14">
        <f>AI11*VLOOKUP('Données projet'!$B$10,Paramètres!$A$1:$I$89,3,0)*VLOOKUP('Données projet'!$B$10,Paramètres!$A$1:$I$89,5,0)</f>
        <v>5.7316695172553764</v>
      </c>
      <c r="AK11" s="14">
        <f t="shared" si="35"/>
        <v>2.1556054921341814</v>
      </c>
      <c r="AL11" s="22">
        <f t="shared" si="4"/>
        <v>13.737003974686814</v>
      </c>
      <c r="AM11" s="62">
        <f t="shared" si="5"/>
        <v>307.07033730802016</v>
      </c>
      <c r="AN11" s="62">
        <f ca="1">AVERAGE(OFFSET($AM$3,0,0,'Données projet'!$E$10+1,1))-AVERAGE(OFFSET($H$3,0,0,'Données projet'!$E$10+1,1))</f>
        <v>321.03881567735544</v>
      </c>
      <c r="AO11" s="62">
        <f t="shared" si="36"/>
        <v>234.87694492493506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7.9</v>
      </c>
      <c r="BD11" s="13">
        <f>IF('Données projet'!$A$88&gt;35,BD10+BC11-BL10,IF(A11&lt;'Données projet'!$A$88,$BA$205^A11,IF(A11='Données projet'!$A$88,'Données projet'!$B$88,BD10+BC11-BL10)))</f>
        <v>7.5763989424129567</v>
      </c>
      <c r="BE11" s="14">
        <f>BD11*VLOOKUP('Données projet'!$B$11,Paramètres!$A$1:$I$89,3,0)*VLOOKUP('Données projet'!$B$11,Paramètres!$A$1:$I$89,5,0)</f>
        <v>4.7276729400656849</v>
      </c>
      <c r="BF11" s="14">
        <f t="shared" si="37"/>
        <v>1.8183208938643207</v>
      </c>
      <c r="BG11" s="22">
        <f t="shared" si="7"/>
        <v>11.400939260761424</v>
      </c>
      <c r="BH11" s="62">
        <f t="shared" si="8"/>
        <v>304.73427259409476</v>
      </c>
      <c r="BI11" s="62">
        <f ca="1">AVERAGE(OFFSET($BH$3,0,0,'Données projet'!$E$11+1,1))-AVERAGE(OFFSET($H$3,0,0,'Données projet'!$E$11+1,1))</f>
        <v>255.41017495879987</v>
      </c>
      <c r="BJ11" s="62">
        <f t="shared" si="38"/>
        <v>297.50513563712764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9.25</v>
      </c>
      <c r="BY11" s="13">
        <f>IF('Données projet'!$A$114&gt;35,BY10+BX11-CG10,IF(A11&lt;'Données projet'!$A$114,$BV$205^A11,IF(A11='Données projet'!$A$114,'Données projet'!$B$114,BY10+BX11-CG10)))</f>
        <v>8.0699100018400802</v>
      </c>
      <c r="BZ11" s="14">
        <f>BY11*VLOOKUP('Données projet'!$B$12,Paramètres!$A$1:$I$89,3,0)*VLOOKUP('Données projet'!$B$12,Paramètres!$A$1:$I$89,5,0)</f>
        <v>3.8816267108850786</v>
      </c>
      <c r="CA11" s="14">
        <f t="shared" si="39"/>
        <v>1.5275823438007472</v>
      </c>
      <c r="CB11" s="22">
        <f t="shared" si="10"/>
        <v>9.4210391035778134</v>
      </c>
      <c r="CC11" s="62">
        <f t="shared" si="11"/>
        <v>302.75437243691113</v>
      </c>
      <c r="CD11" s="62">
        <f ca="1">AVERAGE(OFFSET($CC$3,0,0,'Données projet'!$E$12+1,1))-AVERAGE(OFFSET($H$3,0,0,'Données projet'!$E$12+1,1))</f>
        <v>409.97612835032567</v>
      </c>
      <c r="CE11" s="62">
        <f t="shared" si="40"/>
        <v>411.87876448092288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12.35</v>
      </c>
      <c r="CT11" s="13">
        <f>IF('Données projet'!$A$140&gt;35,CT10+CS11-DB10,IF(A11&lt;'Données projet'!$A$140,$CQ$205^A11,IF(A11='Données projet'!$A$140,'Données projet'!$B$140,CT10+CS11-DB10)))</f>
        <v>9.0589691628907261</v>
      </c>
      <c r="CU11" s="18">
        <f>CT11*VLOOKUP('Données projet'!$B$13,Paramètres!$A$1:$I$89,3,0)*VLOOKUP('Données projet'!$B$13,Paramètres!$A$1:$I$89,5,0)</f>
        <v>5.4172635594086547</v>
      </c>
      <c r="CV11" s="14">
        <f t="shared" si="41"/>
        <v>2.0507845748684921</v>
      </c>
      <c r="CW11" s="22">
        <f t="shared" si="13"/>
        <v>13.006850500532698</v>
      </c>
      <c r="CX11" s="62">
        <f t="shared" si="14"/>
        <v>306.34018383386604</v>
      </c>
      <c r="CY11" s="62">
        <f ca="1">AVERAGE(OFFSET($CX$3,0,0,'Données projet'!$E$13+1,1))-AVERAGE(OFFSET($H$3,0,0,'Données projet'!$E$13+1,1))</f>
        <v>463.3255103386889</v>
      </c>
      <c r="CZ11" s="62">
        <f t="shared" si="42"/>
        <v>474.73210558736127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7.9</v>
      </c>
      <c r="DO11" s="13">
        <f>IF('Données projet'!$A$166&gt;35,DO10+DN11-DW10,IF(A11&lt;'Données projet'!$A$166,$DL$205^A11,IF(A11='Données projet'!$A$166,'Données projet'!$B$166,DO10+DN11-DW10)))</f>
        <v>7.5763989424129567</v>
      </c>
      <c r="DP11" s="18">
        <f>DO11*VLOOKUP('Données projet'!$B$14,Paramètres!$A$1:$I$89,3,0)*VLOOKUP('Données projet'!$B$14,Paramètres!$A$1:$I$89,5,0)</f>
        <v>3.5457547050492639</v>
      </c>
      <c r="DQ11" s="14">
        <f t="shared" si="43"/>
        <v>1.4101803587787649</v>
      </c>
      <c r="DR11" s="22">
        <f t="shared" si="16"/>
        <v>8.631586902833817</v>
      </c>
      <c r="DS11" s="62">
        <f t="shared" si="17"/>
        <v>301.96492023616713</v>
      </c>
      <c r="DT11" s="62">
        <f ca="1">AVERAGE(OFFSET($DS$3,0,0,'Données projet'!$E$14+1,1))-AVERAGE(OFFSET($H$3,0,0,'Données projet'!$E$14+1,1))</f>
        <v>215.23235148064941</v>
      </c>
      <c r="DU11" s="62">
        <f t="shared" si="44"/>
        <v>184.07239726900434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312.31376232494284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3.7</v>
      </c>
      <c r="N12" s="14">
        <f>IF('Données projet'!$A$36&gt;35,N11+M12-V11,IF(A12&lt;'Données projet'!$A$36,$K$205^A12,IF(A12='Données projet'!$A$36,'Données projet'!$B$36,N11+M12-V11)))</f>
        <v>25.785855918320884</v>
      </c>
      <c r="O12" s="14">
        <f>N12*VLOOKUP('Données projet'!$B$9,Paramètres!$A$1:$I$89,3,0)*VLOOKUP('Données projet'!$B$9,Paramètres!$A$1:$I$89,5,0)</f>
        <v>14.414293458341374</v>
      </c>
      <c r="P12" s="14">
        <f t="shared" si="33"/>
        <v>4.869247807350682</v>
      </c>
      <c r="Q12" s="22">
        <f t="shared" si="2"/>
        <v>33.585501037747001</v>
      </c>
      <c r="R12" s="62">
        <f t="shared" si="0"/>
        <v>326.91883437108032</v>
      </c>
      <c r="S12" s="62">
        <f ca="1">AVERAGE(OFFSET($R$3,0,0,'Données projet'!$E$9+1,1))-AVERAGE(OFFSET($H$3,0,0,'Données projet'!$E$9+1,1))</f>
        <v>460.40450534123659</v>
      </c>
      <c r="T12" s="62">
        <f t="shared" si="34"/>
        <v>467.77477728479198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5.05</v>
      </c>
      <c r="AI12" s="14">
        <f>IF('Données projet'!$A$62&gt;35,AI11+AH12-AQ11,IF(A12&lt;'Données projet'!$A$62,$AF$205^A12,IF(A12='Données projet'!$A$62,'Données projet'!$B$62,AI11+AH12-AQ11)))</f>
        <v>7.9789293243450929</v>
      </c>
      <c r="AJ12" s="14">
        <f>AI12*VLOOKUP('Données projet'!$B$10,Paramètres!$A$1:$I$89,3,0)*VLOOKUP('Données projet'!$B$10,Paramètres!$A$1:$I$89,5,0)</f>
        <v>7.2193352526674399</v>
      </c>
      <c r="AK12" s="14">
        <f t="shared" si="35"/>
        <v>2.6431401982983194</v>
      </c>
      <c r="AL12" s="22">
        <f t="shared" si="4"/>
        <v>17.177144743765361</v>
      </c>
      <c r="AM12" s="62">
        <f t="shared" si="5"/>
        <v>310.5104780770987</v>
      </c>
      <c r="AN12" s="62">
        <f ca="1">AVERAGE(OFFSET($AM$3,0,0,'Données projet'!$E$10+1,1))-AVERAGE(OFFSET($H$3,0,0,'Données projet'!$E$10+1,1))</f>
        <v>321.03881567735544</v>
      </c>
      <c r="AO12" s="62">
        <f t="shared" si="36"/>
        <v>234.87694492493506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7.9</v>
      </c>
      <c r="BD12" s="13">
        <f>IF('Données projet'!$A$88&gt;35,BD11+BC12-BL11,IF(A12&lt;'Données projet'!$A$88,$BA$205^A12,IF(A12='Données projet'!$A$88,'Données projet'!$B$88,BD11+BC12-BL11)))</f>
        <v>9.7587836327093171</v>
      </c>
      <c r="BE12" s="14">
        <f>BD12*VLOOKUP('Données projet'!$B$11,Paramètres!$A$1:$I$89,3,0)*VLOOKUP('Données projet'!$B$11,Paramètres!$A$1:$I$89,5,0)</f>
        <v>6.0894809868106137</v>
      </c>
      <c r="BF12" s="14">
        <f t="shared" si="37"/>
        <v>2.2740876477580638</v>
      </c>
      <c r="BG12" s="22">
        <f t="shared" si="7"/>
        <v>14.566548705207111</v>
      </c>
      <c r="BH12" s="62">
        <f t="shared" si="8"/>
        <v>307.89988203854045</v>
      </c>
      <c r="BI12" s="62">
        <f ca="1">AVERAGE(OFFSET($BH$3,0,0,'Données projet'!$E$11+1,1))-AVERAGE(OFFSET($H$3,0,0,'Données projet'!$E$11+1,1))</f>
        <v>255.41017495879987</v>
      </c>
      <c r="BJ12" s="62">
        <f t="shared" si="38"/>
        <v>297.50513563712764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9.25</v>
      </c>
      <c r="BY12" s="13">
        <f>IF('Données projet'!$A$114&gt;35,BY11+BX12-CG11,IF(A12&lt;'Données projet'!$A$114,$BV$205^A12,IF(A12='Données projet'!$A$114,'Données projet'!$B$114,BY11+BX12-CG11)))</f>
        <v>10.476766815109372</v>
      </c>
      <c r="BZ12" s="14">
        <f>BY12*VLOOKUP('Données projet'!$B$12,Paramètres!$A$1:$I$89,3,0)*VLOOKUP('Données projet'!$B$12,Paramètres!$A$1:$I$89,5,0)</f>
        <v>5.0393248380676079</v>
      </c>
      <c r="CA12" s="14">
        <f t="shared" si="39"/>
        <v>1.9238370177080872</v>
      </c>
      <c r="CB12" s="22">
        <f t="shared" si="10"/>
        <v>12.127506898809335</v>
      </c>
      <c r="CC12" s="62">
        <f t="shared" si="11"/>
        <v>305.46084023214263</v>
      </c>
      <c r="CD12" s="62">
        <f ca="1">AVERAGE(OFFSET($CC$3,0,0,'Données projet'!$E$12+1,1))-AVERAGE(OFFSET($H$3,0,0,'Données projet'!$E$12+1,1))</f>
        <v>409.97612835032567</v>
      </c>
      <c r="CE12" s="62">
        <f t="shared" si="40"/>
        <v>411.87876448092288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12.35</v>
      </c>
      <c r="CT12" s="13">
        <f>IF('Données projet'!$A$140&gt;35,CT11+CS12-DB11,IF(A12&lt;'Données projet'!$A$140,$CQ$205^A12,IF(A12='Données projet'!$A$140,'Données projet'!$B$140,CT11+CS12-DB11)))</f>
        <v>11.932010557797279</v>
      </c>
      <c r="CU12" s="18">
        <f>CT12*VLOOKUP('Données projet'!$B$13,Paramètres!$A$1:$I$89,3,0)*VLOOKUP('Données projet'!$B$13,Paramètres!$A$1:$I$89,5,0)</f>
        <v>7.1353423135627736</v>
      </c>
      <c r="CV12" s="14">
        <f t="shared" si="41"/>
        <v>2.6159497274958015</v>
      </c>
      <c r="CW12" s="22">
        <f t="shared" si="13"/>
        <v>16.983500304843684</v>
      </c>
      <c r="CX12" s="62">
        <f t="shared" si="14"/>
        <v>310.316833638177</v>
      </c>
      <c r="CY12" s="62">
        <f ca="1">AVERAGE(OFFSET($CX$3,0,0,'Données projet'!$E$13+1,1))-AVERAGE(OFFSET($H$3,0,0,'Données projet'!$E$13+1,1))</f>
        <v>463.3255103386889</v>
      </c>
      <c r="CZ12" s="62">
        <f t="shared" si="42"/>
        <v>474.73210558736127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7.9</v>
      </c>
      <c r="DO12" s="13">
        <f>IF('Données projet'!$A$166&gt;35,DO11+DN12-DW11,IF(A12&lt;'Données projet'!$A$166,$DL$205^A12,IF(A12='Données projet'!$A$166,'Données projet'!$B$166,DO11+DN12-DW11)))</f>
        <v>9.7587836327093171</v>
      </c>
      <c r="DP12" s="18">
        <f>DO12*VLOOKUP('Données projet'!$B$14,Paramètres!$A$1:$I$89,3,0)*VLOOKUP('Données projet'!$B$14,Paramètres!$A$1:$I$89,5,0)</f>
        <v>4.5671107401079603</v>
      </c>
      <c r="DQ12" s="14">
        <f t="shared" si="43"/>
        <v>1.763645650133036</v>
      </c>
      <c r="DR12" s="22">
        <f t="shared" si="16"/>
        <v>11.026067379669733</v>
      </c>
      <c r="DS12" s="62">
        <f t="shared" si="17"/>
        <v>304.35940071300303</v>
      </c>
      <c r="DT12" s="62">
        <f ca="1">AVERAGE(OFFSET($DS$3,0,0,'Données projet'!$E$14+1,1))-AVERAGE(OFFSET($H$3,0,0,'Données projet'!$E$14+1,1))</f>
        <v>215.23235148064941</v>
      </c>
      <c r="DU12" s="62">
        <f t="shared" si="44"/>
        <v>184.07239726900434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314.35441004548358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>
        <f>VLOOKUP(A13,'Données projet'!$A$35:$I$55,2,0)</f>
        <v>37</v>
      </c>
      <c r="L13" s="13">
        <f>VLOOKUP(A13,'Données projet'!$A$35:$I$55,9,0)</f>
        <v>3.7</v>
      </c>
      <c r="M13" s="13">
        <f t="array" ref="M13">INDEX(L:L,MIN(IF(ISNUMBER(L13:L209),ROW(L13:L209),"")))</f>
        <v>3.7</v>
      </c>
      <c r="N13" s="14">
        <f>IF('Données projet'!$A$36&gt;35,N12+M13-V12,IF(A13&lt;'Données projet'!$A$36,$K$205^A13,IF(A13='Données projet'!$A$36,'Données projet'!$B$36,N12+M13-V12)))</f>
        <v>37</v>
      </c>
      <c r="O13" s="14">
        <f>N13*VLOOKUP('Données projet'!$B$9,Paramètres!$A$1:$I$89,3,0)*VLOOKUP('Données projet'!$B$9,Paramètres!$A$1:$I$89,5,0)</f>
        <v>20.683</v>
      </c>
      <c r="P13" s="14">
        <f t="shared" si="33"/>
        <v>6.6992808015544387</v>
      </c>
      <c r="Q13" s="22">
        <f t="shared" si="2"/>
        <v>47.690805729373977</v>
      </c>
      <c r="R13" s="62">
        <f t="shared" si="0"/>
        <v>341.02413906270726</v>
      </c>
      <c r="S13" s="62">
        <f ca="1">AVERAGE(OFFSET($R$3,0,0,'Données projet'!$E$9+1,1))-AVERAGE(OFFSET($H$3,0,0,'Données projet'!$E$9+1,1))</f>
        <v>460.40450534123659</v>
      </c>
      <c r="T13" s="62">
        <f t="shared" si="34"/>
        <v>467.77477728479198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5.05</v>
      </c>
      <c r="AI13" s="14">
        <f>IF('Données projet'!$A$62&gt;35,AI12+AH13-AQ12,IF(A13&lt;'Données projet'!$A$62,$AF$205^A13,IF(A13='Données projet'!$A$62,'Données projet'!$B$62,AI12+AH13-AQ12)))</f>
        <v>10.049875621120886</v>
      </c>
      <c r="AJ13" s="14">
        <f>AI13*VLOOKUP('Données projet'!$B$10,Paramètres!$A$1:$I$89,3,0)*VLOOKUP('Données projet'!$B$10,Paramètres!$A$1:$I$89,5,0)</f>
        <v>9.0931274619901785</v>
      </c>
      <c r="AK13" s="14">
        <f t="shared" si="35"/>
        <v>3.2409409483104086</v>
      </c>
      <c r="AL13" s="22">
        <f t="shared" si="4"/>
        <v>21.481835814606853</v>
      </c>
      <c r="AM13" s="62">
        <f t="shared" si="5"/>
        <v>314.8151691479402</v>
      </c>
      <c r="AN13" s="62">
        <f ca="1">AVERAGE(OFFSET($AM$3,0,0,'Données projet'!$E$10+1,1))-AVERAGE(OFFSET($H$3,0,0,'Données projet'!$E$10+1,1))</f>
        <v>321.03881567735544</v>
      </c>
      <c r="AO13" s="62">
        <f t="shared" si="36"/>
        <v>234.87694492493506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7.9</v>
      </c>
      <c r="BD13" s="13">
        <f>IF('Données projet'!$A$88&gt;35,BD12+BC13-BL12,IF(A13&lt;'Données projet'!$A$88,$BA$205^A13,IF(A13='Données projet'!$A$88,'Données projet'!$B$88,BD12+BC13-BL12)))</f>
        <v>12.569805089976542</v>
      </c>
      <c r="BE13" s="14">
        <f>BD13*VLOOKUP('Données projet'!$B$11,Paramètres!$A$1:$I$89,3,0)*VLOOKUP('Données projet'!$B$11,Paramètres!$A$1:$I$89,5,0)</f>
        <v>7.8435583761453627</v>
      </c>
      <c r="BF13" s="14">
        <f t="shared" si="37"/>
        <v>2.8440934969928842</v>
      </c>
      <c r="BG13" s="22">
        <f t="shared" si="7"/>
        <v>18.614327012382446</v>
      </c>
      <c r="BH13" s="62">
        <f t="shared" si="8"/>
        <v>311.94766034571575</v>
      </c>
      <c r="BI13" s="62">
        <f ca="1">AVERAGE(OFFSET($BH$3,0,0,'Données projet'!$E$11+1,1))-AVERAGE(OFFSET($H$3,0,0,'Données projet'!$E$11+1,1))</f>
        <v>255.41017495879987</v>
      </c>
      <c r="BJ13" s="62">
        <f t="shared" si="38"/>
        <v>297.50513563712764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9.25</v>
      </c>
      <c r="BY13" s="13">
        <f>IF('Données projet'!$A$114&gt;35,BY12+BX13-CG12,IF(A13&lt;'Données projet'!$A$114,$BV$205^A13,IF(A13='Données projet'!$A$114,'Données projet'!$B$114,BY12+BX13-CG12)))</f>
        <v>13.601470508735433</v>
      </c>
      <c r="BZ13" s="14">
        <f>BY13*VLOOKUP('Données projet'!$B$12,Paramètres!$A$1:$I$89,3,0)*VLOOKUP('Données projet'!$B$12,Paramètres!$A$1:$I$89,5,0)</f>
        <v>6.5423073147017439</v>
      </c>
      <c r="CA13" s="14">
        <f t="shared" si="39"/>
        <v>2.4228801057592699</v>
      </c>
      <c r="CB13" s="22">
        <f t="shared" si="10"/>
        <v>15.614368090636267</v>
      </c>
      <c r="CC13" s="62">
        <f t="shared" si="11"/>
        <v>308.94770142396959</v>
      </c>
      <c r="CD13" s="62">
        <f ca="1">AVERAGE(OFFSET($CC$3,0,0,'Données projet'!$E$12+1,1))-AVERAGE(OFFSET($H$3,0,0,'Données projet'!$E$12+1,1))</f>
        <v>409.97612835032567</v>
      </c>
      <c r="CE13" s="62">
        <f t="shared" si="40"/>
        <v>411.87876448092288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12.35</v>
      </c>
      <c r="CT13" s="13">
        <f>IF('Données projet'!$A$140&gt;35,CT12+CS13-DB12,IF(A13&lt;'Données projet'!$A$140,$CQ$205^A13,IF(A13='Données projet'!$A$140,'Données projet'!$B$140,CT12+CS13-DB12)))</f>
        <v>15.716233645501713</v>
      </c>
      <c r="CU13" s="18">
        <f>CT13*VLOOKUP('Données projet'!$B$13,Paramètres!$A$1:$I$89,3,0)*VLOOKUP('Données projet'!$B$13,Paramètres!$A$1:$I$89,5,0)</f>
        <v>9.3983077200100258</v>
      </c>
      <c r="CV13" s="14">
        <f t="shared" si="41"/>
        <v>3.3368658320556097</v>
      </c>
      <c r="CW13" s="22">
        <f t="shared" si="13"/>
        <v>22.180427269847645</v>
      </c>
      <c r="CX13" s="62">
        <f t="shared" si="14"/>
        <v>315.51376060318097</v>
      </c>
      <c r="CY13" s="62">
        <f ca="1">AVERAGE(OFFSET($CX$3,0,0,'Données projet'!$E$13+1,1))-AVERAGE(OFFSET($H$3,0,0,'Données projet'!$E$13+1,1))</f>
        <v>463.3255103386889</v>
      </c>
      <c r="CZ13" s="62">
        <f t="shared" si="42"/>
        <v>474.73210558736127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7.9</v>
      </c>
      <c r="DO13" s="13">
        <f>IF('Données projet'!$A$166&gt;35,DO12+DN13-DW12,IF(A13&lt;'Données projet'!$A$166,$DL$205^A13,IF(A13='Données projet'!$A$166,'Données projet'!$B$166,DO12+DN13-DW12)))</f>
        <v>12.569805089976542</v>
      </c>
      <c r="DP13" s="18">
        <f>DO13*VLOOKUP('Données projet'!$B$14,Paramètres!$A$1:$I$89,3,0)*VLOOKUP('Données projet'!$B$14,Paramètres!$A$1:$I$89,5,0)</f>
        <v>5.8826687821090227</v>
      </c>
      <c r="DQ13" s="14">
        <f t="shared" si="43"/>
        <v>2.2057079152108381</v>
      </c>
      <c r="DR13" s="22">
        <f t="shared" si="16"/>
        <v>14.087256081165423</v>
      </c>
      <c r="DS13" s="62">
        <f t="shared" si="17"/>
        <v>307.42058941449875</v>
      </c>
      <c r="DT13" s="62">
        <f ca="1">AVERAGE(OFFSET($DS$3,0,0,'Données projet'!$E$14+1,1))-AVERAGE(OFFSET($H$3,0,0,'Données projet'!$E$14+1,1))</f>
        <v>215.23235148064941</v>
      </c>
      <c r="DU13" s="62">
        <f t="shared" si="44"/>
        <v>184.07239726900434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316.3893545523037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22.4</v>
      </c>
      <c r="N14" s="14">
        <f>IF('Données projet'!$A$36&gt;35,N13+M14-V13,IF(A14&lt;'Données projet'!$A$36,$K$205^A14,IF(A14='Données projet'!$A$36,'Données projet'!$B$36,N13+M14-V13)))</f>
        <v>59.4</v>
      </c>
      <c r="O14" s="14">
        <f>N14*VLOOKUP('Données projet'!$B$9,Paramètres!$A$1:$I$89,3,0)*VLOOKUP('Données projet'!$B$9,Paramètres!$A$1:$I$89,5,0)</f>
        <v>33.204599999999999</v>
      </c>
      <c r="P14" s="14">
        <f t="shared" si="33"/>
        <v>10.178477972381435</v>
      </c>
      <c r="Q14" s="22">
        <f t="shared" si="2"/>
        <v>75.558860801897666</v>
      </c>
      <c r="R14" s="62">
        <f t="shared" si="0"/>
        <v>368.89219413523097</v>
      </c>
      <c r="S14" s="62">
        <f ca="1">AVERAGE(OFFSET($R$3,0,0,'Données projet'!$E$9+1,1))-AVERAGE(OFFSET($H$3,0,0,'Données projet'!$E$9+1,1))</f>
        <v>460.40450534123659</v>
      </c>
      <c r="T14" s="62">
        <f t="shared" si="34"/>
        <v>467.77477728479198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5.05</v>
      </c>
      <c r="AI14" s="14">
        <f>IF('Données projet'!$A$62&gt;35,AI13+AH14-AQ13,IF(A14&lt;'Données projet'!$A$62,$AF$205^A14,IF(A14='Données projet'!$A$62,'Données projet'!$B$62,AI13+AH14-AQ13)))</f>
        <v>12.658339971984896</v>
      </c>
      <c r="AJ14" s="14">
        <f>AI14*VLOOKUP('Données projet'!$B$10,Paramètres!$A$1:$I$89,3,0)*VLOOKUP('Données projet'!$B$10,Paramètres!$A$1:$I$89,5,0)</f>
        <v>11.453266006651933</v>
      </c>
      <c r="AK14" s="14">
        <f t="shared" si="35"/>
        <v>3.9739466855362284</v>
      </c>
      <c r="AL14" s="22">
        <f t="shared" si="4"/>
        <v>26.869062105561046</v>
      </c>
      <c r="AM14" s="62">
        <f t="shared" si="5"/>
        <v>320.20239543889437</v>
      </c>
      <c r="AN14" s="62">
        <f ca="1">AVERAGE(OFFSET($AM$3,0,0,'Données projet'!$E$10+1,1))-AVERAGE(OFFSET($H$3,0,0,'Données projet'!$E$10+1,1))</f>
        <v>321.03881567735544</v>
      </c>
      <c r="AO14" s="62">
        <f t="shared" si="36"/>
        <v>234.87694492493506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7.9</v>
      </c>
      <c r="BD14" s="13">
        <f>IF('Données projet'!$A$88&gt;35,BD13+BC14-BL13,IF(A14&lt;'Données projet'!$A$88,$BA$205^A14,IF(A14='Données projet'!$A$88,'Données projet'!$B$88,BD13+BC14-BL13)))</f>
        <v>16.190542381779895</v>
      </c>
      <c r="BE14" s="14">
        <f>BD14*VLOOKUP('Données projet'!$B$11,Paramètres!$A$1:$I$89,3,0)*VLOOKUP('Données projet'!$B$11,Paramètres!$A$1:$I$89,5,0)</f>
        <v>10.102898446230656</v>
      </c>
      <c r="BF14" s="14">
        <f t="shared" si="37"/>
        <v>3.5569727611913824</v>
      </c>
      <c r="BG14" s="22">
        <f t="shared" si="7"/>
        <v>23.790942352926717</v>
      </c>
      <c r="BH14" s="62">
        <f t="shared" si="8"/>
        <v>317.12427568626003</v>
      </c>
      <c r="BI14" s="62">
        <f ca="1">AVERAGE(OFFSET($BH$3,0,0,'Données projet'!$E$11+1,1))-AVERAGE(OFFSET($H$3,0,0,'Données projet'!$E$11+1,1))</f>
        <v>255.41017495879987</v>
      </c>
      <c r="BJ14" s="62">
        <f t="shared" si="38"/>
        <v>297.50513563712764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9.25</v>
      </c>
      <c r="BY14" s="13">
        <f>IF('Données projet'!$A$114&gt;35,BY13+BX14-CG13,IF(A14&lt;'Données projet'!$A$114,$BV$205^A14,IF(A14='Données projet'!$A$114,'Données projet'!$B$114,BY13+BX14-CG13)))</f>
        <v>17.658119462313188</v>
      </c>
      <c r="BZ14" s="14">
        <f>BY14*VLOOKUP('Données projet'!$B$12,Paramètres!$A$1:$I$89,3,0)*VLOOKUP('Données projet'!$B$12,Paramètres!$A$1:$I$89,5,0)</f>
        <v>8.4935554613726438</v>
      </c>
      <c r="CA14" s="14">
        <f t="shared" si="39"/>
        <v>3.0513749100625667</v>
      </c>
      <c r="CB14" s="22">
        <f t="shared" si="10"/>
        <v>20.107420396916325</v>
      </c>
      <c r="CC14" s="62">
        <f t="shared" si="11"/>
        <v>313.44075373024964</v>
      </c>
      <c r="CD14" s="62">
        <f ca="1">AVERAGE(OFFSET($CC$3,0,0,'Données projet'!$E$12+1,1))-AVERAGE(OFFSET($H$3,0,0,'Données projet'!$E$12+1,1))</f>
        <v>409.97612835032567</v>
      </c>
      <c r="CE14" s="62">
        <f t="shared" si="40"/>
        <v>411.87876448092288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12.35</v>
      </c>
      <c r="CT14" s="13">
        <f>IF('Données projet'!$A$140&gt;35,CT13+CS14-DB13,IF(A14&lt;'Données projet'!$A$140,$CQ$205^A14,IF(A14='Données projet'!$A$140,'Données projet'!$B$140,CT13+CS14-DB13)))</f>
        <v>20.700618626136869</v>
      </c>
      <c r="CU14" s="18">
        <f>CT14*VLOOKUP('Données projet'!$B$13,Paramètres!$A$1:$I$89,3,0)*VLOOKUP('Données projet'!$B$13,Paramètres!$A$1:$I$89,5,0)</f>
        <v>12.378969938429847</v>
      </c>
      <c r="CV14" s="14">
        <f t="shared" si="41"/>
        <v>4.2564554907556191</v>
      </c>
      <c r="CW14" s="22">
        <f t="shared" si="13"/>
        <v>28.973365955831355</v>
      </c>
      <c r="CX14" s="62">
        <f t="shared" si="14"/>
        <v>322.30669928916467</v>
      </c>
      <c r="CY14" s="62">
        <f ca="1">AVERAGE(OFFSET($CX$3,0,0,'Données projet'!$E$13+1,1))-AVERAGE(OFFSET($H$3,0,0,'Données projet'!$E$13+1,1))</f>
        <v>463.3255103386889</v>
      </c>
      <c r="CZ14" s="62">
        <f t="shared" si="42"/>
        <v>474.73210558736127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7.9</v>
      </c>
      <c r="DO14" s="13">
        <f>IF('Données projet'!$A$166&gt;35,DO13+DN14-DW13,IF(A14&lt;'Données projet'!$A$166,$DL$205^A14,IF(A14='Données projet'!$A$166,'Données projet'!$B$166,DO13+DN14-DW13)))</f>
        <v>16.190542381779895</v>
      </c>
      <c r="DP14" s="18">
        <f>DO14*VLOOKUP('Données projet'!$B$14,Paramètres!$A$1:$I$89,3,0)*VLOOKUP('Données projet'!$B$14,Paramètres!$A$1:$I$89,5,0)</f>
        <v>7.5771738346729904</v>
      </c>
      <c r="DQ14" s="14">
        <f t="shared" si="43"/>
        <v>2.7585742106736397</v>
      </c>
      <c r="DR14" s="22">
        <f t="shared" si="16"/>
        <v>18.001427845645381</v>
      </c>
      <c r="DS14" s="62">
        <f t="shared" si="17"/>
        <v>311.33476117897868</v>
      </c>
      <c r="DT14" s="62">
        <f ca="1">AVERAGE(OFFSET($DS$3,0,0,'Données projet'!$E$14+1,1))-AVERAGE(OFFSET($H$3,0,0,'Données projet'!$E$14+1,1))</f>
        <v>215.23235148064941</v>
      </c>
      <c r="DU14" s="62">
        <f t="shared" si="44"/>
        <v>184.07239726900434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318.4191732840215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22.4</v>
      </c>
      <c r="N15" s="14">
        <f>IF('Données projet'!$A$36&gt;35,N14+M15-V14,IF(A15&lt;'Données projet'!$A$36,$K$205^A15,IF(A15='Données projet'!$A$36,'Données projet'!$B$36,N14+M15-V14)))</f>
        <v>81.8</v>
      </c>
      <c r="O15" s="14">
        <f>N15*VLOOKUP('Données projet'!$B$9,Paramètres!$A$1:$I$89,3,0)*VLOOKUP('Données projet'!$B$9,Paramètres!$A$1:$I$89,5,0)</f>
        <v>45.726199999999999</v>
      </c>
      <c r="P15" s="14">
        <f t="shared" si="33"/>
        <v>13.504358462634611</v>
      </c>
      <c r="Q15" s="22">
        <f t="shared" si="2"/>
        <v>103.15988932242193</v>
      </c>
      <c r="R15" s="62">
        <f t="shared" si="0"/>
        <v>396.49322265575523</v>
      </c>
      <c r="S15" s="62">
        <f ca="1">AVERAGE(OFFSET($R$3,0,0,'Données projet'!$E$9+1,1))-AVERAGE(OFFSET($H$3,0,0,'Données projet'!$E$9+1,1))</f>
        <v>460.40450534123659</v>
      </c>
      <c r="T15" s="62">
        <f t="shared" si="34"/>
        <v>467.77477728479198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5.05</v>
      </c>
      <c r="AI15" s="14">
        <f>IF('Données projet'!$A$62&gt;35,AI14+AH15-AQ14,IF(A15&lt;'Données projet'!$A$62,$AF$205^A15,IF(A15='Données projet'!$A$62,'Données projet'!$B$62,AI14+AH15-AQ14)))</f>
        <v>15.943836211226593</v>
      </c>
      <c r="AJ15" s="14">
        <f>AI15*VLOOKUP('Données projet'!$B$10,Paramètres!$A$1:$I$89,3,0)*VLOOKUP('Données projet'!$B$10,Paramètres!$A$1:$I$89,5,0)</f>
        <v>14.425983003917821</v>
      </c>
      <c r="AK15" s="14">
        <f t="shared" si="35"/>
        <v>4.8727368104985969</v>
      </c>
      <c r="AL15" s="22">
        <f t="shared" si="4"/>
        <v>33.611937010108598</v>
      </c>
      <c r="AM15" s="62">
        <f t="shared" si="5"/>
        <v>326.9452703434419</v>
      </c>
      <c r="AN15" s="62">
        <f ca="1">AVERAGE(OFFSET($AM$3,0,0,'Données projet'!$E$10+1,1))-AVERAGE(OFFSET($H$3,0,0,'Données projet'!$E$10+1,1))</f>
        <v>321.03881567735544</v>
      </c>
      <c r="AO15" s="62">
        <f t="shared" si="36"/>
        <v>234.87694492493506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7.9</v>
      </c>
      <c r="BD15" s="13">
        <f>IF('Données projet'!$A$88&gt;35,BD14+BC15-BL14,IF(A15&lt;'Données projet'!$A$88,$BA$205^A15,IF(A15='Données projet'!$A$88,'Données projet'!$B$88,BD14+BC15-BL14)))</f>
        <v>20.854234472198982</v>
      </c>
      <c r="BE15" s="14">
        <f>BD15*VLOOKUP('Données projet'!$B$11,Paramètres!$A$1:$I$89,3,0)*VLOOKUP('Données projet'!$B$11,Paramètres!$A$1:$I$89,5,0)</f>
        <v>13.013042310652164</v>
      </c>
      <c r="BF15" s="14">
        <f t="shared" si="37"/>
        <v>4.4485370249728815</v>
      </c>
      <c r="BG15" s="22">
        <f t="shared" si="7"/>
        <v>30.41225067621362</v>
      </c>
      <c r="BH15" s="62">
        <f t="shared" si="8"/>
        <v>323.74558400954692</v>
      </c>
      <c r="BI15" s="62">
        <f ca="1">AVERAGE(OFFSET($BH$3,0,0,'Données projet'!$E$11+1,1))-AVERAGE(OFFSET($H$3,0,0,'Données projet'!$E$11+1,1))</f>
        <v>255.41017495879987</v>
      </c>
      <c r="BJ15" s="62">
        <f t="shared" si="38"/>
        <v>297.50513563712764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9.25</v>
      </c>
      <c r="BY15" s="13">
        <f>IF('Données projet'!$A$114&gt;35,BY14+BX15-CG14,IF(A15&lt;'Données projet'!$A$114,$BV$205^A15,IF(A15='Données projet'!$A$114,'Données projet'!$B$114,BY14+BX15-CG14)))</f>
        <v>22.924667060452535</v>
      </c>
      <c r="BZ15" s="14">
        <f>BY15*VLOOKUP('Données projet'!$B$12,Paramètres!$A$1:$I$89,3,0)*VLOOKUP('Données projet'!$B$12,Paramètres!$A$1:$I$89,5,0)</f>
        <v>11.026764856077671</v>
      </c>
      <c r="CA15" s="14">
        <f t="shared" si="39"/>
        <v>3.8429011900452825</v>
      </c>
      <c r="CB15" s="22">
        <f t="shared" si="10"/>
        <v>25.898001696997479</v>
      </c>
      <c r="CC15" s="62">
        <f t="shared" si="11"/>
        <v>319.2313350303308</v>
      </c>
      <c r="CD15" s="62">
        <f ca="1">AVERAGE(OFFSET($CC$3,0,0,'Données projet'!$E$12+1,1))-AVERAGE(OFFSET($H$3,0,0,'Données projet'!$E$12+1,1))</f>
        <v>409.97612835032567</v>
      </c>
      <c r="CE15" s="62">
        <f t="shared" si="40"/>
        <v>411.87876448092288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12.35</v>
      </c>
      <c r="CT15" s="13">
        <f>IF('Données projet'!$A$140&gt;35,CT14+CS15-DB14,IF(A15&lt;'Données projet'!$A$140,$CQ$205^A15,IF(A15='Données projet'!$A$140,'Données projet'!$B$140,CT14+CS15-DB14)))</f>
        <v>27.265795429772954</v>
      </c>
      <c r="CU15" s="18">
        <f>CT15*VLOOKUP('Données projet'!$B$13,Paramètres!$A$1:$I$89,3,0)*VLOOKUP('Données projet'!$B$13,Paramètres!$A$1:$I$89,5,0)</f>
        <v>16.304945667004226</v>
      </c>
      <c r="CV15" s="14">
        <f t="shared" si="41"/>
        <v>5.4294701245518135</v>
      </c>
      <c r="CW15" s="22">
        <f t="shared" si="13"/>
        <v>37.854107503626764</v>
      </c>
      <c r="CX15" s="62">
        <f t="shared" si="14"/>
        <v>331.18744083696009</v>
      </c>
      <c r="CY15" s="62">
        <f ca="1">AVERAGE(OFFSET($CX$3,0,0,'Données projet'!$E$13+1,1))-AVERAGE(OFFSET($H$3,0,0,'Données projet'!$E$13+1,1))</f>
        <v>463.3255103386889</v>
      </c>
      <c r="CZ15" s="62">
        <f t="shared" si="42"/>
        <v>474.73210558736127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7.9</v>
      </c>
      <c r="DO15" s="13">
        <f>IF('Données projet'!$A$166&gt;35,DO14+DN15-DW14,IF(A15&lt;'Données projet'!$A$166,$DL$205^A15,IF(A15='Données projet'!$A$166,'Données projet'!$B$166,DO14+DN15-DW14)))</f>
        <v>20.854234472198982</v>
      </c>
      <c r="DP15" s="18">
        <f>DO15*VLOOKUP('Données projet'!$B$14,Paramètres!$A$1:$I$89,3,0)*VLOOKUP('Données projet'!$B$14,Paramètres!$A$1:$I$89,5,0)</f>
        <v>9.7597817329891239</v>
      </c>
      <c r="DQ15" s="14">
        <f t="shared" si="43"/>
        <v>3.4500178483814818</v>
      </c>
      <c r="DR15" s="22">
        <f t="shared" si="16"/>
        <v>23.00706760422047</v>
      </c>
      <c r="DS15" s="62">
        <f t="shared" si="17"/>
        <v>316.3404009375538</v>
      </c>
      <c r="DT15" s="62">
        <f ca="1">AVERAGE(OFFSET($DS$3,0,0,'Données projet'!$E$14+1,1))-AVERAGE(OFFSET($H$3,0,0,'Données projet'!$E$14+1,1))</f>
        <v>215.23235148064941</v>
      </c>
      <c r="DU15" s="62">
        <f t="shared" si="44"/>
        <v>184.07239726900434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320.4443419514879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22.4</v>
      </c>
      <c r="N16" s="14">
        <f>IF('Données projet'!$A$36&gt;35,N15+M16-V15,IF(A16&lt;'Données projet'!$A$36,$K$205^A16,IF(A16='Données projet'!$A$36,'Données projet'!$B$36,N15+M16-V15)))</f>
        <v>104.19999999999999</v>
      </c>
      <c r="O16" s="14">
        <f>N16*VLOOKUP('Données projet'!$B$9,Paramètres!$A$1:$I$89,3,0)*VLOOKUP('Données projet'!$B$9,Paramètres!$A$1:$I$89,5,0)</f>
        <v>58.247799999999998</v>
      </c>
      <c r="P16" s="14">
        <f t="shared" si="33"/>
        <v>16.724496608882774</v>
      </c>
      <c r="Q16" s="22">
        <f t="shared" si="2"/>
        <v>130.57674992713748</v>
      </c>
      <c r="R16" s="62">
        <f t="shared" si="0"/>
        <v>423.9100832604708</v>
      </c>
      <c r="S16" s="62">
        <f ca="1">AVERAGE(OFFSET($R$3,0,0,'Données projet'!$E$9+1,1))-AVERAGE(OFFSET($H$3,0,0,'Données projet'!$E$9+1,1))</f>
        <v>460.40450534123659</v>
      </c>
      <c r="T16" s="62">
        <f t="shared" si="34"/>
        <v>467.77477728479198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5.05</v>
      </c>
      <c r="AI16" s="14">
        <f>IF('Données projet'!$A$62&gt;35,AI15+AH16-AQ15,IF(A16&lt;'Données projet'!$A$62,$AF$205^A16,IF(A16='Données projet'!$A$62,'Données projet'!$B$62,AI15+AH16-AQ15)))</f>
        <v>20.08208925443796</v>
      </c>
      <c r="AJ16" s="14">
        <f>AI16*VLOOKUP('Données projet'!$B$10,Paramètres!$A$1:$I$89,3,0)*VLOOKUP('Données projet'!$B$10,Paramètres!$A$1:$I$89,5,0)</f>
        <v>18.170274357415465</v>
      </c>
      <c r="AK16" s="14">
        <f t="shared" si="35"/>
        <v>5.9748068867673298</v>
      </c>
      <c r="AL16" s="22">
        <f t="shared" si="4"/>
        <v>42.052683166951695</v>
      </c>
      <c r="AM16" s="62">
        <f t="shared" si="5"/>
        <v>335.386016500285</v>
      </c>
      <c r="AN16" s="62">
        <f ca="1">AVERAGE(OFFSET($AM$3,0,0,'Données projet'!$E$10+1,1))-AVERAGE(OFFSET($H$3,0,0,'Données projet'!$E$10+1,1))</f>
        <v>321.03881567735544</v>
      </c>
      <c r="AO16" s="62">
        <f t="shared" si="36"/>
        <v>234.87694492493506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7.9</v>
      </c>
      <c r="BD16" s="13">
        <f>IF('Données projet'!$A$88&gt;35,BD15+BC16-BL15,IF(A16&lt;'Données projet'!$A$88,$BA$205^A16,IF(A16='Données projet'!$A$88,'Données projet'!$B$88,BD15+BC16-BL15)))</f>
        <v>26.861304900499697</v>
      </c>
      <c r="BE16" s="14">
        <f>BD16*VLOOKUP('Données projet'!$B$11,Paramètres!$A$1:$I$89,3,0)*VLOOKUP('Données projet'!$B$11,Paramètres!$A$1:$I$89,5,0)</f>
        <v>16.761454257911808</v>
      </c>
      <c r="BF16" s="14">
        <f t="shared" si="37"/>
        <v>5.5635741376681862</v>
      </c>
      <c r="BG16" s="22">
        <f t="shared" si="7"/>
        <v>38.88275778896849</v>
      </c>
      <c r="BH16" s="62">
        <f t="shared" si="8"/>
        <v>332.2160911223018</v>
      </c>
      <c r="BI16" s="62">
        <f ca="1">AVERAGE(OFFSET($BH$3,0,0,'Données projet'!$E$11+1,1))-AVERAGE(OFFSET($H$3,0,0,'Données projet'!$E$11+1,1))</f>
        <v>255.41017495879987</v>
      </c>
      <c r="BJ16" s="62">
        <f t="shared" si="38"/>
        <v>297.50513563712764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9.25</v>
      </c>
      <c r="BY16" s="13">
        <f>IF('Données projet'!$A$114&gt;35,BY15+BX16-CG15,IF(A16&lt;'Données projet'!$A$114,$BV$205^A16,IF(A16='Données projet'!$A$114,'Données projet'!$B$114,BY15+BX16-CG15)))</f>
        <v>29.761966496728661</v>
      </c>
      <c r="BZ16" s="14">
        <f>BY16*VLOOKUP('Données projet'!$B$12,Paramètres!$A$1:$I$89,3,0)*VLOOKUP('Données projet'!$B$12,Paramètres!$A$1:$I$89,5,0)</f>
        <v>14.315505884926488</v>
      </c>
      <c r="CA16" s="14">
        <f t="shared" si="39"/>
        <v>4.8397492906398156</v>
      </c>
      <c r="CB16" s="22">
        <f t="shared" si="10"/>
        <v>33.362069430777979</v>
      </c>
      <c r="CC16" s="62">
        <f t="shared" si="11"/>
        <v>326.69540276411129</v>
      </c>
      <c r="CD16" s="62">
        <f ca="1">AVERAGE(OFFSET($CC$3,0,0,'Données projet'!$E$12+1,1))-AVERAGE(OFFSET($H$3,0,0,'Données projet'!$E$12+1,1))</f>
        <v>409.97612835032567</v>
      </c>
      <c r="CE16" s="62">
        <f t="shared" si="40"/>
        <v>411.87876448092288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12.35</v>
      </c>
      <c r="CT16" s="13">
        <f>IF('Données projet'!$A$140&gt;35,CT15+CS16-DB15,IF(A16&lt;'Données projet'!$A$140,$CQ$205^A16,IF(A16='Données projet'!$A$140,'Données projet'!$B$140,CT15+CS16-DB15)))</f>
        <v>35.913110320267023</v>
      </c>
      <c r="CU16" s="18">
        <f>CT16*VLOOKUP('Données projet'!$B$13,Paramètres!$A$1:$I$89,3,0)*VLOOKUP('Données projet'!$B$13,Paramètres!$A$1:$I$89,5,0)</f>
        <v>21.476039971519683</v>
      </c>
      <c r="CV16" s="14">
        <f t="shared" si="41"/>
        <v>6.9257498163495335</v>
      </c>
      <c r="CW16" s="22">
        <f t="shared" si="13"/>
        <v>49.466450547205547</v>
      </c>
      <c r="CX16" s="62">
        <f t="shared" si="14"/>
        <v>342.79978388053888</v>
      </c>
      <c r="CY16" s="62">
        <f ca="1">AVERAGE(OFFSET($CX$3,0,0,'Données projet'!$E$13+1,1))-AVERAGE(OFFSET($H$3,0,0,'Données projet'!$E$13+1,1))</f>
        <v>463.3255103386889</v>
      </c>
      <c r="CZ16" s="62">
        <f t="shared" si="42"/>
        <v>474.73210558736127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7.9</v>
      </c>
      <c r="DO16" s="13">
        <f>IF('Données projet'!$A$166&gt;35,DO15+DN16-DW15,IF(A16&lt;'Données projet'!$A$166,$DL$205^A16,IF(A16='Données projet'!$A$166,'Données projet'!$B$166,DO15+DN16-DW15)))</f>
        <v>26.861304900499697</v>
      </c>
      <c r="DP16" s="18">
        <f>DO16*VLOOKUP('Données projet'!$B$14,Paramètres!$A$1:$I$89,3,0)*VLOOKUP('Données projet'!$B$14,Paramètres!$A$1:$I$89,5,0)</f>
        <v>12.571090693433858</v>
      </c>
      <c r="DQ16" s="14">
        <f t="shared" si="43"/>
        <v>4.3147735914069099</v>
      </c>
      <c r="DR16" s="22">
        <f t="shared" si="16"/>
        <v>29.409546962764335</v>
      </c>
      <c r="DS16" s="62">
        <f t="shared" si="17"/>
        <v>322.74288029609767</v>
      </c>
      <c r="DT16" s="62">
        <f ca="1">AVERAGE(OFFSET($DS$3,0,0,'Données projet'!$E$14+1,1))-AVERAGE(OFFSET($H$3,0,0,'Données projet'!$E$14+1,1))</f>
        <v>215.23235148064941</v>
      </c>
      <c r="DU16" s="62">
        <f t="shared" si="44"/>
        <v>184.07239726900434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322.46525892181711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22.4</v>
      </c>
      <c r="N17" s="14">
        <f>IF('Données projet'!$A$36&gt;35,N16+M17-V16,IF(A17&lt;'Données projet'!$A$36,$K$205^A17,IF(A17='Données projet'!$A$36,'Données projet'!$B$36,N16+M17-V16)))</f>
        <v>126.6</v>
      </c>
      <c r="O17" s="14">
        <f>N17*VLOOKUP('Données projet'!$B$9,Paramètres!$A$1:$I$89,3,0)*VLOOKUP('Données projet'!$B$9,Paramètres!$A$1:$I$89,5,0)</f>
        <v>70.76939999999999</v>
      </c>
      <c r="P17" s="14">
        <f t="shared" si="33"/>
        <v>19.864404978352983</v>
      </c>
      <c r="Q17" s="22">
        <f t="shared" si="2"/>
        <v>157.85387700396475</v>
      </c>
      <c r="R17" s="62">
        <f t="shared" si="0"/>
        <v>451.1872103372981</v>
      </c>
      <c r="S17" s="62">
        <f ca="1">AVERAGE(OFFSET($R$3,0,0,'Données projet'!$E$9+1,1))-AVERAGE(OFFSET($H$3,0,0,'Données projet'!$E$9+1,1))</f>
        <v>460.40450534123659</v>
      </c>
      <c r="T17" s="62">
        <f t="shared" si="34"/>
        <v>467.77477728479198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5.05</v>
      </c>
      <c r="AI17" s="14">
        <f>IF('Données projet'!$A$62&gt;35,AI16+AH17-AQ16,IF(A17&lt;'Données projet'!$A$62,$AF$205^A17,IF(A17='Données projet'!$A$62,'Données projet'!$B$62,AI16+AH17-AQ16)))</f>
        <v>25.294433753605816</v>
      </c>
      <c r="AJ17" s="14">
        <f>AI17*VLOOKUP('Données projet'!$B$10,Paramètres!$A$1:$I$89,3,0)*VLOOKUP('Données projet'!$B$10,Paramètres!$A$1:$I$89,5,0)</f>
        <v>22.886403660262541</v>
      </c>
      <c r="AK17" s="14">
        <f t="shared" si="35"/>
        <v>7.3261328740859097</v>
      </c>
      <c r="AL17" s="22">
        <f t="shared" si="4"/>
        <v>52.620167797323553</v>
      </c>
      <c r="AM17" s="62">
        <f t="shared" si="5"/>
        <v>345.95350113065689</v>
      </c>
      <c r="AN17" s="62">
        <f ca="1">AVERAGE(OFFSET($AM$3,0,0,'Données projet'!$E$10+1,1))-AVERAGE(OFFSET($H$3,0,0,'Données projet'!$E$10+1,1))</f>
        <v>321.03881567735544</v>
      </c>
      <c r="AO17" s="62">
        <f t="shared" si="36"/>
        <v>234.87694492493506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7.9</v>
      </c>
      <c r="BD17" s="13">
        <f>IF('Données projet'!$A$88&gt;35,BD16+BC17-BL16,IF(A17&lt;'Données projet'!$A$88,$BA$205^A17,IF(A17='Données projet'!$A$88,'Données projet'!$B$88,BD16+BC17-BL16)))</f>
        <v>34.598714324397214</v>
      </c>
      <c r="BE17" s="14">
        <f>BD17*VLOOKUP('Données projet'!$B$11,Paramètres!$A$1:$I$89,3,0)*VLOOKUP('Données projet'!$B$11,Paramètres!$A$1:$I$89,5,0)</f>
        <v>21.589597738423862</v>
      </c>
      <c r="BF17" s="14">
        <f t="shared" si="37"/>
        <v>6.9580981368855754</v>
      </c>
      <c r="BG17" s="22">
        <f t="shared" si="7"/>
        <v>49.720570316163929</v>
      </c>
      <c r="BH17" s="62">
        <f t="shared" si="8"/>
        <v>343.05390364949722</v>
      </c>
      <c r="BI17" s="62">
        <f ca="1">AVERAGE(OFFSET($BH$3,0,0,'Données projet'!$E$11+1,1))-AVERAGE(OFFSET($H$3,0,0,'Données projet'!$E$11+1,1))</f>
        <v>255.41017495879987</v>
      </c>
      <c r="BJ17" s="62">
        <f t="shared" si="38"/>
        <v>297.50513563712764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9.25</v>
      </c>
      <c r="BY17" s="13">
        <f>IF('Données projet'!$A$114&gt;35,BY16+BX17-CG16,IF(A17&lt;'Données projet'!$A$114,$BV$205^A17,IF(A17='Données projet'!$A$114,'Données projet'!$B$114,BY16+BX17-CG16)))</f>
        <v>38.638495704936716</v>
      </c>
      <c r="BZ17" s="14">
        <f>BY17*VLOOKUP('Données projet'!$B$12,Paramètres!$A$1:$I$89,3,0)*VLOOKUP('Données projet'!$B$12,Paramètres!$A$1:$I$89,5,0)</f>
        <v>18.58511643407456</v>
      </c>
      <c r="CA17" s="14">
        <f t="shared" si="39"/>
        <v>6.0951796671026575</v>
      </c>
      <c r="CB17" s="22">
        <f t="shared" si="10"/>
        <v>42.98484904288366</v>
      </c>
      <c r="CC17" s="62">
        <f t="shared" si="11"/>
        <v>336.31818237621695</v>
      </c>
      <c r="CD17" s="62">
        <f ca="1">AVERAGE(OFFSET($CC$3,0,0,'Données projet'!$E$12+1,1))-AVERAGE(OFFSET($H$3,0,0,'Données projet'!$E$12+1,1))</f>
        <v>409.97612835032567</v>
      </c>
      <c r="CE17" s="62">
        <f t="shared" si="40"/>
        <v>411.87876448092288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12.35</v>
      </c>
      <c r="CT17" s="13">
        <f>IF('Données projet'!$A$140&gt;35,CT16+CS17-DB16,IF(A17&lt;'Données projet'!$A$140,$CQ$205^A17,IF(A17='Données projet'!$A$140,'Données projet'!$B$140,CT16+CS17-DB16)))</f>
        <v>47.302910938271133</v>
      </c>
      <c r="CU17" s="18">
        <f>CT17*VLOOKUP('Données projet'!$B$13,Paramètres!$A$1:$I$89,3,0)*VLOOKUP('Données projet'!$B$13,Paramètres!$A$1:$I$89,5,0)</f>
        <v>28.287140741086137</v>
      </c>
      <c r="CV17" s="14">
        <f t="shared" si="41"/>
        <v>8.8343815175933074</v>
      </c>
      <c r="CW17" s="22">
        <f t="shared" si="13"/>
        <v>64.653317933866688</v>
      </c>
      <c r="CX17" s="62">
        <f t="shared" si="14"/>
        <v>357.98665126719999</v>
      </c>
      <c r="CY17" s="62">
        <f ca="1">AVERAGE(OFFSET($CX$3,0,0,'Données projet'!$E$13+1,1))-AVERAGE(OFFSET($H$3,0,0,'Données projet'!$E$13+1,1))</f>
        <v>463.3255103386889</v>
      </c>
      <c r="CZ17" s="62">
        <f t="shared" si="42"/>
        <v>474.73210558736127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7.9</v>
      </c>
      <c r="DO17" s="13">
        <f>IF('Données projet'!$A$166&gt;35,DO16+DN17-DW16,IF(A17&lt;'Données projet'!$A$166,$DL$205^A17,IF(A17='Données projet'!$A$166,'Données projet'!$B$166,DO16+DN17-DW16)))</f>
        <v>34.598714324397214</v>
      </c>
      <c r="DP17" s="18">
        <f>DO17*VLOOKUP('Données projet'!$B$14,Paramètres!$A$1:$I$89,3,0)*VLOOKUP('Données projet'!$B$14,Paramètres!$A$1:$I$89,5,0)</f>
        <v>16.192198303817896</v>
      </c>
      <c r="DQ17" s="14">
        <f t="shared" si="43"/>
        <v>5.3962825594761723</v>
      </c>
      <c r="DR17" s="22">
        <f t="shared" si="16"/>
        <v>37.599937503570509</v>
      </c>
      <c r="DS17" s="62">
        <f t="shared" si="17"/>
        <v>330.93327083690383</v>
      </c>
      <c r="DT17" s="62">
        <f ca="1">AVERAGE(OFFSET($DS$3,0,0,'Données projet'!$E$14+1,1))-AVERAGE(OFFSET($H$3,0,0,'Données projet'!$E$14+1,1))</f>
        <v>215.23235148064941</v>
      </c>
      <c r="DU17" s="62">
        <f t="shared" si="44"/>
        <v>184.07239726900434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324.48226242776991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22.4</v>
      </c>
      <c r="N18" s="14">
        <f>IF('Données projet'!$A$36&gt;35,N17+M18-V17,IF(A18&lt;'Données projet'!$A$36,$K$205^A18,IF(A18='Données projet'!$A$36,'Données projet'!$B$36,N17+M18-V17)))</f>
        <v>149</v>
      </c>
      <c r="O18" s="14">
        <f>N18*VLOOKUP('Données projet'!$B$9,Paramètres!$A$1:$I$89,3,0)*VLOOKUP('Données projet'!$B$9,Paramètres!$A$1:$I$89,5,0)</f>
        <v>83.290999999999997</v>
      </c>
      <c r="P18" s="14">
        <f t="shared" si="33"/>
        <v>22.939953069474296</v>
      </c>
      <c r="Q18" s="22">
        <f t="shared" si="2"/>
        <v>185.0189099293344</v>
      </c>
      <c r="R18" s="62">
        <f t="shared" si="0"/>
        <v>478.35224326266768</v>
      </c>
      <c r="S18" s="62">
        <f ca="1">AVERAGE(OFFSET($R$3,0,0,'Données projet'!$E$9+1,1))-AVERAGE(OFFSET($H$3,0,0,'Données projet'!$E$9+1,1))</f>
        <v>460.40450534123659</v>
      </c>
      <c r="T18" s="62">
        <f t="shared" si="34"/>
        <v>467.77477728479198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5.05</v>
      </c>
      <c r="AI18" s="14">
        <f>IF('Données projet'!$A$62&gt;35,AI17+AH18-AQ17,IF(A18&lt;'Données projet'!$A$62,$AF$205^A18,IF(A18='Données projet'!$A$62,'Données projet'!$B$62,AI17+AH18-AQ17)))</f>
        <v>31.859652191026957</v>
      </c>
      <c r="AJ18" s="14">
        <f>AI18*VLOOKUP('Données projet'!$B$10,Paramètres!$A$1:$I$89,3,0)*VLOOKUP('Données projet'!$B$10,Paramètres!$A$1:$I$89,5,0)</f>
        <v>28.826613302441189</v>
      </c>
      <c r="AK18" s="14">
        <f t="shared" si="35"/>
        <v>8.9830891451291155</v>
      </c>
      <c r="AL18" s="22">
        <f t="shared" si="4"/>
        <v>65.851898429518272</v>
      </c>
      <c r="AM18" s="62">
        <f t="shared" si="5"/>
        <v>359.18523176285157</v>
      </c>
      <c r="AN18" s="62">
        <f ca="1">AVERAGE(OFFSET($AM$3,0,0,'Données projet'!$E$10+1,1))-AVERAGE(OFFSET($H$3,0,0,'Données projet'!$E$10+1,1))</f>
        <v>321.03881567735544</v>
      </c>
      <c r="AO18" s="62">
        <f t="shared" si="36"/>
        <v>234.87694492493506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7.9</v>
      </c>
      <c r="BD18" s="13">
        <f>IF('Données projet'!$A$88&gt;35,BD17+BC18-BL17,IF(A18&lt;'Données projet'!$A$88,$BA$205^A18,IF(A18='Données projet'!$A$88,'Données projet'!$B$88,BD17+BC18-BL17)))</f>
        <v>44.564887571004775</v>
      </c>
      <c r="BE18" s="14">
        <f>BD18*VLOOKUP('Données projet'!$B$11,Paramètres!$A$1:$I$89,3,0)*VLOOKUP('Données projet'!$B$11,Paramètres!$A$1:$I$89,5,0)</f>
        <v>27.808489844306976</v>
      </c>
      <c r="BF18" s="14">
        <f t="shared" si="37"/>
        <v>8.7021631211375059</v>
      </c>
      <c r="BG18" s="22">
        <f t="shared" si="7"/>
        <v>63.589387248149137</v>
      </c>
      <c r="BH18" s="62">
        <f t="shared" si="8"/>
        <v>356.92272058148245</v>
      </c>
      <c r="BI18" s="62">
        <f ca="1">AVERAGE(OFFSET($BH$3,0,0,'Données projet'!$E$11+1,1))-AVERAGE(OFFSET($H$3,0,0,'Données projet'!$E$11+1,1))</f>
        <v>255.41017495879987</v>
      </c>
      <c r="BJ18" s="62">
        <f t="shared" si="38"/>
        <v>297.50513563712764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9.25</v>
      </c>
      <c r="BY18" s="13">
        <f>IF('Données projet'!$A$114&gt;35,BY17+BX18-CG17,IF(A18&lt;'Données projet'!$A$114,$BV$205^A18,IF(A18='Données projet'!$A$114,'Données projet'!$B$114,BY17+BX18-CG17)))</f>
        <v>50.162456519951768</v>
      </c>
      <c r="BZ18" s="14">
        <f>BY18*VLOOKUP('Données projet'!$B$12,Paramètres!$A$1:$I$89,3,0)*VLOOKUP('Données projet'!$B$12,Paramètres!$A$1:$I$89,5,0)</f>
        <v>24.128141586096802</v>
      </c>
      <c r="CA18" s="14">
        <f t="shared" si="39"/>
        <v>7.6762685302961744</v>
      </c>
      <c r="CB18" s="22">
        <f t="shared" si="10"/>
        <v>55.392680952717761</v>
      </c>
      <c r="CC18" s="62">
        <f t="shared" si="11"/>
        <v>348.72601428605105</v>
      </c>
      <c r="CD18" s="62">
        <f ca="1">AVERAGE(OFFSET($CC$3,0,0,'Données projet'!$E$12+1,1))-AVERAGE(OFFSET($H$3,0,0,'Données projet'!$E$12+1,1))</f>
        <v>409.97612835032567</v>
      </c>
      <c r="CE18" s="62">
        <f t="shared" si="40"/>
        <v>411.87876448092288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12.35</v>
      </c>
      <c r="CT18" s="13">
        <f>IF('Données projet'!$A$140&gt;35,CT17+CS18-DB17,IF(A18&lt;'Données projet'!$A$140,$CQ$205^A18,IF(A18='Données projet'!$A$140,'Données projet'!$B$140,CT17+CS18-DB17)))</f>
        <v>62.304973400515351</v>
      </c>
      <c r="CU18" s="18">
        <f>CT18*VLOOKUP('Données projet'!$B$13,Paramètres!$A$1:$I$89,3,0)*VLOOKUP('Données projet'!$B$13,Paramètres!$A$1:$I$89,5,0)</f>
        <v>37.258374093508181</v>
      </c>
      <c r="CV18" s="14">
        <f t="shared" si="41"/>
        <v>11.269003193582206</v>
      </c>
      <c r="CW18" s="22">
        <f t="shared" si="13"/>
        <v>84.518515441682425</v>
      </c>
      <c r="CX18" s="62">
        <f t="shared" si="14"/>
        <v>377.85184877501575</v>
      </c>
      <c r="CY18" s="62">
        <f ca="1">AVERAGE(OFFSET($CX$3,0,0,'Données projet'!$E$13+1,1))-AVERAGE(OFFSET($H$3,0,0,'Données projet'!$E$13+1,1))</f>
        <v>463.3255103386889</v>
      </c>
      <c r="CZ18" s="62">
        <f t="shared" si="42"/>
        <v>474.73210558736127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7.9</v>
      </c>
      <c r="DO18" s="13">
        <f>IF('Données projet'!$A$166&gt;35,DO17+DN18-DW17,IF(A18&lt;'Données projet'!$A$166,$DL$205^A18,IF(A18='Données projet'!$A$166,'Données projet'!$B$166,DO17+DN18-DW17)))</f>
        <v>44.564887571004775</v>
      </c>
      <c r="DP18" s="18">
        <f>DO18*VLOOKUP('Données projet'!$B$14,Paramètres!$A$1:$I$89,3,0)*VLOOKUP('Données projet'!$B$14,Paramètres!$A$1:$I$89,5,0)</f>
        <v>20.856367383230236</v>
      </c>
      <c r="DQ18" s="14">
        <f t="shared" si="43"/>
        <v>6.7488744993944465</v>
      </c>
      <c r="DR18" s="22">
        <f t="shared" si="16"/>
        <v>48.079129612237985</v>
      </c>
      <c r="DS18" s="62">
        <f t="shared" si="17"/>
        <v>341.41246294557129</v>
      </c>
      <c r="DT18" s="62">
        <f ca="1">AVERAGE(OFFSET($DS$3,0,0,'Données projet'!$E$14+1,1))-AVERAGE(OFFSET($H$3,0,0,'Données projet'!$E$14+1,1))</f>
        <v>215.23235148064941</v>
      </c>
      <c r="DU18" s="62">
        <f t="shared" si="44"/>
        <v>184.07239726900434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326.49564305302061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22.4</v>
      </c>
      <c r="N19" s="14">
        <f>IF('Données projet'!$A$36&gt;35,N18+M19-V18,IF(A19&lt;'Données projet'!$A$36,$K$205^A19,IF(A19='Données projet'!$A$36,'Données projet'!$B$36,N18+M19-V18)))</f>
        <v>171.4</v>
      </c>
      <c r="O19" s="14">
        <f>N19*VLOOKUP('Données projet'!$B$9,Paramètres!$A$1:$I$89,3,0)*VLOOKUP('Données projet'!$B$9,Paramètres!$A$1:$I$89,5,0)</f>
        <v>95.812600000000003</v>
      </c>
      <c r="P19" s="14">
        <f t="shared" si="33"/>
        <v>25.961937300460743</v>
      </c>
      <c r="Q19" s="22">
        <f t="shared" si="2"/>
        <v>212.09065246496911</v>
      </c>
      <c r="R19" s="62">
        <f t="shared" si="0"/>
        <v>505.4239857983024</v>
      </c>
      <c r="S19" s="62">
        <f ca="1">AVERAGE(OFFSET($R$3,0,0,'Données projet'!$E$9+1,1))-AVERAGE(OFFSET($H$3,0,0,'Données projet'!$E$9+1,1))</f>
        <v>460.40450534123659</v>
      </c>
      <c r="T19" s="62">
        <f t="shared" si="34"/>
        <v>467.77477728479198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5.05</v>
      </c>
      <c r="AI19" s="14">
        <f>IF('Données projet'!$A$62&gt;35,AI18+AH19-AQ18,IF(A19&lt;'Données projet'!$A$62,$AF$205^A19,IF(A19='Données projet'!$A$62,'Données projet'!$B$62,AI18+AH19-AQ18)))</f>
        <v>40.128885573036847</v>
      </c>
      <c r="AJ19" s="14">
        <f>AI19*VLOOKUP('Données projet'!$B$10,Paramètres!$A$1:$I$89,3,0)*VLOOKUP('Données projet'!$B$10,Paramètres!$A$1:$I$89,5,0)</f>
        <v>36.308615666483739</v>
      </c>
      <c r="AK19" s="14">
        <f t="shared" si="35"/>
        <v>11.014800301367055</v>
      </c>
      <c r="AL19" s="22">
        <f t="shared" si="4"/>
        <v>82.421616144006791</v>
      </c>
      <c r="AM19" s="62">
        <f t="shared" si="5"/>
        <v>375.75494947734012</v>
      </c>
      <c r="AN19" s="62">
        <f ca="1">AVERAGE(OFFSET($AM$3,0,0,'Données projet'!$E$10+1,1))-AVERAGE(OFFSET($H$3,0,0,'Données projet'!$E$10+1,1))</f>
        <v>321.03881567735544</v>
      </c>
      <c r="AO19" s="62">
        <f t="shared" si="36"/>
        <v>234.87694492493506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7.9</v>
      </c>
      <c r="BD19" s="13">
        <f>IF('Données projet'!$A$88&gt;35,BD18+BC19-BL18,IF(A19&lt;'Données projet'!$A$88,$BA$205^A19,IF(A19='Données projet'!$A$88,'Données projet'!$B$88,BD18+BC19-BL18)))</f>
        <v>57.401820934596167</v>
      </c>
      <c r="BE19" s="14">
        <f>BD19*VLOOKUP('Données projet'!$B$11,Paramètres!$A$1:$I$89,3,0)*VLOOKUP('Données projet'!$B$11,Paramètres!$A$1:$I$89,5,0)</f>
        <v>35.818736263188008</v>
      </c>
      <c r="BF19" s="14">
        <f t="shared" si="37"/>
        <v>10.883382426793592</v>
      </c>
      <c r="BG19" s="22">
        <f t="shared" si="7"/>
        <v>81.339523385051294</v>
      </c>
      <c r="BH19" s="62">
        <f t="shared" si="8"/>
        <v>374.67285671838459</v>
      </c>
      <c r="BI19" s="62">
        <f ca="1">AVERAGE(OFFSET($BH$3,0,0,'Données projet'!$E$11+1,1))-AVERAGE(OFFSET($H$3,0,0,'Données projet'!$E$11+1,1))</f>
        <v>255.41017495879987</v>
      </c>
      <c r="BJ19" s="62">
        <f t="shared" si="38"/>
        <v>297.50513563712764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9.25</v>
      </c>
      <c r="BY19" s="13">
        <f>IF('Données projet'!$A$114&gt;35,BY18+BX19-CG18,IF(A19&lt;'Données projet'!$A$114,$BV$205^A19,IF(A19='Données projet'!$A$114,'Données projet'!$B$114,BY18+BX19-CG18)))</f>
        <v>65.123447437798561</v>
      </c>
      <c r="BZ19" s="14">
        <f>BY19*VLOOKUP('Données projet'!$B$12,Paramètres!$A$1:$I$89,3,0)*VLOOKUP('Données projet'!$B$12,Paramètres!$A$1:$I$89,5,0)</f>
        <v>31.32437821758111</v>
      </c>
      <c r="CA19" s="14">
        <f t="shared" si="39"/>
        <v>9.6674916520098932</v>
      </c>
      <c r="CB19" s="22">
        <f t="shared" si="10"/>
        <v>71.39417335620432</v>
      </c>
      <c r="CC19" s="62">
        <f t="shared" si="11"/>
        <v>364.72750668953762</v>
      </c>
      <c r="CD19" s="62">
        <f ca="1">AVERAGE(OFFSET($CC$3,0,0,'Données projet'!$E$12+1,1))-AVERAGE(OFFSET($H$3,0,0,'Données projet'!$E$12+1,1))</f>
        <v>409.97612835032567</v>
      </c>
      <c r="CE19" s="62">
        <f t="shared" si="40"/>
        <v>411.87876448092288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12.35</v>
      </c>
      <c r="CT19" s="13">
        <f>IF('Données projet'!$A$140&gt;35,CT18+CS19-DB18,IF(A19&lt;'Données projet'!$A$140,$CQ$205^A19,IF(A19='Données projet'!$A$140,'Données projet'!$B$140,CT18+CS19-DB18)))</f>
        <v>82.064922294205104</v>
      </c>
      <c r="CU19" s="18">
        <f>CT19*VLOOKUP('Données projet'!$B$13,Paramètres!$A$1:$I$89,3,0)*VLOOKUP('Données projet'!$B$13,Paramètres!$A$1:$I$89,5,0)</f>
        <v>49.074823531934662</v>
      </c>
      <c r="CV19" s="14">
        <f t="shared" si="41"/>
        <v>14.374569710858619</v>
      </c>
      <c r="CW19" s="22">
        <f t="shared" si="13"/>
        <v>110.50769323119829</v>
      </c>
      <c r="CX19" s="62">
        <f t="shared" si="14"/>
        <v>403.8410265645316</v>
      </c>
      <c r="CY19" s="62">
        <f ca="1">AVERAGE(OFFSET($CX$3,0,0,'Données projet'!$E$13+1,1))-AVERAGE(OFFSET($H$3,0,0,'Données projet'!$E$13+1,1))</f>
        <v>463.3255103386889</v>
      </c>
      <c r="CZ19" s="62">
        <f t="shared" si="42"/>
        <v>474.73210558736127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7.9</v>
      </c>
      <c r="DO19" s="13">
        <f>IF('Données projet'!$A$166&gt;35,DO18+DN19-DW18,IF(A19&lt;'Données projet'!$A$166,$DL$205^A19,IF(A19='Données projet'!$A$166,'Données projet'!$B$166,DO18+DN19-DW18)))</f>
        <v>57.401820934596167</v>
      </c>
      <c r="DP19" s="18">
        <f>DO19*VLOOKUP('Données projet'!$B$14,Paramètres!$A$1:$I$89,3,0)*VLOOKUP('Données projet'!$B$14,Paramètres!$A$1:$I$89,5,0)</f>
        <v>26.864052197391008</v>
      </c>
      <c r="DQ19" s="14">
        <f t="shared" si="43"/>
        <v>8.4404970471001413</v>
      </c>
      <c r="DR19" s="22">
        <f t="shared" si="16"/>
        <v>61.488756600822086</v>
      </c>
      <c r="DS19" s="62">
        <f t="shared" si="17"/>
        <v>354.82208993415543</v>
      </c>
      <c r="DT19" s="62">
        <f ca="1">AVERAGE(OFFSET($DS$3,0,0,'Données projet'!$E$14+1,1))-AVERAGE(OFFSET($H$3,0,0,'Données projet'!$E$14+1,1))</f>
        <v>215.23235148064941</v>
      </c>
      <c r="DU19" s="62">
        <f t="shared" si="44"/>
        <v>184.07239726900434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328.50565300530388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22.4</v>
      </c>
      <c r="N20" s="14">
        <f>IF('Données projet'!$A$36&gt;35,N19+M20-V19,IF(A20&lt;'Données projet'!$A$36,$K$205^A20,IF(A20='Données projet'!$A$36,'Données projet'!$B$36,N19+M20-V19)))</f>
        <v>193.8</v>
      </c>
      <c r="O20" s="14">
        <f>N20*VLOOKUP('Données projet'!$B$9,Paramètres!$A$1:$I$89,3,0)*VLOOKUP('Données projet'!$B$9,Paramètres!$A$1:$I$89,5,0)</f>
        <v>108.33420000000001</v>
      </c>
      <c r="P20" s="14">
        <f t="shared" si="33"/>
        <v>28.938161222619996</v>
      </c>
      <c r="Q20" s="22">
        <f t="shared" si="2"/>
        <v>239.08269579606318</v>
      </c>
      <c r="R20" s="62">
        <f t="shared" si="0"/>
        <v>532.41602912939652</v>
      </c>
      <c r="S20" s="62">
        <f ca="1">AVERAGE(OFFSET($R$3,0,0,'Données projet'!$E$9+1,1))-AVERAGE(OFFSET($H$3,0,0,'Données projet'!$E$9+1,1))</f>
        <v>460.40450534123659</v>
      </c>
      <c r="T20" s="62">
        <f t="shared" si="34"/>
        <v>467.77477728479198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5.05</v>
      </c>
      <c r="AI20" s="14">
        <f>IF('Données projet'!$A$62&gt;35,AI19+AH20-AQ19,IF(A20&lt;'Données projet'!$A$62,$AF$205^A20,IF(A20='Données projet'!$A$62,'Données projet'!$B$62,AI19+AH20-AQ19)))</f>
        <v>50.544414222683258</v>
      </c>
      <c r="AJ20" s="14">
        <f>AI20*VLOOKUP('Données projet'!$B$10,Paramètres!$A$1:$I$89,3,0)*VLOOKUP('Données projet'!$B$10,Paramètres!$A$1:$I$89,5,0)</f>
        <v>45.732585988683809</v>
      </c>
      <c r="AK20" s="14">
        <f t="shared" si="35"/>
        <v>13.506024900663702</v>
      </c>
      <c r="AL20" s="22">
        <f t="shared" si="4"/>
        <v>103.17391396561358</v>
      </c>
      <c r="AM20" s="62">
        <f t="shared" si="5"/>
        <v>396.50724729894688</v>
      </c>
      <c r="AN20" s="62">
        <f ca="1">AVERAGE(OFFSET($AM$3,0,0,'Données projet'!$E$10+1,1))-AVERAGE(OFFSET($H$3,0,0,'Données projet'!$E$10+1,1))</f>
        <v>321.03881567735544</v>
      </c>
      <c r="AO20" s="62">
        <f t="shared" si="36"/>
        <v>234.87694492493506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7.9</v>
      </c>
      <c r="BD20" s="13">
        <f>IF('Données projet'!$A$88&gt;35,BD19+BC20-BL19,IF(A20&lt;'Données projet'!$A$88,$BA$205^A20,IF(A20='Données projet'!$A$88,'Données projet'!$B$88,BD19+BC20-BL19)))</f>
        <v>73.936437994095741</v>
      </c>
      <c r="BE20" s="14">
        <f>BD20*VLOOKUP('Données projet'!$B$11,Paramètres!$A$1:$I$89,3,0)*VLOOKUP('Données projet'!$B$11,Paramètres!$A$1:$I$89,5,0)</f>
        <v>46.136337308315738</v>
      </c>
      <c r="BF20" s="14">
        <f t="shared" si="37"/>
        <v>13.611329895681916</v>
      </c>
      <c r="BG20" s="22">
        <f t="shared" si="7"/>
        <v>104.0605203802959</v>
      </c>
      <c r="BH20" s="62">
        <f t="shared" si="8"/>
        <v>397.3938537136292</v>
      </c>
      <c r="BI20" s="62">
        <f ca="1">AVERAGE(OFFSET($BH$3,0,0,'Données projet'!$E$11+1,1))-AVERAGE(OFFSET($H$3,0,0,'Données projet'!$E$11+1,1))</f>
        <v>255.41017495879987</v>
      </c>
      <c r="BJ20" s="62">
        <f t="shared" si="38"/>
        <v>297.50513563712764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9.25</v>
      </c>
      <c r="BY20" s="13">
        <f>IF('Données projet'!$A$114&gt;35,BY19+BX20-CG19,IF(A20&lt;'Données projet'!$A$114,$BV$205^A20,IF(A20='Données projet'!$A$114,'Données projet'!$B$114,BY19+BX20-CG19)))</f>
        <v>84.546565308197358</v>
      </c>
      <c r="BZ20" s="14">
        <f>BY20*VLOOKUP('Données projet'!$B$12,Paramètres!$A$1:$I$89,3,0)*VLOOKUP('Données projet'!$B$12,Paramètres!$A$1:$I$89,5,0)</f>
        <v>40.666897913242934</v>
      </c>
      <c r="CA20" s="14">
        <f t="shared" si="39"/>
        <v>12.175237808945569</v>
      </c>
      <c r="CB20" s="22">
        <f t="shared" si="10"/>
        <v>92.033386382811628</v>
      </c>
      <c r="CC20" s="62">
        <f t="shared" si="11"/>
        <v>385.36671971614493</v>
      </c>
      <c r="CD20" s="62">
        <f ca="1">AVERAGE(OFFSET($CC$3,0,0,'Données projet'!$E$12+1,1))-AVERAGE(OFFSET($H$3,0,0,'Données projet'!$E$12+1,1))</f>
        <v>409.97612835032567</v>
      </c>
      <c r="CE20" s="62">
        <f t="shared" si="40"/>
        <v>411.87876448092288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12.35</v>
      </c>
      <c r="CT20" s="13">
        <f>IF('Données projet'!$A$140&gt;35,CT19+CS20-DB19,IF(A20&lt;'Données projet'!$A$140,$CQ$205^A20,IF(A20='Données projet'!$A$140,'Données projet'!$B$140,CT19+CS20-DB19)))</f>
        <v>108.09171569437213</v>
      </c>
      <c r="CU20" s="18">
        <f>CT20*VLOOKUP('Données projet'!$B$13,Paramètres!$A$1:$I$89,3,0)*VLOOKUP('Données projet'!$B$13,Paramètres!$A$1:$I$89,5,0)</f>
        <v>64.638845985234539</v>
      </c>
      <c r="CV20" s="14">
        <f t="shared" si="41"/>
        <v>18.335983300635732</v>
      </c>
      <c r="CW20" s="22">
        <f t="shared" si="13"/>
        <v>144.51449433955739</v>
      </c>
      <c r="CX20" s="62">
        <f t="shared" si="14"/>
        <v>437.84782767289073</v>
      </c>
      <c r="CY20" s="62">
        <f ca="1">AVERAGE(OFFSET($CX$3,0,0,'Données projet'!$E$13+1,1))-AVERAGE(OFFSET($H$3,0,0,'Données projet'!$E$13+1,1))</f>
        <v>463.3255103386889</v>
      </c>
      <c r="CZ20" s="62">
        <f t="shared" si="42"/>
        <v>474.73210558736127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7.9</v>
      </c>
      <c r="DO20" s="13">
        <f>IF('Données projet'!$A$166&gt;35,DO19+DN20-DW19,IF(A20&lt;'Données projet'!$A$166,$DL$205^A20,IF(A20='Données projet'!$A$166,'Données projet'!$B$166,DO19+DN20-DW19)))</f>
        <v>73.936437994095741</v>
      </c>
      <c r="DP20" s="18">
        <f>DO20*VLOOKUP('Données projet'!$B$14,Paramètres!$A$1:$I$89,3,0)*VLOOKUP('Données projet'!$B$14,Paramètres!$A$1:$I$89,5,0)</f>
        <v>34.602252981236802</v>
      </c>
      <c r="DQ20" s="14">
        <f t="shared" si="43"/>
        <v>10.556129086190376</v>
      </c>
      <c r="DR20" s="22">
        <f t="shared" si="16"/>
        <v>78.650848767435647</v>
      </c>
      <c r="DS20" s="62">
        <f t="shared" si="17"/>
        <v>371.98418210076898</v>
      </c>
      <c r="DT20" s="62">
        <f ca="1">AVERAGE(OFFSET($DS$3,0,0,'Données projet'!$E$14+1,1))-AVERAGE(OFFSET($H$3,0,0,'Données projet'!$E$14+1,1))</f>
        <v>215.23235148064941</v>
      </c>
      <c r="DU20" s="62">
        <f t="shared" si="44"/>
        <v>184.07239726900434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330.51251314469152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22.4</v>
      </c>
      <c r="N21" s="14">
        <f>IF('Données projet'!$A$36&gt;35,N20+M21-V20,IF(A21&lt;'Données projet'!$A$36,$K$205^A21,IF(A21='Données projet'!$A$36,'Données projet'!$B$36,N20+M21-V20)))</f>
        <v>216.20000000000002</v>
      </c>
      <c r="O21" s="14">
        <f>N21*VLOOKUP('Données projet'!$B$9,Paramètres!$A$1:$I$89,3,0)*VLOOKUP('Données projet'!$B$9,Paramètres!$A$1:$I$89,5,0)</f>
        <v>120.85580000000002</v>
      </c>
      <c r="P21" s="14">
        <f t="shared" si="33"/>
        <v>31.874517962223347</v>
      </c>
      <c r="Q21" s="22">
        <f t="shared" si="2"/>
        <v>266.00530378420564</v>
      </c>
      <c r="R21" s="62">
        <f t="shared" si="0"/>
        <v>559.33863711753895</v>
      </c>
      <c r="S21" s="62">
        <f ca="1">AVERAGE(OFFSET($R$3,0,0,'Données projet'!$E$9+1,1))-AVERAGE(OFFSET($H$3,0,0,'Données projet'!$E$9+1,1))</f>
        <v>460.40450534123659</v>
      </c>
      <c r="T21" s="62">
        <f t="shared" si="34"/>
        <v>467.77477728479198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5.05</v>
      </c>
      <c r="AI21" s="14">
        <f>IF('Données projet'!$A$62&gt;35,AI20+AH21-AQ20,IF(A21&lt;'Données projet'!$A$62,$AF$205^A21,IF(A21='Données projet'!$A$62,'Données projet'!$B$62,AI20+AH21-AQ20)))</f>
        <v>63.663313162894049</v>
      </c>
      <c r="AJ21" s="14">
        <f>AI21*VLOOKUP('Données projet'!$B$10,Paramètres!$A$1:$I$89,3,0)*VLOOKUP('Données projet'!$B$10,Paramètres!$A$1:$I$89,5,0)</f>
        <v>57.602565749786528</v>
      </c>
      <c r="AK21" s="14">
        <f t="shared" si="35"/>
        <v>16.56069139943542</v>
      </c>
      <c r="AL21" s="22">
        <f t="shared" si="4"/>
        <v>129.16767286822821</v>
      </c>
      <c r="AM21" s="62">
        <f t="shared" si="5"/>
        <v>422.50100620156149</v>
      </c>
      <c r="AN21" s="62">
        <f ca="1">AVERAGE(OFFSET($AM$3,0,0,'Données projet'!$E$10+1,1))-AVERAGE(OFFSET($H$3,0,0,'Données projet'!$E$10+1,1))</f>
        <v>321.03881567735544</v>
      </c>
      <c r="AO21" s="62">
        <f t="shared" si="36"/>
        <v>234.87694492493506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7.9</v>
      </c>
      <c r="BD21" s="13">
        <f>IF('Données projet'!$A$88&gt;35,BD20+BC21-BL20,IF(A21&lt;'Données projet'!$A$88,$BA$205^A21,IF(A21='Données projet'!$A$88,'Données projet'!$B$88,BD20+BC21-BL20)))</f>
        <v>95.233857990035276</v>
      </c>
      <c r="BE21" s="14">
        <f>BD21*VLOOKUP('Données projet'!$B$11,Paramètres!$A$1:$I$89,3,0)*VLOOKUP('Données projet'!$B$11,Paramètres!$A$1:$I$89,5,0)</f>
        <v>59.425927385782011</v>
      </c>
      <c r="BF21" s="14">
        <f t="shared" si="37"/>
        <v>17.023044331601881</v>
      </c>
      <c r="BG21" s="22">
        <f t="shared" si="7"/>
        <v>133.14862574111029</v>
      </c>
      <c r="BH21" s="62">
        <f t="shared" si="8"/>
        <v>426.48195907444358</v>
      </c>
      <c r="BI21" s="62">
        <f ca="1">AVERAGE(OFFSET($BH$3,0,0,'Données projet'!$E$11+1,1))-AVERAGE(OFFSET($H$3,0,0,'Données projet'!$E$11+1,1))</f>
        <v>255.41017495879987</v>
      </c>
      <c r="BJ21" s="62">
        <f t="shared" si="38"/>
        <v>297.50513563712764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9.25</v>
      </c>
      <c r="BY21" s="13">
        <f>IF('Données projet'!$A$114&gt;35,BY20+BX21-CG20,IF(A21&lt;'Données projet'!$A$114,$BV$205^A21,IF(A21='Données projet'!$A$114,'Données projet'!$B$114,BY20+BX21-CG20)))</f>
        <v>109.76264289817695</v>
      </c>
      <c r="BZ21" s="14">
        <f>BY21*VLOOKUP('Données projet'!$B$12,Paramètres!$A$1:$I$89,3,0)*VLOOKUP('Données projet'!$B$12,Paramètres!$A$1:$I$89,5,0)</f>
        <v>52.795831234023112</v>
      </c>
      <c r="CA21" s="14">
        <f t="shared" si="39"/>
        <v>15.333493013522173</v>
      </c>
      <c r="CB21" s="22">
        <f t="shared" si="10"/>
        <v>118.65857306447469</v>
      </c>
      <c r="CC21" s="62">
        <f t="shared" si="11"/>
        <v>411.99190639780801</v>
      </c>
      <c r="CD21" s="62">
        <f ca="1">AVERAGE(OFFSET($CC$3,0,0,'Données projet'!$E$12+1,1))-AVERAGE(OFFSET($H$3,0,0,'Données projet'!$E$12+1,1))</f>
        <v>409.97612835032567</v>
      </c>
      <c r="CE21" s="62">
        <f t="shared" si="40"/>
        <v>411.87876448092288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12.35</v>
      </c>
      <c r="CT21" s="13">
        <f>IF('Données projet'!$A$140&gt;35,CT20+CS21-DB20,IF(A21&lt;'Données projet'!$A$140,$CQ$205^A21,IF(A21='Données projet'!$A$140,'Données projet'!$B$140,CT20+CS21-DB20)))</f>
        <v>142.37287595138574</v>
      </c>
      <c r="CU21" s="18">
        <f>CT21*VLOOKUP('Données projet'!$B$13,Paramètres!$A$1:$I$89,3,0)*VLOOKUP('Données projet'!$B$13,Paramètres!$A$1:$I$89,5,0)</f>
        <v>85.138979818928675</v>
      </c>
      <c r="CV21" s="14">
        <f t="shared" si="41"/>
        <v>23.389102447165339</v>
      </c>
      <c r="CW21" s="22">
        <f t="shared" si="13"/>
        <v>189.01974328011374</v>
      </c>
      <c r="CX21" s="62">
        <f t="shared" si="14"/>
        <v>482.35307661344706</v>
      </c>
      <c r="CY21" s="62">
        <f ca="1">AVERAGE(OFFSET($CX$3,0,0,'Données projet'!$E$13+1,1))-AVERAGE(OFFSET($H$3,0,0,'Données projet'!$E$13+1,1))</f>
        <v>463.3255103386889</v>
      </c>
      <c r="CZ21" s="62">
        <f t="shared" si="42"/>
        <v>474.73210558736127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7.9</v>
      </c>
      <c r="DO21" s="13">
        <f>IF('Données projet'!$A$166&gt;35,DO20+DN21-DW20,IF(A21&lt;'Données projet'!$A$166,$DL$205^A21,IF(A21='Données projet'!$A$166,'Données projet'!$B$166,DO20+DN21-DW20)))</f>
        <v>95.233857990035276</v>
      </c>
      <c r="DP21" s="18">
        <f>DO21*VLOOKUP('Données projet'!$B$14,Paramètres!$A$1:$I$89,3,0)*VLOOKUP('Données projet'!$B$14,Paramètres!$A$1:$I$89,5,0)</f>
        <v>44.569445539336513</v>
      </c>
      <c r="DQ21" s="14">
        <f t="shared" si="43"/>
        <v>13.202049673437019</v>
      </c>
      <c r="DR21" s="22">
        <f t="shared" si="16"/>
        <v>100.61868749558056</v>
      </c>
      <c r="DS21" s="62">
        <f t="shared" si="17"/>
        <v>393.95202082891387</v>
      </c>
      <c r="DT21" s="62">
        <f ca="1">AVERAGE(OFFSET($DS$3,0,0,'Données projet'!$E$14+1,1))-AVERAGE(OFFSET($H$3,0,0,'Données projet'!$E$14+1,1))</f>
        <v>215.23235148064941</v>
      </c>
      <c r="DU21" s="62">
        <f t="shared" si="44"/>
        <v>184.07239726900434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332.51641840525372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22.4</v>
      </c>
      <c r="N22" s="14">
        <f>IF('Données projet'!$A$36&gt;35,N21+M22-V21,IF(A22&lt;'Données projet'!$A$36,$K$205^A22,IF(A22='Données projet'!$A$36,'Données projet'!$B$36,N21+M22-V21)))</f>
        <v>238.60000000000002</v>
      </c>
      <c r="O22" s="14">
        <f>N22*VLOOKUP('Données projet'!$B$9,Paramètres!$A$1:$I$89,3,0)*VLOOKUP('Données projet'!$B$9,Paramètres!$A$1:$I$89,5,0)</f>
        <v>133.37740000000002</v>
      </c>
      <c r="P22" s="14">
        <f t="shared" si="33"/>
        <v>34.775608543505342</v>
      </c>
      <c r="Q22" s="22">
        <f t="shared" si="2"/>
        <v>292.86648987993851</v>
      </c>
      <c r="R22" s="62">
        <f t="shared" si="0"/>
        <v>586.19982321327188</v>
      </c>
      <c r="S22" s="62">
        <f ca="1">AVERAGE(OFFSET($R$3,0,0,'Données projet'!$E$9+1,1))-AVERAGE(OFFSET($H$3,0,0,'Données projet'!$E$9+1,1))</f>
        <v>460.40450534123659</v>
      </c>
      <c r="T22" s="62">
        <f t="shared" si="34"/>
        <v>467.77477728479198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5.05</v>
      </c>
      <c r="AI22" s="14">
        <f>IF('Données projet'!$A$62&gt;35,AI21+AH22-AQ21,IF(A22&lt;'Données projet'!$A$62,$AF$205^A22,IF(A22='Données projet'!$A$62,'Données projet'!$B$62,AI21+AH22-AQ21)))</f>
        <v>80.187247299382307</v>
      </c>
      <c r="AJ22" s="14">
        <f>AI22*VLOOKUP('Données projet'!$B$10,Paramètres!$A$1:$I$89,3,0)*VLOOKUP('Données projet'!$B$10,Paramètres!$A$1:$I$89,5,0)</f>
        <v>72.55342135648111</v>
      </c>
      <c r="AK22" s="14">
        <f t="shared" si="35"/>
        <v>20.306233821163552</v>
      </c>
      <c r="AL22" s="22">
        <f t="shared" si="4"/>
        <v>161.73056610106445</v>
      </c>
      <c r="AM22" s="62">
        <f t="shared" si="5"/>
        <v>455.06389943439774</v>
      </c>
      <c r="AN22" s="62">
        <f ca="1">AVERAGE(OFFSET($AM$3,0,0,'Données projet'!$E$10+1,1))-AVERAGE(OFFSET($H$3,0,0,'Données projet'!$E$10+1,1))</f>
        <v>321.03881567735544</v>
      </c>
      <c r="AO22" s="62">
        <f t="shared" si="36"/>
        <v>234.87694492493506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7.9</v>
      </c>
      <c r="BD22" s="13">
        <f>IF('Données projet'!$A$88&gt;35,BD21+BC22-BL21,IF(A22&lt;'Données projet'!$A$88,$BA$205^A22,IF(A22='Données projet'!$A$88,'Données projet'!$B$88,BD21+BC22-BL21)))</f>
        <v>122.66600817840934</v>
      </c>
      <c r="BE22" s="14">
        <f>BD22*VLOOKUP('Données projet'!$B$11,Paramètres!$A$1:$I$89,3,0)*VLOOKUP('Données projet'!$B$11,Paramètres!$A$1:$I$89,5,0)</f>
        <v>76.543589103327434</v>
      </c>
      <c r="BF22" s="14">
        <f t="shared" si="37"/>
        <v>21.289913662853376</v>
      </c>
      <c r="BG22" s="22">
        <f t="shared" si="7"/>
        <v>170.39335065109825</v>
      </c>
      <c r="BH22" s="62">
        <f t="shared" si="8"/>
        <v>463.72668398443159</v>
      </c>
      <c r="BI22" s="62">
        <f ca="1">AVERAGE(OFFSET($BH$3,0,0,'Données projet'!$E$11+1,1))-AVERAGE(OFFSET($H$3,0,0,'Données projet'!$E$11+1,1))</f>
        <v>255.41017495879987</v>
      </c>
      <c r="BJ22" s="62">
        <f t="shared" si="38"/>
        <v>297.50513563712764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9.25</v>
      </c>
      <c r="BY22" s="13">
        <f>IF('Données projet'!$A$114&gt;35,BY21+BX22-CG21,IF(A22&lt;'Données projet'!$A$114,$BV$205^A22,IF(A22='Données projet'!$A$114,'Données projet'!$B$114,BY21+BX22-CG21)))</f>
        <v>142.49943486260818</v>
      </c>
      <c r="BZ22" s="14">
        <f>BY22*VLOOKUP('Données projet'!$B$12,Paramètres!$A$1:$I$89,3,0)*VLOOKUP('Données projet'!$B$12,Paramètres!$A$1:$I$89,5,0)</f>
        <v>68.542228168914534</v>
      </c>
      <c r="CA22" s="14">
        <f t="shared" si="39"/>
        <v>19.310999233459377</v>
      </c>
      <c r="CB22" s="22">
        <f t="shared" si="10"/>
        <v>153.0110377258012</v>
      </c>
      <c r="CC22" s="62">
        <f t="shared" si="11"/>
        <v>446.34437105913452</v>
      </c>
      <c r="CD22" s="62">
        <f ca="1">AVERAGE(OFFSET($CC$3,0,0,'Données projet'!$E$12+1,1))-AVERAGE(OFFSET($H$3,0,0,'Données projet'!$E$12+1,1))</f>
        <v>409.97612835032567</v>
      </c>
      <c r="CE22" s="62">
        <f t="shared" si="40"/>
        <v>411.87876448092288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12.35</v>
      </c>
      <c r="CT22" s="13">
        <f>IF('Données projet'!$A$140&gt;35,CT21+CS22-DB21,IF(A22&lt;'Données projet'!$A$140,$CQ$205^A22,IF(A22='Données projet'!$A$140,'Données projet'!$B$140,CT21+CS22-DB21)))</f>
        <v>187.52626578693528</v>
      </c>
      <c r="CU22" s="18">
        <f>CT22*VLOOKUP('Données projet'!$B$13,Paramètres!$A$1:$I$89,3,0)*VLOOKUP('Données projet'!$B$13,Paramètres!$A$1:$I$89,5,0)</f>
        <v>112.14070694058731</v>
      </c>
      <c r="CV22" s="14">
        <f t="shared" si="41"/>
        <v>29.834784658918714</v>
      </c>
      <c r="CW22" s="22">
        <f t="shared" si="13"/>
        <v>247.27398120247301</v>
      </c>
      <c r="CX22" s="62">
        <f t="shared" si="14"/>
        <v>540.60731453580638</v>
      </c>
      <c r="CY22" s="62">
        <f ca="1">AVERAGE(OFFSET($CX$3,0,0,'Données projet'!$E$13+1,1))-AVERAGE(OFFSET($H$3,0,0,'Données projet'!$E$13+1,1))</f>
        <v>463.3255103386889</v>
      </c>
      <c r="CZ22" s="62">
        <f t="shared" si="42"/>
        <v>474.73210558736127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7.9</v>
      </c>
      <c r="DO22" s="13">
        <f>IF('Données projet'!$A$166&gt;35,DO21+DN22-DW21,IF(A22&lt;'Données projet'!$A$166,$DL$205^A22,IF(A22='Données projet'!$A$166,'Données projet'!$B$166,DO21+DN22-DW21)))</f>
        <v>122.66600817840934</v>
      </c>
      <c r="DP22" s="18">
        <f>DO22*VLOOKUP('Données projet'!$B$14,Paramètres!$A$1:$I$89,3,0)*VLOOKUP('Données projet'!$B$14,Paramètres!$A$1:$I$89,5,0)</f>
        <v>57.407691827495569</v>
      </c>
      <c r="DQ22" s="14">
        <f t="shared" si="43"/>
        <v>16.511176981334152</v>
      </c>
      <c r="DR22" s="22">
        <f t="shared" si="16"/>
        <v>128.7420298420451</v>
      </c>
      <c r="DS22" s="62">
        <f t="shared" si="17"/>
        <v>422.07536317537841</v>
      </c>
      <c r="DT22" s="62">
        <f ca="1">AVERAGE(OFFSET($DS$3,0,0,'Données projet'!$E$14+1,1))-AVERAGE(OFFSET($H$3,0,0,'Données projet'!$E$14+1,1))</f>
        <v>215.23235148064941</v>
      </c>
      <c r="DU22" s="62">
        <f t="shared" si="44"/>
        <v>184.07239726900434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334.51754204275585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261</v>
      </c>
      <c r="L23" s="13">
        <f>VLOOKUP(A23,'Données projet'!$A$35:$I$55,9,0)</f>
        <v>22.4</v>
      </c>
      <c r="M23" s="13">
        <f t="array" ref="M23">INDEX(L:L,MIN(IF(ISNUMBER(L23:L219),ROW(L23:L219),"")))</f>
        <v>22.4</v>
      </c>
      <c r="N23" s="14">
        <f>IF('Données projet'!$A$36&gt;35,N22+M23-V22,IF(A23&lt;'Données projet'!$A$36,$K$205^A23,IF(A23='Données projet'!$A$36,'Données projet'!$B$36,N22+M23-V22)))</f>
        <v>261</v>
      </c>
      <c r="O23" s="14">
        <f>N23*VLOOKUP('Données projet'!$B$9,Paramètres!$A$1:$I$89,3,0)*VLOOKUP('Données projet'!$B$9,Paramètres!$A$1:$I$89,5,0)</f>
        <v>145.899</v>
      </c>
      <c r="P23" s="14">
        <f t="shared" si="33"/>
        <v>37.645120410716935</v>
      </c>
      <c r="Q23" s="22">
        <f t="shared" si="2"/>
        <v>319.67267638199866</v>
      </c>
      <c r="R23" s="62">
        <f t="shared" si="0"/>
        <v>613.00600971533197</v>
      </c>
      <c r="S23" s="62">
        <f ca="1">AVERAGE(OFFSET($R$3,0,0,'Données projet'!$E$9+1,1))-AVERAGE(OFFSET($H$3,0,0,'Données projet'!$E$9+1,1))</f>
        <v>460.40450534123659</v>
      </c>
      <c r="T23" s="62">
        <f t="shared" si="34"/>
        <v>467.77477728479198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125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0.27500000000000002</v>
      </c>
      <c r="Y23" s="17">
        <f>IF(ISNA(VLOOKUP(A23,'Données projet'!$A$35:$I$55,7,0)),0%,VLOOKUP(A23,'Données projet'!$A$35:$I$55,7,0))</f>
        <v>0.5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25.390398259058404</v>
      </c>
      <c r="AB23" s="23">
        <f>EXP(-LN(2)/2)*AB22+(1-EXP(-LN(2)/2))/(LN(2)/2)*V23*Y23*VLOOKUP('Données projet'!$B$9,Paramètres!$A$1:$I$89,3,0)*0.475*44/12</f>
        <v>39.557365894830895</v>
      </c>
      <c r="AC23" s="24">
        <f t="shared" si="3"/>
        <v>64.947764153889295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101</v>
      </c>
      <c r="AG23" s="13">
        <f>VLOOKUP(A23,'Données projet'!$A$61:$I$81,9,0)</f>
        <v>5.05</v>
      </c>
      <c r="AH23" s="13">
        <f t="array" ref="AH23">INDEX(AG:AG,MIN(IF(ISNUMBER(AG23:AG219),ROW(AG23:AG219),"")))</f>
        <v>5.05</v>
      </c>
      <c r="AI23" s="14">
        <f>IF('Données projet'!$A$62&gt;35,AI22+AH23-AQ22,IF(A23&lt;'Données projet'!$A$62,$AF$205^A23,IF(A23='Données projet'!$A$62,'Données projet'!$B$62,AI22+AH23-AQ22)))</f>
        <v>101</v>
      </c>
      <c r="AJ23" s="14">
        <f>AI23*VLOOKUP('Données projet'!$B$10,Paramètres!$A$1:$I$89,3,0)*VLOOKUP('Données projet'!$B$10,Paramètres!$A$1:$I$89,5,0)</f>
        <v>91.384799999999998</v>
      </c>
      <c r="AK23" s="14">
        <f t="shared" si="35"/>
        <v>24.898908025894642</v>
      </c>
      <c r="AL23" s="22">
        <f t="shared" si="4"/>
        <v>202.52745814509981</v>
      </c>
      <c r="AM23" s="62">
        <f t="shared" si="5"/>
        <v>495.86079147843316</v>
      </c>
      <c r="AN23" s="62">
        <f ca="1">AVERAGE(OFFSET($AM$3,0,0,'Données projet'!$E$10+1,1))-AVERAGE(OFFSET($H$3,0,0,'Données projet'!$E$10+1,1))</f>
        <v>321.03881567735544</v>
      </c>
      <c r="AO23" s="62">
        <f t="shared" si="36"/>
        <v>234.87694492493506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34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0.1075</v>
      </c>
      <c r="AT23" s="17">
        <f>IF(ISNA(VLOOKUP(A23,'Données projet'!$A$61:$I$81,7,0)),0%,VLOOKUP(A23,'Données projet'!$A$61:$I$81,7,0))</f>
        <v>0.25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3.6414447539536852</v>
      </c>
      <c r="AW23" s="23">
        <f>EXP(-LN(2)/2)*AW22+(1-EXP(-LN(2)/2))/(LN(2)/2)*AQ23*AT23*VLOOKUP('Données projet'!$B$10,Paramètres!$A$1:$I$89,3,0)*0.475*44/12</f>
        <v>7.2564767948471181</v>
      </c>
      <c r="AX23" s="23">
        <f t="shared" si="6"/>
        <v>10.897921548800802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158</v>
      </c>
      <c r="BB23" s="13">
        <f>VLOOKUP(A23,'Données projet'!$A$87:$I$107,9,0)</f>
        <v>7.9</v>
      </c>
      <c r="BC23" s="13">
        <f t="array" ref="BC23">INDEX(BB:BB,MIN(IF(ISNUMBER(BB23:BB219),ROW(BB23:BB219),"")))</f>
        <v>7.9</v>
      </c>
      <c r="BD23" s="13">
        <f>IF('Données projet'!$A$88&gt;35,BD22+BC23-BL22,IF(A23&lt;'Données projet'!$A$88,$BA$205^A23,IF(A23='Données projet'!$A$88,'Données projet'!$B$88,BD22+BC23-BL22)))</f>
        <v>158</v>
      </c>
      <c r="BE23" s="14">
        <f>BD23*VLOOKUP('Données projet'!$B$11,Paramètres!$A$1:$I$89,3,0)*VLOOKUP('Données projet'!$B$11,Paramètres!$A$1:$I$89,5,0)</f>
        <v>98.592000000000013</v>
      </c>
      <c r="BF23" s="14">
        <f t="shared" si="37"/>
        <v>26.626284637602105</v>
      </c>
      <c r="BG23" s="22">
        <f t="shared" si="7"/>
        <v>218.08851241049035</v>
      </c>
      <c r="BH23" s="62">
        <f t="shared" si="8"/>
        <v>511.42184574382367</v>
      </c>
      <c r="BI23" s="62">
        <f ca="1">AVERAGE(OFFSET($BH$3,0,0,'Données projet'!$E$11+1,1))-AVERAGE(OFFSET($H$3,0,0,'Données projet'!$E$11+1,1))</f>
        <v>255.41017495879987</v>
      </c>
      <c r="BJ23" s="62">
        <f t="shared" si="38"/>
        <v>297.50513563712764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0.3</v>
      </c>
      <c r="BO23" s="17">
        <f>IF(ISNA(VLOOKUP(A23,'Données projet'!$A$87:$I$107,7,0)),0%,VLOOKUP(A23,'Données projet'!$A$87:$I$107,7,0))</f>
        <v>0.5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14.841305096542214</v>
      </c>
      <c r="BR23" s="23">
        <f>EXP(-LN(2)/2)*BR22+(1-EXP(-LN(2)/2))/(LN(2)/2)*BL23*BO23*VLOOKUP('Données projet'!$B$11,Paramètres!$A$1:$I$89,3,0)*0.475*44/12</f>
        <v>21.195388609695438</v>
      </c>
      <c r="BS23" s="24">
        <f t="shared" si="9"/>
        <v>36.036693706237656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185</v>
      </c>
      <c r="BW23" s="13">
        <f>VLOOKUP(A23,'Données projet'!$A$113:$I$133,9,0)</f>
        <v>9.25</v>
      </c>
      <c r="BX23" s="13">
        <f t="array" ref="BX23">INDEX(BW:BW,MIN(IF(ISNUMBER(BW23:BW219),ROW(BW23:BW219),"")))</f>
        <v>9.25</v>
      </c>
      <c r="BY23" s="13">
        <f>IF('Données projet'!$A$114&gt;35,BY22+BX23-CG22,IF(A23&lt;'Données projet'!$A$114,$BV$205^A23,IF(A23='Données projet'!$A$114,'Données projet'!$B$114,BY22+BX23-CG22)))</f>
        <v>185</v>
      </c>
      <c r="BZ23" s="14">
        <f>BY23*VLOOKUP('Données projet'!$B$12,Paramètres!$A$1:$I$89,3,0)*VLOOKUP('Données projet'!$B$12,Paramètres!$A$1:$I$89,5,0)</f>
        <v>88.985000000000014</v>
      </c>
      <c r="CA23" s="14">
        <f t="shared" si="39"/>
        <v>24.320270082348873</v>
      </c>
      <c r="CB23" s="22">
        <f t="shared" si="10"/>
        <v>197.34001206009097</v>
      </c>
      <c r="CC23" s="62">
        <f t="shared" si="11"/>
        <v>490.67334539342426</v>
      </c>
      <c r="CD23" s="62">
        <f ca="1">AVERAGE(OFFSET($CC$3,0,0,'Données projet'!$E$12+1,1))-AVERAGE(OFFSET($H$3,0,0,'Données projet'!$E$12+1,1))</f>
        <v>409.97612835032567</v>
      </c>
      <c r="CE23" s="62">
        <f t="shared" si="40"/>
        <v>411.87876448092288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43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0.27500000000000002</v>
      </c>
      <c r="CJ23" s="17">
        <f>IF(ISNA(VLOOKUP(A23,'Données projet'!$A$113:$I$133,7,0)),0%,VLOOKUP(A23,'Données projet'!$A$113:$I$133,7,0))</f>
        <v>0.5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7.5155578846812858</v>
      </c>
      <c r="CM23" s="23">
        <f>EXP(-LN(2)/2)*CM22+(1-EXP(-LN(2)/2))/(LN(2)/2)*CG23*CJ23*VLOOKUP('Données projet'!$B$12,Paramètres!$A$1:$I$89,3,0)*0.475*44/12</f>
        <v>11.708980304869947</v>
      </c>
      <c r="CN23" s="24">
        <f t="shared" si="12"/>
        <v>19.224538189551232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>
        <f>VLOOKUP(A23,'Données projet'!$A$139:$I$159,2,0)</f>
        <v>247</v>
      </c>
      <c r="CR23" s="13">
        <f>VLOOKUP(A23,'Données projet'!$A$139:$I$159,9,0)</f>
        <v>12.35</v>
      </c>
      <c r="CS23" s="13">
        <f t="array" ref="CS23">INDEX(CR:CR,MIN(IF(ISNUMBER(CR23:CR219),ROW(CR23:CR219),"")))</f>
        <v>12.35</v>
      </c>
      <c r="CT23" s="13">
        <f>IF('Données projet'!$A$140&gt;35,CT22+CS23-DB22,IF(A23&lt;'Données projet'!$A$140,$CQ$205^A23,IF(A23='Données projet'!$A$140,'Données projet'!$B$140,CT22+CS23-DB22)))</f>
        <v>247</v>
      </c>
      <c r="CU23" s="18">
        <f>CT23*VLOOKUP('Données projet'!$B$13,Paramètres!$A$1:$I$89,3,0)*VLOOKUP('Données projet'!$B$13,Paramètres!$A$1:$I$89,5,0)</f>
        <v>147.70600000000002</v>
      </c>
      <c r="CV23" s="14">
        <f t="shared" si="41"/>
        <v>38.056799214709841</v>
      </c>
      <c r="CW23" s="22">
        <f t="shared" si="13"/>
        <v>323.53687529895296</v>
      </c>
      <c r="CX23" s="62">
        <f t="shared" si="14"/>
        <v>616.87020863228622</v>
      </c>
      <c r="CY23" s="62">
        <f ca="1">AVERAGE(OFFSET($CX$3,0,0,'Données projet'!$E$13+1,1))-AVERAGE(OFFSET($H$3,0,0,'Données projet'!$E$13+1,1))</f>
        <v>463.3255103386889</v>
      </c>
      <c r="CZ23" s="62">
        <f t="shared" si="42"/>
        <v>474.73210558736127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91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0.22500000000000001</v>
      </c>
      <c r="DE23" s="17">
        <f>IF(ISNA(VLOOKUP(A23,'Données projet'!$A$139:$I$159,7,0)),0%,VLOOKUP(A23,'Données projet'!$A$139:$I$159,7,0))</f>
        <v>0.5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16.178568524511903</v>
      </c>
      <c r="DH23" s="23">
        <f>EXP(-LN(2)/2)*DH22+(1-EXP(-LN(2)/2))/(LN(2)/2)*DB23*DE23*VLOOKUP('Données projet'!$B$13,Paramètres!$A$1:$I$89,3,0)*0.475*44/12</f>
        <v>30.806908583397611</v>
      </c>
      <c r="DI23" s="24">
        <f t="shared" si="15"/>
        <v>46.985477107909517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>
        <f>VLOOKUP(A23,'Données projet'!$A$165:$I$185,2,0)</f>
        <v>158</v>
      </c>
      <c r="DM23" s="13">
        <f>VLOOKUP(A23,'Données projet'!$A$165:$I$185,9,0)</f>
        <v>7.9</v>
      </c>
      <c r="DN23" s="13">
        <f t="array" ref="DN23">INDEX(DM:DM,MIN(IF(ISNUMBER(DM23:DM219),ROW(DM23:DM219),"")))</f>
        <v>7.9</v>
      </c>
      <c r="DO23" s="13">
        <f>IF('Données projet'!$A$166&gt;35,DO22+DN23-DW22,IF(A23&lt;'Données projet'!$A$166,$DL$205^A23,IF(A23='Données projet'!$A$166,'Données projet'!$B$166,DO22+DN23-DW22)))</f>
        <v>158</v>
      </c>
      <c r="DP23" s="18">
        <f>DO23*VLOOKUP('Données projet'!$B$14,Paramètres!$A$1:$I$89,3,0)*VLOOKUP('Données projet'!$B$14,Paramètres!$A$1:$I$89,5,0)</f>
        <v>73.944000000000003</v>
      </c>
      <c r="DQ23" s="14">
        <f t="shared" si="43"/>
        <v>20.649745460165708</v>
      </c>
      <c r="DR23" s="22">
        <f t="shared" si="16"/>
        <v>164.75077334312192</v>
      </c>
      <c r="DS23" s="62">
        <f t="shared" si="17"/>
        <v>458.08410667645524</v>
      </c>
      <c r="DT23" s="62">
        <f ca="1">AVERAGE(OFFSET($DS$3,0,0,'Données projet'!$E$14+1,1))-AVERAGE(OFFSET($H$3,0,0,'Données projet'!$E$14+1,1))</f>
        <v>215.23235148064941</v>
      </c>
      <c r="DU23" s="62">
        <f t="shared" si="44"/>
        <v>184.07239726900434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12.5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0.27500000000000002</v>
      </c>
      <c r="DZ23" s="17">
        <f>IF(ISNA(VLOOKUP(A23,'Données projet'!$A$165:$I$185,7,0)),0%,VLOOKUP(A23,'Données projet'!$A$165:$I$185,7,0))</f>
        <v>0.5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2.1257077612234943</v>
      </c>
      <c r="EC23" s="23">
        <f>EXP(-LN(2)/2)*EC22+(1-EXP(-LN(2)/2))/(LN(2)/2)*DW23*DZ23*VLOOKUP('Données projet'!$B$14,Paramètres!$A$1:$I$89,3,0)*0.475*44/12</f>
        <v>3.3117794702649124</v>
      </c>
      <c r="ED23" s="24">
        <f t="shared" si="18"/>
        <v>5.4374872314884062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336.51603900867377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30.1</v>
      </c>
      <c r="N24" s="14">
        <f>IF('Données projet'!$A$36&gt;35,N23+M24-V23,IF(A24&lt;'Données projet'!$A$36,$K$205^A24,IF(A24='Données projet'!$A$36,'Données projet'!$B$36,N23+M24-V23)))</f>
        <v>166.10000000000002</v>
      </c>
      <c r="O24" s="14">
        <f>N24*VLOOKUP('Données projet'!$B$9,Paramètres!$A$1:$I$89,3,0)*VLOOKUP('Données projet'!$B$9,Paramètres!$A$1:$I$89,5,0)</f>
        <v>92.849900000000005</v>
      </c>
      <c r="P24" s="14">
        <f t="shared" si="33"/>
        <v>25.251300230075429</v>
      </c>
      <c r="Q24" s="22">
        <f t="shared" si="2"/>
        <v>205.69292373404804</v>
      </c>
      <c r="R24" s="62">
        <f t="shared" si="0"/>
        <v>499.02625706738138</v>
      </c>
      <c r="S24" s="62">
        <f ca="1">AVERAGE(OFFSET($R$3,0,0,'Données projet'!$E$9+1,1))-AVERAGE(OFFSET($H$3,0,0,'Données projet'!$E$9+1,1))</f>
        <v>460.40450534123659</v>
      </c>
      <c r="T24" s="62">
        <f t="shared" si="34"/>
        <v>467.77477728479198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24.696096483441437</v>
      </c>
      <c r="AB24" s="23">
        <f>EXP(-LN(2)/2)*AB23+(1-EXP(-LN(2)/2))/(LN(2)/2)*V24*Y24*VLOOKUP('Données projet'!$B$9,Paramètres!$A$1:$I$89,3,0)*0.475*44/12</f>
        <v>27.97128167011239</v>
      </c>
      <c r="AC24" s="24">
        <f t="shared" si="3"/>
        <v>52.667378153553827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8.1999999999999993</v>
      </c>
      <c r="AI24" s="14">
        <f>IF('Données projet'!$A$62&gt;35,AI23+AH24-AQ23,IF(A24&lt;'Données projet'!$A$62,$AF$205^A24,IF(A24='Données projet'!$A$62,'Données projet'!$B$62,AI23+AH24-AQ23)))</f>
        <v>75.2</v>
      </c>
      <c r="AJ24" s="14">
        <f>AI24*VLOOKUP('Données projet'!$B$10,Paramètres!$A$1:$I$89,3,0)*VLOOKUP('Données projet'!$B$10,Paramètres!$A$1:$I$89,5,0)</f>
        <v>68.040959999999998</v>
      </c>
      <c r="AK24" s="14">
        <f t="shared" si="35"/>
        <v>19.186158107165539</v>
      </c>
      <c r="AL24" s="22">
        <f t="shared" si="4"/>
        <v>151.92056403664665</v>
      </c>
      <c r="AM24" s="62">
        <f t="shared" si="5"/>
        <v>445.25389736998</v>
      </c>
      <c r="AN24" s="62">
        <f ca="1">AVERAGE(OFFSET($AM$3,0,0,'Données projet'!$E$10+1,1))-AVERAGE(OFFSET($H$3,0,0,'Données projet'!$E$10+1,1))</f>
        <v>321.03881567735544</v>
      </c>
      <c r="AO24" s="62">
        <f t="shared" si="36"/>
        <v>234.87694492493506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3.5418692556615645</v>
      </c>
      <c r="AW24" s="23">
        <f>EXP(-LN(2)/2)*AW23+(1-EXP(-LN(2)/2))/(LN(2)/2)*AQ24*AT24*VLOOKUP('Données projet'!$B$10,Paramètres!$A$1:$I$89,3,0)*0.475*44/12</f>
        <v>5.131103949159221</v>
      </c>
      <c r="AX24" s="23">
        <f t="shared" si="6"/>
        <v>8.672973204820785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16.5</v>
      </c>
      <c r="BD24" s="13">
        <f>IF('Données projet'!$A$88&gt;35,BD23+BC24-BL23,IF(A24&lt;'Données projet'!$A$88,$BA$205^A24,IF(A24='Données projet'!$A$88,'Données projet'!$B$88,BD23+BC24-BL23)))</f>
        <v>114.5</v>
      </c>
      <c r="BE24" s="14">
        <f>BD24*VLOOKUP('Données projet'!$B$11,Paramètres!$A$1:$I$89,3,0)*VLOOKUP('Données projet'!$B$11,Paramètres!$A$1:$I$89,5,0)</f>
        <v>71.448000000000008</v>
      </c>
      <c r="BF24" s="14">
        <f t="shared" si="37"/>
        <v>20.03261738899662</v>
      </c>
      <c r="BG24" s="22">
        <f t="shared" si="7"/>
        <v>159.32874195250244</v>
      </c>
      <c r="BH24" s="62">
        <f t="shared" si="8"/>
        <v>452.66207528583573</v>
      </c>
      <c r="BI24" s="62">
        <f ca="1">AVERAGE(OFFSET($BH$3,0,0,'Données projet'!$E$11+1,1))-AVERAGE(OFFSET($H$3,0,0,'Données projet'!$E$11+1,1))</f>
        <v>255.41017495879987</v>
      </c>
      <c r="BJ24" s="62">
        <f t="shared" si="38"/>
        <v>297.50513563712764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14.435468828206952</v>
      </c>
      <c r="BR24" s="23">
        <f>EXP(-LN(2)/2)*BR23+(1-EXP(-LN(2)/2))/(LN(2)/2)*BL24*BO24*VLOOKUP('Données projet'!$B$11,Paramètres!$A$1:$I$89,3,0)*0.475*44/12</f>
        <v>14.987403015799755</v>
      </c>
      <c r="BS24" s="24">
        <f t="shared" si="9"/>
        <v>29.422871844006707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31.1</v>
      </c>
      <c r="BY24" s="13">
        <f>IF('Données projet'!$A$114&gt;35,BY23+BX24-CG23,IF(A24&lt;'Données projet'!$A$114,$BV$205^A24,IF(A24='Données projet'!$A$114,'Données projet'!$B$114,BY23+BX24-CG23)))</f>
        <v>173.1</v>
      </c>
      <c r="BZ24" s="14">
        <f>BY24*VLOOKUP('Données projet'!$B$12,Paramètres!$A$1:$I$89,3,0)*VLOOKUP('Données projet'!$B$12,Paramètres!$A$1:$I$89,5,0)</f>
        <v>83.261099999999999</v>
      </c>
      <c r="CA24" s="14">
        <f t="shared" si="39"/>
        <v>22.932676437355688</v>
      </c>
      <c r="CB24" s="22">
        <f t="shared" si="10"/>
        <v>184.95416062839448</v>
      </c>
      <c r="CC24" s="62">
        <f t="shared" si="11"/>
        <v>478.28749396172782</v>
      </c>
      <c r="CD24" s="62">
        <f ca="1">AVERAGE(OFFSET($CC$3,0,0,'Données projet'!$E$12+1,1))-AVERAGE(OFFSET($H$3,0,0,'Données projet'!$E$12+1,1))</f>
        <v>409.97612835032567</v>
      </c>
      <c r="CE24" s="62">
        <f t="shared" si="40"/>
        <v>411.87876448092288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7.3100445590986638</v>
      </c>
      <c r="CM24" s="23">
        <f>EXP(-LN(2)/2)*CM23+(1-EXP(-LN(2)/2))/(LN(2)/2)*CG24*CJ24*VLOOKUP('Données projet'!$B$12,Paramètres!$A$1:$I$89,3,0)*0.475*44/12</f>
        <v>8.2794993743532679</v>
      </c>
      <c r="CN24" s="24">
        <f t="shared" si="12"/>
        <v>15.589543933451932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25.8</v>
      </c>
      <c r="CT24" s="13">
        <f>IF('Données projet'!$A$140&gt;35,CT23+CS24-DB23,IF(A24&lt;'Données projet'!$A$140,$CQ$205^A24,IF(A24='Données projet'!$A$140,'Données projet'!$B$140,CT23+CS24-DB23)))</f>
        <v>181.8</v>
      </c>
      <c r="CU24" s="18">
        <f>CT24*VLOOKUP('Données projet'!$B$13,Paramètres!$A$1:$I$89,3,0)*VLOOKUP('Données projet'!$B$13,Paramètres!$A$1:$I$89,5,0)</f>
        <v>108.71640000000002</v>
      </c>
      <c r="CV24" s="14">
        <f t="shared" si="41"/>
        <v>29.028352113364011</v>
      </c>
      <c r="CW24" s="22">
        <f t="shared" si="13"/>
        <v>239.90544326410898</v>
      </c>
      <c r="CX24" s="62">
        <f t="shared" si="14"/>
        <v>533.23877659744232</v>
      </c>
      <c r="CY24" s="62">
        <f ca="1">AVERAGE(OFFSET($CX$3,0,0,'Données projet'!$E$13+1,1))-AVERAGE(OFFSET($H$3,0,0,'Données projet'!$E$13+1,1))</f>
        <v>463.3255103386889</v>
      </c>
      <c r="CZ24" s="62">
        <f t="shared" si="42"/>
        <v>474.73210558736127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15.736164717415182</v>
      </c>
      <c r="DH24" s="23">
        <f>EXP(-LN(2)/2)*DH23+(1-EXP(-LN(2)/2))/(LN(2)/2)*DB24*DE24*VLOOKUP('Données projet'!$B$13,Paramètres!$A$1:$I$89,3,0)*0.475*44/12</f>
        <v>21.783773966714509</v>
      </c>
      <c r="DI24" s="24">
        <f t="shared" si="15"/>
        <v>37.519938684129691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9.1999999999999993</v>
      </c>
      <c r="DO24" s="13">
        <f>IF('Données projet'!$A$166&gt;35,DO23+DN24-DW23,IF(A24&lt;'Données projet'!$A$166,$DL$205^A24,IF(A24='Données projet'!$A$166,'Données projet'!$B$166,DO23+DN24-DW23)))</f>
        <v>154.69999999999999</v>
      </c>
      <c r="DP24" s="18">
        <f>DO24*VLOOKUP('Données projet'!$B$14,Paramètres!$A$1:$I$89,3,0)*VLOOKUP('Données projet'!$B$14,Paramètres!$A$1:$I$89,5,0)</f>
        <v>72.399599999999992</v>
      </c>
      <c r="DQ24" s="14">
        <f t="shared" si="43"/>
        <v>20.268188832715463</v>
      </c>
      <c r="DR24" s="22">
        <f t="shared" si="16"/>
        <v>161.3963988836461</v>
      </c>
      <c r="DS24" s="62">
        <f t="shared" si="17"/>
        <v>454.72973221697941</v>
      </c>
      <c r="DT24" s="62">
        <f ca="1">AVERAGE(OFFSET($DS$3,0,0,'Données projet'!$E$14+1,1))-AVERAGE(OFFSET($H$3,0,0,'Données projet'!$E$14+1,1))</f>
        <v>215.23235148064941</v>
      </c>
      <c r="DU24" s="62">
        <f t="shared" si="44"/>
        <v>184.07239726900434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2.0675801707067252</v>
      </c>
      <c r="EC24" s="23">
        <f>EXP(-LN(2)/2)*EC23+(1-EXP(-LN(2)/2))/(LN(2)/2)*DW24*DZ24*VLOOKUP('Données projet'!$B$14,Paramètres!$A$1:$I$89,3,0)*0.475*44/12</f>
        <v>2.341781721218712</v>
      </c>
      <c r="ED24" s="24">
        <f t="shared" si="18"/>
        <v>4.4093618919254371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338.51204866333012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30.1</v>
      </c>
      <c r="N25" s="14">
        <f>IF('Données projet'!$A$36&gt;35,N24+M25-V24,IF(A25&lt;'Données projet'!$A$36,$K$205^A25,IF(A25='Données projet'!$A$36,'Données projet'!$B$36,N24+M25-V24)))</f>
        <v>196.20000000000002</v>
      </c>
      <c r="O25" s="14">
        <f>N25*VLOOKUP('Données projet'!$B$9,Paramètres!$A$1:$I$89,3,0)*VLOOKUP('Données projet'!$B$9,Paramètres!$A$1:$I$89,5,0)</f>
        <v>109.67580000000001</v>
      </c>
      <c r="P25" s="14">
        <f t="shared" si="33"/>
        <v>29.254587407246635</v>
      </c>
      <c r="Q25" s="22">
        <f t="shared" si="2"/>
        <v>241.97042473428789</v>
      </c>
      <c r="R25" s="62">
        <f t="shared" si="0"/>
        <v>535.30375806762117</v>
      </c>
      <c r="S25" s="62">
        <f ca="1">AVERAGE(OFFSET($R$3,0,0,'Données projet'!$E$9+1,1))-AVERAGE(OFFSET($H$3,0,0,'Données projet'!$E$9+1,1))</f>
        <v>460.40450534123659</v>
      </c>
      <c r="T25" s="62">
        <f t="shared" si="34"/>
        <v>467.77477728479198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24.020780426390459</v>
      </c>
      <c r="AB25" s="23">
        <f>EXP(-LN(2)/2)*AB24+(1-EXP(-LN(2)/2))/(LN(2)/2)*V25*Y25*VLOOKUP('Données projet'!$B$9,Paramètres!$A$1:$I$89,3,0)*0.475*44/12</f>
        <v>19.778682947415451</v>
      </c>
      <c r="AC25" s="24">
        <f t="shared" si="3"/>
        <v>43.799463373805906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8.1999999999999993</v>
      </c>
      <c r="AI25" s="14">
        <f>IF('Données projet'!$A$62&gt;35,AI24+AH25-AQ24,IF(A25&lt;'Données projet'!$A$62,$AF$205^A25,IF(A25='Données projet'!$A$62,'Données projet'!$B$62,AI24+AH25-AQ24)))</f>
        <v>83.4</v>
      </c>
      <c r="AJ25" s="14">
        <f>AI25*VLOOKUP('Données projet'!$B$10,Paramètres!$A$1:$I$89,3,0)*VLOOKUP('Données projet'!$B$10,Paramètres!$A$1:$I$89,5,0)</f>
        <v>75.460319999999996</v>
      </c>
      <c r="AK25" s="14">
        <f t="shared" si="35"/>
        <v>21.023463123249066</v>
      </c>
      <c r="AL25" s="22">
        <f t="shared" si="4"/>
        <v>168.04258893965877</v>
      </c>
      <c r="AM25" s="62">
        <f t="shared" si="5"/>
        <v>461.37592227299206</v>
      </c>
      <c r="AN25" s="62">
        <f ca="1">AVERAGE(OFFSET($AM$3,0,0,'Données projet'!$E$10+1,1))-AVERAGE(OFFSET($H$3,0,0,'Données projet'!$E$10+1,1))</f>
        <v>321.03881567735544</v>
      </c>
      <c r="AO25" s="62">
        <f t="shared" si="36"/>
        <v>234.87694492493506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3.44501665460669</v>
      </c>
      <c r="AW25" s="23">
        <f>EXP(-LN(2)/2)*AW24+(1-EXP(-LN(2)/2))/(LN(2)/2)*AQ25*AT25*VLOOKUP('Données projet'!$B$10,Paramètres!$A$1:$I$89,3,0)*0.475*44/12</f>
        <v>3.6282383974235595</v>
      </c>
      <c r="AX25" s="23">
        <f t="shared" si="6"/>
        <v>7.07325505203025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16.5</v>
      </c>
      <c r="BD25" s="13">
        <f>IF('Données projet'!$A$88&gt;35,BD24+BC25-BL24,IF(A25&lt;'Données projet'!$A$88,$BA$205^A25,IF(A25='Données projet'!$A$88,'Données projet'!$B$88,BD24+BC25-BL24)))</f>
        <v>131</v>
      </c>
      <c r="BE25" s="14">
        <f>BD25*VLOOKUP('Données projet'!$B$11,Paramètres!$A$1:$I$89,3,0)*VLOOKUP('Données projet'!$B$11,Paramètres!$A$1:$I$89,5,0)</f>
        <v>81.744</v>
      </c>
      <c r="BF25" s="14">
        <f t="shared" si="37"/>
        <v>22.563064513367394</v>
      </c>
      <c r="BG25" s="22">
        <f t="shared" si="7"/>
        <v>181.66813736078151</v>
      </c>
      <c r="BH25" s="62">
        <f t="shared" si="8"/>
        <v>475.0014706941148</v>
      </c>
      <c r="BI25" s="62">
        <f ca="1">AVERAGE(OFFSET($BH$3,0,0,'Données projet'!$E$11+1,1))-AVERAGE(OFFSET($H$3,0,0,'Données projet'!$E$11+1,1))</f>
        <v>255.41017495879987</v>
      </c>
      <c r="BJ25" s="62">
        <f t="shared" si="38"/>
        <v>297.50513563712764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14.040730173971321</v>
      </c>
      <c r="BR25" s="23">
        <f>EXP(-LN(2)/2)*BR24+(1-EXP(-LN(2)/2))/(LN(2)/2)*BL25*BO25*VLOOKUP('Données projet'!$B$11,Paramètres!$A$1:$I$89,3,0)*0.475*44/12</f>
        <v>10.597694304847721</v>
      </c>
      <c r="BS25" s="24">
        <f t="shared" si="9"/>
        <v>24.63842447881904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31.1</v>
      </c>
      <c r="BY25" s="13">
        <f>IF('Données projet'!$A$114&gt;35,BY24+BX25-CG24,IF(A25&lt;'Données projet'!$A$114,$BV$205^A25,IF(A25='Données projet'!$A$114,'Données projet'!$B$114,BY24+BX25-CG24)))</f>
        <v>204.2</v>
      </c>
      <c r="BZ25" s="14">
        <f>BY25*VLOOKUP('Données projet'!$B$12,Paramètres!$A$1:$I$89,3,0)*VLOOKUP('Données projet'!$B$12,Paramètres!$A$1:$I$89,5,0)</f>
        <v>98.220199999999991</v>
      </c>
      <c r="CA25" s="14">
        <f t="shared" si="39"/>
        <v>26.537542593543996</v>
      </c>
      <c r="CB25" s="22">
        <f t="shared" si="10"/>
        <v>217.28640168375577</v>
      </c>
      <c r="CC25" s="62">
        <f t="shared" si="11"/>
        <v>510.61973501708906</v>
      </c>
      <c r="CD25" s="62">
        <f ca="1">AVERAGE(OFFSET($CC$3,0,0,'Données projet'!$E$12+1,1))-AVERAGE(OFFSET($H$3,0,0,'Données projet'!$E$12+1,1))</f>
        <v>409.97612835032567</v>
      </c>
      <c r="CE25" s="62">
        <f t="shared" si="40"/>
        <v>411.87876448092288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7.1101510062115745</v>
      </c>
      <c r="CM25" s="23">
        <f>EXP(-LN(2)/2)*CM24+(1-EXP(-LN(2)/2))/(LN(2)/2)*CG25*CJ25*VLOOKUP('Données projet'!$B$12,Paramètres!$A$1:$I$89,3,0)*0.475*44/12</f>
        <v>5.8544901524349733</v>
      </c>
      <c r="CN25" s="24">
        <f t="shared" si="12"/>
        <v>12.964641158646547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25.8</v>
      </c>
      <c r="CT25" s="13">
        <f>IF('Données projet'!$A$140&gt;35,CT24+CS25-DB24,IF(A25&lt;'Données projet'!$A$140,$CQ$205^A25,IF(A25='Données projet'!$A$140,'Données projet'!$B$140,CT24+CS25-DB24)))</f>
        <v>207.60000000000002</v>
      </c>
      <c r="CU25" s="18">
        <f>CT25*VLOOKUP('Données projet'!$B$13,Paramètres!$A$1:$I$89,3,0)*VLOOKUP('Données projet'!$B$13,Paramètres!$A$1:$I$89,5,0)</f>
        <v>124.14480000000002</v>
      </c>
      <c r="CV25" s="14">
        <f t="shared" si="41"/>
        <v>32.639787059542115</v>
      </c>
      <c r="CW25" s="22">
        <f t="shared" si="13"/>
        <v>273.06648912870259</v>
      </c>
      <c r="CX25" s="62">
        <f t="shared" si="14"/>
        <v>566.3998224620359</v>
      </c>
      <c r="CY25" s="62">
        <f ca="1">AVERAGE(OFFSET($CX$3,0,0,'Données projet'!$E$13+1,1))-AVERAGE(OFFSET($H$3,0,0,'Données projet'!$E$13+1,1))</f>
        <v>463.3255103386889</v>
      </c>
      <c r="CZ25" s="62">
        <f t="shared" si="42"/>
        <v>474.73210558736127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15.305858465688527</v>
      </c>
      <c r="DH25" s="23">
        <f>EXP(-LN(2)/2)*DH24+(1-EXP(-LN(2)/2))/(LN(2)/2)*DB25*DE25*VLOOKUP('Données projet'!$B$13,Paramètres!$A$1:$I$89,3,0)*0.475*44/12</f>
        <v>15.403454291698807</v>
      </c>
      <c r="DI25" s="24">
        <f t="shared" si="15"/>
        <v>30.709312757387334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9.1999999999999993</v>
      </c>
      <c r="DO25" s="13">
        <f>IF('Données projet'!$A$166&gt;35,DO24+DN25-DW24,IF(A25&lt;'Données projet'!$A$166,$DL$205^A25,IF(A25='Données projet'!$A$166,'Données projet'!$B$166,DO24+DN25-DW24)))</f>
        <v>163.89999999999998</v>
      </c>
      <c r="DP25" s="18">
        <f>DO25*VLOOKUP('Données projet'!$B$14,Paramètres!$A$1:$I$89,3,0)*VLOOKUP('Données projet'!$B$14,Paramètres!$A$1:$I$89,5,0)</f>
        <v>76.705199999999991</v>
      </c>
      <c r="DQ25" s="14">
        <f t="shared" si="43"/>
        <v>21.32962715676695</v>
      </c>
      <c r="DR25" s="22">
        <f t="shared" si="16"/>
        <v>170.74399063136909</v>
      </c>
      <c r="DS25" s="62">
        <f t="shared" si="17"/>
        <v>464.07732396470237</v>
      </c>
      <c r="DT25" s="62">
        <f ca="1">AVERAGE(OFFSET($DS$3,0,0,'Données projet'!$E$14+1,1))-AVERAGE(OFFSET($H$3,0,0,'Données projet'!$E$14+1,1))</f>
        <v>215.23235148064941</v>
      </c>
      <c r="DU25" s="62">
        <f t="shared" si="44"/>
        <v>184.07239726900434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2.0110420822094341</v>
      </c>
      <c r="EC25" s="23">
        <f>EXP(-LN(2)/2)*EC24+(1-EXP(-LN(2)/2))/(LN(2)/2)*DW25*DZ25*VLOOKUP('Données projet'!$B$14,Paramètres!$A$1:$I$89,3,0)*0.475*44/12</f>
        <v>1.6558897351324564</v>
      </c>
      <c r="ED25" s="24">
        <f t="shared" si="18"/>
        <v>3.6669318173418906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340.5056969817893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30.1</v>
      </c>
      <c r="N26" s="14">
        <f>IF('Données projet'!$A$36&gt;35,N25+M26-V25,IF(A26&lt;'Données projet'!$A$36,$K$205^A26,IF(A26='Données projet'!$A$36,'Données projet'!$B$36,N25+M26-V25)))</f>
        <v>226.3</v>
      </c>
      <c r="O26" s="14">
        <f>N26*VLOOKUP('Données projet'!$B$9,Paramètres!$A$1:$I$89,3,0)*VLOOKUP('Données projet'!$B$9,Paramètres!$A$1:$I$89,5,0)</f>
        <v>126.5017</v>
      </c>
      <c r="P26" s="14">
        <f t="shared" si="33"/>
        <v>33.186726039398856</v>
      </c>
      <c r="Q26" s="22">
        <f t="shared" si="2"/>
        <v>278.12400868528636</v>
      </c>
      <c r="R26" s="62">
        <f t="shared" si="0"/>
        <v>571.45734201861967</v>
      </c>
      <c r="S26" s="62">
        <f ca="1">AVERAGE(OFFSET($R$3,0,0,'Données projet'!$E$9+1,1))-AVERAGE(OFFSET($H$3,0,0,'Données projet'!$E$9+1,1))</f>
        <v>460.40450534123659</v>
      </c>
      <c r="T26" s="62">
        <f t="shared" si="34"/>
        <v>467.77477728479198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23.363930922432871</v>
      </c>
      <c r="AB26" s="23">
        <f>EXP(-LN(2)/2)*AB25+(1-EXP(-LN(2)/2))/(LN(2)/2)*V26*Y26*VLOOKUP('Données projet'!$B$9,Paramètres!$A$1:$I$89,3,0)*0.475*44/12</f>
        <v>13.985640835056197</v>
      </c>
      <c r="AC26" s="24">
        <f t="shared" si="3"/>
        <v>37.349571757489066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8.1999999999999993</v>
      </c>
      <c r="AI26" s="14">
        <f>IF('Données projet'!$A$62&gt;35,AI25+AH26-AQ25,IF(A26&lt;'Données projet'!$A$62,$AF$205^A26,IF(A26='Données projet'!$A$62,'Données projet'!$B$62,AI25+AH26-AQ25)))</f>
        <v>91.600000000000009</v>
      </c>
      <c r="AJ26" s="14">
        <f>AI26*VLOOKUP('Données projet'!$B$10,Paramètres!$A$1:$I$89,3,0)*VLOOKUP('Données projet'!$B$10,Paramètres!$A$1:$I$89,5,0)</f>
        <v>82.879680000000008</v>
      </c>
      <c r="AK26" s="14">
        <f t="shared" si="35"/>
        <v>22.83982519050506</v>
      </c>
      <c r="AL26" s="22">
        <f t="shared" si="4"/>
        <v>184.12813820679631</v>
      </c>
      <c r="AM26" s="62">
        <f t="shared" si="5"/>
        <v>477.46147154012965</v>
      </c>
      <c r="AN26" s="62">
        <f ca="1">AVERAGE(OFFSET($AM$3,0,0,'Données projet'!$E$10+1,1))-AVERAGE(OFFSET($H$3,0,0,'Données projet'!$E$10+1,1))</f>
        <v>321.03881567735544</v>
      </c>
      <c r="AO26" s="62">
        <f t="shared" si="36"/>
        <v>234.87694492493506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3.3508124930209178</v>
      </c>
      <c r="AW26" s="23">
        <f>EXP(-LN(2)/2)*AW25+(1-EXP(-LN(2)/2))/(LN(2)/2)*AQ26*AT26*VLOOKUP('Données projet'!$B$10,Paramètres!$A$1:$I$89,3,0)*0.475*44/12</f>
        <v>2.5655519745796109</v>
      </c>
      <c r="AX26" s="23">
        <f t="shared" si="6"/>
        <v>5.9163644676005287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16.5</v>
      </c>
      <c r="BD26" s="13">
        <f>IF('Données projet'!$A$88&gt;35,BD25+BC26-BL25,IF(A26&lt;'Données projet'!$A$88,$BA$205^A26,IF(A26='Données projet'!$A$88,'Données projet'!$B$88,BD25+BC26-BL25)))</f>
        <v>147.5</v>
      </c>
      <c r="BE26" s="14">
        <f>BD26*VLOOKUP('Données projet'!$B$11,Paramètres!$A$1:$I$89,3,0)*VLOOKUP('Données projet'!$B$11,Paramètres!$A$1:$I$89,5,0)</f>
        <v>92.04</v>
      </c>
      <c r="BF26" s="14">
        <f t="shared" si="37"/>
        <v>25.056580235859606</v>
      </c>
      <c r="BG26" s="22">
        <f t="shared" si="7"/>
        <v>203.94321057745549</v>
      </c>
      <c r="BH26" s="62">
        <f t="shared" si="8"/>
        <v>497.2765439107888</v>
      </c>
      <c r="BI26" s="62">
        <f ca="1">AVERAGE(OFFSET($BH$3,0,0,'Données projet'!$E$11+1,1))-AVERAGE(OFFSET($H$3,0,0,'Données projet'!$E$11+1,1))</f>
        <v>255.41017495879987</v>
      </c>
      <c r="BJ26" s="62">
        <f t="shared" si="38"/>
        <v>297.50513563712764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13.656785668994166</v>
      </c>
      <c r="BR26" s="23">
        <f>EXP(-LN(2)/2)*BR25+(1-EXP(-LN(2)/2))/(LN(2)/2)*BL26*BO26*VLOOKUP('Données projet'!$B$11,Paramètres!$A$1:$I$89,3,0)*0.475*44/12</f>
        <v>7.4937015078998792</v>
      </c>
      <c r="BS26" s="24">
        <f t="shared" si="9"/>
        <v>21.150487176894046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31.1</v>
      </c>
      <c r="BY26" s="13">
        <f>IF('Données projet'!$A$114&gt;35,BY25+BX26-CG25,IF(A26&lt;'Données projet'!$A$114,$BV$205^A26,IF(A26='Données projet'!$A$114,'Données projet'!$B$114,BY25+BX26-CG25)))</f>
        <v>235.29999999999998</v>
      </c>
      <c r="BZ26" s="14">
        <f>BY26*VLOOKUP('Données projet'!$B$12,Paramètres!$A$1:$I$89,3,0)*VLOOKUP('Données projet'!$B$12,Paramètres!$A$1:$I$89,5,0)</f>
        <v>113.1793</v>
      </c>
      <c r="CA26" s="14">
        <f t="shared" si="39"/>
        <v>30.078805763036858</v>
      </c>
      <c r="CB26" s="22">
        <f t="shared" si="10"/>
        <v>249.50786753728917</v>
      </c>
      <c r="CC26" s="62">
        <f t="shared" si="11"/>
        <v>542.84120087062252</v>
      </c>
      <c r="CD26" s="62">
        <f ca="1">AVERAGE(OFFSET($CC$3,0,0,'Données projet'!$E$12+1,1))-AVERAGE(OFFSET($H$3,0,0,'Données projet'!$E$12+1,1))</f>
        <v>409.97612835032567</v>
      </c>
      <c r="CE26" s="62">
        <f t="shared" si="40"/>
        <v>411.87876448092288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6.9157235530401282</v>
      </c>
      <c r="CM26" s="23">
        <f>EXP(-LN(2)/2)*CM25+(1-EXP(-LN(2)/2))/(LN(2)/2)*CG26*CJ26*VLOOKUP('Données projet'!$B$12,Paramètres!$A$1:$I$89,3,0)*0.475*44/12</f>
        <v>4.1397496871766339</v>
      </c>
      <c r="CN26" s="24">
        <f t="shared" si="12"/>
        <v>11.055473240216763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25.8</v>
      </c>
      <c r="CT26" s="13">
        <f>IF('Données projet'!$A$140&gt;35,CT25+CS26-DB25,IF(A26&lt;'Données projet'!$A$140,$CQ$205^A26,IF(A26='Données projet'!$A$140,'Données projet'!$B$140,CT25+CS26-DB25)))</f>
        <v>233.40000000000003</v>
      </c>
      <c r="CU26" s="18">
        <f>CT26*VLOOKUP('Données projet'!$B$13,Paramètres!$A$1:$I$89,3,0)*VLOOKUP('Données projet'!$B$13,Paramètres!$A$1:$I$89,5,0)</f>
        <v>139.57320000000004</v>
      </c>
      <c r="CV26" s="14">
        <f t="shared" si="41"/>
        <v>36.199214240904809</v>
      </c>
      <c r="CW26" s="22">
        <f t="shared" si="13"/>
        <v>306.13695480290926</v>
      </c>
      <c r="CX26" s="62">
        <f t="shared" si="14"/>
        <v>599.47028813624252</v>
      </c>
      <c r="CY26" s="62">
        <f ca="1">AVERAGE(OFFSET($CX$3,0,0,'Données projet'!$E$13+1,1))-AVERAGE(OFFSET($H$3,0,0,'Données projet'!$E$13+1,1))</f>
        <v>463.3255103386889</v>
      </c>
      <c r="CZ26" s="62">
        <f t="shared" si="42"/>
        <v>474.73210558736127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14.887318961044159</v>
      </c>
      <c r="DH26" s="23">
        <f>EXP(-LN(2)/2)*DH25+(1-EXP(-LN(2)/2))/(LN(2)/2)*DB26*DE26*VLOOKUP('Données projet'!$B$13,Paramètres!$A$1:$I$89,3,0)*0.475*44/12</f>
        <v>10.891886983357256</v>
      </c>
      <c r="DI26" s="24">
        <f t="shared" si="15"/>
        <v>25.779205944401415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9.1999999999999993</v>
      </c>
      <c r="DO26" s="13">
        <f>IF('Données projet'!$A$166&gt;35,DO25+DN26-DW25,IF(A26&lt;'Données projet'!$A$166,$DL$205^A26,IF(A26='Données projet'!$A$166,'Données projet'!$B$166,DO25+DN26-DW25)))</f>
        <v>173.09999999999997</v>
      </c>
      <c r="DP26" s="18">
        <f>DO26*VLOOKUP('Données projet'!$B$14,Paramètres!$A$1:$I$89,3,0)*VLOOKUP('Données projet'!$B$14,Paramètres!$A$1:$I$89,5,0)</f>
        <v>81.010799999999989</v>
      </c>
      <c r="DQ26" s="14">
        <f t="shared" si="43"/>
        <v>22.384149091932141</v>
      </c>
      <c r="DR26" s="22">
        <f t="shared" si="16"/>
        <v>180.07953633511511</v>
      </c>
      <c r="DS26" s="62">
        <f t="shared" si="17"/>
        <v>473.41286966844842</v>
      </c>
      <c r="DT26" s="62">
        <f ca="1">AVERAGE(OFFSET($DS$3,0,0,'Données projet'!$E$14+1,1))-AVERAGE(OFFSET($H$3,0,0,'Données projet'!$E$14+1,1))</f>
        <v>215.23235148064941</v>
      </c>
      <c r="DU26" s="62">
        <f t="shared" si="44"/>
        <v>184.07239726900434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1.9560500307153104</v>
      </c>
      <c r="EC26" s="23">
        <f>EXP(-LN(2)/2)*EC25+(1-EXP(-LN(2)/2))/(LN(2)/2)*DW26*DZ26*VLOOKUP('Données projet'!$B$14,Paramètres!$A$1:$I$89,3,0)*0.475*44/12</f>
        <v>1.170890860609356</v>
      </c>
      <c r="ED26" s="24">
        <f t="shared" si="18"/>
        <v>3.1269408913246663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342.49709836529308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30.1</v>
      </c>
      <c r="N27" s="14">
        <f>IF('Données projet'!$A$36&gt;35,N26+M27-V26,IF(A27&lt;'Données projet'!$A$36,$K$205^A27,IF(A27='Données projet'!$A$36,'Données projet'!$B$36,N26+M27-V26)))</f>
        <v>256.40000000000003</v>
      </c>
      <c r="O27" s="14">
        <f>N27*VLOOKUP('Données projet'!$B$9,Paramètres!$A$1:$I$89,3,0)*VLOOKUP('Données projet'!$B$9,Paramètres!$A$1:$I$89,5,0)</f>
        <v>143.32760000000002</v>
      </c>
      <c r="P27" s="14">
        <f t="shared" si="33"/>
        <v>37.058266617041653</v>
      </c>
      <c r="Q27" s="22">
        <f t="shared" si="2"/>
        <v>314.17205102468091</v>
      </c>
      <c r="R27" s="62">
        <f t="shared" si="0"/>
        <v>607.50538435801423</v>
      </c>
      <c r="S27" s="62">
        <f ca="1">AVERAGE(OFFSET($R$3,0,0,'Données projet'!$E$9+1,1))-AVERAGE(OFFSET($H$3,0,0,'Données projet'!$E$9+1,1))</f>
        <v>460.40450534123659</v>
      </c>
      <c r="T27" s="62">
        <f t="shared" si="34"/>
        <v>467.77477728479198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22.725043002703217</v>
      </c>
      <c r="AB27" s="23">
        <f>EXP(-LN(2)/2)*AB26+(1-EXP(-LN(2)/2))/(LN(2)/2)*V27*Y27*VLOOKUP('Données projet'!$B$9,Paramètres!$A$1:$I$89,3,0)*0.475*44/12</f>
        <v>9.8893414737077272</v>
      </c>
      <c r="AC27" s="24">
        <f t="shared" si="3"/>
        <v>32.614384476410947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8.1999999999999993</v>
      </c>
      <c r="AI27" s="14">
        <f>IF('Données projet'!$A$62&gt;35,AI26+AH27-AQ26,IF(A27&lt;'Données projet'!$A$62,$AF$205^A27,IF(A27='Données projet'!$A$62,'Données projet'!$B$62,AI26+AH27-AQ26)))</f>
        <v>99.800000000000011</v>
      </c>
      <c r="AJ27" s="14">
        <f>AI27*VLOOKUP('Données projet'!$B$10,Paramètres!$A$1:$I$89,3,0)*VLOOKUP('Données projet'!$B$10,Paramètres!$A$1:$I$89,5,0)</f>
        <v>90.299040000000005</v>
      </c>
      <c r="AK27" s="14">
        <f t="shared" si="35"/>
        <v>24.637332311507059</v>
      </c>
      <c r="AL27" s="22">
        <f t="shared" si="4"/>
        <v>200.18084844254145</v>
      </c>
      <c r="AM27" s="62">
        <f t="shared" si="5"/>
        <v>493.51418177587476</v>
      </c>
      <c r="AN27" s="62">
        <f ca="1">AVERAGE(OFFSET($AM$3,0,0,'Données projet'!$E$10+1,1))-AVERAGE(OFFSET($H$3,0,0,'Données projet'!$E$10+1,1))</f>
        <v>321.03881567735544</v>
      </c>
      <c r="AO27" s="62">
        <f t="shared" si="36"/>
        <v>234.87694492493506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3.2591843491876902</v>
      </c>
      <c r="AW27" s="23">
        <f>EXP(-LN(2)/2)*AW26+(1-EXP(-LN(2)/2))/(LN(2)/2)*AQ27*AT27*VLOOKUP('Données projet'!$B$10,Paramètres!$A$1:$I$89,3,0)*0.475*44/12</f>
        <v>1.81411919871178</v>
      </c>
      <c r="AX27" s="23">
        <f t="shared" si="6"/>
        <v>5.0733035478994699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16.5</v>
      </c>
      <c r="BD27" s="13">
        <f>IF('Données projet'!$A$88&gt;35,BD26+BC27-BL26,IF(A27&lt;'Données projet'!$A$88,$BA$205^A27,IF(A27='Données projet'!$A$88,'Données projet'!$B$88,BD26+BC27-BL26)))</f>
        <v>164</v>
      </c>
      <c r="BE27" s="14">
        <f>BD27*VLOOKUP('Données projet'!$B$11,Paramètres!$A$1:$I$89,3,0)*VLOOKUP('Données projet'!$B$11,Paramètres!$A$1:$I$89,5,0)</f>
        <v>102.336</v>
      </c>
      <c r="BF27" s="14">
        <f t="shared" si="37"/>
        <v>27.517767215282735</v>
      </c>
      <c r="BG27" s="22">
        <f t="shared" si="7"/>
        <v>226.16197789995076</v>
      </c>
      <c r="BH27" s="62">
        <f t="shared" si="8"/>
        <v>519.49531123328404</v>
      </c>
      <c r="BI27" s="62">
        <f ca="1">AVERAGE(OFFSET($BH$3,0,0,'Données projet'!$E$11+1,1))-AVERAGE(OFFSET($H$3,0,0,'Données projet'!$E$11+1,1))</f>
        <v>255.41017495879987</v>
      </c>
      <c r="BJ27" s="62">
        <f t="shared" si="38"/>
        <v>297.50513563712764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13.283340146696375</v>
      </c>
      <c r="BR27" s="23">
        <f>EXP(-LN(2)/2)*BR26+(1-EXP(-LN(2)/2))/(LN(2)/2)*BL27*BO27*VLOOKUP('Données projet'!$B$11,Paramètres!$A$1:$I$89,3,0)*0.475*44/12</f>
        <v>5.2988471524238614</v>
      </c>
      <c r="BS27" s="24">
        <f t="shared" si="9"/>
        <v>18.582187299120235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31.1</v>
      </c>
      <c r="BY27" s="13">
        <f>IF('Données projet'!$A$114&gt;35,BY26+BX27-CG26,IF(A27&lt;'Données projet'!$A$114,$BV$205^A27,IF(A27='Données projet'!$A$114,'Données projet'!$B$114,BY26+BX27-CG26)))</f>
        <v>266.39999999999998</v>
      </c>
      <c r="BZ27" s="14">
        <f>BY27*VLOOKUP('Données projet'!$B$12,Paramètres!$A$1:$I$89,3,0)*VLOOKUP('Données projet'!$B$12,Paramètres!$A$1:$I$89,5,0)</f>
        <v>128.13839999999999</v>
      </c>
      <c r="CA27" s="14">
        <f t="shared" si="39"/>
        <v>33.565837798615647</v>
      </c>
      <c r="CB27" s="22">
        <f t="shared" si="10"/>
        <v>281.63488083258886</v>
      </c>
      <c r="CC27" s="62">
        <f t="shared" si="11"/>
        <v>574.96821416592218</v>
      </c>
      <c r="CD27" s="62">
        <f ca="1">AVERAGE(OFFSET($CC$3,0,0,'Données projet'!$E$12+1,1))-AVERAGE(OFFSET($H$3,0,0,'Données projet'!$E$12+1,1))</f>
        <v>409.97612835032567</v>
      </c>
      <c r="CE27" s="62">
        <f t="shared" si="40"/>
        <v>411.87876448092288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6.7266127288001503</v>
      </c>
      <c r="CM27" s="23">
        <f>EXP(-LN(2)/2)*CM26+(1-EXP(-LN(2)/2))/(LN(2)/2)*CG27*CJ27*VLOOKUP('Données projet'!$B$12,Paramètres!$A$1:$I$89,3,0)*0.475*44/12</f>
        <v>2.9272450762174866</v>
      </c>
      <c r="CN27" s="24">
        <f t="shared" si="12"/>
        <v>9.6538578050176369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25.8</v>
      </c>
      <c r="CT27" s="13">
        <f>IF('Données projet'!$A$140&gt;35,CT26+CS27-DB26,IF(A27&lt;'Données projet'!$A$140,$CQ$205^A27,IF(A27='Données projet'!$A$140,'Données projet'!$B$140,CT26+CS27-DB26)))</f>
        <v>259.20000000000005</v>
      </c>
      <c r="CU27" s="18">
        <f>CT27*VLOOKUP('Données projet'!$B$13,Paramètres!$A$1:$I$89,3,0)*VLOOKUP('Données projet'!$B$13,Paramètres!$A$1:$I$89,5,0)</f>
        <v>155.00160000000005</v>
      </c>
      <c r="CV27" s="14">
        <f t="shared" si="41"/>
        <v>39.713038294647887</v>
      </c>
      <c r="CW27" s="22">
        <f t="shared" si="13"/>
        <v>339.12799502984518</v>
      </c>
      <c r="CX27" s="62">
        <f t="shared" si="14"/>
        <v>632.4613283631785</v>
      </c>
      <c r="CY27" s="62">
        <f ca="1">AVERAGE(OFFSET($CX$3,0,0,'Données projet'!$E$13+1,1))-AVERAGE(OFFSET($H$3,0,0,'Données projet'!$E$13+1,1))</f>
        <v>463.3255103386889</v>
      </c>
      <c r="CZ27" s="62">
        <f t="shared" si="42"/>
        <v>474.73210558736127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14.480224441164328</v>
      </c>
      <c r="DH27" s="23">
        <f>EXP(-LN(2)/2)*DH26+(1-EXP(-LN(2)/2))/(LN(2)/2)*DB27*DE27*VLOOKUP('Données projet'!$B$13,Paramètres!$A$1:$I$89,3,0)*0.475*44/12</f>
        <v>7.7017271458494054</v>
      </c>
      <c r="DI27" s="24">
        <f t="shared" si="15"/>
        <v>22.181951587013735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9.1999999999999993</v>
      </c>
      <c r="DO27" s="13">
        <f>IF('Données projet'!$A$166&gt;35,DO26+DN27-DW26,IF(A27&lt;'Données projet'!$A$166,$DL$205^A27,IF(A27='Données projet'!$A$166,'Données projet'!$B$166,DO26+DN27-DW26)))</f>
        <v>182.29999999999995</v>
      </c>
      <c r="DP27" s="18">
        <f>DO27*VLOOKUP('Données projet'!$B$14,Paramètres!$A$1:$I$89,3,0)*VLOOKUP('Données projet'!$B$14,Paramètres!$A$1:$I$89,5,0)</f>
        <v>85.316399999999987</v>
      </c>
      <c r="DQ27" s="14">
        <f t="shared" si="43"/>
        <v>23.432164150529264</v>
      </c>
      <c r="DR27" s="22">
        <f t="shared" si="16"/>
        <v>189.40374922883845</v>
      </c>
      <c r="DS27" s="62">
        <f t="shared" si="17"/>
        <v>482.73708256217174</v>
      </c>
      <c r="DT27" s="62">
        <f ca="1">AVERAGE(OFFSET($DS$3,0,0,'Données projet'!$E$14+1,1))-AVERAGE(OFFSET($H$3,0,0,'Données projet'!$E$14+1,1))</f>
        <v>215.23235148064941</v>
      </c>
      <c r="DU27" s="62">
        <f t="shared" si="44"/>
        <v>184.07239726900434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1.9025617397611998</v>
      </c>
      <c r="EC27" s="23">
        <f>EXP(-LN(2)/2)*EC26+(1-EXP(-LN(2)/2))/(LN(2)/2)*DW27*DZ27*VLOOKUP('Données projet'!$B$14,Paramètres!$A$1:$I$89,3,0)*0.475*44/12</f>
        <v>0.8279448675662282</v>
      </c>
      <c r="ED27" s="24">
        <f t="shared" si="18"/>
        <v>2.730506607327428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344.4863571422834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30.1</v>
      </c>
      <c r="N28" s="14">
        <f>IF('Données projet'!$A$36&gt;35,N27+M28-V27,IF(A28&lt;'Données projet'!$A$36,$K$205^A28,IF(A28='Données projet'!$A$36,'Données projet'!$B$36,N27+M28-V27)))</f>
        <v>286.50000000000006</v>
      </c>
      <c r="O28" s="14">
        <f>N28*VLOOKUP('Données projet'!$B$9,Paramètres!$A$1:$I$89,3,0)*VLOOKUP('Données projet'!$B$9,Paramètres!$A$1:$I$89,5,0)</f>
        <v>160.15350000000004</v>
      </c>
      <c r="P28" s="14">
        <f t="shared" si="33"/>
        <v>40.877135827694609</v>
      </c>
      <c r="Q28" s="22">
        <f t="shared" si="2"/>
        <v>350.12835739990146</v>
      </c>
      <c r="R28" s="62">
        <f t="shared" si="0"/>
        <v>643.46169073323472</v>
      </c>
      <c r="S28" s="62">
        <f ca="1">AVERAGE(OFFSET($R$3,0,0,'Données projet'!$E$9+1,1))-AVERAGE(OFFSET($H$3,0,0,'Données projet'!$E$9+1,1))</f>
        <v>460.40450534123659</v>
      </c>
      <c r="T28" s="62">
        <f t="shared" si="34"/>
        <v>467.77477728479198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22.103625506736226</v>
      </c>
      <c r="AB28" s="23">
        <f>EXP(-LN(2)/2)*AB27+(1-EXP(-LN(2)/2))/(LN(2)/2)*V28*Y28*VLOOKUP('Données projet'!$B$9,Paramètres!$A$1:$I$89,3,0)*0.475*44/12</f>
        <v>6.9928204175281001</v>
      </c>
      <c r="AC28" s="24">
        <f t="shared" si="3"/>
        <v>29.096445924264327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8.1999999999999993</v>
      </c>
      <c r="AI28" s="14">
        <f>IF('Données projet'!$A$62&gt;35,AI27+AH28-AQ27,IF(A28&lt;'Données projet'!$A$62,$AF$205^A28,IF(A28='Données projet'!$A$62,'Données projet'!$B$62,AI27+AH28-AQ27)))</f>
        <v>108.00000000000001</v>
      </c>
      <c r="AJ28" s="14">
        <f>AI28*VLOOKUP('Données projet'!$B$10,Paramètres!$A$1:$I$89,3,0)*VLOOKUP('Données projet'!$B$10,Paramètres!$A$1:$I$89,5,0)</f>
        <v>97.718400000000003</v>
      </c>
      <c r="AK28" s="14">
        <f t="shared" si="35"/>
        <v>26.417709819192194</v>
      </c>
      <c r="AL28" s="22">
        <f t="shared" si="4"/>
        <v>216.20372460175975</v>
      </c>
      <c r="AM28" s="62">
        <f t="shared" si="5"/>
        <v>509.53705793509306</v>
      </c>
      <c r="AN28" s="62">
        <f ca="1">AVERAGE(OFFSET($AM$3,0,0,'Données projet'!$E$10+1,1))-AVERAGE(OFFSET($H$3,0,0,'Données projet'!$E$10+1,1))</f>
        <v>321.03881567735544</v>
      </c>
      <c r="AO28" s="62">
        <f t="shared" si="36"/>
        <v>234.87694492493506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3.1700617817660968</v>
      </c>
      <c r="AW28" s="23">
        <f>EXP(-LN(2)/2)*AW27+(1-EXP(-LN(2)/2))/(LN(2)/2)*AQ28*AT28*VLOOKUP('Données projet'!$B$10,Paramètres!$A$1:$I$89,3,0)*0.475*44/12</f>
        <v>1.2827759872898057</v>
      </c>
      <c r="AX28" s="23">
        <f t="shared" si="6"/>
        <v>4.4528377690559022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16.5</v>
      </c>
      <c r="BD28" s="13">
        <f>IF('Données projet'!$A$88&gt;35,BD27+BC28-BL27,IF(A28&lt;'Données projet'!$A$88,$BA$205^A28,IF(A28='Données projet'!$A$88,'Données projet'!$B$88,BD27+BC28-BL27)))</f>
        <v>180.5</v>
      </c>
      <c r="BE28" s="14">
        <f>BD28*VLOOKUP('Données projet'!$B$11,Paramètres!$A$1:$I$89,3,0)*VLOOKUP('Données projet'!$B$11,Paramètres!$A$1:$I$89,5,0)</f>
        <v>112.63200000000001</v>
      </c>
      <c r="BF28" s="14">
        <f t="shared" si="37"/>
        <v>29.950248336286034</v>
      </c>
      <c r="BG28" s="22">
        <f t="shared" si="7"/>
        <v>248.33074918569818</v>
      </c>
      <c r="BH28" s="62">
        <f t="shared" si="8"/>
        <v>541.66408251903147</v>
      </c>
      <c r="BI28" s="62">
        <f ca="1">AVERAGE(OFFSET($BH$3,0,0,'Données projet'!$E$11+1,1))-AVERAGE(OFFSET($H$3,0,0,'Données projet'!$E$11+1,1))</f>
        <v>255.41017495879987</v>
      </c>
      <c r="BJ28" s="62">
        <f t="shared" si="38"/>
        <v>297.50513563712764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12.920106511844464</v>
      </c>
      <c r="BR28" s="23">
        <f>EXP(-LN(2)/2)*BR27+(1-EXP(-LN(2)/2))/(LN(2)/2)*BL28*BO28*VLOOKUP('Données projet'!$B$11,Paramètres!$A$1:$I$89,3,0)*0.475*44/12</f>
        <v>3.74685075394994</v>
      </c>
      <c r="BS28" s="24">
        <f t="shared" si="9"/>
        <v>16.666957265794405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31.1</v>
      </c>
      <c r="BY28" s="13">
        <f>IF('Données projet'!$A$114&gt;35,BY27+BX28-CG27,IF(A28&lt;'Données projet'!$A$114,$BV$205^A28,IF(A28='Données projet'!$A$114,'Données projet'!$B$114,BY27+BX28-CG27)))</f>
        <v>297.5</v>
      </c>
      <c r="BZ28" s="14">
        <f>BY28*VLOOKUP('Données projet'!$B$12,Paramètres!$A$1:$I$89,3,0)*VLOOKUP('Données projet'!$B$12,Paramètres!$A$1:$I$89,5,0)</f>
        <v>143.0975</v>
      </c>
      <c r="CA28" s="14">
        <f t="shared" si="39"/>
        <v>37.005692958593599</v>
      </c>
      <c r="CB28" s="22">
        <f t="shared" si="10"/>
        <v>313.67972773621716</v>
      </c>
      <c r="CC28" s="62">
        <f t="shared" si="11"/>
        <v>607.01306106955053</v>
      </c>
      <c r="CD28" s="62">
        <f ca="1">AVERAGE(OFFSET($CC$3,0,0,'Données projet'!$E$12+1,1))-AVERAGE(OFFSET($H$3,0,0,'Données projet'!$E$12+1,1))</f>
        <v>409.97612835032567</v>
      </c>
      <c r="CE28" s="62">
        <f t="shared" si="40"/>
        <v>411.87876448092288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6.542673149993921</v>
      </c>
      <c r="CM28" s="23">
        <f>EXP(-LN(2)/2)*CM27+(1-EXP(-LN(2)/2))/(LN(2)/2)*CG28*CJ28*VLOOKUP('Données projet'!$B$12,Paramètres!$A$1:$I$89,3,0)*0.475*44/12</f>
        <v>2.069874843588317</v>
      </c>
      <c r="CN28" s="24">
        <f t="shared" si="12"/>
        <v>8.612547993582238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25.8</v>
      </c>
      <c r="CT28" s="13">
        <f>IF('Données projet'!$A$140&gt;35,CT27+CS28-DB27,IF(A28&lt;'Données projet'!$A$140,$CQ$205^A28,IF(A28='Données projet'!$A$140,'Données projet'!$B$140,CT27+CS28-DB27)))</f>
        <v>285.00000000000006</v>
      </c>
      <c r="CU28" s="18">
        <f>CT28*VLOOKUP('Données projet'!$B$13,Paramètres!$A$1:$I$89,3,0)*VLOOKUP('Données projet'!$B$13,Paramètres!$A$1:$I$89,5,0)</f>
        <v>170.43000000000004</v>
      </c>
      <c r="CV28" s="14">
        <f t="shared" si="41"/>
        <v>43.186315117079396</v>
      </c>
      <c r="CW28" s="22">
        <f t="shared" si="13"/>
        <v>372.04841549558</v>
      </c>
      <c r="CX28" s="62">
        <f t="shared" si="14"/>
        <v>665.38174882891326</v>
      </c>
      <c r="CY28" s="62">
        <f ca="1">AVERAGE(OFFSET($CX$3,0,0,'Données projet'!$E$13+1,1))-AVERAGE(OFFSET($H$3,0,0,'Données projet'!$E$13+1,1))</f>
        <v>463.3255103386889</v>
      </c>
      <c r="CZ28" s="62">
        <f t="shared" si="42"/>
        <v>474.73210558736127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14.084261942338781</v>
      </c>
      <c r="DH28" s="23">
        <f>EXP(-LN(2)/2)*DH27+(1-EXP(-LN(2)/2))/(LN(2)/2)*DB28*DE28*VLOOKUP('Données projet'!$B$13,Paramètres!$A$1:$I$89,3,0)*0.475*44/12</f>
        <v>5.4459434916786291</v>
      </c>
      <c r="DI28" s="24">
        <f t="shared" si="15"/>
        <v>19.530205434017411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9.1999999999999993</v>
      </c>
      <c r="DO28" s="13">
        <f>IF('Données projet'!$A$166&gt;35,DO27+DN28-DW27,IF(A28&lt;'Données projet'!$A$166,$DL$205^A28,IF(A28='Données projet'!$A$166,'Données projet'!$B$166,DO27+DN28-DW27)))</f>
        <v>191.49999999999994</v>
      </c>
      <c r="DP28" s="18">
        <f>DO28*VLOOKUP('Données projet'!$B$14,Paramètres!$A$1:$I$89,3,0)*VLOOKUP('Données projet'!$B$14,Paramètres!$A$1:$I$89,5,0)</f>
        <v>89.621999999999986</v>
      </c>
      <c r="DQ28" s="14">
        <f t="shared" si="43"/>
        <v>24.47403817697321</v>
      </c>
      <c r="DR28" s="22">
        <f t="shared" si="16"/>
        <v>198.71726649156165</v>
      </c>
      <c r="DS28" s="62">
        <f t="shared" si="17"/>
        <v>492.05059982489496</v>
      </c>
      <c r="DT28" s="62">
        <f ca="1">AVERAGE(OFFSET($DS$3,0,0,'Données projet'!$E$14+1,1))-AVERAGE(OFFSET($H$3,0,0,'Données projet'!$E$14+1,1))</f>
        <v>215.23235148064941</v>
      </c>
      <c r="DU28" s="62">
        <f t="shared" si="44"/>
        <v>184.07239726900434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1.8505360889360563</v>
      </c>
      <c r="EC28" s="23">
        <f>EXP(-LN(2)/2)*EC27+(1-EXP(-LN(2)/2))/(LN(2)/2)*DW28*DZ28*VLOOKUP('Données projet'!$B$14,Paramètres!$A$1:$I$89,3,0)*0.475*44/12</f>
        <v>0.58544543030467799</v>
      </c>
      <c r="ED28" s="24">
        <f t="shared" si="18"/>
        <v>2.4359815192407344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346.47356882250091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30.1</v>
      </c>
      <c r="N29" s="14">
        <f>IF('Données projet'!$A$36&gt;35,N28+M29-V28,IF(A29&lt;'Données projet'!$A$36,$K$205^A29,IF(A29='Données projet'!$A$36,'Données projet'!$B$36,N28+M29-V28)))</f>
        <v>316.60000000000008</v>
      </c>
      <c r="O29" s="14">
        <f>N29*VLOOKUP('Données projet'!$B$9,Paramètres!$A$1:$I$89,3,0)*VLOOKUP('Données projet'!$B$9,Paramètres!$A$1:$I$89,5,0)</f>
        <v>176.97940000000006</v>
      </c>
      <c r="P29" s="14">
        <f t="shared" si="33"/>
        <v>44.6494978391339</v>
      </c>
      <c r="Q29" s="22">
        <f t="shared" si="2"/>
        <v>386.00366373649166</v>
      </c>
      <c r="R29" s="62">
        <f t="shared" si="0"/>
        <v>679.33699706982497</v>
      </c>
      <c r="S29" s="62">
        <f ca="1">AVERAGE(OFFSET($R$3,0,0,'Données projet'!$E$9+1,1))-AVERAGE(OFFSET($H$3,0,0,'Données projet'!$E$9+1,1))</f>
        <v>460.40450534123659</v>
      </c>
      <c r="T29" s="62">
        <f t="shared" si="34"/>
        <v>467.77477728479198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21.499200704875378</v>
      </c>
      <c r="AB29" s="23">
        <f>EXP(-LN(2)/2)*AB28+(1-EXP(-LN(2)/2))/(LN(2)/2)*V29*Y29*VLOOKUP('Données projet'!$B$9,Paramètres!$A$1:$I$89,3,0)*0.475*44/12</f>
        <v>4.9446707368538645</v>
      </c>
      <c r="AC29" s="24">
        <f t="shared" si="3"/>
        <v>26.443871441729243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8.1999999999999993</v>
      </c>
      <c r="AI29" s="14">
        <f>IF('Données projet'!$A$62&gt;35,AI28+AH29-AQ28,IF(A29&lt;'Données projet'!$A$62,$AF$205^A29,IF(A29='Données projet'!$A$62,'Données projet'!$B$62,AI28+AH29-AQ28)))</f>
        <v>116.20000000000002</v>
      </c>
      <c r="AJ29" s="14">
        <f>AI29*VLOOKUP('Données projet'!$B$10,Paramètres!$A$1:$I$89,3,0)*VLOOKUP('Données projet'!$B$10,Paramètres!$A$1:$I$89,5,0)</f>
        <v>105.13776</v>
      </c>
      <c r="AK29" s="14">
        <f t="shared" si="35"/>
        <v>28.182406176030653</v>
      </c>
      <c r="AL29" s="22">
        <f t="shared" si="4"/>
        <v>232.19928942325339</v>
      </c>
      <c r="AM29" s="62">
        <f t="shared" si="5"/>
        <v>525.53262275658676</v>
      </c>
      <c r="AN29" s="62">
        <f ca="1">AVERAGE(OFFSET($AM$3,0,0,'Données projet'!$E$10+1,1))-AVERAGE(OFFSET($H$3,0,0,'Données projet'!$E$10+1,1))</f>
        <v>321.03881567735544</v>
      </c>
      <c r="AO29" s="62">
        <f t="shared" si="36"/>
        <v>234.87694492493506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3.083376275637399</v>
      </c>
      <c r="AW29" s="23">
        <f>EXP(-LN(2)/2)*AW28+(1-EXP(-LN(2)/2))/(LN(2)/2)*AQ29*AT29*VLOOKUP('Données projet'!$B$10,Paramètres!$A$1:$I$89,3,0)*0.475*44/12</f>
        <v>0.9070595993558902</v>
      </c>
      <c r="AX29" s="23">
        <f t="shared" si="6"/>
        <v>3.9904358749932891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16.5</v>
      </c>
      <c r="BD29" s="13">
        <f>IF('Données projet'!$A$88&gt;35,BD28+BC29-BL28,IF(A29&lt;'Données projet'!$A$88,$BA$205^A29,IF(A29='Données projet'!$A$88,'Données projet'!$B$88,BD28+BC29-BL28)))</f>
        <v>197</v>
      </c>
      <c r="BE29" s="14">
        <f>BD29*VLOOKUP('Données projet'!$B$11,Paramètres!$A$1:$I$89,3,0)*VLOOKUP('Données projet'!$B$11,Paramètres!$A$1:$I$89,5,0)</f>
        <v>122.92800000000001</v>
      </c>
      <c r="BF29" s="14">
        <f t="shared" si="37"/>
        <v>32.356946120737945</v>
      </c>
      <c r="BG29" s="22">
        <f t="shared" si="7"/>
        <v>270.45461449361864</v>
      </c>
      <c r="BH29" s="62">
        <f t="shared" si="8"/>
        <v>563.78794782695195</v>
      </c>
      <c r="BI29" s="62">
        <f ca="1">AVERAGE(OFFSET($BH$3,0,0,'Données projet'!$E$11+1,1))-AVERAGE(OFFSET($H$3,0,0,'Données projet'!$E$11+1,1))</f>
        <v>255.41017495879987</v>
      </c>
      <c r="BJ29" s="62">
        <f t="shared" si="38"/>
        <v>297.50513563712764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12.566805519839205</v>
      </c>
      <c r="BR29" s="23">
        <f>EXP(-LN(2)/2)*BR28+(1-EXP(-LN(2)/2))/(LN(2)/2)*BL29*BO29*VLOOKUP('Données projet'!$B$11,Paramètres!$A$1:$I$89,3,0)*0.475*44/12</f>
        <v>2.6494235762119311</v>
      </c>
      <c r="BS29" s="24">
        <f t="shared" si="9"/>
        <v>15.216229096051137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31.1</v>
      </c>
      <c r="BY29" s="13">
        <f>IF('Données projet'!$A$114&gt;35,BY28+BX29-CG28,IF(A29&lt;'Données projet'!$A$114,$BV$205^A29,IF(A29='Données projet'!$A$114,'Données projet'!$B$114,BY28+BX29-CG28)))</f>
        <v>328.6</v>
      </c>
      <c r="BZ29" s="14">
        <f>BY29*VLOOKUP('Données projet'!$B$12,Paramètres!$A$1:$I$89,3,0)*VLOOKUP('Données projet'!$B$12,Paramètres!$A$1:$I$89,5,0)</f>
        <v>158.0566</v>
      </c>
      <c r="CA29" s="14">
        <f t="shared" si="39"/>
        <v>40.403864835143295</v>
      </c>
      <c r="CB29" s="22">
        <f t="shared" si="10"/>
        <v>345.65197625454124</v>
      </c>
      <c r="CC29" s="62">
        <f t="shared" si="11"/>
        <v>638.98530958787455</v>
      </c>
      <c r="CD29" s="62">
        <f ca="1">AVERAGE(OFFSET($CC$3,0,0,'Données projet'!$E$12+1,1))-AVERAGE(OFFSET($H$3,0,0,'Données projet'!$E$12+1,1))</f>
        <v>409.97612835032567</v>
      </c>
      <c r="CE29" s="62">
        <f t="shared" si="40"/>
        <v>411.87876448092288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6.3637634086431101</v>
      </c>
      <c r="CM29" s="23">
        <f>EXP(-LN(2)/2)*CM28+(1-EXP(-LN(2)/2))/(LN(2)/2)*CG29*CJ29*VLOOKUP('Données projet'!$B$12,Paramètres!$A$1:$I$89,3,0)*0.475*44/12</f>
        <v>1.4636225381087433</v>
      </c>
      <c r="CN29" s="24">
        <f t="shared" si="12"/>
        <v>7.8273859467518534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25.8</v>
      </c>
      <c r="CT29" s="13">
        <f>IF('Données projet'!$A$140&gt;35,CT28+CS29-DB28,IF(A29&lt;'Données projet'!$A$140,$CQ$205^A29,IF(A29='Données projet'!$A$140,'Données projet'!$B$140,CT28+CS29-DB28)))</f>
        <v>310.80000000000007</v>
      </c>
      <c r="CU29" s="18">
        <f>CT29*VLOOKUP('Données projet'!$B$13,Paramètres!$A$1:$I$89,3,0)*VLOOKUP('Données projet'!$B$13,Paramètres!$A$1:$I$89,5,0)</f>
        <v>185.85840000000007</v>
      </c>
      <c r="CV29" s="14">
        <f t="shared" si="41"/>
        <v>46.623132735004063</v>
      </c>
      <c r="CW29" s="22">
        <f t="shared" si="13"/>
        <v>404.90533618013222</v>
      </c>
      <c r="CX29" s="62">
        <f t="shared" si="14"/>
        <v>698.23866951346554</v>
      </c>
      <c r="CY29" s="62">
        <f ca="1">AVERAGE(OFFSET($CX$3,0,0,'Données projet'!$E$13+1,1))-AVERAGE(OFFSET($H$3,0,0,'Données projet'!$E$13+1,1))</f>
        <v>463.3255103386889</v>
      </c>
      <c r="CZ29" s="62">
        <f t="shared" si="42"/>
        <v>474.73210558736127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13.699127058866381</v>
      </c>
      <c r="DH29" s="23">
        <f>EXP(-LN(2)/2)*DH28+(1-EXP(-LN(2)/2))/(LN(2)/2)*DB29*DE29*VLOOKUP('Données projet'!$B$13,Paramètres!$A$1:$I$89,3,0)*0.475*44/12</f>
        <v>3.8508635729247032</v>
      </c>
      <c r="DI29" s="24">
        <f t="shared" si="15"/>
        <v>17.549990631791083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9.1999999999999993</v>
      </c>
      <c r="DO29" s="13">
        <f>IF('Données projet'!$A$166&gt;35,DO28+DN29-DW28,IF(A29&lt;'Données projet'!$A$166,$DL$205^A29,IF(A29='Données projet'!$A$166,'Données projet'!$B$166,DO28+DN29-DW28)))</f>
        <v>200.69999999999993</v>
      </c>
      <c r="DP29" s="18">
        <f>DO29*VLOOKUP('Données projet'!$B$14,Paramètres!$A$1:$I$89,3,0)*VLOOKUP('Données projet'!$B$14,Paramètres!$A$1:$I$89,5,0)</f>
        <v>93.927599999999956</v>
      </c>
      <c r="DQ29" s="14">
        <f t="shared" si="43"/>
        <v>25.510099877901624</v>
      </c>
      <c r="DR29" s="22">
        <f t="shared" si="16"/>
        <v>208.02066062067857</v>
      </c>
      <c r="DS29" s="62">
        <f t="shared" si="17"/>
        <v>501.35399395401191</v>
      </c>
      <c r="DT29" s="62">
        <f ca="1">AVERAGE(OFFSET($DS$3,0,0,'Données projet'!$E$14+1,1))-AVERAGE(OFFSET($H$3,0,0,'Données projet'!$E$14+1,1))</f>
        <v>215.23235148064941</v>
      </c>
      <c r="DU29" s="62">
        <f t="shared" si="44"/>
        <v>184.07239726900434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1.7999330822686364</v>
      </c>
      <c r="EC29" s="23">
        <f>EXP(-LN(2)/2)*EC28+(1-EXP(-LN(2)/2))/(LN(2)/2)*DW29*DZ29*VLOOKUP('Données projet'!$B$14,Paramètres!$A$1:$I$89,3,0)*0.475*44/12</f>
        <v>0.4139724337831141</v>
      </c>
      <c r="ED29" s="24">
        <f t="shared" si="18"/>
        <v>2.2139055160517502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348.45882115271871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30.1</v>
      </c>
      <c r="N30" s="14">
        <f>IF('Données projet'!$A$36&gt;35,N29+M30-V29,IF(A30&lt;'Données projet'!$A$36,$K$205^A30,IF(A30='Données projet'!$A$36,'Données projet'!$B$36,N29+M30-V29)))</f>
        <v>346.7000000000001</v>
      </c>
      <c r="O30" s="14">
        <f>N30*VLOOKUP('Données projet'!$B$9,Paramètres!$A$1:$I$89,3,0)*VLOOKUP('Données projet'!$B$9,Paramètres!$A$1:$I$89,5,0)</f>
        <v>193.80530000000007</v>
      </c>
      <c r="P30" s="14">
        <f t="shared" si="33"/>
        <v>48.380277248533332</v>
      </c>
      <c r="Q30" s="22">
        <f t="shared" si="2"/>
        <v>421.80654704119564</v>
      </c>
      <c r="R30" s="62">
        <f t="shared" si="0"/>
        <v>715.13988037452896</v>
      </c>
      <c r="S30" s="62">
        <f ca="1">AVERAGE(OFFSET($R$3,0,0,'Données projet'!$E$9+1,1))-AVERAGE(OFFSET($H$3,0,0,'Données projet'!$E$9+1,1))</f>
        <v>460.40450534123659</v>
      </c>
      <c r="T30" s="62">
        <f t="shared" si="34"/>
        <v>467.77477728479198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20.911303931006731</v>
      </c>
      <c r="AB30" s="23">
        <f>EXP(-LN(2)/2)*AB29+(1-EXP(-LN(2)/2))/(LN(2)/2)*V30*Y30*VLOOKUP('Données projet'!$B$9,Paramètres!$A$1:$I$89,3,0)*0.475*44/12</f>
        <v>3.4964102087640505</v>
      </c>
      <c r="AC30" s="24">
        <f t="shared" si="3"/>
        <v>24.407714139770782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8.1999999999999993</v>
      </c>
      <c r="AI30" s="14">
        <f>IF('Données projet'!$A$62&gt;35,AI29+AH30-AQ29,IF(A30&lt;'Données projet'!$A$62,$AF$205^A30,IF(A30='Données projet'!$A$62,'Données projet'!$B$62,AI29+AH30-AQ29)))</f>
        <v>124.40000000000002</v>
      </c>
      <c r="AJ30" s="14">
        <f>AI30*VLOOKUP('Données projet'!$B$10,Paramètres!$A$1:$I$89,3,0)*VLOOKUP('Données projet'!$B$10,Paramètres!$A$1:$I$89,5,0)</f>
        <v>112.55712000000001</v>
      </c>
      <c r="AK30" s="14">
        <f t="shared" si="35"/>
        <v>29.932653834140599</v>
      </c>
      <c r="AL30" s="22">
        <f t="shared" si="4"/>
        <v>248.16968942779488</v>
      </c>
      <c r="AM30" s="62">
        <f t="shared" si="5"/>
        <v>541.50302276112825</v>
      </c>
      <c r="AN30" s="62">
        <f ca="1">AVERAGE(OFFSET($AM$3,0,0,'Données projet'!$E$10+1,1))-AVERAGE(OFFSET($H$3,0,0,'Données projet'!$E$10+1,1))</f>
        <v>321.03881567735544</v>
      </c>
      <c r="AO30" s="62">
        <f t="shared" si="36"/>
        <v>234.87694492493506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2.9990611892323833</v>
      </c>
      <c r="AW30" s="23">
        <f>EXP(-LN(2)/2)*AW29+(1-EXP(-LN(2)/2))/(LN(2)/2)*AQ30*AT30*VLOOKUP('Données projet'!$B$10,Paramètres!$A$1:$I$89,3,0)*0.475*44/12</f>
        <v>0.64138799364490295</v>
      </c>
      <c r="AX30" s="23">
        <f t="shared" si="6"/>
        <v>3.640449182877286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16.5</v>
      </c>
      <c r="BD30" s="13">
        <f>IF('Données projet'!$A$88&gt;35,BD29+BC30-BL29,IF(A30&lt;'Données projet'!$A$88,$BA$205^A30,IF(A30='Données projet'!$A$88,'Données projet'!$B$88,BD29+BC30-BL29)))</f>
        <v>213.5</v>
      </c>
      <c r="BE30" s="14">
        <f>BD30*VLOOKUP('Données projet'!$B$11,Paramètres!$A$1:$I$89,3,0)*VLOOKUP('Données projet'!$B$11,Paramètres!$A$1:$I$89,5,0)</f>
        <v>133.22399999999999</v>
      </c>
      <c r="BF30" s="14">
        <f t="shared" si="37"/>
        <v>34.740265606230608</v>
      </c>
      <c r="BG30" s="22">
        <f t="shared" si="7"/>
        <v>292.53776259751828</v>
      </c>
      <c r="BH30" s="62">
        <f t="shared" si="8"/>
        <v>585.87109593085165</v>
      </c>
      <c r="BI30" s="62">
        <f ca="1">AVERAGE(OFFSET($BH$3,0,0,'Données projet'!$E$11+1,1))-AVERAGE(OFFSET($H$3,0,0,'Données projet'!$E$11+1,1))</f>
        <v>255.41017495879987</v>
      </c>
      <c r="BJ30" s="62">
        <f t="shared" si="38"/>
        <v>297.50513563712764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12.223165562039622</v>
      </c>
      <c r="BR30" s="23">
        <f>EXP(-LN(2)/2)*BR29+(1-EXP(-LN(2)/2))/(LN(2)/2)*BL30*BO30*VLOOKUP('Données projet'!$B$11,Paramètres!$A$1:$I$89,3,0)*0.475*44/12</f>
        <v>1.8734253769749702</v>
      </c>
      <c r="BS30" s="24">
        <f t="shared" si="9"/>
        <v>14.096590939014591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31.1</v>
      </c>
      <c r="BY30" s="13">
        <f>IF('Données projet'!$A$114&gt;35,BY29+BX30-CG29,IF(A30&lt;'Données projet'!$A$114,$BV$205^A30,IF(A30='Données projet'!$A$114,'Données projet'!$B$114,BY29+BX30-CG29)))</f>
        <v>359.70000000000005</v>
      </c>
      <c r="BZ30" s="14">
        <f>BY30*VLOOKUP('Données projet'!$B$12,Paramètres!$A$1:$I$89,3,0)*VLOOKUP('Données projet'!$B$12,Paramètres!$A$1:$I$89,5,0)</f>
        <v>173.01570000000004</v>
      </c>
      <c r="CA30" s="14">
        <f t="shared" si="39"/>
        <v>43.764747303910546</v>
      </c>
      <c r="CB30" s="22">
        <f t="shared" si="10"/>
        <v>377.55927905431093</v>
      </c>
      <c r="CC30" s="62">
        <f t="shared" si="11"/>
        <v>670.89261238764425</v>
      </c>
      <c r="CD30" s="62">
        <f ca="1">AVERAGE(OFFSET($CC$3,0,0,'Données projet'!$E$12+1,1))-AVERAGE(OFFSET($H$3,0,0,'Données projet'!$E$12+1,1))</f>
        <v>409.97612835032567</v>
      </c>
      <c r="CE30" s="62">
        <f t="shared" si="40"/>
        <v>411.87876448092288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6.189745963577991</v>
      </c>
      <c r="CM30" s="23">
        <f>EXP(-LN(2)/2)*CM29+(1-EXP(-LN(2)/2))/(LN(2)/2)*CG30*CJ30*VLOOKUP('Données projet'!$B$12,Paramètres!$A$1:$I$89,3,0)*0.475*44/12</f>
        <v>1.0349374217941585</v>
      </c>
      <c r="CN30" s="24">
        <f t="shared" si="12"/>
        <v>7.224683385372149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25.8</v>
      </c>
      <c r="CT30" s="13">
        <f>IF('Données projet'!$A$140&gt;35,CT29+CS30-DB29,IF(A30&lt;'Données projet'!$A$140,$CQ$205^A30,IF(A30='Données projet'!$A$140,'Données projet'!$B$140,CT29+CS30-DB29)))</f>
        <v>336.60000000000008</v>
      </c>
      <c r="CU30" s="18">
        <f>CT30*VLOOKUP('Données projet'!$B$13,Paramètres!$A$1:$I$89,3,0)*VLOOKUP('Données projet'!$B$13,Paramètres!$A$1:$I$89,5,0)</f>
        <v>201.28680000000006</v>
      </c>
      <c r="CV30" s="14">
        <f t="shared" si="41"/>
        <v>50.026861773677666</v>
      </c>
      <c r="CW30" s="22">
        <f t="shared" si="13"/>
        <v>437.70462758915534</v>
      </c>
      <c r="CX30" s="62">
        <f t="shared" si="14"/>
        <v>731.03796092248865</v>
      </c>
      <c r="CY30" s="62">
        <f ca="1">AVERAGE(OFFSET($CX$3,0,0,'Données projet'!$E$13+1,1))-AVERAGE(OFFSET($H$3,0,0,'Données projet'!$E$13+1,1))</f>
        <v>463.3255103386889</v>
      </c>
      <c r="CZ30" s="62">
        <f t="shared" si="42"/>
        <v>474.73210558736127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13.324523709035898</v>
      </c>
      <c r="DH30" s="23">
        <f>EXP(-LN(2)/2)*DH29+(1-EXP(-LN(2)/2))/(LN(2)/2)*DB30*DE30*VLOOKUP('Données projet'!$B$13,Paramètres!$A$1:$I$89,3,0)*0.475*44/12</f>
        <v>2.722971745839315</v>
      </c>
      <c r="DI30" s="24">
        <f t="shared" si="15"/>
        <v>16.047495454875211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9.1999999999999993</v>
      </c>
      <c r="DO30" s="13">
        <f>IF('Données projet'!$A$166&gt;35,DO29+DN30-DW29,IF(A30&lt;'Données projet'!$A$166,$DL$205^A30,IF(A30='Données projet'!$A$166,'Données projet'!$B$166,DO29+DN30-DW29)))</f>
        <v>209.89999999999992</v>
      </c>
      <c r="DP30" s="18">
        <f>DO30*VLOOKUP('Données projet'!$B$14,Paramètres!$A$1:$I$89,3,0)*VLOOKUP('Données projet'!$B$14,Paramètres!$A$1:$I$89,5,0)</f>
        <v>98.233199999999954</v>
      </c>
      <c r="DQ30" s="14">
        <f t="shared" si="43"/>
        <v>26.540646121089583</v>
      </c>
      <c r="DR30" s="22">
        <f t="shared" si="16"/>
        <v>217.3144486608976</v>
      </c>
      <c r="DS30" s="62">
        <f t="shared" si="17"/>
        <v>510.64778199423091</v>
      </c>
      <c r="DT30" s="62">
        <f ca="1">AVERAGE(OFFSET($DS$3,0,0,'Données projet'!$E$14+1,1))-AVERAGE(OFFSET($H$3,0,0,'Données projet'!$E$14+1,1))</f>
        <v>215.23235148064941</v>
      </c>
      <c r="DU30" s="62">
        <f t="shared" si="44"/>
        <v>184.07239726900434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1.7507138174796335</v>
      </c>
      <c r="EC30" s="23">
        <f>EXP(-LN(2)/2)*EC29+(1-EXP(-LN(2)/2))/(LN(2)/2)*DW30*DZ30*VLOOKUP('Données projet'!$B$14,Paramètres!$A$1:$I$89,3,0)*0.475*44/12</f>
        <v>0.292722715152339</v>
      </c>
      <c r="ED30" s="24">
        <f t="shared" si="18"/>
        <v>2.0434365326319726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350.44219501167436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30.1</v>
      </c>
      <c r="N31" s="14">
        <f>IF('Données projet'!$A$36&gt;35,N30+M31-V30,IF(A31&lt;'Données projet'!$A$36,$K$205^A31,IF(A31='Données projet'!$A$36,'Données projet'!$B$36,N30+M31-V30)))</f>
        <v>376.80000000000013</v>
      </c>
      <c r="O31" s="14">
        <f>N31*VLOOKUP('Données projet'!$B$9,Paramètres!$A$1:$I$89,3,0)*VLOOKUP('Données projet'!$B$9,Paramètres!$A$1:$I$89,5,0)</f>
        <v>210.63120000000009</v>
      </c>
      <c r="P31" s="14">
        <f t="shared" si="33"/>
        <v>52.073494677019134</v>
      </c>
      <c r="Q31" s="22">
        <f t="shared" si="2"/>
        <v>457.54400989580841</v>
      </c>
      <c r="R31" s="62">
        <f t="shared" si="0"/>
        <v>750.87734322914173</v>
      </c>
      <c r="S31" s="62">
        <f ca="1">AVERAGE(OFFSET($R$3,0,0,'Données projet'!$E$9+1,1))-AVERAGE(OFFSET($H$3,0,0,'Données projet'!$E$9+1,1))</f>
        <v>460.40450534123659</v>
      </c>
      <c r="T31" s="62">
        <f t="shared" si="34"/>
        <v>467.77477728479198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20.339483225335673</v>
      </c>
      <c r="AB31" s="23">
        <f>EXP(-LN(2)/2)*AB30+(1-EXP(-LN(2)/2))/(LN(2)/2)*V31*Y31*VLOOKUP('Données projet'!$B$9,Paramètres!$A$1:$I$89,3,0)*0.475*44/12</f>
        <v>2.4723353684269327</v>
      </c>
      <c r="AC31" s="24">
        <f t="shared" si="3"/>
        <v>22.811818593762606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8.1999999999999993</v>
      </c>
      <c r="AI31" s="14">
        <f>IF('Données projet'!$A$62&gt;35,AI30+AH31-AQ30,IF(A31&lt;'Données projet'!$A$62,$AF$205^A31,IF(A31='Données projet'!$A$62,'Données projet'!$B$62,AI30+AH31-AQ30)))</f>
        <v>132.60000000000002</v>
      </c>
      <c r="AJ31" s="14">
        <f>AI31*VLOOKUP('Données projet'!$B$10,Paramètres!$A$1:$I$89,3,0)*VLOOKUP('Données projet'!$B$10,Paramètres!$A$1:$I$89,5,0)</f>
        <v>119.97648000000001</v>
      </c>
      <c r="AK31" s="14">
        <f t="shared" si="35"/>
        <v>31.669513577784763</v>
      </c>
      <c r="AL31" s="22">
        <f t="shared" si="4"/>
        <v>264.1167721479751</v>
      </c>
      <c r="AM31" s="62">
        <f t="shared" si="5"/>
        <v>557.45010548130836</v>
      </c>
      <c r="AN31" s="62">
        <f ca="1">AVERAGE(OFFSET($AM$3,0,0,'Données projet'!$E$10+1,1))-AVERAGE(OFFSET($H$3,0,0,'Données projet'!$E$10+1,1))</f>
        <v>321.03881567735544</v>
      </c>
      <c r="AO31" s="62">
        <f t="shared" si="36"/>
        <v>234.87694492493506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2.9170517032990504</v>
      </c>
      <c r="AW31" s="23">
        <f>EXP(-LN(2)/2)*AW30+(1-EXP(-LN(2)/2))/(LN(2)/2)*AQ31*AT31*VLOOKUP('Données projet'!$B$10,Paramètres!$A$1:$I$89,3,0)*0.475*44/12</f>
        <v>0.45352979967794516</v>
      </c>
      <c r="AX31" s="23">
        <f t="shared" si="6"/>
        <v>3.3705815029769957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16.5</v>
      </c>
      <c r="BD31" s="13">
        <f>IF('Données projet'!$A$88&gt;35,BD30+BC31-BL30,IF(A31&lt;'Données projet'!$A$88,$BA$205^A31,IF(A31='Données projet'!$A$88,'Données projet'!$B$88,BD30+BC31-BL30)))</f>
        <v>230</v>
      </c>
      <c r="BE31" s="14">
        <f>BD31*VLOOKUP('Données projet'!$B$11,Paramètres!$A$1:$I$89,3,0)*VLOOKUP('Données projet'!$B$11,Paramètres!$A$1:$I$89,5,0)</f>
        <v>143.51999999999998</v>
      </c>
      <c r="BF31" s="14">
        <f t="shared" si="37"/>
        <v>37.102218970378601</v>
      </c>
      <c r="BG31" s="22">
        <f t="shared" si="7"/>
        <v>314.583698040076</v>
      </c>
      <c r="BH31" s="62">
        <f t="shared" si="8"/>
        <v>607.91703137340937</v>
      </c>
      <c r="BI31" s="62">
        <f ca="1">AVERAGE(OFFSET($BH$3,0,0,'Données projet'!$E$11+1,1))-AVERAGE(OFFSET($H$3,0,0,'Données projet'!$E$11+1,1))</f>
        <v>255.41017495879987</v>
      </c>
      <c r="BJ31" s="62">
        <f t="shared" si="38"/>
        <v>297.50513563712764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11.888922456957308</v>
      </c>
      <c r="BR31" s="23">
        <f>EXP(-LN(2)/2)*BR30+(1-EXP(-LN(2)/2))/(LN(2)/2)*BL31*BO31*VLOOKUP('Données projet'!$B$11,Paramètres!$A$1:$I$89,3,0)*0.475*44/12</f>
        <v>1.3247117881059658</v>
      </c>
      <c r="BS31" s="24">
        <f t="shared" si="9"/>
        <v>13.213634245063274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31.1</v>
      </c>
      <c r="BY31" s="13">
        <f>IF('Données projet'!$A$114&gt;35,BY30+BX31-CG30,IF(A31&lt;'Données projet'!$A$114,$BV$205^A31,IF(A31='Données projet'!$A$114,'Données projet'!$B$114,BY30+BX31-CG30)))</f>
        <v>390.80000000000007</v>
      </c>
      <c r="BZ31" s="14">
        <f>BY31*VLOOKUP('Données projet'!$B$12,Paramètres!$A$1:$I$89,3,0)*VLOOKUP('Données projet'!$B$12,Paramètres!$A$1:$I$89,5,0)</f>
        <v>187.97480000000004</v>
      </c>
      <c r="CA31" s="14">
        <f t="shared" si="39"/>
        <v>47.09193101977764</v>
      </c>
      <c r="CB31" s="22">
        <f t="shared" si="10"/>
        <v>409.40788985944613</v>
      </c>
      <c r="CC31" s="62">
        <f t="shared" si="11"/>
        <v>702.74122319277944</v>
      </c>
      <c r="CD31" s="62">
        <f ca="1">AVERAGE(OFFSET($CC$3,0,0,'Données projet'!$E$12+1,1))-AVERAGE(OFFSET($H$3,0,0,'Données projet'!$E$12+1,1))</f>
        <v>409.97612835032567</v>
      </c>
      <c r="CE31" s="62">
        <f t="shared" si="40"/>
        <v>411.87876448092288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6.0204870346993573</v>
      </c>
      <c r="CM31" s="23">
        <f>EXP(-LN(2)/2)*CM30+(1-EXP(-LN(2)/2))/(LN(2)/2)*CG31*CJ31*VLOOKUP('Données projet'!$B$12,Paramètres!$A$1:$I$89,3,0)*0.475*44/12</f>
        <v>0.73181126905437166</v>
      </c>
      <c r="CN31" s="24">
        <f t="shared" si="12"/>
        <v>6.7522983037537294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25.8</v>
      </c>
      <c r="CT31" s="13">
        <f>IF('Données projet'!$A$140&gt;35,CT30+CS31-DB30,IF(A31&lt;'Données projet'!$A$140,$CQ$205^A31,IF(A31='Données projet'!$A$140,'Données projet'!$B$140,CT30+CS31-DB30)))</f>
        <v>362.40000000000009</v>
      </c>
      <c r="CU31" s="18">
        <f>CT31*VLOOKUP('Données projet'!$B$13,Paramètres!$A$1:$I$89,3,0)*VLOOKUP('Données projet'!$B$13,Paramètres!$A$1:$I$89,5,0)</f>
        <v>216.71520000000007</v>
      </c>
      <c r="CV31" s="14">
        <f t="shared" si="41"/>
        <v>53.400326801074698</v>
      </c>
      <c r="CW31" s="22">
        <f t="shared" si="13"/>
        <v>470.45120917853865</v>
      </c>
      <c r="CX31" s="62">
        <f t="shared" si="14"/>
        <v>763.7845425118719</v>
      </c>
      <c r="CY31" s="62">
        <f ca="1">AVERAGE(OFFSET($CX$3,0,0,'Données projet'!$E$13+1,1))-AVERAGE(OFFSET($H$3,0,0,'Données projet'!$E$13+1,1))</f>
        <v>463.3255103386889</v>
      </c>
      <c r="CZ31" s="62">
        <f t="shared" si="42"/>
        <v>474.73210558736127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12.960163907506063</v>
      </c>
      <c r="DH31" s="23">
        <f>EXP(-LN(2)/2)*DH30+(1-EXP(-LN(2)/2))/(LN(2)/2)*DB31*DE31*VLOOKUP('Données projet'!$B$13,Paramètres!$A$1:$I$89,3,0)*0.475*44/12</f>
        <v>1.925431786462352</v>
      </c>
      <c r="DI31" s="24">
        <f t="shared" si="15"/>
        <v>14.885595693968416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9.1999999999999993</v>
      </c>
      <c r="DO31" s="13">
        <f>IF('Données projet'!$A$166&gt;35,DO30+DN31-DW30,IF(A31&lt;'Données projet'!$A$166,$DL$205^A31,IF(A31='Données projet'!$A$166,'Données projet'!$B$166,DO30+DN31-DW30)))</f>
        <v>219.09999999999991</v>
      </c>
      <c r="DP31" s="18">
        <f>DO31*VLOOKUP('Données projet'!$B$14,Paramètres!$A$1:$I$89,3,0)*VLOOKUP('Données projet'!$B$14,Paramètres!$A$1:$I$89,5,0)</f>
        <v>102.53879999999995</v>
      </c>
      <c r="DQ31" s="14">
        <f t="shared" si="43"/>
        <v>27.565946279127878</v>
      </c>
      <c r="DR31" s="22">
        <f t="shared" si="16"/>
        <v>226.59909976948094</v>
      </c>
      <c r="DS31" s="62">
        <f t="shared" si="17"/>
        <v>519.93243310281423</v>
      </c>
      <c r="DT31" s="62">
        <f ca="1">AVERAGE(OFFSET($DS$3,0,0,'Données projet'!$E$14+1,1))-AVERAGE(OFFSET($H$3,0,0,'Données projet'!$E$14+1,1))</f>
        <v>215.23235148064941</v>
      </c>
      <c r="DU31" s="62">
        <f t="shared" si="44"/>
        <v>184.07239726900434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1.7028404560746147</v>
      </c>
      <c r="EC31" s="23">
        <f>EXP(-LN(2)/2)*EC30+(1-EXP(-LN(2)/2))/(LN(2)/2)*DW31*DZ31*VLOOKUP('Données projet'!$B$14,Paramètres!$A$1:$I$89,3,0)*0.475*44/12</f>
        <v>0.20698621689155705</v>
      </c>
      <c r="ED31" s="24">
        <f t="shared" si="18"/>
        <v>1.9098266729661717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352.42376517356132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30.1</v>
      </c>
      <c r="N32" s="14">
        <f>IF('Données projet'!$A$36&gt;35,N31+M32-V31,IF(A32&lt;'Données projet'!$A$36,$K$205^A32,IF(A32='Données projet'!$A$36,'Données projet'!$B$36,N31+M32-V31)))</f>
        <v>406.90000000000015</v>
      </c>
      <c r="O32" s="14">
        <f>N32*VLOOKUP('Données projet'!$B$9,Paramètres!$A$1:$I$89,3,0)*VLOOKUP('Données projet'!$B$9,Paramètres!$A$1:$I$89,5,0)</f>
        <v>227.45710000000011</v>
      </c>
      <c r="P32" s="14">
        <f t="shared" si="33"/>
        <v>55.732491835099452</v>
      </c>
      <c r="Q32" s="22">
        <f t="shared" si="2"/>
        <v>493.22187244613178</v>
      </c>
      <c r="R32" s="62">
        <f t="shared" si="0"/>
        <v>786.55520577946504</v>
      </c>
      <c r="S32" s="62">
        <f ca="1">AVERAGE(OFFSET($R$3,0,0,'Données projet'!$E$9+1,1))-AVERAGE(OFFSET($H$3,0,0,'Données projet'!$E$9+1,1))</f>
        <v>460.40450534123659</v>
      </c>
      <c r="T32" s="62">
        <f t="shared" si="34"/>
        <v>467.77477728479198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19.783298986931932</v>
      </c>
      <c r="AB32" s="23">
        <f>EXP(-LN(2)/2)*AB31+(1-EXP(-LN(2)/2))/(LN(2)/2)*V32*Y32*VLOOKUP('Données projet'!$B$9,Paramètres!$A$1:$I$89,3,0)*0.475*44/12</f>
        <v>1.7482051043820255</v>
      </c>
      <c r="AC32" s="24">
        <f t="shared" si="3"/>
        <v>21.531504091313959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8.1999999999999993</v>
      </c>
      <c r="AI32" s="14">
        <f>IF('Données projet'!$A$62&gt;35,AI31+AH32-AQ31,IF(A32&lt;'Données projet'!$A$62,$AF$205^A32,IF(A32='Données projet'!$A$62,'Données projet'!$B$62,AI31+AH32-AQ31)))</f>
        <v>140.80000000000001</v>
      </c>
      <c r="AJ32" s="14">
        <f>AI32*VLOOKUP('Données projet'!$B$10,Paramètres!$A$1:$I$89,3,0)*VLOOKUP('Données projet'!$B$10,Paramètres!$A$1:$I$89,5,0)</f>
        <v>127.39584000000001</v>
      </c>
      <c r="AK32" s="14">
        <f t="shared" si="35"/>
        <v>33.393907578695213</v>
      </c>
      <c r="AL32" s="22">
        <f t="shared" si="4"/>
        <v>280.04214369956082</v>
      </c>
      <c r="AM32" s="62">
        <f t="shared" si="5"/>
        <v>573.3754770328942</v>
      </c>
      <c r="AN32" s="62">
        <f ca="1">AVERAGE(OFFSET($AM$3,0,0,'Données projet'!$E$10+1,1))-AVERAGE(OFFSET($H$3,0,0,'Données projet'!$E$10+1,1))</f>
        <v>321.03881567735544</v>
      </c>
      <c r="AO32" s="62">
        <f t="shared" si="36"/>
        <v>234.87694492493506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2.8372847710712557</v>
      </c>
      <c r="AW32" s="23">
        <f>EXP(-LN(2)/2)*AW31+(1-EXP(-LN(2)/2))/(LN(2)/2)*AQ32*AT32*VLOOKUP('Données projet'!$B$10,Paramètres!$A$1:$I$89,3,0)*0.475*44/12</f>
        <v>0.32069399682245153</v>
      </c>
      <c r="AX32" s="23">
        <f t="shared" si="6"/>
        <v>3.1579787678937072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16.5</v>
      </c>
      <c r="BD32" s="13">
        <f>IF('Données projet'!$A$88&gt;35,BD31+BC32-BL31,IF(A32&lt;'Données projet'!$A$88,$BA$205^A32,IF(A32='Données projet'!$A$88,'Données projet'!$B$88,BD31+BC32-BL31)))</f>
        <v>246.5</v>
      </c>
      <c r="BE32" s="14">
        <f>BD32*VLOOKUP('Données projet'!$B$11,Paramètres!$A$1:$I$89,3,0)*VLOOKUP('Données projet'!$B$11,Paramètres!$A$1:$I$89,5,0)</f>
        <v>153.816</v>
      </c>
      <c r="BF32" s="14">
        <f t="shared" si="37"/>
        <v>39.444513325737063</v>
      </c>
      <c r="BG32" s="22">
        <f t="shared" si="7"/>
        <v>336.59539404232538</v>
      </c>
      <c r="BH32" s="62">
        <f t="shared" si="8"/>
        <v>629.9287273756587</v>
      </c>
      <c r="BI32" s="62">
        <f ca="1">AVERAGE(OFFSET($BH$3,0,0,'Données projet'!$E$11+1,1))-AVERAGE(OFFSET($H$3,0,0,'Données projet'!$E$11+1,1))</f>
        <v>255.41017495879987</v>
      </c>
      <c r="BJ32" s="62">
        <f t="shared" si="38"/>
        <v>297.50513563712764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11.563819247160552</v>
      </c>
      <c r="BR32" s="23">
        <f>EXP(-LN(2)/2)*BR31+(1-EXP(-LN(2)/2))/(LN(2)/2)*BL32*BO32*VLOOKUP('Données projet'!$B$11,Paramètres!$A$1:$I$89,3,0)*0.475*44/12</f>
        <v>0.93671268848748535</v>
      </c>
      <c r="BS32" s="24">
        <f t="shared" si="9"/>
        <v>12.500531935648038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31.1</v>
      </c>
      <c r="BY32" s="13">
        <f>IF('Données projet'!$A$114&gt;35,BY31+BX32-CG31,IF(A32&lt;'Données projet'!$A$114,$BV$205^A32,IF(A32='Données projet'!$A$114,'Données projet'!$B$114,BY31+BX32-CG31)))</f>
        <v>421.90000000000009</v>
      </c>
      <c r="BZ32" s="14">
        <f>BY32*VLOOKUP('Données projet'!$B$12,Paramètres!$A$1:$I$89,3,0)*VLOOKUP('Données projet'!$B$12,Paramètres!$A$1:$I$89,5,0)</f>
        <v>202.93390000000005</v>
      </c>
      <c r="CA32" s="14">
        <f t="shared" si="39"/>
        <v>50.388402634496231</v>
      </c>
      <c r="CB32" s="22">
        <f t="shared" si="10"/>
        <v>441.20301042174765</v>
      </c>
      <c r="CC32" s="62">
        <f t="shared" si="11"/>
        <v>734.53634375508091</v>
      </c>
      <c r="CD32" s="62">
        <f ca="1">AVERAGE(OFFSET($CC$3,0,0,'Données projet'!$E$12+1,1))-AVERAGE(OFFSET($H$3,0,0,'Données projet'!$E$12+1,1))</f>
        <v>409.97612835032567</v>
      </c>
      <c r="CE32" s="62">
        <f t="shared" si="40"/>
        <v>411.87876448092288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5.8558565001318499</v>
      </c>
      <c r="CM32" s="23">
        <f>EXP(-LN(2)/2)*CM31+(1-EXP(-LN(2)/2))/(LN(2)/2)*CG32*CJ32*VLOOKUP('Données projet'!$B$12,Paramètres!$A$1:$I$89,3,0)*0.475*44/12</f>
        <v>0.51746871089707924</v>
      </c>
      <c r="CN32" s="24">
        <f t="shared" si="12"/>
        <v>6.3733252110289289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25.8</v>
      </c>
      <c r="CT32" s="13">
        <f>IF('Données projet'!$A$140&gt;35,CT31+CS32-DB31,IF(A32&lt;'Données projet'!$A$140,$CQ$205^A32,IF(A32='Données projet'!$A$140,'Données projet'!$B$140,CT31+CS32-DB31)))</f>
        <v>388.2000000000001</v>
      </c>
      <c r="CU32" s="18">
        <f>CT32*VLOOKUP('Données projet'!$B$13,Paramètres!$A$1:$I$89,3,0)*VLOOKUP('Données projet'!$B$13,Paramètres!$A$1:$I$89,5,0)</f>
        <v>232.14360000000008</v>
      </c>
      <c r="CV32" s="14">
        <f t="shared" si="41"/>
        <v>56.745927424617456</v>
      </c>
      <c r="CW32" s="22">
        <f t="shared" si="13"/>
        <v>503.14926026454214</v>
      </c>
      <c r="CX32" s="62">
        <f t="shared" si="14"/>
        <v>796.48259359787539</v>
      </c>
      <c r="CY32" s="62">
        <f ca="1">AVERAGE(OFFSET($CX$3,0,0,'Données projet'!$E$13+1,1))-AVERAGE(OFFSET($H$3,0,0,'Données projet'!$E$13+1,1))</f>
        <v>463.3255103386889</v>
      </c>
      <c r="CZ32" s="62">
        <f t="shared" si="42"/>
        <v>474.73210558736127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12.605767543909911</v>
      </c>
      <c r="DH32" s="23">
        <f>EXP(-LN(2)/2)*DH31+(1-EXP(-LN(2)/2))/(LN(2)/2)*DB32*DE32*VLOOKUP('Données projet'!$B$13,Paramètres!$A$1:$I$89,3,0)*0.475*44/12</f>
        <v>1.3614858729196577</v>
      </c>
      <c r="DI32" s="24">
        <f t="shared" si="15"/>
        <v>13.967253416829569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9.1999999999999993</v>
      </c>
      <c r="DO32" s="13">
        <f>IF('Données projet'!$A$166&gt;35,DO31+DN32-DW31,IF(A32&lt;'Données projet'!$A$166,$DL$205^A32,IF(A32='Données projet'!$A$166,'Données projet'!$B$166,DO31+DN32-DW31)))</f>
        <v>228.2999999999999</v>
      </c>
      <c r="DP32" s="18">
        <f>DO32*VLOOKUP('Données projet'!$B$14,Paramètres!$A$1:$I$89,3,0)*VLOOKUP('Données projet'!$B$14,Paramètres!$A$1:$I$89,5,0)</f>
        <v>106.84439999999995</v>
      </c>
      <c r="DQ32" s="14">
        <f t="shared" si="43"/>
        <v>28.586245822975961</v>
      </c>
      <c r="DR32" s="22">
        <f t="shared" si="16"/>
        <v>235.87504147501636</v>
      </c>
      <c r="DS32" s="62">
        <f t="shared" si="17"/>
        <v>529.20837480834962</v>
      </c>
      <c r="DT32" s="62">
        <f ca="1">AVERAGE(OFFSET($DS$3,0,0,'Données projet'!$E$14+1,1))-AVERAGE(OFFSET($H$3,0,0,'Données projet'!$E$14+1,1))</f>
        <v>215.23235148064941</v>
      </c>
      <c r="DU32" s="62">
        <f t="shared" si="44"/>
        <v>184.07239726900434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1.6562761942547666</v>
      </c>
      <c r="EC32" s="23">
        <f>EXP(-LN(2)/2)*EC31+(1-EXP(-LN(2)/2))/(LN(2)/2)*DW32*DZ32*VLOOKUP('Données projet'!$B$14,Paramètres!$A$1:$I$89,3,0)*0.475*44/12</f>
        <v>0.1463613575761695</v>
      </c>
      <c r="ED32" s="24">
        <f t="shared" si="18"/>
        <v>1.8026375518309361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354.40360096325321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437</v>
      </c>
      <c r="L33" s="13">
        <f>VLOOKUP(A33,'Données projet'!$A$35:$I$55,9,0)</f>
        <v>30.1</v>
      </c>
      <c r="M33" s="13">
        <f t="array" ref="M33">INDEX(L:L,MIN(IF(ISNUMBER(L33:L229),ROW(L33:L229),"")))</f>
        <v>30.1</v>
      </c>
      <c r="N33" s="14">
        <f>IF('Données projet'!$A$36&gt;35,N32+M33-V32,IF(A33&lt;'Données projet'!$A$36,$K$205^A33,IF(A33='Données projet'!$A$36,'Données projet'!$B$36,N32+M33-V32)))</f>
        <v>437.00000000000017</v>
      </c>
      <c r="O33" s="14">
        <f>N33*VLOOKUP('Données projet'!$B$9,Paramètres!$A$1:$I$89,3,0)*VLOOKUP('Données projet'!$B$9,Paramètres!$A$1:$I$89,5,0)</f>
        <v>244.2830000000001</v>
      </c>
      <c r="P33" s="14">
        <f t="shared" si="33"/>
        <v>59.360087989308212</v>
      </c>
      <c r="Q33" s="22">
        <f t="shared" si="2"/>
        <v>528.84504491471182</v>
      </c>
      <c r="R33" s="62">
        <f t="shared" si="0"/>
        <v>822.17837824804519</v>
      </c>
      <c r="S33" s="62">
        <f ca="1">AVERAGE(OFFSET($R$3,0,0,'Données projet'!$E$9+1,1))-AVERAGE(OFFSET($H$3,0,0,'Données projet'!$E$9+1,1))</f>
        <v>460.40450534123659</v>
      </c>
      <c r="T33" s="62">
        <f t="shared" si="34"/>
        <v>467.77477728479198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154</v>
      </c>
      <c r="W33" s="17">
        <f>IF(ISNA(VLOOKUP(A33,'Données projet'!$A$35:$I$55,5,0)),0%,VLOOKUP(A33,'Données projet'!$A$35:$I$55,5,0)*VLOOKUP('Données projet'!$B$9,Paramètres!$A$1:$I$89,7,0))</f>
        <v>0.11000000000000001</v>
      </c>
      <c r="X33" s="17">
        <f>IF(ISNA(VLOOKUP(A33,'Données projet'!$A$35:$I$55,6,0)),0%,VLOOKUP(A33,'Données projet'!$A$35:$I$55,6,0)*VLOOKUP('Données projet'!$B$9,Paramètres!$A$1:$I$89,7,0))</f>
        <v>0.22000000000000003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12.561849048206506</v>
      </c>
      <c r="AA33" s="23">
        <f>EXP(-LN(2)/25)*AA32+(1-EXP(-LN(2)/25))/(LN(2)/25)*Calculateur!V33*Calculateur!X33*VLOOKUP('Données projet'!$B$9,Paramètres!$A$1:$I$89,3,0)*0.475*44/12</f>
        <v>44.267100159903769</v>
      </c>
      <c r="AB33" s="23">
        <f>EXP(-LN(2)/2)*AB32+(1-EXP(-LN(2)/2))/(LN(2)/2)*V33*Y33*VLOOKUP('Données projet'!$B$9,Paramètres!$A$1:$I$89,3,0)*0.475*44/12</f>
        <v>40.223907510158796</v>
      </c>
      <c r="AC33" s="24">
        <f t="shared" si="3"/>
        <v>97.052856718269069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149</v>
      </c>
      <c r="AG33" s="13">
        <f>VLOOKUP(A33,'Données projet'!$A$61:$I$81,9,0)</f>
        <v>8.1999999999999993</v>
      </c>
      <c r="AH33" s="13">
        <f t="array" ref="AH33">INDEX(AG:AG,MIN(IF(ISNUMBER(AG33:AG229),ROW(AG33:AG229),"")))</f>
        <v>8.1999999999999993</v>
      </c>
      <c r="AI33" s="14">
        <f>IF('Données projet'!$A$62&gt;35,AI32+AH33-AQ32,IF(A33&lt;'Données projet'!$A$62,$AF$205^A33,IF(A33='Données projet'!$A$62,'Données projet'!$B$62,AI32+AH33-AQ32)))</f>
        <v>149</v>
      </c>
      <c r="AJ33" s="14">
        <f>AI33*VLOOKUP('Données projet'!$B$10,Paramètres!$A$1:$I$89,3,0)*VLOOKUP('Données projet'!$B$10,Paramètres!$A$1:$I$89,5,0)</f>
        <v>134.81519999999998</v>
      </c>
      <c r="AK33" s="14">
        <f t="shared" si="35"/>
        <v>35.106644529103392</v>
      </c>
      <c r="AL33" s="22">
        <f t="shared" si="4"/>
        <v>295.94721255485501</v>
      </c>
      <c r="AM33" s="62">
        <f t="shared" si="5"/>
        <v>589.28054588818827</v>
      </c>
      <c r="AN33" s="62">
        <f ca="1">AVERAGE(OFFSET($AM$3,0,0,'Données projet'!$E$10+1,1))-AVERAGE(OFFSET($H$3,0,0,'Données projet'!$E$10+1,1))</f>
        <v>321.03881567735544</v>
      </c>
      <c r="AO33" s="62">
        <f t="shared" si="36"/>
        <v>234.87694492493506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56</v>
      </c>
      <c r="AR33" s="17">
        <f>IF(ISNA(VLOOKUP(A33,'Données projet'!$A$61:$I$81,5,0)),0%,VLOOKUP(A33,'Données projet'!$A$61:$I$81,5,0)*VLOOKUP('Données projet'!$B$10,Paramètres!$A$1:$I$89,7,0))</f>
        <v>4.3000000000000003E-2</v>
      </c>
      <c r="AS33" s="17">
        <f>IF(ISNA(VLOOKUP(A33,'Données projet'!$A$61:$I$81,6,0)),0%,VLOOKUP(A33,'Données projet'!$A$61:$I$81,6,0)*VLOOKUP('Données projet'!$B$10,Paramètres!$A$1:$I$89,7,0))</f>
        <v>0.19350000000000001</v>
      </c>
      <c r="AT33" s="17">
        <f>IF(ISNA(VLOOKUP(A33,'Données projet'!$A$61:$I$81,7,0)),0%,VLOOKUP(A33,'Données projet'!$A$61:$I$81,7,0))</f>
        <v>0.45</v>
      </c>
      <c r="AU33" s="23">
        <f>EXP(-LN(2)/35)*AU32+(1-EXP(-LN(2)/35))/(LN(2)/35)*AQ33*AR33*VLOOKUP('Données projet'!$B$10,Paramètres!$A$1:$I$89,3,0)*0.475*44/12</f>
        <v>2.4085528753586032</v>
      </c>
      <c r="AV33" s="23">
        <f>EXP(-LN(2)/25)*AV32+(1-EXP(-LN(2)/25))/(LN(2)/25)*Calculateur!AQ33*Calculateur!AS33*VLOOKUP('Données projet'!$B$10,Paramètres!$A$1:$I$89,3,0)*0.475*44/12</f>
        <v>13.555511752109741</v>
      </c>
      <c r="AW33" s="23">
        <f>EXP(-LN(2)/2)*AW32+(1-EXP(-LN(2)/2))/(LN(2)/2)*AQ33*AT33*VLOOKUP('Données projet'!$B$10,Paramètres!$A$1:$I$89,3,0)*0.475*44/12</f>
        <v>21.740084338679843</v>
      </c>
      <c r="AX33" s="23">
        <f t="shared" si="6"/>
        <v>37.704148966148189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263</v>
      </c>
      <c r="BB33" s="13">
        <f>VLOOKUP(A33,'Données projet'!$A$87:$I$107,9,0)</f>
        <v>16.5</v>
      </c>
      <c r="BC33" s="13">
        <f t="array" ref="BC33">INDEX(BB:BB,MIN(IF(ISNUMBER(BB33:BB229),ROW(BB33:BB229),"")))</f>
        <v>16.5</v>
      </c>
      <c r="BD33" s="13">
        <f>IF('Données projet'!$A$88&gt;35,BD32+BC33-BL32,IF(A33&lt;'Données projet'!$A$88,$BA$205^A33,IF(A33='Données projet'!$A$88,'Données projet'!$B$88,BD32+BC33-BL32)))</f>
        <v>263</v>
      </c>
      <c r="BE33" s="14">
        <f>BD33*VLOOKUP('Données projet'!$B$11,Paramètres!$A$1:$I$89,3,0)*VLOOKUP('Données projet'!$B$11,Paramètres!$A$1:$I$89,5,0)</f>
        <v>164.11199999999999</v>
      </c>
      <c r="BF33" s="14">
        <f t="shared" si="37"/>
        <v>41.768614316008147</v>
      </c>
      <c r="BG33" s="22">
        <f t="shared" si="7"/>
        <v>358.57540326704753</v>
      </c>
      <c r="BH33" s="62">
        <f t="shared" si="8"/>
        <v>651.90873660038085</v>
      </c>
      <c r="BI33" s="62">
        <f ca="1">AVERAGE(OFFSET($BH$3,0,0,'Données projet'!$E$11+1,1))-AVERAGE(OFFSET($H$3,0,0,'Données projet'!$E$11+1,1))</f>
        <v>255.41017495879987</v>
      </c>
      <c r="BJ33" s="62">
        <f t="shared" si="38"/>
        <v>297.50513563712764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84</v>
      </c>
      <c r="BM33" s="17">
        <f>IF(ISNA(VLOOKUP(A33,'Données projet'!$A$87:$I$107,5,0)),0%,VLOOKUP(A33,'Données projet'!$A$87:$I$107,5,0)*VLOOKUP('Données projet'!$B$11,Paramètres!$A$1:$I$89,7,0))</f>
        <v>0.12</v>
      </c>
      <c r="BN33" s="17">
        <f>IF(ISNA(VLOOKUP(A33,'Données projet'!$A$87:$I$107,6,0)),0%,VLOOKUP(A33,'Données projet'!$A$87:$I$107,6,0)*VLOOKUP('Données projet'!$B$11,Paramètres!$A$1:$I$89,7,0))</f>
        <v>0.24</v>
      </c>
      <c r="BO33" s="17">
        <f>IF(ISNA(VLOOKUP(A33,'Données projet'!$A$87:$I$107,7,0)),0%,VLOOKUP(A33,'Données projet'!$A$87:$I$107,7,0))</f>
        <v>0.4</v>
      </c>
      <c r="BP33" s="23">
        <f>EXP(-LN(2)/35)*BP32+(1-EXP(-LN(2)/35))/(LN(2)/35)*BL33*BM33*VLOOKUP('Données projet'!$B$11,Paramètres!$A$1:$I$89,3,0)*0.475*44/12</f>
        <v>8.3439842995582705</v>
      </c>
      <c r="BQ33" s="23">
        <f>EXP(-LN(2)/25)*BQ32+(1-EXP(-LN(2)/25))/(LN(2)/25)*Calculateur!BL33*Calculateur!BN33*VLOOKUP('Données projet'!$B$11,Paramètres!$A$1:$I$89,3,0)*0.475*44/12</f>
        <v>27.869867709859399</v>
      </c>
      <c r="BR33" s="23">
        <f>EXP(-LN(2)/2)*BR32+(1-EXP(-LN(2)/2))/(LN(2)/2)*BL33*BO33*VLOOKUP('Données projet'!$B$11,Paramètres!$A$1:$I$89,3,0)*0.475*44/12</f>
        <v>24.401191136911876</v>
      </c>
      <c r="BS33" s="24">
        <f t="shared" si="9"/>
        <v>60.615043146329548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453</v>
      </c>
      <c r="BW33" s="13">
        <f>VLOOKUP(A33,'Données projet'!$A$113:$I$133,9,0)</f>
        <v>31.1</v>
      </c>
      <c r="BX33" s="13">
        <f t="array" ref="BX33">INDEX(BW:BW,MIN(IF(ISNUMBER(BW33:BW229),ROW(BW33:BW229),"")))</f>
        <v>31.1</v>
      </c>
      <c r="BY33" s="13">
        <f>IF('Données projet'!$A$114&gt;35,BY32+BX33-CG32,IF(A33&lt;'Données projet'!$A$114,$BV$205^A33,IF(A33='Données projet'!$A$114,'Données projet'!$B$114,BY32+BX33-CG32)))</f>
        <v>453.00000000000011</v>
      </c>
      <c r="BZ33" s="14">
        <f>BY33*VLOOKUP('Données projet'!$B$12,Paramètres!$A$1:$I$89,3,0)*VLOOKUP('Données projet'!$B$12,Paramètres!$A$1:$I$89,5,0)</f>
        <v>217.89300000000006</v>
      </c>
      <c r="CA33" s="14">
        <f t="shared" si="39"/>
        <v>53.65668350861781</v>
      </c>
      <c r="CB33" s="22">
        <f t="shared" si="10"/>
        <v>472.94903211084278</v>
      </c>
      <c r="CC33" s="62">
        <f t="shared" si="11"/>
        <v>766.28236544417609</v>
      </c>
      <c r="CD33" s="62">
        <f ca="1">AVERAGE(OFFSET($CC$3,0,0,'Données projet'!$E$12+1,1))-AVERAGE(OFFSET($H$3,0,0,'Données projet'!$E$12+1,1))</f>
        <v>409.97612835032567</v>
      </c>
      <c r="CE33" s="62">
        <f t="shared" si="40"/>
        <v>411.87876448092288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154</v>
      </c>
      <c r="CH33" s="17">
        <f>IF(ISNA(VLOOKUP(A33,'Données projet'!$A$113:$I$133,5,0)),0%,VLOOKUP(A33,'Données projet'!$A$113:$I$133,5,0)*VLOOKUP('Données projet'!$B$12,Paramètres!$A$1:$I$89,7,0))</f>
        <v>0.11000000000000001</v>
      </c>
      <c r="CI33" s="17">
        <f>IF(ISNA(VLOOKUP(A33,'Données projet'!$A$113:$I$133,6,0)),0%,VLOOKUP(A33,'Données projet'!$A$113:$I$133,6,0)*VLOOKUP('Données projet'!$B$12,Paramètres!$A$1:$I$89,7,0))</f>
        <v>0.22000000000000003</v>
      </c>
      <c r="CJ33" s="17">
        <f>IF(ISNA(VLOOKUP(A33,'Données projet'!$A$113:$I$133,7,0)),0%,VLOOKUP(A33,'Données projet'!$A$113:$I$133,7,0))</f>
        <v>0.4</v>
      </c>
      <c r="CK33" s="23">
        <f>EXP(-LN(2)/35)*CK32+(1-EXP(-LN(2)/35))/(LN(2)/35)*CG33*CH33*VLOOKUP('Données projet'!$B$12,Paramètres!$A$1:$I$89,3,0)*0.475*44/12</f>
        <v>10.809032901945136</v>
      </c>
      <c r="CL33" s="23">
        <f>EXP(-LN(2)/25)*CL32+(1-EXP(-LN(2)/25))/(LN(2)/25)*Calculateur!CG33*Calculateur!CI33*VLOOKUP('Données projet'!$B$12,Paramètres!$A$1:$I$89,3,0)*0.475*44/12</f>
        <v>27.228675037881139</v>
      </c>
      <c r="CM33" s="23">
        <f>EXP(-LN(2)/2)*CM32+(1-EXP(-LN(2)/2))/(LN(2)/2)*CG33*CJ33*VLOOKUP('Données projet'!$B$12,Paramètres!$A$1:$I$89,3,0)*0.475*44/12</f>
        <v>33.91349571731736</v>
      </c>
      <c r="CN33" s="24">
        <f t="shared" si="12"/>
        <v>71.951203657143637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414</v>
      </c>
      <c r="CR33" s="13">
        <f>VLOOKUP(A33,'Données projet'!$A$139:$I$159,9,0)</f>
        <v>25.8</v>
      </c>
      <c r="CS33" s="13">
        <f t="array" ref="CS33">INDEX(CR:CR,MIN(IF(ISNUMBER(CR33:CR229),ROW(CR33:CR229),"")))</f>
        <v>25.8</v>
      </c>
      <c r="CT33" s="13">
        <f>IF('Données projet'!$A$140&gt;35,CT32+CS33-DB32,IF(A33&lt;'Données projet'!$A$140,$CQ$205^A33,IF(A33='Données projet'!$A$140,'Données projet'!$B$140,CT32+CS33-DB32)))</f>
        <v>414.00000000000011</v>
      </c>
      <c r="CU33" s="18">
        <f>CT33*VLOOKUP('Données projet'!$B$13,Paramètres!$A$1:$I$89,3,0)*VLOOKUP('Données projet'!$B$13,Paramètres!$A$1:$I$89,5,0)</f>
        <v>247.57200000000009</v>
      </c>
      <c r="CV33" s="14">
        <f t="shared" si="41"/>
        <v>60.065726249156576</v>
      </c>
      <c r="CW33" s="22">
        <f t="shared" si="13"/>
        <v>535.80237321728123</v>
      </c>
      <c r="CX33" s="62">
        <f t="shared" si="14"/>
        <v>829.13570655061449</v>
      </c>
      <c r="CY33" s="62">
        <f ca="1">AVERAGE(OFFSET($CX$3,0,0,'Données projet'!$E$13+1,1))-AVERAGE(OFFSET($H$3,0,0,'Données projet'!$E$13+1,1))</f>
        <v>463.3255103386889</v>
      </c>
      <c r="CZ33" s="62">
        <f t="shared" si="42"/>
        <v>474.73210558736127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140</v>
      </c>
      <c r="DC33" s="17">
        <f>IF(ISNA(VLOOKUP(A33,'Données projet'!$A$139:$I$159,5,0)),0%,VLOOKUP(A33,'Données projet'!$A$139:$I$159,5,0)*VLOOKUP('Données projet'!$B$13,Paramètres!$A$1:$I$89,7,0))</f>
        <v>4.5000000000000005E-2</v>
      </c>
      <c r="DD33" s="17">
        <f>IF(ISNA(VLOOKUP(A33,'Données projet'!$A$139:$I$159,6,0)),0%,VLOOKUP(A33,'Données projet'!$A$139:$I$159,6,0)*VLOOKUP('Données projet'!$B$13,Paramètres!$A$1:$I$89,7,0))</f>
        <v>0.20250000000000001</v>
      </c>
      <c r="DE33" s="17">
        <f>IF(ISNA(VLOOKUP(A33,'Données projet'!$A$139:$I$159,7,0)),0%,VLOOKUP(A33,'Données projet'!$A$139:$I$159,7,0))</f>
        <v>0.45</v>
      </c>
      <c r="DF33" s="23">
        <f>EXP(-LN(2)/35)*DF32+(1-EXP(-LN(2)/35))/(LN(2)/35)*DB33*DC33*VLOOKUP('Données projet'!$B$13,Paramètres!$A$1:$I$89,3,0)*0.475*44/12</f>
        <v>4.997698929422925</v>
      </c>
      <c r="DG33" s="23">
        <f>EXP(-LN(2)/25)*DG32+(1-EXP(-LN(2)/25))/(LN(2)/25)*Calculateur!DB33*Calculateur!DD33*VLOOKUP('Données projet'!$B$13,Paramètres!$A$1:$I$89,3,0)*0.475*44/12</f>
        <v>34.662157047606598</v>
      </c>
      <c r="DH33" s="23">
        <f>EXP(-LN(2)/2)*DH32+(1-EXP(-LN(2)/2))/(LN(2)/2)*DB33*DE33*VLOOKUP('Données projet'!$B$13,Paramètres!$A$1:$I$89,3,0)*0.475*44/12</f>
        <v>43.618435470243249</v>
      </c>
      <c r="DI33" s="24">
        <f t="shared" si="15"/>
        <v>83.278291447272778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237.5</v>
      </c>
      <c r="DM33" s="13">
        <f>VLOOKUP(A33,'Données projet'!$A$165:$I$185,9,0)</f>
        <v>9.1999999999999993</v>
      </c>
      <c r="DN33" s="13">
        <f t="array" ref="DN33">INDEX(DM:DM,MIN(IF(ISNUMBER(DM33:DM229),ROW(DM33:DM229),"")))</f>
        <v>9.1999999999999993</v>
      </c>
      <c r="DO33" s="13">
        <f>IF('Données projet'!$A$166&gt;35,DO32+DN33-DW32,IF(A33&lt;'Données projet'!$A$166,$DL$205^A33,IF(A33='Données projet'!$A$166,'Données projet'!$B$166,DO32+DN33-DW32)))</f>
        <v>237.49999999999989</v>
      </c>
      <c r="DP33" s="18">
        <f>DO33*VLOOKUP('Données projet'!$B$14,Paramètres!$A$1:$I$89,3,0)*VLOOKUP('Données projet'!$B$14,Paramètres!$A$1:$I$89,5,0)</f>
        <v>111.14999999999995</v>
      </c>
      <c r="DQ33" s="14">
        <f t="shared" si="43"/>
        <v>29.601769319956546</v>
      </c>
      <c r="DR33" s="22">
        <f t="shared" si="16"/>
        <v>245.14266489892427</v>
      </c>
      <c r="DS33" s="62">
        <f t="shared" si="17"/>
        <v>538.47599823225755</v>
      </c>
      <c r="DT33" s="62">
        <f ca="1">AVERAGE(OFFSET($DS$3,0,0,'Données projet'!$E$14+1,1))-AVERAGE(OFFSET($H$3,0,0,'Données projet'!$E$14+1,1))</f>
        <v>215.23235148064941</v>
      </c>
      <c r="DU33" s="62">
        <f t="shared" si="44"/>
        <v>184.07239726900434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45.9</v>
      </c>
      <c r="DX33" s="17">
        <f>IF(ISNA(VLOOKUP(A33,'Données projet'!$A$165:$I$185,5,0)),0%,VLOOKUP(A33,'Données projet'!$A$165:$I$185,5,0)*VLOOKUP('Données projet'!$B$14,Paramètres!$A$1:$I$89,7,0))</f>
        <v>0.11000000000000001</v>
      </c>
      <c r="DY33" s="17">
        <f>IF(ISNA(VLOOKUP(A33,'Données projet'!$A$165:$I$185,6,0)),0%,VLOOKUP(A33,'Données projet'!$A$165:$I$185,6,0)*VLOOKUP('Données projet'!$B$14,Paramètres!$A$1:$I$89,7,0))</f>
        <v>0.22000000000000003</v>
      </c>
      <c r="DZ33" s="17">
        <f>IF(ISNA(VLOOKUP(A33,'Données projet'!$A$165:$I$185,7,0)),0%,VLOOKUP(A33,'Données projet'!$A$165:$I$185,7,0))</f>
        <v>0.4</v>
      </c>
      <c r="EA33" s="23">
        <f>EXP(-LN(2)/35)*EA32+(1-EXP(-LN(2)/35))/(LN(2)/35)*DW33*DX33*VLOOKUP('Données projet'!$B$14,Paramètres!$A$1:$I$89,3,0)*0.475*44/12</f>
        <v>3.1345816018206638</v>
      </c>
      <c r="EB33" s="23">
        <f>EXP(-LN(2)/25)*EB32+(1-EXP(-LN(2)/25))/(LN(2)/25)*Calculateur!DW33*Calculateur!DY33*VLOOKUP('Données projet'!$B$14,Paramètres!$A$1:$I$89,3,0)*0.475*44/12</f>
        <v>7.8554643539932272</v>
      </c>
      <c r="EC33" s="23">
        <f>EXP(-LN(2)/2)*EC32+(1-EXP(-LN(2)/2))/(LN(2)/2)*DW33*DZ33*VLOOKUP('Données projet'!$B$14,Paramètres!$A$1:$I$89,3,0)*0.475*44/12</f>
        <v>9.8321764802959866</v>
      </c>
      <c r="ED33" s="24">
        <f t="shared" si="18"/>
        <v>20.822222436109875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356.38176682171019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29.2</v>
      </c>
      <c r="N34" s="14">
        <f>IF('Données projet'!$A$36&gt;35,N33+M34-V33,IF(A34&lt;'Données projet'!$A$36,$K$205^A34,IF(A34='Données projet'!$A$36,'Données projet'!$B$36,N33+M34-V33)))</f>
        <v>312.20000000000016</v>
      </c>
      <c r="O34" s="14">
        <f>N34*VLOOKUP('Données projet'!$B$9,Paramètres!$A$1:$I$89,3,0)*VLOOKUP('Données projet'!$B$9,Paramètres!$A$1:$I$89,5,0)</f>
        <v>174.51980000000009</v>
      </c>
      <c r="P34" s="14">
        <f t="shared" si="33"/>
        <v>44.100757338408926</v>
      </c>
      <c r="Q34" s="22">
        <f t="shared" si="2"/>
        <v>380.76413736439571</v>
      </c>
      <c r="R34" s="62">
        <f t="shared" si="0"/>
        <v>674.09747069772902</v>
      </c>
      <c r="S34" s="62">
        <f ca="1">AVERAGE(OFFSET($R$3,0,0,'Données projet'!$E$9+1,1))-AVERAGE(OFFSET($H$3,0,0,'Données projet'!$E$9+1,1))</f>
        <v>460.40450534123659</v>
      </c>
      <c r="T34" s="62">
        <f t="shared" si="34"/>
        <v>467.77477728479198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12.315518850342539</v>
      </c>
      <c r="AA34" s="23">
        <f>EXP(-LN(2)/25)*AA33+(1-EXP(-LN(2)/25))/(LN(2)/25)*Calculateur!V34*Calculateur!X34*VLOOKUP('Données projet'!$B$9,Paramètres!$A$1:$I$89,3,0)*0.475*44/12</f>
        <v>43.056613978125576</v>
      </c>
      <c r="AB34" s="23">
        <f>EXP(-LN(2)/2)*AB33+(1-EXP(-LN(2)/2))/(LN(2)/2)*V34*Y34*VLOOKUP('Données projet'!$B$9,Paramètres!$A$1:$I$89,3,0)*0.475*44/12</f>
        <v>28.442597766253783</v>
      </c>
      <c r="AC34" s="24">
        <f t="shared" si="3"/>
        <v>83.814730594721894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11</v>
      </c>
      <c r="AI34" s="14">
        <f>IF('Données projet'!$A$62&gt;35,AI33+AH34-AQ33,IF(A34&lt;'Données projet'!$A$62,$AF$205^A34,IF(A34='Données projet'!$A$62,'Données projet'!$B$62,AI33+AH34-AQ33)))</f>
        <v>104</v>
      </c>
      <c r="AJ34" s="14">
        <f>AI34*VLOOKUP('Données projet'!$B$10,Paramètres!$A$1:$I$89,3,0)*VLOOKUP('Données projet'!$B$10,Paramètres!$A$1:$I$89,5,0)</f>
        <v>94.099199999999996</v>
      </c>
      <c r="AK34" s="14">
        <f t="shared" si="35"/>
        <v>25.551276031514817</v>
      </c>
      <c r="AL34" s="22">
        <f t="shared" si="4"/>
        <v>208.39124575488827</v>
      </c>
      <c r="AM34" s="62">
        <f t="shared" si="5"/>
        <v>501.72457908822162</v>
      </c>
      <c r="AN34" s="62">
        <f ca="1">AVERAGE(OFFSET($AM$3,0,0,'Données projet'!$E$10+1,1))-AVERAGE(OFFSET($H$3,0,0,'Données projet'!$E$10+1,1))</f>
        <v>321.03881567735544</v>
      </c>
      <c r="AO34" s="62">
        <f t="shared" si="36"/>
        <v>234.87694492493506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2.3613226225450159</v>
      </c>
      <c r="AV34" s="23">
        <f>EXP(-LN(2)/25)*AV33+(1-EXP(-LN(2)/25))/(LN(2)/25)*Calculateur!AQ34*Calculateur!AS34*VLOOKUP('Données projet'!$B$10,Paramètres!$A$1:$I$89,3,0)*0.475*44/12</f>
        <v>13.184835570394918</v>
      </c>
      <c r="AW34" s="23">
        <f>EXP(-LN(2)/2)*AW33+(1-EXP(-LN(2)/2))/(LN(2)/2)*AQ34*AT34*VLOOKUP('Données projet'!$B$10,Paramètres!$A$1:$I$89,3,0)*0.475*44/12</f>
        <v>15.372561059447978</v>
      </c>
      <c r="AX34" s="23">
        <f t="shared" si="6"/>
        <v>30.918719252387913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15.1</v>
      </c>
      <c r="BD34" s="13">
        <f>IF('Données projet'!$A$88&gt;35,BD33+BC34-BL33,IF(A34&lt;'Données projet'!$A$88,$BA$205^A34,IF(A34='Données projet'!$A$88,'Données projet'!$B$88,BD33+BC34-BL33)))</f>
        <v>194.10000000000002</v>
      </c>
      <c r="BE34" s="14">
        <f>BD34*VLOOKUP('Données projet'!$B$11,Paramètres!$A$1:$I$89,3,0)*VLOOKUP('Données projet'!$B$11,Paramètres!$A$1:$I$89,5,0)</f>
        <v>121.11840000000001</v>
      </c>
      <c r="BF34" s="14">
        <f t="shared" si="37"/>
        <v>31.935706725782151</v>
      </c>
      <c r="BG34" s="22">
        <f t="shared" si="7"/>
        <v>266.56923588073727</v>
      </c>
      <c r="BH34" s="62">
        <f t="shared" si="8"/>
        <v>559.90256921407058</v>
      </c>
      <c r="BI34" s="62">
        <f ca="1">AVERAGE(OFFSET($BH$3,0,0,'Données projet'!$E$11+1,1))-AVERAGE(OFFSET($H$3,0,0,'Données projet'!$E$11+1,1))</f>
        <v>255.41017495879987</v>
      </c>
      <c r="BJ34" s="62">
        <f t="shared" si="38"/>
        <v>297.50513563712764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8.1803638567718266</v>
      </c>
      <c r="BQ34" s="23">
        <f>EXP(-LN(2)/25)*BQ33+(1-EXP(-LN(2)/25))/(LN(2)/25)*Calculateur!BL34*Calculateur!BN34*VLOOKUP('Données projet'!$B$11,Paramètres!$A$1:$I$89,3,0)*0.475*44/12</f>
        <v>27.107764711720648</v>
      </c>
      <c r="BR34" s="23">
        <f>EXP(-LN(2)/2)*BR33+(1-EXP(-LN(2)/2))/(LN(2)/2)*BL34*BO34*VLOOKUP('Données projet'!$B$11,Paramètres!$A$1:$I$89,3,0)*0.475*44/12</f>
        <v>17.254247721939471</v>
      </c>
      <c r="BS34" s="24">
        <f t="shared" si="9"/>
        <v>52.542376290431946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30.2</v>
      </c>
      <c r="BY34" s="13">
        <f>IF('Données projet'!$A$114&gt;35,BY33+BX34-CG33,IF(A34&lt;'Données projet'!$A$114,$BV$205^A34,IF(A34='Données projet'!$A$114,'Données projet'!$B$114,BY33+BX34-CG33)))</f>
        <v>329.2000000000001</v>
      </c>
      <c r="BZ34" s="14">
        <f>BY34*VLOOKUP('Données projet'!$B$12,Paramètres!$A$1:$I$89,3,0)*VLOOKUP('Données projet'!$B$12,Paramètres!$A$1:$I$89,5,0)</f>
        <v>158.34520000000003</v>
      </c>
      <c r="CA34" s="14">
        <f t="shared" si="39"/>
        <v>40.469045109608707</v>
      </c>
      <c r="CB34" s="22">
        <f t="shared" si="10"/>
        <v>346.26814356590194</v>
      </c>
      <c r="CC34" s="62">
        <f t="shared" si="11"/>
        <v>639.60147689923519</v>
      </c>
      <c r="CD34" s="62">
        <f ca="1">AVERAGE(OFFSET($CC$3,0,0,'Données projet'!$E$12+1,1))-AVERAGE(OFFSET($H$3,0,0,'Données projet'!$E$12+1,1))</f>
        <v>409.97612835032567</v>
      </c>
      <c r="CE34" s="62">
        <f t="shared" si="40"/>
        <v>411.87876448092288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10.597074359597071</v>
      </c>
      <c r="CL34" s="23">
        <f>EXP(-LN(2)/25)*CL33+(1-EXP(-LN(2)/25))/(LN(2)/25)*Calculateur!CG34*Calculateur!CI34*VLOOKUP('Données projet'!$B$12,Paramètres!$A$1:$I$89,3,0)*0.475*44/12</f>
        <v>26.484105487076491</v>
      </c>
      <c r="CM34" s="23">
        <f>EXP(-LN(2)/2)*CM33+(1-EXP(-LN(2)/2))/(LN(2)/2)*CG34*CJ34*VLOOKUP('Données projet'!$B$12,Paramètres!$A$1:$I$89,3,0)*0.475*44/12</f>
        <v>23.980462795456045</v>
      </c>
      <c r="CN34" s="24">
        <f t="shared" si="12"/>
        <v>61.061642642129613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26.3</v>
      </c>
      <c r="CT34" s="13">
        <f>IF('Données projet'!$A$140&gt;35,CT33+CS34-DB33,IF(A34&lt;'Données projet'!$A$140,$CQ$205^A34,IF(A34='Données projet'!$A$140,'Données projet'!$B$140,CT33+CS34-DB33)))</f>
        <v>300.30000000000013</v>
      </c>
      <c r="CU34" s="18">
        <f>CT34*VLOOKUP('Données projet'!$B$13,Paramètres!$A$1:$I$89,3,0)*VLOOKUP('Données projet'!$B$13,Paramètres!$A$1:$I$89,5,0)</f>
        <v>179.57940000000008</v>
      </c>
      <c r="CV34" s="14">
        <f t="shared" si="41"/>
        <v>45.228597678839186</v>
      </c>
      <c r="CW34" s="22">
        <f t="shared" si="13"/>
        <v>391.54059595731172</v>
      </c>
      <c r="CX34" s="62">
        <f t="shared" si="14"/>
        <v>684.87392929064504</v>
      </c>
      <c r="CY34" s="62">
        <f ca="1">AVERAGE(OFFSET($CX$3,0,0,'Données projet'!$E$13+1,1))-AVERAGE(OFFSET($H$3,0,0,'Données projet'!$E$13+1,1))</f>
        <v>463.3255103386889</v>
      </c>
      <c r="CZ34" s="62">
        <f t="shared" si="42"/>
        <v>474.73210558736127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4.8996971017122943</v>
      </c>
      <c r="DG34" s="23">
        <f>EXP(-LN(2)/25)*DG33+(1-EXP(-LN(2)/25))/(LN(2)/25)*Calculateur!DB34*Calculateur!DD34*VLOOKUP('Données projet'!$B$13,Paramètres!$A$1:$I$89,3,0)*0.475*44/12</f>
        <v>33.71431854033618</v>
      </c>
      <c r="DH34" s="23">
        <f>EXP(-LN(2)/2)*DH33+(1-EXP(-LN(2)/2))/(LN(2)/2)*DB34*DE34*VLOOKUP('Données projet'!$B$13,Paramètres!$A$1:$I$89,3,0)*0.475*44/12</f>
        <v>30.842891505756839</v>
      </c>
      <c r="DI34" s="24">
        <f t="shared" si="15"/>
        <v>69.45690714780531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10.000000000000004</v>
      </c>
      <c r="DO34" s="13">
        <f>IF('Données projet'!$A$166&gt;35,DO33+DN34-DW33,IF(A34&lt;'Données projet'!$A$166,$DL$205^A34,IF(A34='Données projet'!$A$166,'Données projet'!$B$166,DO33+DN34-DW33)))</f>
        <v>201.59999999999988</v>
      </c>
      <c r="DP34" s="18">
        <f>DO34*VLOOKUP('Données projet'!$B$14,Paramètres!$A$1:$I$89,3,0)*VLOOKUP('Données projet'!$B$14,Paramètres!$A$1:$I$89,5,0)</f>
        <v>94.34879999999994</v>
      </c>
      <c r="DQ34" s="14">
        <f t="shared" si="43"/>
        <v>25.611153022386439</v>
      </c>
      <c r="DR34" s="22">
        <f t="shared" si="16"/>
        <v>208.93025151398959</v>
      </c>
      <c r="DS34" s="62">
        <f t="shared" si="17"/>
        <v>502.26358484732293</v>
      </c>
      <c r="DT34" s="62">
        <f ca="1">AVERAGE(OFFSET($DS$3,0,0,'Données projet'!$E$14+1,1))-AVERAGE(OFFSET($H$3,0,0,'Données projet'!$E$14+1,1))</f>
        <v>215.23235148064941</v>
      </c>
      <c r="DU34" s="62">
        <f t="shared" si="44"/>
        <v>184.07239726900434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3.0731143685149527</v>
      </c>
      <c r="EB34" s="23">
        <f>EXP(-LN(2)/25)*EB33+(1-EXP(-LN(2)/25))/(LN(2)/25)*Calculateur!DW34*Calculateur!DY34*VLOOKUP('Données projet'!$B$14,Paramètres!$A$1:$I$89,3,0)*0.475*44/12</f>
        <v>7.640656268132366</v>
      </c>
      <c r="EC34" s="23">
        <f>EXP(-LN(2)/2)*EC33+(1-EXP(-LN(2)/2))/(LN(2)/2)*DW34*DZ34*VLOOKUP('Données projet'!$B$14,Paramètres!$A$1:$I$89,3,0)*0.475*44/12</f>
        <v>6.9523986630401735</v>
      </c>
      <c r="ED34" s="24">
        <f t="shared" si="18"/>
        <v>17.666169299687493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358.35832279638072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29.2</v>
      </c>
      <c r="N35" s="14">
        <f>IF('Données projet'!$A$36&gt;35,N34+M35-V34,IF(A35&lt;'Données projet'!$A$36,$K$205^A35,IF(A35='Données projet'!$A$36,'Données projet'!$B$36,N34+M35-V34)))</f>
        <v>341.40000000000015</v>
      </c>
      <c r="O35" s="14">
        <f>N35*VLOOKUP('Données projet'!$B$9,Paramètres!$A$1:$I$89,3,0)*VLOOKUP('Données projet'!$B$9,Paramètres!$A$1:$I$89,5,0)</f>
        <v>190.84260000000006</v>
      </c>
      <c r="P35" s="14">
        <f t="shared" si="33"/>
        <v>47.726191746014173</v>
      </c>
      <c r="Q35" s="22">
        <f t="shared" ref="Q35:Q66" si="53">(O35+P35)*0.475*44/12</f>
        <v>415.50731229097477</v>
      </c>
      <c r="R35" s="62">
        <f t="shared" si="0"/>
        <v>708.84064562430808</v>
      </c>
      <c r="S35" s="62">
        <f ca="1">AVERAGE(OFFSET($R$3,0,0,'Données projet'!$E$9+1,1))-AVERAGE(OFFSET($H$3,0,0,'Données projet'!$E$9+1,1))</f>
        <v>460.40450534123659</v>
      </c>
      <c r="T35" s="62">
        <f t="shared" si="34"/>
        <v>467.77477728479198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12.074019037412098</v>
      </c>
      <c r="AA35" s="23">
        <f>EXP(-LN(2)/25)*AA34+(1-EXP(-LN(2)/25))/(LN(2)/25)*Calculateur!V35*Calculateur!X35*VLOOKUP('Données projet'!$B$9,Paramètres!$A$1:$I$89,3,0)*0.475*44/12</f>
        <v>41.879228604644808</v>
      </c>
      <c r="AB35" s="23">
        <f>EXP(-LN(2)/2)*AB34+(1-EXP(-LN(2)/2))/(LN(2)/2)*V35*Y35*VLOOKUP('Données projet'!$B$9,Paramètres!$A$1:$I$89,3,0)*0.475*44/12</f>
        <v>20.111953755079401</v>
      </c>
      <c r="AC35" s="24">
        <f t="shared" si="3"/>
        <v>74.065201397136306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11</v>
      </c>
      <c r="AI35" s="14">
        <f>IF('Données projet'!$A$62&gt;35,AI34+AH35-AQ34,IF(A35&lt;'Données projet'!$A$62,$AF$205^A35,IF(A35='Données projet'!$A$62,'Données projet'!$B$62,AI34+AH35-AQ34)))</f>
        <v>115</v>
      </c>
      <c r="AJ35" s="14">
        <f>AI35*VLOOKUP('Données projet'!$B$10,Paramètres!$A$1:$I$89,3,0)*VLOOKUP('Données projet'!$B$10,Paramètres!$A$1:$I$89,5,0)</f>
        <v>104.05199999999999</v>
      </c>
      <c r="AK35" s="14">
        <f t="shared" si="35"/>
        <v>27.925087771564417</v>
      </c>
      <c r="AL35" s="22">
        <f t="shared" si="4"/>
        <v>229.86009453547467</v>
      </c>
      <c r="AM35" s="62">
        <f t="shared" si="5"/>
        <v>523.19342786880793</v>
      </c>
      <c r="AN35" s="62">
        <f ca="1">AVERAGE(OFFSET($AM$3,0,0,'Données projet'!$E$10+1,1))-AVERAGE(OFFSET($H$3,0,0,'Données projet'!$E$10+1,1))</f>
        <v>321.03881567735544</v>
      </c>
      <c r="AO35" s="62">
        <f t="shared" si="36"/>
        <v>234.87694492493506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2.3150185261814937</v>
      </c>
      <c r="AV35" s="23">
        <f>EXP(-LN(2)/25)*AV34+(1-EXP(-LN(2)/25))/(LN(2)/25)*Calculateur!AQ35*Calculateur!AS35*VLOOKUP('Données projet'!$B$10,Paramètres!$A$1:$I$89,3,0)*0.475*44/12</f>
        <v>12.824295548362102</v>
      </c>
      <c r="AW35" s="23">
        <f>EXP(-LN(2)/2)*AW34+(1-EXP(-LN(2)/2))/(LN(2)/2)*AQ35*AT35*VLOOKUP('Données projet'!$B$10,Paramètres!$A$1:$I$89,3,0)*0.475*44/12</f>
        <v>10.870042169339923</v>
      </c>
      <c r="AX35" s="23">
        <f t="shared" si="6"/>
        <v>26.009356243883516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15.1</v>
      </c>
      <c r="BD35" s="13">
        <f>IF('Données projet'!$A$88&gt;35,BD34+BC35-BL34,IF(A35&lt;'Données projet'!$A$88,$BA$205^A35,IF(A35='Données projet'!$A$88,'Données projet'!$B$88,BD34+BC35-BL34)))</f>
        <v>209.20000000000002</v>
      </c>
      <c r="BE35" s="14">
        <f>BD35*VLOOKUP('Données projet'!$B$11,Paramètres!$A$1:$I$89,3,0)*VLOOKUP('Données projet'!$B$11,Paramètres!$A$1:$I$89,5,0)</f>
        <v>130.54080000000002</v>
      </c>
      <c r="BF35" s="14">
        <f t="shared" si="37"/>
        <v>34.121292125762963</v>
      </c>
      <c r="BG35" s="22">
        <f t="shared" si="7"/>
        <v>286.78647711903716</v>
      </c>
      <c r="BH35" s="62">
        <f t="shared" si="8"/>
        <v>580.11981045237053</v>
      </c>
      <c r="BI35" s="62">
        <f ca="1">AVERAGE(OFFSET($BH$3,0,0,'Données projet'!$E$11+1,1))-AVERAGE(OFFSET($H$3,0,0,'Données projet'!$E$11+1,1))</f>
        <v>255.41017495879987</v>
      </c>
      <c r="BJ35" s="62">
        <f t="shared" si="38"/>
        <v>297.50513563712764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8.0199519110698088</v>
      </c>
      <c r="BQ35" s="23">
        <f>EXP(-LN(2)/25)*BQ34+(1-EXP(-LN(2)/25))/(LN(2)/25)*Calculateur!BL35*Calculateur!BN35*VLOOKUP('Données projet'!$B$11,Paramètres!$A$1:$I$89,3,0)*0.475*44/12</f>
        <v>26.366501460143258</v>
      </c>
      <c r="BR35" s="23">
        <f>EXP(-LN(2)/2)*BR34+(1-EXP(-LN(2)/2))/(LN(2)/2)*BL35*BO35*VLOOKUP('Données projet'!$B$11,Paramètres!$A$1:$I$89,3,0)*0.475*44/12</f>
        <v>12.20059556845594</v>
      </c>
      <c r="BS35" s="24">
        <f t="shared" si="9"/>
        <v>46.587048939669003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30.2</v>
      </c>
      <c r="BY35" s="13">
        <f>IF('Données projet'!$A$114&gt;35,BY34+BX35-CG34,IF(A35&lt;'Données projet'!$A$114,$BV$205^A35,IF(A35='Données projet'!$A$114,'Données projet'!$B$114,BY34+BX35-CG34)))</f>
        <v>359.40000000000009</v>
      </c>
      <c r="BZ35" s="14">
        <f>BY35*VLOOKUP('Données projet'!$B$12,Paramètres!$A$1:$I$89,3,0)*VLOOKUP('Données projet'!$B$12,Paramètres!$A$1:$I$89,5,0)</f>
        <v>172.87140000000005</v>
      </c>
      <c r="CA35" s="14">
        <f t="shared" si="39"/>
        <v>43.732493418684889</v>
      </c>
      <c r="CB35" s="22">
        <f t="shared" si="10"/>
        <v>377.25178103754297</v>
      </c>
      <c r="CC35" s="62">
        <f t="shared" si="11"/>
        <v>670.58511437087623</v>
      </c>
      <c r="CD35" s="62">
        <f ca="1">AVERAGE(OFFSET($CC$3,0,0,'Données projet'!$E$12+1,1))-AVERAGE(OFFSET($H$3,0,0,'Données projet'!$E$12+1,1))</f>
        <v>409.97612835032567</v>
      </c>
      <c r="CE35" s="62">
        <f t="shared" si="40"/>
        <v>411.87876448092288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10.389272194982507</v>
      </c>
      <c r="CL35" s="23">
        <f>EXP(-LN(2)/25)*CL34+(1-EXP(-LN(2)/25))/(LN(2)/25)*Calculateur!CG35*Calculateur!CI35*VLOOKUP('Données projet'!$B$12,Paramètres!$A$1:$I$89,3,0)*0.475*44/12</f>
        <v>25.759896229793807</v>
      </c>
      <c r="CM35" s="23">
        <f>EXP(-LN(2)/2)*CM34+(1-EXP(-LN(2)/2))/(LN(2)/2)*CG35*CJ35*VLOOKUP('Données projet'!$B$12,Paramètres!$A$1:$I$89,3,0)*0.475*44/12</f>
        <v>16.956747858658684</v>
      </c>
      <c r="CN35" s="24">
        <f t="shared" si="12"/>
        <v>53.105916283434993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26.3</v>
      </c>
      <c r="CT35" s="13">
        <f>IF('Données projet'!$A$140&gt;35,CT34+CS35-DB34,IF(A35&lt;'Données projet'!$A$140,$CQ$205^A35,IF(A35='Données projet'!$A$140,'Données projet'!$B$140,CT34+CS35-DB34)))</f>
        <v>326.60000000000014</v>
      </c>
      <c r="CU35" s="18">
        <f>CT35*VLOOKUP('Données projet'!$B$13,Paramètres!$A$1:$I$89,3,0)*VLOOKUP('Données projet'!$B$13,Paramètres!$A$1:$I$89,5,0)</f>
        <v>195.30680000000009</v>
      </c>
      <c r="CV35" s="14">
        <f t="shared" si="41"/>
        <v>48.711323321845938</v>
      </c>
      <c r="CW35" s="22">
        <f t="shared" si="13"/>
        <v>424.99823145221512</v>
      </c>
      <c r="CX35" s="62">
        <f t="shared" si="14"/>
        <v>718.33156478554838</v>
      </c>
      <c r="CY35" s="62">
        <f ca="1">AVERAGE(OFFSET($CX$3,0,0,'Données projet'!$E$13+1,1))-AVERAGE(OFFSET($H$3,0,0,'Données projet'!$E$13+1,1))</f>
        <v>463.3255103386889</v>
      </c>
      <c r="CZ35" s="62">
        <f t="shared" si="42"/>
        <v>474.73210558736127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4.8036170300678567</v>
      </c>
      <c r="DG35" s="23">
        <f>EXP(-LN(2)/25)*DG34+(1-EXP(-LN(2)/25))/(LN(2)/25)*Calculateur!DB35*Calculateur!DD35*VLOOKUP('Données projet'!$B$13,Paramètres!$A$1:$I$89,3,0)*0.475*44/12</f>
        <v>32.792398726891733</v>
      </c>
      <c r="DH35" s="23">
        <f>EXP(-LN(2)/2)*DH34+(1-EXP(-LN(2)/2))/(LN(2)/2)*DB35*DE35*VLOOKUP('Données projet'!$B$13,Paramètres!$A$1:$I$89,3,0)*0.475*44/12</f>
        <v>21.809217735121628</v>
      </c>
      <c r="DI35" s="24">
        <f t="shared" si="15"/>
        <v>59.405233492081216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10.000000000000004</v>
      </c>
      <c r="DO35" s="13">
        <f>IF('Données projet'!$A$166&gt;35,DO34+DN35-DW34,IF(A35&lt;'Données projet'!$A$166,$DL$205^A35,IF(A35='Données projet'!$A$166,'Données projet'!$B$166,DO34+DN35-DW34)))</f>
        <v>211.59999999999988</v>
      </c>
      <c r="DP35" s="18">
        <f>DO35*VLOOKUP('Données projet'!$B$14,Paramètres!$A$1:$I$89,3,0)*VLOOKUP('Données projet'!$B$14,Paramètres!$A$1:$I$89,5,0)</f>
        <v>99.028799999999947</v>
      </c>
      <c r="DQ35" s="14">
        <f t="shared" si="43"/>
        <v>26.730491283721712</v>
      </c>
      <c r="DR35" s="22">
        <f t="shared" si="16"/>
        <v>219.0307656524819</v>
      </c>
      <c r="DS35" s="62">
        <f t="shared" si="17"/>
        <v>512.36409898581519</v>
      </c>
      <c r="DT35" s="62">
        <f ca="1">AVERAGE(OFFSET($DS$3,0,0,'Données projet'!$E$14+1,1))-AVERAGE(OFFSET($H$3,0,0,'Données projet'!$E$14+1,1))</f>
        <v>215.23235148064941</v>
      </c>
      <c r="DU35" s="62">
        <f t="shared" si="44"/>
        <v>184.07239726900434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3.0128524701630561</v>
      </c>
      <c r="EB35" s="23">
        <f>EXP(-LN(2)/25)*EB34+(1-EXP(-LN(2)/25))/(LN(2)/25)*Calculateur!DW35*Calculateur!DY35*VLOOKUP('Données projet'!$B$14,Paramètres!$A$1:$I$89,3,0)*0.475*44/12</f>
        <v>7.4317221206756363</v>
      </c>
      <c r="EC35" s="23">
        <f>EXP(-LN(2)/2)*EC34+(1-EXP(-LN(2)/2))/(LN(2)/2)*DW35*DZ35*VLOOKUP('Données projet'!$B$14,Paramètres!$A$1:$I$89,3,0)*0.475*44/12</f>
        <v>4.9160882401479942</v>
      </c>
      <c r="ED35" s="24">
        <f t="shared" si="18"/>
        <v>15.360662830986687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360.33332496858065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29.2</v>
      </c>
      <c r="N36" s="14">
        <f>IF('Données projet'!$A$36&gt;35,N35+M36-V35,IF(A36&lt;'Données projet'!$A$36,$K$205^A36,IF(A36='Données projet'!$A$36,'Données projet'!$B$36,N35+M36-V35)))</f>
        <v>370.60000000000014</v>
      </c>
      <c r="O36" s="14">
        <f>N36*VLOOKUP('Données projet'!$B$9,Paramètres!$A$1:$I$89,3,0)*VLOOKUP('Données projet'!$B$9,Paramètres!$A$1:$I$89,5,0)</f>
        <v>207.16540000000009</v>
      </c>
      <c r="P36" s="14">
        <f t="shared" si="33"/>
        <v>51.315665200272925</v>
      </c>
      <c r="Q36" s="22">
        <f t="shared" si="53"/>
        <v>450.18785522380881</v>
      </c>
      <c r="R36" s="62">
        <f t="shared" si="0"/>
        <v>743.52118855714207</v>
      </c>
      <c r="S36" s="62">
        <f ca="1">AVERAGE(OFFSET($R$3,0,0,'Données projet'!$E$9+1,1))-AVERAGE(OFFSET($H$3,0,0,'Données projet'!$E$9+1,1))</f>
        <v>460.40450534123659</v>
      </c>
      <c r="T36" s="62">
        <f t="shared" si="34"/>
        <v>467.77477728479198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11.837254888512883</v>
      </c>
      <c r="AA36" s="23">
        <f>EXP(-LN(2)/25)*AA35+(1-EXP(-LN(2)/25))/(LN(2)/25)*Calculateur!V36*Calculateur!X36*VLOOKUP('Données projet'!$B$9,Paramètres!$A$1:$I$89,3,0)*0.475*44/12</f>
        <v>40.73403889611788</v>
      </c>
      <c r="AB36" s="23">
        <f>EXP(-LN(2)/2)*AB35+(1-EXP(-LN(2)/2))/(LN(2)/2)*V36*Y36*VLOOKUP('Données projet'!$B$9,Paramètres!$A$1:$I$89,3,0)*0.475*44/12</f>
        <v>14.221298883126893</v>
      </c>
      <c r="AC36" s="24">
        <f t="shared" si="3"/>
        <v>66.79259266775766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11</v>
      </c>
      <c r="AI36" s="14">
        <f>IF('Données projet'!$A$62&gt;35,AI35+AH36-AQ35,IF(A36&lt;'Données projet'!$A$62,$AF$205^A36,IF(A36='Données projet'!$A$62,'Données projet'!$B$62,AI35+AH36-AQ35)))</f>
        <v>126</v>
      </c>
      <c r="AJ36" s="14">
        <f>AI36*VLOOKUP('Données projet'!$B$10,Paramètres!$A$1:$I$89,3,0)*VLOOKUP('Données projet'!$B$10,Paramètres!$A$1:$I$89,5,0)</f>
        <v>114.0048</v>
      </c>
      <c r="AK36" s="14">
        <f t="shared" si="35"/>
        <v>30.272573949217303</v>
      </c>
      <c r="AL36" s="22">
        <f t="shared" si="4"/>
        <v>251.28309296155342</v>
      </c>
      <c r="AM36" s="62">
        <f t="shared" si="5"/>
        <v>544.61642629488676</v>
      </c>
      <c r="AN36" s="62">
        <f ca="1">AVERAGE(OFFSET($AM$3,0,0,'Données projet'!$E$10+1,1))-AVERAGE(OFFSET($H$3,0,0,'Données projet'!$E$10+1,1))</f>
        <v>321.03881567735544</v>
      </c>
      <c r="AO36" s="62">
        <f t="shared" si="36"/>
        <v>234.87694492493506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2.2696224249049499</v>
      </c>
      <c r="AV36" s="23">
        <f>EXP(-LN(2)/25)*AV35+(1-EXP(-LN(2)/25))/(LN(2)/25)*Calculateur!AQ36*Calculateur!AS36*VLOOKUP('Données projet'!$B$10,Paramètres!$A$1:$I$89,3,0)*0.475*44/12</f>
        <v>12.473614512191748</v>
      </c>
      <c r="AW36" s="23">
        <f>EXP(-LN(2)/2)*AW35+(1-EXP(-LN(2)/2))/(LN(2)/2)*AQ36*AT36*VLOOKUP('Données projet'!$B$10,Paramètres!$A$1:$I$89,3,0)*0.475*44/12</f>
        <v>7.68628052972399</v>
      </c>
      <c r="AX36" s="23">
        <f t="shared" si="6"/>
        <v>22.429517466820688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15.1</v>
      </c>
      <c r="BD36" s="13">
        <f>IF('Données projet'!$A$88&gt;35,BD35+BC36-BL35,IF(A36&lt;'Données projet'!$A$88,$BA$205^A36,IF(A36='Données projet'!$A$88,'Données projet'!$B$88,BD35+BC36-BL35)))</f>
        <v>224.3</v>
      </c>
      <c r="BE36" s="14">
        <f>BD36*VLOOKUP('Données projet'!$B$11,Paramètres!$A$1:$I$89,3,0)*VLOOKUP('Données projet'!$B$11,Paramètres!$A$1:$I$89,5,0)</f>
        <v>139.9632</v>
      </c>
      <c r="BF36" s="14">
        <f t="shared" si="37"/>
        <v>36.288575002787859</v>
      </c>
      <c r="BG36" s="22">
        <f t="shared" si="7"/>
        <v>306.97184146318881</v>
      </c>
      <c r="BH36" s="62">
        <f t="shared" si="8"/>
        <v>600.30517479652212</v>
      </c>
      <c r="BI36" s="62">
        <f ca="1">AVERAGE(OFFSET($BH$3,0,0,'Données projet'!$E$11+1,1))-AVERAGE(OFFSET($H$3,0,0,'Données projet'!$E$11+1,1))</f>
        <v>255.41017495879987</v>
      </c>
      <c r="BJ36" s="62">
        <f t="shared" si="38"/>
        <v>297.50513563712764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7.8626855457813818</v>
      </c>
      <c r="BQ36" s="23">
        <f>EXP(-LN(2)/25)*BQ35+(1-EXP(-LN(2)/25))/(LN(2)/25)*Calculateur!BL36*Calculateur!BN36*VLOOKUP('Données projet'!$B$11,Paramètres!$A$1:$I$89,3,0)*0.475*44/12</f>
        <v>25.645508091161592</v>
      </c>
      <c r="BR36" s="23">
        <f>EXP(-LN(2)/2)*BR35+(1-EXP(-LN(2)/2))/(LN(2)/2)*BL36*BO36*VLOOKUP('Données projet'!$B$11,Paramètres!$A$1:$I$89,3,0)*0.475*44/12</f>
        <v>8.6271238609697356</v>
      </c>
      <c r="BS36" s="24">
        <f t="shared" si="9"/>
        <v>42.135317497912709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30.2</v>
      </c>
      <c r="BY36" s="13">
        <f>IF('Données projet'!$A$114&gt;35,BY35+BX36-CG35,IF(A36&lt;'Données projet'!$A$114,$BV$205^A36,IF(A36='Données projet'!$A$114,'Données projet'!$B$114,BY35+BX36-CG35)))</f>
        <v>389.60000000000008</v>
      </c>
      <c r="BZ36" s="14">
        <f>BY36*VLOOKUP('Données projet'!$B$12,Paramètres!$A$1:$I$89,3,0)*VLOOKUP('Données projet'!$B$12,Paramètres!$A$1:$I$89,5,0)</f>
        <v>187.39760000000004</v>
      </c>
      <c r="CA36" s="14">
        <f t="shared" si="39"/>
        <v>46.964138159058535</v>
      </c>
      <c r="CB36" s="22">
        <f t="shared" si="10"/>
        <v>408.18002729369368</v>
      </c>
      <c r="CC36" s="62">
        <f t="shared" si="11"/>
        <v>701.51336062702694</v>
      </c>
      <c r="CD36" s="62">
        <f ca="1">AVERAGE(OFFSET($CC$3,0,0,'Données projet'!$E$12+1,1))-AVERAGE(OFFSET($H$3,0,0,'Données projet'!$E$12+1,1))</f>
        <v>409.97612835032567</v>
      </c>
      <c r="CE36" s="62">
        <f t="shared" si="40"/>
        <v>411.87876448092288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10.185544904069229</v>
      </c>
      <c r="CL36" s="23">
        <f>EXP(-LN(2)/25)*CL35+(1-EXP(-LN(2)/25))/(LN(2)/25)*Calculateur!CG36*Calculateur!CI36*VLOOKUP('Données projet'!$B$12,Paramètres!$A$1:$I$89,3,0)*0.475*44/12</f>
        <v>25.055490512736029</v>
      </c>
      <c r="CM36" s="23">
        <f>EXP(-LN(2)/2)*CM35+(1-EXP(-LN(2)/2))/(LN(2)/2)*CG36*CJ36*VLOOKUP('Données projet'!$B$12,Paramètres!$A$1:$I$89,3,0)*0.475*44/12</f>
        <v>11.990231397728024</v>
      </c>
      <c r="CN36" s="24">
        <f t="shared" si="12"/>
        <v>47.231266814533285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26.3</v>
      </c>
      <c r="CT36" s="13">
        <f>IF('Données projet'!$A$140&gt;35,CT35+CS36-DB35,IF(A36&lt;'Données projet'!$A$140,$CQ$205^A36,IF(A36='Données projet'!$A$140,'Données projet'!$B$140,CT35+CS36-DB35)))</f>
        <v>352.90000000000015</v>
      </c>
      <c r="CU36" s="18">
        <f>CT36*VLOOKUP('Données projet'!$B$13,Paramètres!$A$1:$I$89,3,0)*VLOOKUP('Données projet'!$B$13,Paramètres!$A$1:$I$89,5,0)</f>
        <v>211.03420000000011</v>
      </c>
      <c r="CV36" s="14">
        <f t="shared" si="41"/>
        <v>52.161519760786973</v>
      </c>
      <c r="CW36" s="22">
        <f t="shared" si="13"/>
        <v>458.39921191670413</v>
      </c>
      <c r="CX36" s="62">
        <f t="shared" si="14"/>
        <v>751.73254525003745</v>
      </c>
      <c r="CY36" s="62">
        <f ca="1">AVERAGE(OFFSET($CX$3,0,0,'Données projet'!$E$13+1,1))-AVERAGE(OFFSET($H$3,0,0,'Données projet'!$E$13+1,1))</f>
        <v>463.3255103386889</v>
      </c>
      <c r="CZ36" s="62">
        <f t="shared" si="42"/>
        <v>474.73210558736127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4.7094210300253092</v>
      </c>
      <c r="DG36" s="23">
        <f>EXP(-LN(2)/25)*DG35+(1-EXP(-LN(2)/25))/(LN(2)/25)*Calculateur!DB36*Calculateur!DD36*VLOOKUP('Données projet'!$B$13,Paramètres!$A$1:$I$89,3,0)*0.475*44/12</f>
        <v>31.895688859227576</v>
      </c>
      <c r="DH36" s="23">
        <f>EXP(-LN(2)/2)*DH35+(1-EXP(-LN(2)/2))/(LN(2)/2)*DB36*DE36*VLOOKUP('Données projet'!$B$13,Paramètres!$A$1:$I$89,3,0)*0.475*44/12</f>
        <v>15.421445752878421</v>
      </c>
      <c r="DI36" s="24">
        <f t="shared" si="15"/>
        <v>52.026555642131306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10.000000000000004</v>
      </c>
      <c r="DO36" s="13">
        <f>IF('Données projet'!$A$166&gt;35,DO35+DN36-DW35,IF(A36&lt;'Données projet'!$A$166,$DL$205^A36,IF(A36='Données projet'!$A$166,'Données projet'!$B$166,DO35+DN36-DW35)))</f>
        <v>221.59999999999988</v>
      </c>
      <c r="DP36" s="18">
        <f>DO36*VLOOKUP('Données projet'!$B$14,Paramètres!$A$1:$I$89,3,0)*VLOOKUP('Données projet'!$B$14,Paramètres!$A$1:$I$89,5,0)</f>
        <v>103.70879999999994</v>
      </c>
      <c r="DQ36" s="14">
        <f t="shared" si="43"/>
        <v>27.84368661708951</v>
      </c>
      <c r="DR36" s="22">
        <f t="shared" si="16"/>
        <v>229.12058085809744</v>
      </c>
      <c r="DS36" s="62">
        <f t="shared" si="17"/>
        <v>522.45391419143073</v>
      </c>
      <c r="DT36" s="62">
        <f ca="1">AVERAGE(OFFSET($DS$3,0,0,'Données projet'!$E$14+1,1))-AVERAGE(OFFSET($H$3,0,0,'Données projet'!$E$14+1,1))</f>
        <v>215.23235148064941</v>
      </c>
      <c r="DU36" s="62">
        <f t="shared" si="44"/>
        <v>184.07239726900434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2.9537722708817116</v>
      </c>
      <c r="EB36" s="23">
        <f>EXP(-LN(2)/25)*EB35+(1-EXP(-LN(2)/25))/(LN(2)/25)*Calculateur!DW36*Calculateur!DY36*VLOOKUP('Données projet'!$B$14,Paramètres!$A$1:$I$89,3,0)*0.475*44/12</f>
        <v>7.2285012884684798</v>
      </c>
      <c r="EC36" s="23">
        <f>EXP(-LN(2)/2)*EC35+(1-EXP(-LN(2)/2))/(LN(2)/2)*DW36*DZ36*VLOOKUP('Données projet'!$B$14,Paramètres!$A$1:$I$89,3,0)*0.475*44/12</f>
        <v>3.4761993315200876</v>
      </c>
      <c r="ED36" s="24">
        <f t="shared" si="18"/>
        <v>13.658472890870279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362.30682582761347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29.2</v>
      </c>
      <c r="N37" s="14">
        <f>IF('Données projet'!$A$36&gt;35,N36+M37-V36,IF(A37&lt;'Données projet'!$A$36,$K$205^A37,IF(A37='Données projet'!$A$36,'Données projet'!$B$36,N36+M37-V36)))</f>
        <v>399.80000000000013</v>
      </c>
      <c r="O37" s="14">
        <f>N37*VLOOKUP('Données projet'!$B$9,Paramètres!$A$1:$I$89,3,0)*VLOOKUP('Données projet'!$B$9,Paramètres!$A$1:$I$89,5,0)</f>
        <v>223.48820000000006</v>
      </c>
      <c r="P37" s="14">
        <f t="shared" si="33"/>
        <v>54.872333244813134</v>
      </c>
      <c r="Q37" s="22">
        <f t="shared" si="53"/>
        <v>484.8112620680497</v>
      </c>
      <c r="R37" s="62">
        <f t="shared" si="0"/>
        <v>778.14459540138296</v>
      </c>
      <c r="S37" s="62">
        <f ca="1">AVERAGE(OFFSET($R$3,0,0,'Données projet'!$E$9+1,1))-AVERAGE(OFFSET($H$3,0,0,'Données projet'!$E$9+1,1))</f>
        <v>460.40450534123659</v>
      </c>
      <c r="T37" s="62">
        <f t="shared" si="34"/>
        <v>467.77477728479198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11.60513354016171</v>
      </c>
      <c r="AA37" s="23">
        <f>EXP(-LN(2)/25)*AA36+(1-EXP(-LN(2)/25))/(LN(2)/25)*Calculateur!V37*Calculateur!X37*VLOOKUP('Données projet'!$B$9,Paramètres!$A$1:$I$89,3,0)*0.475*44/12</f>
        <v>39.620164460393532</v>
      </c>
      <c r="AB37" s="23">
        <f>EXP(-LN(2)/2)*AB36+(1-EXP(-LN(2)/2))/(LN(2)/2)*V37*Y37*VLOOKUP('Données projet'!$B$9,Paramètres!$A$1:$I$89,3,0)*0.475*44/12</f>
        <v>10.055976877539701</v>
      </c>
      <c r="AC37" s="24">
        <f t="shared" si="3"/>
        <v>61.281274878094941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11</v>
      </c>
      <c r="AI37" s="14">
        <f>IF('Données projet'!$A$62&gt;35,AI36+AH37-AQ36,IF(A37&lt;'Données projet'!$A$62,$AF$205^A37,IF(A37='Données projet'!$A$62,'Données projet'!$B$62,AI36+AH37-AQ36)))</f>
        <v>137</v>
      </c>
      <c r="AJ37" s="14">
        <f>AI37*VLOOKUP('Données projet'!$B$10,Paramètres!$A$1:$I$89,3,0)*VLOOKUP('Données projet'!$B$10,Paramètres!$A$1:$I$89,5,0)</f>
        <v>123.9576</v>
      </c>
      <c r="AK37" s="14">
        <f t="shared" si="35"/>
        <v>32.59629414926458</v>
      </c>
      <c r="AL37" s="22">
        <f t="shared" si="4"/>
        <v>272.6646989766358</v>
      </c>
      <c r="AM37" s="62">
        <f t="shared" si="5"/>
        <v>565.99803230996918</v>
      </c>
      <c r="AN37" s="62">
        <f ca="1">AVERAGE(OFFSET($AM$3,0,0,'Données projet'!$E$10+1,1))-AVERAGE(OFFSET($H$3,0,0,'Données projet'!$E$10+1,1))</f>
        <v>321.03881567735544</v>
      </c>
      <c r="AO37" s="62">
        <f t="shared" si="36"/>
        <v>234.87694492493506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2.2251165134855517</v>
      </c>
      <c r="AV37" s="23">
        <f>EXP(-LN(2)/25)*AV36+(1-EXP(-LN(2)/25))/(LN(2)/25)*Calculateur!AQ37*Calculateur!AS37*VLOOKUP('Données projet'!$B$10,Paramètres!$A$1:$I$89,3,0)*0.475*44/12</f>
        <v>12.132522867396986</v>
      </c>
      <c r="AW37" s="23">
        <f>EXP(-LN(2)/2)*AW36+(1-EXP(-LN(2)/2))/(LN(2)/2)*AQ37*AT37*VLOOKUP('Données projet'!$B$10,Paramètres!$A$1:$I$89,3,0)*0.475*44/12</f>
        <v>5.4350210846699625</v>
      </c>
      <c r="AX37" s="23">
        <f t="shared" si="6"/>
        <v>19.792660465552501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15.1</v>
      </c>
      <c r="BD37" s="13">
        <f>IF('Données projet'!$A$88&gt;35,BD36+BC37-BL36,IF(A37&lt;'Données projet'!$A$88,$BA$205^A37,IF(A37='Données projet'!$A$88,'Données projet'!$B$88,BD36+BC37-BL36)))</f>
        <v>239.4</v>
      </c>
      <c r="BE37" s="14">
        <f>BD37*VLOOKUP('Données projet'!$B$11,Paramètres!$A$1:$I$89,3,0)*VLOOKUP('Données projet'!$B$11,Paramètres!$A$1:$I$89,5,0)</f>
        <v>149.38559999999998</v>
      </c>
      <c r="BF37" s="14">
        <f t="shared" si="37"/>
        <v>38.438927680599591</v>
      </c>
      <c r="BG37" s="22">
        <f t="shared" si="7"/>
        <v>327.1277190437109</v>
      </c>
      <c r="BH37" s="62">
        <f t="shared" si="8"/>
        <v>620.46105237704421</v>
      </c>
      <c r="BI37" s="62">
        <f ca="1">AVERAGE(OFFSET($BH$3,0,0,'Données projet'!$E$11+1,1))-AVERAGE(OFFSET($H$3,0,0,'Données projet'!$E$11+1,1))</f>
        <v>255.41017495879987</v>
      </c>
      <c r="BJ37" s="62">
        <f t="shared" si="38"/>
        <v>297.50513563712764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7.7085030779932495</v>
      </c>
      <c r="BQ37" s="23">
        <f>EXP(-LN(2)/25)*BQ36+(1-EXP(-LN(2)/25))/(LN(2)/25)*Calculateur!BL37*Calculateur!BN37*VLOOKUP('Données projet'!$B$11,Paramètres!$A$1:$I$89,3,0)*0.475*44/12</f>
        <v>24.944230323770121</v>
      </c>
      <c r="BR37" s="23">
        <f>EXP(-LN(2)/2)*BR36+(1-EXP(-LN(2)/2))/(LN(2)/2)*BL37*BO37*VLOOKUP('Données projet'!$B$11,Paramètres!$A$1:$I$89,3,0)*0.475*44/12</f>
        <v>6.10029778422797</v>
      </c>
      <c r="BS37" s="24">
        <f t="shared" si="9"/>
        <v>38.75303118599134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30.2</v>
      </c>
      <c r="BY37" s="13">
        <f>IF('Données projet'!$A$114&gt;35,BY36+BX37-CG36,IF(A37&lt;'Données projet'!$A$114,$BV$205^A37,IF(A37='Données projet'!$A$114,'Données projet'!$B$114,BY36+BX37-CG36)))</f>
        <v>419.80000000000007</v>
      </c>
      <c r="BZ37" s="14">
        <f>BY37*VLOOKUP('Données projet'!$B$12,Paramètres!$A$1:$I$89,3,0)*VLOOKUP('Données projet'!$B$12,Paramètres!$A$1:$I$89,5,0)</f>
        <v>201.92380000000003</v>
      </c>
      <c r="CA37" s="14">
        <f t="shared" si="39"/>
        <v>50.166724890271929</v>
      </c>
      <c r="CB37" s="22">
        <f t="shared" si="10"/>
        <v>439.05766418389027</v>
      </c>
      <c r="CC37" s="62">
        <f t="shared" si="11"/>
        <v>732.39099751722358</v>
      </c>
      <c r="CD37" s="62">
        <f ca="1">AVERAGE(OFFSET($CC$3,0,0,'Données projet'!$E$12+1,1))-AVERAGE(OFFSET($H$3,0,0,'Données projet'!$E$12+1,1))</f>
        <v>409.97612835032567</v>
      </c>
      <c r="CE37" s="62">
        <f t="shared" si="40"/>
        <v>411.87876448092288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9.9858125810693821</v>
      </c>
      <c r="CL37" s="23">
        <f>EXP(-LN(2)/25)*CL36+(1-EXP(-LN(2)/25))/(LN(2)/25)*Calculateur!CG37*Calculateur!CI37*VLOOKUP('Données projet'!$B$12,Paramètres!$A$1:$I$89,3,0)*0.475*44/12</f>
        <v>24.370346807054283</v>
      </c>
      <c r="CM37" s="23">
        <f>EXP(-LN(2)/2)*CM36+(1-EXP(-LN(2)/2))/(LN(2)/2)*CG37*CJ37*VLOOKUP('Données projet'!$B$12,Paramètres!$A$1:$I$89,3,0)*0.475*44/12</f>
        <v>8.4783739293293419</v>
      </c>
      <c r="CN37" s="24">
        <f t="shared" si="12"/>
        <v>42.834533317453008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26.3</v>
      </c>
      <c r="CT37" s="13">
        <f>IF('Données projet'!$A$140&gt;35,CT36+CS37-DB36,IF(A37&lt;'Données projet'!$A$140,$CQ$205^A37,IF(A37='Données projet'!$A$140,'Données projet'!$B$140,CT36+CS37-DB36)))</f>
        <v>379.20000000000016</v>
      </c>
      <c r="CU37" s="18">
        <f>CT37*VLOOKUP('Données projet'!$B$13,Paramètres!$A$1:$I$89,3,0)*VLOOKUP('Données projet'!$B$13,Paramètres!$A$1:$I$89,5,0)</f>
        <v>226.7616000000001</v>
      </c>
      <c r="CV37" s="14">
        <f t="shared" si="41"/>
        <v>55.581886910575967</v>
      </c>
      <c r="CW37" s="22">
        <f t="shared" si="13"/>
        <v>491.74823970258666</v>
      </c>
      <c r="CX37" s="62">
        <f t="shared" si="14"/>
        <v>785.08157303591997</v>
      </c>
      <c r="CY37" s="62">
        <f ca="1">AVERAGE(OFFSET($CX$3,0,0,'Données projet'!$E$13+1,1))-AVERAGE(OFFSET($H$3,0,0,'Données projet'!$E$13+1,1))</f>
        <v>463.3255103386889</v>
      </c>
      <c r="CZ37" s="62">
        <f t="shared" si="42"/>
        <v>474.73210558736127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4.6170721560897094</v>
      </c>
      <c r="DG37" s="23">
        <f>EXP(-LN(2)/25)*DG36+(1-EXP(-LN(2)/25))/(LN(2)/25)*Calculateur!DB37*Calculateur!DD37*VLOOKUP('Données projet'!$B$13,Paramètres!$A$1:$I$89,3,0)*0.475*44/12</f>
        <v>31.023499570050621</v>
      </c>
      <c r="DH37" s="23">
        <f>EXP(-LN(2)/2)*DH36+(1-EXP(-LN(2)/2))/(LN(2)/2)*DB37*DE37*VLOOKUP('Données projet'!$B$13,Paramètres!$A$1:$I$89,3,0)*0.475*44/12</f>
        <v>10.904608867560816</v>
      </c>
      <c r="DI37" s="24">
        <f t="shared" si="15"/>
        <v>46.545180593701147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10.000000000000004</v>
      </c>
      <c r="DO37" s="13">
        <f>IF('Données projet'!$A$166&gt;35,DO36+DN37-DW36,IF(A37&lt;'Données projet'!$A$166,$DL$205^A37,IF(A37='Données projet'!$A$166,'Données projet'!$B$166,DO36+DN37-DW36)))</f>
        <v>231.59999999999988</v>
      </c>
      <c r="DP37" s="18">
        <f>DO37*VLOOKUP('Données projet'!$B$14,Paramètres!$A$1:$I$89,3,0)*VLOOKUP('Données projet'!$B$14,Paramètres!$A$1:$I$89,5,0)</f>
        <v>108.38879999999993</v>
      </c>
      <c r="DQ37" s="14">
        <f t="shared" si="43"/>
        <v>28.951047900249165</v>
      </c>
      <c r="DR37" s="22">
        <f t="shared" si="16"/>
        <v>239.20023509293381</v>
      </c>
      <c r="DS37" s="62">
        <f t="shared" si="17"/>
        <v>532.53356842626715</v>
      </c>
      <c r="DT37" s="62">
        <f ca="1">AVERAGE(OFFSET($DS$3,0,0,'Données projet'!$E$14+1,1))-AVERAGE(OFFSET($H$3,0,0,'Données projet'!$E$14+1,1))</f>
        <v>215.23235148064941</v>
      </c>
      <c r="DU37" s="62">
        <f t="shared" si="44"/>
        <v>184.07239726900434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2.895850598272911</v>
      </c>
      <c r="EB37" s="23">
        <f>EXP(-LN(2)/25)*EB36+(1-EXP(-LN(2)/25))/(LN(2)/25)*Calculateur!DW37*Calculateur!DY37*VLOOKUP('Données projet'!$B$14,Paramètres!$A$1:$I$89,3,0)*0.475*44/12</f>
        <v>7.0308375406049475</v>
      </c>
      <c r="EC37" s="23">
        <f>EXP(-LN(2)/2)*EC36+(1-EXP(-LN(2)/2))/(LN(2)/2)*DW37*DZ37*VLOOKUP('Données projet'!$B$14,Paramètres!$A$1:$I$89,3,0)*0.475*44/12</f>
        <v>2.4580441200739975</v>
      </c>
      <c r="ED37" s="24">
        <f t="shared" si="18"/>
        <v>12.384732258951857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364.27887459963966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29.2</v>
      </c>
      <c r="N38" s="14">
        <f>IF('Données projet'!$A$36&gt;35,N37+M38-V37,IF(A38&lt;'Données projet'!$A$36,$K$205^A38,IF(A38='Données projet'!$A$36,'Données projet'!$B$36,N37+M38-V37)))</f>
        <v>429.00000000000011</v>
      </c>
      <c r="O38" s="14">
        <f>N38*VLOOKUP('Données projet'!$B$9,Paramètres!$A$1:$I$89,3,0)*VLOOKUP('Données projet'!$B$9,Paramètres!$A$1:$I$89,5,0)</f>
        <v>239.81100000000009</v>
      </c>
      <c r="P38" s="14">
        <f t="shared" si="33"/>
        <v>58.398864347229853</v>
      </c>
      <c r="Q38" s="22">
        <f t="shared" si="53"/>
        <v>519.38218040475874</v>
      </c>
      <c r="R38" s="62">
        <f t="shared" si="0"/>
        <v>812.71551373809211</v>
      </c>
      <c r="S38" s="62">
        <f ca="1">AVERAGE(OFFSET($R$3,0,0,'Données projet'!$E$9+1,1))-AVERAGE(OFFSET($H$3,0,0,'Données projet'!$E$9+1,1))</f>
        <v>460.40450534123659</v>
      </c>
      <c r="T38" s="62">
        <f t="shared" si="34"/>
        <v>467.77477728479198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11.377563949871661</v>
      </c>
      <c r="AA38" s="23">
        <f>EXP(-LN(2)/25)*AA37+(1-EXP(-LN(2)/25))/(LN(2)/25)*Calculateur!V38*Calculateur!X38*VLOOKUP('Données projet'!$B$9,Paramètres!$A$1:$I$89,3,0)*0.475*44/12</f>
        <v>38.536748979690174</v>
      </c>
      <c r="AB38" s="23">
        <f>EXP(-LN(2)/2)*AB37+(1-EXP(-LN(2)/2))/(LN(2)/2)*V38*Y38*VLOOKUP('Données projet'!$B$9,Paramètres!$A$1:$I$89,3,0)*0.475*44/12</f>
        <v>7.1106494415634467</v>
      </c>
      <c r="AC38" s="24">
        <f t="shared" si="3"/>
        <v>57.024962371125277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11</v>
      </c>
      <c r="AI38" s="14">
        <f>IF('Données projet'!$A$62&gt;35,AI37+AH38-AQ37,IF(A38&lt;'Données projet'!$A$62,$AF$205^A38,IF(A38='Données projet'!$A$62,'Données projet'!$B$62,AI37+AH38-AQ37)))</f>
        <v>148</v>
      </c>
      <c r="AJ38" s="14">
        <f>AI38*VLOOKUP('Données projet'!$B$10,Paramètres!$A$1:$I$89,3,0)*VLOOKUP('Données projet'!$B$10,Paramètres!$A$1:$I$89,5,0)</f>
        <v>133.91039999999998</v>
      </c>
      <c r="AK38" s="14">
        <f t="shared" si="35"/>
        <v>34.898373535125089</v>
      </c>
      <c r="AL38" s="22">
        <f t="shared" si="4"/>
        <v>294.00861390700948</v>
      </c>
      <c r="AM38" s="62">
        <f t="shared" si="5"/>
        <v>587.34194724034273</v>
      </c>
      <c r="AN38" s="62">
        <f ca="1">AVERAGE(OFFSET($AM$3,0,0,'Données projet'!$E$10+1,1))-AVERAGE(OFFSET($H$3,0,0,'Données projet'!$E$10+1,1))</f>
        <v>321.03881567735544</v>
      </c>
      <c r="AO38" s="62">
        <f t="shared" si="36"/>
        <v>234.87694492493506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2.1814833358431622</v>
      </c>
      <c r="AV38" s="23">
        <f>EXP(-LN(2)/25)*AV37+(1-EXP(-LN(2)/25))/(LN(2)/25)*Calculateur!AQ38*Calculateur!AS38*VLOOKUP('Données projet'!$B$10,Paramètres!$A$1:$I$89,3,0)*0.475*44/12</f>
        <v>11.800758391566367</v>
      </c>
      <c r="AW38" s="23">
        <f>EXP(-LN(2)/2)*AW37+(1-EXP(-LN(2)/2))/(LN(2)/2)*AQ38*AT38*VLOOKUP('Données projet'!$B$10,Paramètres!$A$1:$I$89,3,0)*0.475*44/12</f>
        <v>3.8431402648619954</v>
      </c>
      <c r="AX38" s="23">
        <f t="shared" si="6"/>
        <v>17.825381992271524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15.1</v>
      </c>
      <c r="BD38" s="13">
        <f>IF('Données projet'!$A$88&gt;35,BD37+BC38-BL37,IF(A38&lt;'Données projet'!$A$88,$BA$205^A38,IF(A38='Données projet'!$A$88,'Données projet'!$B$88,BD37+BC38-BL37)))</f>
        <v>254.5</v>
      </c>
      <c r="BE38" s="14">
        <f>BD38*VLOOKUP('Données projet'!$B$11,Paramètres!$A$1:$I$89,3,0)*VLOOKUP('Données projet'!$B$11,Paramètres!$A$1:$I$89,5,0)</f>
        <v>158.80799999999999</v>
      </c>
      <c r="BF38" s="14">
        <f t="shared" si="37"/>
        <v>40.573539580413687</v>
      </c>
      <c r="BG38" s="22">
        <f t="shared" si="7"/>
        <v>347.25618143588719</v>
      </c>
      <c r="BH38" s="62">
        <f t="shared" si="8"/>
        <v>640.5895147692205</v>
      </c>
      <c r="BI38" s="62">
        <f ca="1">AVERAGE(OFFSET($BH$3,0,0,'Données projet'!$E$11+1,1))-AVERAGE(OFFSET($H$3,0,0,'Données projet'!$E$11+1,1))</f>
        <v>255.41017495879987</v>
      </c>
      <c r="BJ38" s="62">
        <f t="shared" si="38"/>
        <v>297.50513563712764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7.5573440343564231</v>
      </c>
      <c r="BQ38" s="23">
        <f>EXP(-LN(2)/25)*BQ37+(1-EXP(-LN(2)/25))/(LN(2)/25)*Calculateur!BL38*Calculateur!BN38*VLOOKUP('Données projet'!$B$11,Paramètres!$A$1:$I$89,3,0)*0.475*44/12</f>
        <v>24.262129033806566</v>
      </c>
      <c r="BR38" s="23">
        <f>EXP(-LN(2)/2)*BR37+(1-EXP(-LN(2)/2))/(LN(2)/2)*BL38*BO38*VLOOKUP('Données projet'!$B$11,Paramètres!$A$1:$I$89,3,0)*0.475*44/12</f>
        <v>4.3135619304848678</v>
      </c>
      <c r="BS38" s="24">
        <f t="shared" si="9"/>
        <v>36.133034998647858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30.2</v>
      </c>
      <c r="BY38" s="13">
        <f>IF('Données projet'!$A$114&gt;35,BY37+BX38-CG37,IF(A38&lt;'Données projet'!$A$114,$BV$205^A38,IF(A38='Données projet'!$A$114,'Données projet'!$B$114,BY37+BX38-CG37)))</f>
        <v>450.00000000000006</v>
      </c>
      <c r="BZ38" s="14">
        <f>BY38*VLOOKUP('Données projet'!$B$12,Paramètres!$A$1:$I$89,3,0)*VLOOKUP('Données projet'!$B$12,Paramètres!$A$1:$I$89,5,0)</f>
        <v>216.45000000000005</v>
      </c>
      <c r="CA38" s="14">
        <f t="shared" si="39"/>
        <v>53.342581757607057</v>
      </c>
      <c r="CB38" s="22">
        <f t="shared" si="10"/>
        <v>469.88874656116565</v>
      </c>
      <c r="CC38" s="62">
        <f t="shared" si="11"/>
        <v>763.22207989449896</v>
      </c>
      <c r="CD38" s="62">
        <f ca="1">AVERAGE(OFFSET($CC$3,0,0,'Données projet'!$E$12+1,1))-AVERAGE(OFFSET($H$3,0,0,'Données projet'!$E$12+1,1))</f>
        <v>409.97612835032567</v>
      </c>
      <c r="CE38" s="62">
        <f t="shared" si="40"/>
        <v>411.87876448092288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9.7899968870988747</v>
      </c>
      <c r="CL38" s="23">
        <f>EXP(-LN(2)/25)*CL37+(1-EXP(-LN(2)/25))/(LN(2)/25)*Calculateur!CG38*Calculateur!CI38*VLOOKUP('Données projet'!$B$12,Paramètres!$A$1:$I$89,3,0)*0.475*44/12</f>
        <v>23.703938392034544</v>
      </c>
      <c r="CM38" s="23">
        <f>EXP(-LN(2)/2)*CM37+(1-EXP(-LN(2)/2))/(LN(2)/2)*CG38*CJ38*VLOOKUP('Données projet'!$B$12,Paramètres!$A$1:$I$89,3,0)*0.475*44/12</f>
        <v>5.9951156988640122</v>
      </c>
      <c r="CN38" s="24">
        <f t="shared" si="12"/>
        <v>39.489050977997429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26.3</v>
      </c>
      <c r="CT38" s="13">
        <f>IF('Données projet'!$A$140&gt;35,CT37+CS38-DB37,IF(A38&lt;'Données projet'!$A$140,$CQ$205^A38,IF(A38='Données projet'!$A$140,'Données projet'!$B$140,CT37+CS38-DB37)))</f>
        <v>405.50000000000017</v>
      </c>
      <c r="CU38" s="18">
        <f>CT38*VLOOKUP('Données projet'!$B$13,Paramètres!$A$1:$I$89,3,0)*VLOOKUP('Données projet'!$B$13,Paramètres!$A$1:$I$89,5,0)</f>
        <v>242.48900000000012</v>
      </c>
      <c r="CV38" s="14">
        <f t="shared" si="41"/>
        <v>58.974728966976322</v>
      </c>
      <c r="CW38" s="22">
        <f t="shared" si="13"/>
        <v>525.0493279508172</v>
      </c>
      <c r="CX38" s="62">
        <f t="shared" si="14"/>
        <v>818.38266128415057</v>
      </c>
      <c r="CY38" s="62">
        <f ca="1">AVERAGE(OFFSET($CX$3,0,0,'Données projet'!$E$13+1,1))-AVERAGE(OFFSET($H$3,0,0,'Données projet'!$E$13+1,1))</f>
        <v>463.3255103386889</v>
      </c>
      <c r="CZ38" s="62">
        <f t="shared" si="42"/>
        <v>474.73210558736127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4.5265341872447351</v>
      </c>
      <c r="DG38" s="23">
        <f>EXP(-LN(2)/25)*DG37+(1-EXP(-LN(2)/25))/(LN(2)/25)*Calculateur!DB38*Calculateur!DD38*VLOOKUP('Données projet'!$B$13,Paramètres!$A$1:$I$89,3,0)*0.475*44/12</f>
        <v>30.175160342852649</v>
      </c>
      <c r="DH38" s="23">
        <f>EXP(-LN(2)/2)*DH37+(1-EXP(-LN(2)/2))/(LN(2)/2)*DB38*DE38*VLOOKUP('Données projet'!$B$13,Paramètres!$A$1:$I$89,3,0)*0.475*44/12</f>
        <v>7.7107228764392124</v>
      </c>
      <c r="DI38" s="24">
        <f t="shared" si="15"/>
        <v>42.412417406536598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10.000000000000004</v>
      </c>
      <c r="DO38" s="13">
        <f>IF('Données projet'!$A$166&gt;35,DO37+DN38-DW37,IF(A38&lt;'Données projet'!$A$166,$DL$205^A38,IF(A38='Données projet'!$A$166,'Données projet'!$B$166,DO37+DN38-DW37)))</f>
        <v>241.59999999999988</v>
      </c>
      <c r="DP38" s="18">
        <f>DO38*VLOOKUP('Données projet'!$B$14,Paramètres!$A$1:$I$89,3,0)*VLOOKUP('Données projet'!$B$14,Paramètres!$A$1:$I$89,5,0)</f>
        <v>113.06879999999995</v>
      </c>
      <c r="DQ38" s="14">
        <f t="shared" si="43"/>
        <v>30.052855829090237</v>
      </c>
      <c r="DR38" s="22">
        <f t="shared" si="16"/>
        <v>249.27021723566543</v>
      </c>
      <c r="DS38" s="62">
        <f t="shared" si="17"/>
        <v>542.6035505689988</v>
      </c>
      <c r="DT38" s="62">
        <f ca="1">AVERAGE(OFFSET($DS$3,0,0,'Données projet'!$E$14+1,1))-AVERAGE(OFFSET($H$3,0,0,'Données projet'!$E$14+1,1))</f>
        <v>215.23235148064941</v>
      </c>
      <c r="DU38" s="62">
        <f t="shared" si="44"/>
        <v>184.07239726900434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2.8390647343352371</v>
      </c>
      <c r="EB38" s="23">
        <f>EXP(-LN(2)/25)*EB37+(1-EXP(-LN(2)/25))/(LN(2)/25)*Calculateur!DW38*Calculateur!DY38*VLOOKUP('Données projet'!$B$14,Paramètres!$A$1:$I$89,3,0)*0.475*44/12</f>
        <v>6.8385789183214278</v>
      </c>
      <c r="EC38" s="23">
        <f>EXP(-LN(2)/2)*EC37+(1-EXP(-LN(2)/2))/(LN(2)/2)*DW38*DZ38*VLOOKUP('Données projet'!$B$14,Paramètres!$A$1:$I$89,3,0)*0.475*44/12</f>
        <v>1.738099665760044</v>
      </c>
      <c r="ED38" s="24">
        <f t="shared" si="18"/>
        <v>11.415743318416709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366.24951753790458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29.2</v>
      </c>
      <c r="N39" s="14">
        <f>IF('Données projet'!$A$36&gt;35,N38+M39-V38,IF(A39&lt;'Données projet'!$A$36,$K$205^A39,IF(A39='Données projet'!$A$36,'Données projet'!$B$36,N38+M39-V38)))</f>
        <v>458.2000000000001</v>
      </c>
      <c r="O39" s="14">
        <f>N39*VLOOKUP('Données projet'!$B$9,Paramètres!$A$1:$I$89,3,0)*VLOOKUP('Données projet'!$B$9,Paramètres!$A$1:$I$89,5,0)</f>
        <v>256.13380000000006</v>
      </c>
      <c r="P39" s="14">
        <f t="shared" si="33"/>
        <v>61.897543155419733</v>
      </c>
      <c r="Q39" s="22">
        <f t="shared" si="53"/>
        <v>553.90458932902277</v>
      </c>
      <c r="R39" s="62">
        <f t="shared" si="0"/>
        <v>847.23792266235614</v>
      </c>
      <c r="S39" s="62">
        <f ca="1">AVERAGE(OFFSET($R$3,0,0,'Données projet'!$E$9+1,1))-AVERAGE(OFFSET($H$3,0,0,'Données projet'!$E$9+1,1))</f>
        <v>460.40450534123659</v>
      </c>
      <c r="T39" s="62">
        <f t="shared" si="34"/>
        <v>467.77477728479198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11.154456860443455</v>
      </c>
      <c r="AA39" s="23">
        <f>EXP(-LN(2)/25)*AA38+(1-EXP(-LN(2)/25))/(LN(2)/25)*Calculateur!V39*Calculateur!X39*VLOOKUP('Données projet'!$B$9,Paramètres!$A$1:$I$89,3,0)*0.475*44/12</f>
        <v>37.482959552280995</v>
      </c>
      <c r="AB39" s="23">
        <f>EXP(-LN(2)/2)*AB38+(1-EXP(-LN(2)/2))/(LN(2)/2)*V39*Y39*VLOOKUP('Données projet'!$B$9,Paramètres!$A$1:$I$89,3,0)*0.475*44/12</f>
        <v>5.0279884387698504</v>
      </c>
      <c r="AC39" s="24">
        <f t="shared" si="3"/>
        <v>53.665404851494301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</v>
      </c>
      <c r="AI39" s="14">
        <f>IF('Données projet'!$A$62&gt;35,AI38+AH39-AQ38,IF(A39&lt;'Données projet'!$A$62,$AF$205^A39,IF(A39='Données projet'!$A$62,'Données projet'!$B$62,AI38+AH39-AQ38)))</f>
        <v>159</v>
      </c>
      <c r="AJ39" s="14">
        <f>AI39*VLOOKUP('Données projet'!$B$10,Paramètres!$A$1:$I$89,3,0)*VLOOKUP('Données projet'!$B$10,Paramètres!$A$1:$I$89,5,0)</f>
        <v>143.86320000000001</v>
      </c>
      <c r="AK39" s="14">
        <f t="shared" si="35"/>
        <v>37.180603445028773</v>
      </c>
      <c r="AL39" s="22">
        <f t="shared" si="4"/>
        <v>315.31795766675845</v>
      </c>
      <c r="AM39" s="62">
        <f t="shared" si="5"/>
        <v>608.65129100009176</v>
      </c>
      <c r="AN39" s="62">
        <f ca="1">AVERAGE(OFFSET($AM$3,0,0,'Données projet'!$E$10+1,1))-AVERAGE(OFFSET($H$3,0,0,'Données projet'!$E$10+1,1))</f>
        <v>321.03881567735544</v>
      </c>
      <c r="AO39" s="62">
        <f t="shared" si="36"/>
        <v>234.87694492493506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2.1387057782007295</v>
      </c>
      <c r="AV39" s="23">
        <f>EXP(-LN(2)/25)*AV38+(1-EXP(-LN(2)/25))/(LN(2)/25)*Calculateur!AQ39*Calculateur!AS39*VLOOKUP('Données projet'!$B$10,Paramètres!$A$1:$I$89,3,0)*0.475*44/12</f>
        <v>11.478066032774072</v>
      </c>
      <c r="AW39" s="23">
        <f>EXP(-LN(2)/2)*AW38+(1-EXP(-LN(2)/2))/(LN(2)/2)*AQ39*AT39*VLOOKUP('Données projet'!$B$10,Paramètres!$A$1:$I$89,3,0)*0.475*44/12</f>
        <v>2.7175105423349817</v>
      </c>
      <c r="AX39" s="23">
        <f t="shared" si="6"/>
        <v>16.334282353309781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15.1</v>
      </c>
      <c r="BD39" s="13">
        <f>IF('Données projet'!$A$88&gt;35,BD38+BC39-BL38,IF(A39&lt;'Données projet'!$A$88,$BA$205^A39,IF(A39='Données projet'!$A$88,'Données projet'!$B$88,BD38+BC39-BL38)))</f>
        <v>269.60000000000002</v>
      </c>
      <c r="BE39" s="14">
        <f>BD39*VLOOKUP('Données projet'!$B$11,Paramètres!$A$1:$I$89,3,0)*VLOOKUP('Données projet'!$B$11,Paramètres!$A$1:$I$89,5,0)</f>
        <v>168.23040000000003</v>
      </c>
      <c r="BF39" s="14">
        <f t="shared" si="37"/>
        <v>42.693451008292193</v>
      </c>
      <c r="BG39" s="22">
        <f t="shared" si="7"/>
        <v>367.3590405061089</v>
      </c>
      <c r="BH39" s="62">
        <f t="shared" si="8"/>
        <v>660.69237383944221</v>
      </c>
      <c r="BI39" s="62">
        <f ca="1">AVERAGE(OFFSET($BH$3,0,0,'Données projet'!$E$11+1,1))-AVERAGE(OFFSET($H$3,0,0,'Données projet'!$E$11+1,1))</f>
        <v>255.41017495879987</v>
      </c>
      <c r="BJ39" s="62">
        <f t="shared" si="38"/>
        <v>297.50513563712764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7.4091491273674022</v>
      </c>
      <c r="BQ39" s="23">
        <f>EXP(-LN(2)/25)*BQ38+(1-EXP(-LN(2)/25))/(LN(2)/25)*Calculateur!BL39*Calculateur!BN39*VLOOKUP('Données projet'!$B$11,Paramètres!$A$1:$I$89,3,0)*0.475*44/12</f>
        <v>23.598679839487211</v>
      </c>
      <c r="BR39" s="23">
        <f>EXP(-LN(2)/2)*BR38+(1-EXP(-LN(2)/2))/(LN(2)/2)*BL39*BO39*VLOOKUP('Données projet'!$B$11,Paramètres!$A$1:$I$89,3,0)*0.475*44/12</f>
        <v>3.050148892113985</v>
      </c>
      <c r="BS39" s="24">
        <f t="shared" si="9"/>
        <v>34.057977858968599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30.2</v>
      </c>
      <c r="BY39" s="13">
        <f>IF('Données projet'!$A$114&gt;35,BY38+BX39-CG38,IF(A39&lt;'Données projet'!$A$114,$BV$205^A39,IF(A39='Données projet'!$A$114,'Données projet'!$B$114,BY38+BX39-CG38)))</f>
        <v>480.20000000000005</v>
      </c>
      <c r="BZ39" s="14">
        <f>BY39*VLOOKUP('Données projet'!$B$12,Paramètres!$A$1:$I$89,3,0)*VLOOKUP('Données projet'!$B$12,Paramètres!$A$1:$I$89,5,0)</f>
        <v>230.97620000000001</v>
      </c>
      <c r="CA39" s="14">
        <f t="shared" si="39"/>
        <v>56.493706736344599</v>
      </c>
      <c r="CB39" s="22">
        <f t="shared" si="10"/>
        <v>500.67675423246686</v>
      </c>
      <c r="CC39" s="62">
        <f t="shared" si="11"/>
        <v>794.01008756580018</v>
      </c>
      <c r="CD39" s="62">
        <f ca="1">AVERAGE(OFFSET($CC$3,0,0,'Données projet'!$E$12+1,1))-AVERAGE(OFFSET($H$3,0,0,'Données projet'!$E$12+1,1))</f>
        <v>409.97612835032567</v>
      </c>
      <c r="CE39" s="62">
        <f t="shared" si="40"/>
        <v>411.87876448092288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9.59802101945135</v>
      </c>
      <c r="CL39" s="23">
        <f>EXP(-LN(2)/25)*CL38+(1-EXP(-LN(2)/25))/(LN(2)/25)*Calculateur!CG39*Calculateur!CI39*VLOOKUP('Données projet'!$B$12,Paramètres!$A$1:$I$89,3,0)*0.475*44/12</f>
        <v>23.055752950168415</v>
      </c>
      <c r="CM39" s="23">
        <f>EXP(-LN(2)/2)*CM38+(1-EXP(-LN(2)/2))/(LN(2)/2)*CG39*CJ39*VLOOKUP('Données projet'!$B$12,Paramètres!$A$1:$I$89,3,0)*0.475*44/12</f>
        <v>4.2391869646646709</v>
      </c>
      <c r="CN39" s="24">
        <f t="shared" si="12"/>
        <v>36.892960934284432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26.3</v>
      </c>
      <c r="CT39" s="13">
        <f>IF('Données projet'!$A$140&gt;35,CT38+CS39-DB38,IF(A39&lt;'Données projet'!$A$140,$CQ$205^A39,IF(A39='Données projet'!$A$140,'Données projet'!$B$140,CT38+CS39-DB38)))</f>
        <v>431.80000000000018</v>
      </c>
      <c r="CU39" s="18">
        <f>CT39*VLOOKUP('Données projet'!$B$13,Paramètres!$A$1:$I$89,3,0)*VLOOKUP('Données projet'!$B$13,Paramètres!$A$1:$I$89,5,0)</f>
        <v>258.21640000000014</v>
      </c>
      <c r="CV39" s="14">
        <f t="shared" si="41"/>
        <v>62.342034331964008</v>
      </c>
      <c r="CW39" s="22">
        <f t="shared" si="13"/>
        <v>558.30593979483751</v>
      </c>
      <c r="CX39" s="62">
        <f t="shared" si="14"/>
        <v>851.63927312817077</v>
      </c>
      <c r="CY39" s="62">
        <f ca="1">AVERAGE(OFFSET($CX$3,0,0,'Données projet'!$E$13+1,1))-AVERAGE(OFFSET($H$3,0,0,'Données projet'!$E$13+1,1))</f>
        <v>463.3255103386889</v>
      </c>
      <c r="CZ39" s="62">
        <f t="shared" si="42"/>
        <v>474.73210558736127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4.4377716127461024</v>
      </c>
      <c r="DG39" s="23">
        <f>EXP(-LN(2)/25)*DG38+(1-EXP(-LN(2)/25))/(LN(2)/25)*Calculateur!DB39*Calculateur!DD39*VLOOKUP('Données projet'!$B$13,Paramètres!$A$1:$I$89,3,0)*0.475*44/12</f>
        <v>29.350018996434628</v>
      </c>
      <c r="DH39" s="23">
        <f>EXP(-LN(2)/2)*DH38+(1-EXP(-LN(2)/2))/(LN(2)/2)*DB39*DE39*VLOOKUP('Données projet'!$B$13,Paramètres!$A$1:$I$89,3,0)*0.475*44/12</f>
        <v>5.4523044337804087</v>
      </c>
      <c r="DI39" s="24">
        <f t="shared" si="15"/>
        <v>39.240095042961144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10.000000000000004</v>
      </c>
      <c r="DO39" s="13">
        <f>IF('Données projet'!$A$166&gt;35,DO38+DN39-DW38,IF(A39&lt;'Données projet'!$A$166,$DL$205^A39,IF(A39='Données projet'!$A$166,'Données projet'!$B$166,DO38+DN39-DW38)))</f>
        <v>251.59999999999988</v>
      </c>
      <c r="DP39" s="18">
        <f>DO39*VLOOKUP('Données projet'!$B$14,Paramètres!$A$1:$I$89,3,0)*VLOOKUP('Données projet'!$B$14,Paramètres!$A$1:$I$89,5,0)</f>
        <v>117.74879999999995</v>
      </c>
      <c r="DQ39" s="14">
        <f t="shared" si="43"/>
        <v>31.149366548366</v>
      </c>
      <c r="DR39" s="22">
        <f t="shared" si="16"/>
        <v>259.33097340507067</v>
      </c>
      <c r="DS39" s="62">
        <f t="shared" si="17"/>
        <v>552.66430673840398</v>
      </c>
      <c r="DT39" s="62">
        <f ca="1">AVERAGE(OFFSET($DS$3,0,0,'Données projet'!$E$14+1,1))-AVERAGE(OFFSET($H$3,0,0,'Données projet'!$E$14+1,1))</f>
        <v>215.23235148064941</v>
      </c>
      <c r="DU39" s="62">
        <f t="shared" si="44"/>
        <v>184.07239726900434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2.7833924065534239</v>
      </c>
      <c r="EB39" s="23">
        <f>EXP(-LN(2)/25)*EB38+(1-EXP(-LN(2)/25))/(LN(2)/25)*Calculateur!DW39*Calculateur!DY39*VLOOKUP('Données projet'!$B$14,Paramètres!$A$1:$I$89,3,0)*0.475*44/12</f>
        <v>6.6515776181746933</v>
      </c>
      <c r="EC39" s="23">
        <f>EXP(-LN(2)/2)*EC38+(1-EXP(-LN(2)/2))/(LN(2)/2)*DW39*DZ39*VLOOKUP('Données projet'!$B$14,Paramètres!$A$1:$I$89,3,0)*0.475*44/12</f>
        <v>1.229022060036999</v>
      </c>
      <c r="ED39" s="24">
        <f t="shared" si="18"/>
        <v>10.663992084765116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368.21879817981187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29.2</v>
      </c>
      <c r="N40" s="14">
        <f>IF('Données projet'!$A$36&gt;35,N39+M40-V39,IF(A40&lt;'Données projet'!$A$36,$K$205^A40,IF(A40='Données projet'!$A$36,'Données projet'!$B$36,N39+M40-V39)))</f>
        <v>487.40000000000009</v>
      </c>
      <c r="O40" s="14">
        <f>N40*VLOOKUP('Données projet'!$B$9,Paramètres!$A$1:$I$89,3,0)*VLOOKUP('Données projet'!$B$9,Paramètres!$A$1:$I$89,5,0)</f>
        <v>272.45660000000004</v>
      </c>
      <c r="P40" s="14">
        <f t="shared" si="33"/>
        <v>65.370346664765705</v>
      </c>
      <c r="Q40" s="22">
        <f t="shared" si="53"/>
        <v>588.38193210780025</v>
      </c>
      <c r="R40" s="62">
        <f t="shared" si="0"/>
        <v>881.71526544113362</v>
      </c>
      <c r="S40" s="62">
        <f ca="1">AVERAGE(OFFSET($R$3,0,0,'Données projet'!$E$9+1,1))-AVERAGE(OFFSET($H$3,0,0,'Données projet'!$E$9+1,1))</f>
        <v>460.40450534123659</v>
      </c>
      <c r="T40" s="62">
        <f t="shared" si="34"/>
        <v>467.77477728479198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10.935724764957049</v>
      </c>
      <c r="AA40" s="23">
        <f>EXP(-LN(2)/25)*AA39+(1-EXP(-LN(2)/25))/(LN(2)/25)*Calculateur!V40*Calculateur!X40*VLOOKUP('Données projet'!$B$9,Paramètres!$A$1:$I$89,3,0)*0.475*44/12</f>
        <v>36.457986052180694</v>
      </c>
      <c r="AB40" s="23">
        <f>EXP(-LN(2)/2)*AB39+(1-EXP(-LN(2)/2))/(LN(2)/2)*V40*Y40*VLOOKUP('Données projet'!$B$9,Paramètres!$A$1:$I$89,3,0)*0.475*44/12</f>
        <v>3.5553247207817233</v>
      </c>
      <c r="AC40" s="24">
        <f t="shared" si="3"/>
        <v>50.949035537919471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</v>
      </c>
      <c r="AI40" s="14">
        <f>IF('Données projet'!$A$62&gt;35,AI39+AH40-AQ39,IF(A40&lt;'Données projet'!$A$62,$AF$205^A40,IF(A40='Données projet'!$A$62,'Données projet'!$B$62,AI39+AH40-AQ39)))</f>
        <v>170</v>
      </c>
      <c r="AJ40" s="14">
        <f>AI40*VLOOKUP('Données projet'!$B$10,Paramètres!$A$1:$I$89,3,0)*VLOOKUP('Données projet'!$B$10,Paramètres!$A$1:$I$89,5,0)</f>
        <v>153.816</v>
      </c>
      <c r="AK40" s="14">
        <f t="shared" si="35"/>
        <v>39.444513325737063</v>
      </c>
      <c r="AL40" s="22">
        <f t="shared" si="4"/>
        <v>336.59539404232538</v>
      </c>
      <c r="AM40" s="62">
        <f t="shared" si="5"/>
        <v>629.9287273756587</v>
      </c>
      <c r="AN40" s="62">
        <f ca="1">AVERAGE(OFFSET($AM$3,0,0,'Données projet'!$E$10+1,1))-AVERAGE(OFFSET($H$3,0,0,'Données projet'!$E$10+1,1))</f>
        <v>321.03881567735544</v>
      </c>
      <c r="AO40" s="62">
        <f t="shared" si="36"/>
        <v>234.87694492493506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2.096767062371931</v>
      </c>
      <c r="AV40" s="23">
        <f>EXP(-LN(2)/25)*AV39+(1-EXP(-LN(2)/25))/(LN(2)/25)*Calculateur!AQ40*Calculateur!AS40*VLOOKUP('Données projet'!$B$10,Paramètres!$A$1:$I$89,3,0)*0.475*44/12</f>
        <v>11.164197713502606</v>
      </c>
      <c r="AW40" s="23">
        <f>EXP(-LN(2)/2)*AW39+(1-EXP(-LN(2)/2))/(LN(2)/2)*AQ40*AT40*VLOOKUP('Données projet'!$B$10,Paramètres!$A$1:$I$89,3,0)*0.475*44/12</f>
        <v>1.9215701324309982</v>
      </c>
      <c r="AX40" s="23">
        <f t="shared" si="6"/>
        <v>15.182534908305536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15.1</v>
      </c>
      <c r="BD40" s="13">
        <f>IF('Données projet'!$A$88&gt;35,BD39+BC40-BL39,IF(A40&lt;'Données projet'!$A$88,$BA$205^A40,IF(A40='Données projet'!$A$88,'Données projet'!$B$88,BD39+BC40-BL39)))</f>
        <v>284.70000000000005</v>
      </c>
      <c r="BE40" s="14">
        <f>BD40*VLOOKUP('Données projet'!$B$11,Paramètres!$A$1:$I$89,3,0)*VLOOKUP('Données projet'!$B$11,Paramètres!$A$1:$I$89,5,0)</f>
        <v>177.65280000000001</v>
      </c>
      <c r="BF40" s="14">
        <f t="shared" si="37"/>
        <v>44.799579155749747</v>
      </c>
      <c r="BG40" s="22">
        <f t="shared" si="7"/>
        <v>387.43789369626415</v>
      </c>
      <c r="BH40" s="62">
        <f t="shared" si="8"/>
        <v>680.77122702959741</v>
      </c>
      <c r="BI40" s="62">
        <f ca="1">AVERAGE(OFFSET($BH$3,0,0,'Données projet'!$E$11+1,1))-AVERAGE(OFFSET($H$3,0,0,'Données projet'!$E$11+1,1))</f>
        <v>255.41017495879987</v>
      </c>
      <c r="BJ40" s="62">
        <f t="shared" si="38"/>
        <v>297.50513563712764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7.2638602321144674</v>
      </c>
      <c r="BQ40" s="23">
        <f>EXP(-LN(2)/25)*BQ39+(1-EXP(-LN(2)/25))/(LN(2)/25)*Calculateur!BL40*Calculateur!BN40*VLOOKUP('Données projet'!$B$11,Paramètres!$A$1:$I$89,3,0)*0.475*44/12</f>
        <v>22.953372698275796</v>
      </c>
      <c r="BR40" s="23">
        <f>EXP(-LN(2)/2)*BR39+(1-EXP(-LN(2)/2))/(LN(2)/2)*BL40*BO40*VLOOKUP('Données projet'!$B$11,Paramètres!$A$1:$I$89,3,0)*0.475*44/12</f>
        <v>2.1567809652424339</v>
      </c>
      <c r="BS40" s="24">
        <f t="shared" si="9"/>
        <v>32.3740138956327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30.2</v>
      </c>
      <c r="BY40" s="13">
        <f>IF('Données projet'!$A$114&gt;35,BY39+BX40-CG39,IF(A40&lt;'Données projet'!$A$114,$BV$205^A40,IF(A40='Données projet'!$A$114,'Données projet'!$B$114,BY39+BX40-CG39)))</f>
        <v>510.40000000000003</v>
      </c>
      <c r="BZ40" s="14">
        <f>BY40*VLOOKUP('Données projet'!$B$12,Paramètres!$A$1:$I$89,3,0)*VLOOKUP('Données projet'!$B$12,Paramètres!$A$1:$I$89,5,0)</f>
        <v>245.50240000000002</v>
      </c>
      <c r="CA40" s="14">
        <f t="shared" si="39"/>
        <v>59.621832289617814</v>
      </c>
      <c r="CB40" s="22">
        <f t="shared" si="10"/>
        <v>531.42470457108436</v>
      </c>
      <c r="CC40" s="62">
        <f t="shared" si="11"/>
        <v>824.75803790441773</v>
      </c>
      <c r="CD40" s="62">
        <f ca="1">AVERAGE(OFFSET($CC$3,0,0,'Données projet'!$E$12+1,1))-AVERAGE(OFFSET($H$3,0,0,'Données projet'!$E$12+1,1))</f>
        <v>409.97612835032567</v>
      </c>
      <c r="CE40" s="62">
        <f t="shared" si="40"/>
        <v>411.87876448092288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9.409809681474675</v>
      </c>
      <c r="CL40" s="23">
        <f>EXP(-LN(2)/25)*CL39+(1-EXP(-LN(2)/25))/(LN(2)/25)*Calculateur!CG40*Calculateur!CI40*VLOOKUP('Données projet'!$B$12,Paramètres!$A$1:$I$89,3,0)*0.475*44/12</f>
        <v>22.425292173296707</v>
      </c>
      <c r="CM40" s="23">
        <f>EXP(-LN(2)/2)*CM39+(1-EXP(-LN(2)/2))/(LN(2)/2)*CG40*CJ40*VLOOKUP('Données projet'!$B$12,Paramètres!$A$1:$I$89,3,0)*0.475*44/12</f>
        <v>2.9975578494320061</v>
      </c>
      <c r="CN40" s="24">
        <f t="shared" si="12"/>
        <v>34.832659704203387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26.3</v>
      </c>
      <c r="CT40" s="13">
        <f>IF('Données projet'!$A$140&gt;35,CT39+CS40-DB39,IF(A40&lt;'Données projet'!$A$140,$CQ$205^A40,IF(A40='Données projet'!$A$140,'Données projet'!$B$140,CT39+CS40-DB39)))</f>
        <v>458.10000000000019</v>
      </c>
      <c r="CU40" s="18">
        <f>CT40*VLOOKUP('Données projet'!$B$13,Paramètres!$A$1:$I$89,3,0)*VLOOKUP('Données projet'!$B$13,Paramètres!$A$1:$I$89,5,0)</f>
        <v>273.94380000000012</v>
      </c>
      <c r="CV40" s="14">
        <f t="shared" si="41"/>
        <v>65.685535502395282</v>
      </c>
      <c r="CW40" s="22">
        <f t="shared" si="13"/>
        <v>591.52109266667196</v>
      </c>
      <c r="CX40" s="62">
        <f t="shared" si="14"/>
        <v>884.85442600000533</v>
      </c>
      <c r="CY40" s="62">
        <f ca="1">AVERAGE(OFFSET($CX$3,0,0,'Données projet'!$E$13+1,1))-AVERAGE(OFFSET($H$3,0,0,'Données projet'!$E$13+1,1))</f>
        <v>463.3255103386889</v>
      </c>
      <c r="CZ40" s="62">
        <f t="shared" si="42"/>
        <v>474.73210558736127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4.3507496181935634</v>
      </c>
      <c r="DG40" s="23">
        <f>EXP(-LN(2)/25)*DG39+(1-EXP(-LN(2)/25))/(LN(2)/25)*Calculateur!DB40*Calculateur!DD40*VLOOKUP('Données projet'!$B$13,Paramètres!$A$1:$I$89,3,0)*0.475*44/12</f>
        <v>28.547441183526704</v>
      </c>
      <c r="DH40" s="23">
        <f>EXP(-LN(2)/2)*DH39+(1-EXP(-LN(2)/2))/(LN(2)/2)*DB40*DE40*VLOOKUP('Données projet'!$B$13,Paramètres!$A$1:$I$89,3,0)*0.475*44/12</f>
        <v>3.8553614382196066</v>
      </c>
      <c r="DI40" s="24">
        <f t="shared" si="15"/>
        <v>36.753552239939879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10.000000000000004</v>
      </c>
      <c r="DO40" s="13">
        <f>IF('Données projet'!$A$166&gt;35,DO39+DN40-DW39,IF(A40&lt;'Données projet'!$A$166,$DL$205^A40,IF(A40='Données projet'!$A$166,'Données projet'!$B$166,DO39+DN40-DW39)))</f>
        <v>261.59999999999991</v>
      </c>
      <c r="DP40" s="18">
        <f>DO40*VLOOKUP('Données projet'!$B$14,Paramètres!$A$1:$I$89,3,0)*VLOOKUP('Données projet'!$B$14,Paramètres!$A$1:$I$89,5,0)</f>
        <v>122.42879999999995</v>
      </c>
      <c r="DQ40" s="14">
        <f t="shared" si="43"/>
        <v>32.240814688958388</v>
      </c>
      <c r="DR40" s="22">
        <f t="shared" si="16"/>
        <v>269.38291224993577</v>
      </c>
      <c r="DS40" s="62">
        <f t="shared" si="17"/>
        <v>562.71624558326903</v>
      </c>
      <c r="DT40" s="62">
        <f ca="1">AVERAGE(OFFSET($DS$3,0,0,'Données projet'!$E$14+1,1))-AVERAGE(OFFSET($H$3,0,0,'Données projet'!$E$14+1,1))</f>
        <v>215.23235148064941</v>
      </c>
      <c r="DU40" s="62">
        <f t="shared" si="44"/>
        <v>184.07239726900434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2.7288117791626449</v>
      </c>
      <c r="EB40" s="23">
        <f>EXP(-LN(2)/25)*EB39+(1-EXP(-LN(2)/25))/(LN(2)/25)*Calculateur!DW40*Calculateur!DY40*VLOOKUP('Données projet'!$B$14,Paramètres!$A$1:$I$89,3,0)*0.475*44/12</f>
        <v>6.4696898784144414</v>
      </c>
      <c r="EC40" s="23">
        <f>EXP(-LN(2)/2)*EC39+(1-EXP(-LN(2)/2))/(LN(2)/2)*DW40*DZ40*VLOOKUP('Données projet'!$B$14,Paramètres!$A$1:$I$89,3,0)*0.475*44/12</f>
        <v>0.86904983288002213</v>
      </c>
      <c r="ED40" s="24">
        <f t="shared" si="18"/>
        <v>10.067551490457108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370.18675757542417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29.2</v>
      </c>
      <c r="N41" s="14">
        <f>IF('Données projet'!$A$36&gt;35,N40+M41-V40,IF(A41&lt;'Données projet'!$A$36,$K$205^A41,IF(A41='Données projet'!$A$36,'Données projet'!$B$36,N40+M41-V40)))</f>
        <v>516.60000000000014</v>
      </c>
      <c r="O41" s="14">
        <f>N41*VLOOKUP('Données projet'!$B$9,Paramètres!$A$1:$I$89,3,0)*VLOOKUP('Données projet'!$B$9,Paramètres!$A$1:$I$89,5,0)</f>
        <v>288.77940000000007</v>
      </c>
      <c r="P41" s="14">
        <f t="shared" si="33"/>
        <v>68.819001604850271</v>
      </c>
      <c r="Q41" s="22">
        <f t="shared" si="53"/>
        <v>622.81721612844763</v>
      </c>
      <c r="R41" s="62">
        <f t="shared" si="0"/>
        <v>916.15054946178088</v>
      </c>
      <c r="S41" s="62">
        <f ca="1">AVERAGE(OFFSET($R$3,0,0,'Données projet'!$E$9+1,1))-AVERAGE(OFFSET($H$3,0,0,'Données projet'!$E$9+1,1))</f>
        <v>460.40450534123659</v>
      </c>
      <c r="T41" s="62">
        <f t="shared" si="34"/>
        <v>467.77477728479198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10.721281872449728</v>
      </c>
      <c r="AA41" s="23">
        <f>EXP(-LN(2)/25)*AA40+(1-EXP(-LN(2)/25))/(LN(2)/25)*Calculateur!V41*Calculateur!X41*VLOOKUP('Données projet'!$B$9,Paramètres!$A$1:$I$89,3,0)*0.475*44/12</f>
        <v>35.461040506341654</v>
      </c>
      <c r="AB41" s="23">
        <f>EXP(-LN(2)/2)*AB40+(1-EXP(-LN(2)/2))/(LN(2)/2)*V41*Y41*VLOOKUP('Données projet'!$B$9,Paramètres!$A$1:$I$89,3,0)*0.475*44/12</f>
        <v>2.5139942193849252</v>
      </c>
      <c r="AC41" s="24">
        <f t="shared" si="3"/>
        <v>48.69631659817631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</v>
      </c>
      <c r="AI41" s="14">
        <f>IF('Données projet'!$A$62&gt;35,AI40+AH41-AQ40,IF(A41&lt;'Données projet'!$A$62,$AF$205^A41,IF(A41='Données projet'!$A$62,'Données projet'!$B$62,AI40+AH41-AQ40)))</f>
        <v>181</v>
      </c>
      <c r="AJ41" s="14">
        <f>AI41*VLOOKUP('Données projet'!$B$10,Paramètres!$A$1:$I$89,3,0)*VLOOKUP('Données projet'!$B$10,Paramètres!$A$1:$I$89,5,0)</f>
        <v>163.7688</v>
      </c>
      <c r="AK41" s="14">
        <f t="shared" si="35"/>
        <v>41.691423503509803</v>
      </c>
      <c r="AL41" s="22">
        <f t="shared" si="4"/>
        <v>357.84322260194625</v>
      </c>
      <c r="AM41" s="62">
        <f t="shared" si="5"/>
        <v>651.17655593527957</v>
      </c>
      <c r="AN41" s="62">
        <f ca="1">AVERAGE(OFFSET($AM$3,0,0,'Données projet'!$E$10+1,1))-AVERAGE(OFFSET($H$3,0,0,'Données projet'!$E$10+1,1))</f>
        <v>321.03881567735544</v>
      </c>
      <c r="AO41" s="62">
        <f t="shared" si="36"/>
        <v>234.87694492493506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2.0556507391804444</v>
      </c>
      <c r="AV41" s="23">
        <f>EXP(-LN(2)/25)*AV40+(1-EXP(-LN(2)/25))/(LN(2)/25)*Calculateur!AQ41*Calculateur!AS41*VLOOKUP('Données projet'!$B$10,Paramètres!$A$1:$I$89,3,0)*0.475*44/12</f>
        <v>10.858912139927236</v>
      </c>
      <c r="AW41" s="23">
        <f>EXP(-LN(2)/2)*AW40+(1-EXP(-LN(2)/2))/(LN(2)/2)*AQ41*AT41*VLOOKUP('Données projet'!$B$10,Paramètres!$A$1:$I$89,3,0)*0.475*44/12</f>
        <v>1.3587552711674911</v>
      </c>
      <c r="AX41" s="23">
        <f t="shared" si="6"/>
        <v>14.273318150275172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15.1</v>
      </c>
      <c r="BD41" s="13">
        <f>IF('Données projet'!$A$88&gt;35,BD40+BC41-BL40,IF(A41&lt;'Données projet'!$A$88,$BA$205^A41,IF(A41='Données projet'!$A$88,'Données projet'!$B$88,BD40+BC41-BL40)))</f>
        <v>299.80000000000007</v>
      </c>
      <c r="BE41" s="14">
        <f>BD41*VLOOKUP('Données projet'!$B$11,Paramètres!$A$1:$I$89,3,0)*VLOOKUP('Données projet'!$B$11,Paramètres!$A$1:$I$89,5,0)</f>
        <v>187.07520000000005</v>
      </c>
      <c r="BF41" s="14">
        <f t="shared" si="37"/>
        <v>46.892738426785456</v>
      </c>
      <c r="BG41" s="22">
        <f t="shared" si="7"/>
        <v>407.49415942665138</v>
      </c>
      <c r="BH41" s="62">
        <f t="shared" si="8"/>
        <v>700.82749275998469</v>
      </c>
      <c r="BI41" s="62">
        <f ca="1">AVERAGE(OFFSET($BH$3,0,0,'Données projet'!$E$11+1,1))-AVERAGE(OFFSET($H$3,0,0,'Données projet'!$E$11+1,1))</f>
        <v>255.41017495879987</v>
      </c>
      <c r="BJ41" s="62">
        <f t="shared" si="38"/>
        <v>297.50513563712764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7.1214203634799667</v>
      </c>
      <c r="BQ41" s="23">
        <f>EXP(-LN(2)/25)*BQ40+(1-EXP(-LN(2)/25))/(LN(2)/25)*Calculateur!BL41*Calculateur!BN41*VLOOKUP('Données projet'!$B$11,Paramètres!$A$1:$I$89,3,0)*0.475*44/12</f>
        <v>22.325711514776035</v>
      </c>
      <c r="BR41" s="23">
        <f>EXP(-LN(2)/2)*BR40+(1-EXP(-LN(2)/2))/(LN(2)/2)*BL41*BO41*VLOOKUP('Données projet'!$B$11,Paramètres!$A$1:$I$89,3,0)*0.475*44/12</f>
        <v>1.5250744460569925</v>
      </c>
      <c r="BS41" s="24">
        <f t="shared" si="9"/>
        <v>30.972206324312996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30.2</v>
      </c>
      <c r="BY41" s="13">
        <f>IF('Données projet'!$A$114&gt;35,BY40+BX41-CG40,IF(A41&lt;'Données projet'!$A$114,$BV$205^A41,IF(A41='Données projet'!$A$114,'Données projet'!$B$114,BY40+BX41-CG40)))</f>
        <v>540.6</v>
      </c>
      <c r="BZ41" s="14">
        <f>BY41*VLOOKUP('Données projet'!$B$12,Paramètres!$A$1:$I$89,3,0)*VLOOKUP('Données projet'!$B$12,Paramètres!$A$1:$I$89,5,0)</f>
        <v>260.02860000000004</v>
      </c>
      <c r="CA41" s="14">
        <f t="shared" si="39"/>
        <v>62.728474281383185</v>
      </c>
      <c r="CB41" s="22">
        <f t="shared" si="10"/>
        <v>562.13523770674237</v>
      </c>
      <c r="CC41" s="62">
        <f t="shared" si="11"/>
        <v>855.46857104007563</v>
      </c>
      <c r="CD41" s="62">
        <f ca="1">AVERAGE(OFFSET($CC$3,0,0,'Données projet'!$E$12+1,1))-AVERAGE(OFFSET($H$3,0,0,'Données projet'!$E$12+1,1))</f>
        <v>409.97612835032567</v>
      </c>
      <c r="CE41" s="62">
        <f t="shared" si="40"/>
        <v>411.87876448092288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9.2252890530381411</v>
      </c>
      <c r="CL41" s="23">
        <f>EXP(-LN(2)/25)*CL40+(1-EXP(-LN(2)/25))/(LN(2)/25)*Calculateur!CG41*Calculateur!CI41*VLOOKUP('Données projet'!$B$12,Paramètres!$A$1:$I$89,3,0)*0.475*44/12</f>
        <v>21.812071379523047</v>
      </c>
      <c r="CM41" s="23">
        <f>EXP(-LN(2)/2)*CM40+(1-EXP(-LN(2)/2))/(LN(2)/2)*CG41*CJ41*VLOOKUP('Données projet'!$B$12,Paramètres!$A$1:$I$89,3,0)*0.475*44/12</f>
        <v>2.1195934823323355</v>
      </c>
      <c r="CN41" s="24">
        <f t="shared" si="12"/>
        <v>33.156953914893521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26.3</v>
      </c>
      <c r="CT41" s="13">
        <f>IF('Données projet'!$A$140&gt;35,CT40+CS41-DB40,IF(A41&lt;'Données projet'!$A$140,$CQ$205^A41,IF(A41='Données projet'!$A$140,'Données projet'!$B$140,CT40+CS41-DB40)))</f>
        <v>484.4000000000002</v>
      </c>
      <c r="CU41" s="18">
        <f>CT41*VLOOKUP('Données projet'!$B$13,Paramètres!$A$1:$I$89,3,0)*VLOOKUP('Données projet'!$B$13,Paramètres!$A$1:$I$89,5,0)</f>
        <v>289.67120000000011</v>
      </c>
      <c r="CV41" s="14">
        <f t="shared" si="41"/>
        <v>69.0067548099166</v>
      </c>
      <c r="CW41" s="22">
        <f t="shared" si="13"/>
        <v>624.69743796060493</v>
      </c>
      <c r="CX41" s="62">
        <f t="shared" si="14"/>
        <v>918.03077129393819</v>
      </c>
      <c r="CY41" s="62">
        <f ca="1">AVERAGE(OFFSET($CX$3,0,0,'Données projet'!$E$13+1,1))-AVERAGE(OFFSET($H$3,0,0,'Données projet'!$E$13+1,1))</f>
        <v>463.3255103386889</v>
      </c>
      <c r="CZ41" s="62">
        <f t="shared" si="42"/>
        <v>474.73210558736127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4.2654340718760242</v>
      </c>
      <c r="DG41" s="23">
        <f>EXP(-LN(2)/25)*DG40+(1-EXP(-LN(2)/25))/(LN(2)/25)*Calculateur!DB41*Calculateur!DD41*VLOOKUP('Données projet'!$B$13,Paramètres!$A$1:$I$89,3,0)*0.475*44/12</f>
        <v>27.766809903118482</v>
      </c>
      <c r="DH41" s="23">
        <f>EXP(-LN(2)/2)*DH40+(1-EXP(-LN(2)/2))/(LN(2)/2)*DB41*DE41*VLOOKUP('Données projet'!$B$13,Paramètres!$A$1:$I$89,3,0)*0.475*44/12</f>
        <v>2.7261522168902048</v>
      </c>
      <c r="DI41" s="24">
        <f t="shared" si="15"/>
        <v>34.758396191884714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10.000000000000004</v>
      </c>
      <c r="DO41" s="13">
        <f>IF('Données projet'!$A$166&gt;35,DO40+DN41-DW40,IF(A41&lt;'Données projet'!$A$166,$DL$205^A41,IF(A41='Données projet'!$A$166,'Données projet'!$B$166,DO40+DN41-DW40)))</f>
        <v>271.59999999999991</v>
      </c>
      <c r="DP41" s="18">
        <f>DO41*VLOOKUP('Données projet'!$B$14,Paramètres!$A$1:$I$89,3,0)*VLOOKUP('Données projet'!$B$14,Paramètres!$A$1:$I$89,5,0)</f>
        <v>127.10879999999996</v>
      </c>
      <c r="DQ41" s="14">
        <f t="shared" si="43"/>
        <v>33.32741592766736</v>
      </c>
      <c r="DR41" s="22">
        <f t="shared" si="16"/>
        <v>279.4264094073539</v>
      </c>
      <c r="DS41" s="62">
        <f t="shared" si="17"/>
        <v>572.75974274068722</v>
      </c>
      <c r="DT41" s="62">
        <f ca="1">AVERAGE(OFFSET($DS$3,0,0,'Données projet'!$E$14+1,1))-AVERAGE(OFFSET($H$3,0,0,'Données projet'!$E$14+1,1))</f>
        <v>215.23235148064941</v>
      </c>
      <c r="DU41" s="62">
        <f t="shared" si="44"/>
        <v>184.07239726900434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2.6753014445841039</v>
      </c>
      <c r="EB41" s="23">
        <f>EXP(-LN(2)/25)*EB40+(1-EXP(-LN(2)/25))/(LN(2)/25)*Calculateur!DW41*Calculateur!DY41*VLOOKUP('Données projet'!$B$14,Paramètres!$A$1:$I$89,3,0)*0.475*44/12</f>
        <v>6.2927758684629946</v>
      </c>
      <c r="EC41" s="23">
        <f>EXP(-LN(2)/2)*EC40+(1-EXP(-LN(2)/2))/(LN(2)/2)*DW41*DZ41*VLOOKUP('Données projet'!$B$14,Paramètres!$A$1:$I$89,3,0)*0.475*44/12</f>
        <v>0.61451103001849949</v>
      </c>
      <c r="ED41" s="24">
        <f t="shared" si="18"/>
        <v>9.5825883430655985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372.15343449123395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29.2</v>
      </c>
      <c r="N42" s="14">
        <f>IF('Données projet'!$A$36&gt;35,N41+M42-V41,IF(A42&lt;'Données projet'!$A$36,$K$205^A42,IF(A42='Données projet'!$A$36,'Données projet'!$B$36,N41+M42-V41)))</f>
        <v>545.80000000000018</v>
      </c>
      <c r="O42" s="14">
        <f>N42*VLOOKUP('Données projet'!$B$9,Paramètres!$A$1:$I$89,3,0)*VLOOKUP('Données projet'!$B$9,Paramètres!$A$1:$I$89,5,0)</f>
        <v>305.1022000000001</v>
      </c>
      <c r="P42" s="14">
        <f t="shared" si="33"/>
        <v>72.245028478751408</v>
      </c>
      <c r="Q42" s="22">
        <f t="shared" si="53"/>
        <v>657.21308960049214</v>
      </c>
      <c r="R42" s="62">
        <f t="shared" si="0"/>
        <v>950.5464229338254</v>
      </c>
      <c r="S42" s="62">
        <f ca="1">AVERAGE(OFFSET($R$3,0,0,'Données projet'!$E$9+1,1))-AVERAGE(OFFSET($H$3,0,0,'Données projet'!$E$9+1,1))</f>
        <v>460.40450534123659</v>
      </c>
      <c r="T42" s="62">
        <f t="shared" si="34"/>
        <v>467.77477728479198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10.511044074267225</v>
      </c>
      <c r="AA42" s="23">
        <f>EXP(-LN(2)/25)*AA41+(1-EXP(-LN(2)/25))/(LN(2)/25)*Calculateur!V42*Calculateur!X42*VLOOKUP('Données projet'!$B$9,Paramètres!$A$1:$I$89,3,0)*0.475*44/12</f>
        <v>34.491356488880669</v>
      </c>
      <c r="AB42" s="23">
        <f>EXP(-LN(2)/2)*AB41+(1-EXP(-LN(2)/2))/(LN(2)/2)*V42*Y42*VLOOKUP('Données projet'!$B$9,Paramètres!$A$1:$I$89,3,0)*0.475*44/12</f>
        <v>1.7776623603908617</v>
      </c>
      <c r="AC42" s="24">
        <f t="shared" si="3"/>
        <v>46.780062923538758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</v>
      </c>
      <c r="AI42" s="14">
        <f>IF('Données projet'!$A$62&gt;35,AI41+AH42-AQ41,IF(A42&lt;'Données projet'!$A$62,$AF$205^A42,IF(A42='Données projet'!$A$62,'Données projet'!$B$62,AI41+AH42-AQ41)))</f>
        <v>192</v>
      </c>
      <c r="AJ42" s="14">
        <f>AI42*VLOOKUP('Données projet'!$B$10,Paramètres!$A$1:$I$89,3,0)*VLOOKUP('Données projet'!$B$10,Paramètres!$A$1:$I$89,5,0)</f>
        <v>173.7216</v>
      </c>
      <c r="AK42" s="14">
        <f t="shared" si="35"/>
        <v>43.922484755075111</v>
      </c>
      <c r="AL42" s="22">
        <f t="shared" si="4"/>
        <v>379.06344761508916</v>
      </c>
      <c r="AM42" s="62">
        <f t="shared" si="5"/>
        <v>672.39678094842247</v>
      </c>
      <c r="AN42" s="62">
        <f ca="1">AVERAGE(OFFSET($AM$3,0,0,'Données projet'!$E$10+1,1))-AVERAGE(OFFSET($H$3,0,0,'Données projet'!$E$10+1,1))</f>
        <v>321.03881567735544</v>
      </c>
      <c r="AO42" s="62">
        <f t="shared" si="36"/>
        <v>234.87694492493506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2.015340682008262</v>
      </c>
      <c r="AV42" s="23">
        <f>EXP(-LN(2)/25)*AV41+(1-EXP(-LN(2)/25))/(LN(2)/25)*Calculateur!AQ42*Calculateur!AS42*VLOOKUP('Données projet'!$B$10,Paramètres!$A$1:$I$89,3,0)*0.475*44/12</f>
        <v>10.561974616415554</v>
      </c>
      <c r="AW42" s="23">
        <f>EXP(-LN(2)/2)*AW41+(1-EXP(-LN(2)/2))/(LN(2)/2)*AQ42*AT42*VLOOKUP('Données projet'!$B$10,Paramètres!$A$1:$I$89,3,0)*0.475*44/12</f>
        <v>0.96078506621549919</v>
      </c>
      <c r="AX42" s="23">
        <f t="shared" si="6"/>
        <v>13.538100364639314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15.1</v>
      </c>
      <c r="BD42" s="13">
        <f>IF('Données projet'!$A$88&gt;35,BD41+BC42-BL41,IF(A42&lt;'Données projet'!$A$88,$BA$205^A42,IF(A42='Données projet'!$A$88,'Données projet'!$B$88,BD41+BC42-BL41)))</f>
        <v>314.90000000000009</v>
      </c>
      <c r="BE42" s="14">
        <f>BD42*VLOOKUP('Données projet'!$B$11,Paramètres!$A$1:$I$89,3,0)*VLOOKUP('Données projet'!$B$11,Paramètres!$A$1:$I$89,5,0)</f>
        <v>196.49760000000006</v>
      </c>
      <c r="BF42" s="14">
        <f t="shared" si="37"/>
        <v>48.973656553237205</v>
      </c>
      <c r="BG42" s="22">
        <f t="shared" si="7"/>
        <v>427.5291051635549</v>
      </c>
      <c r="BH42" s="62">
        <f t="shared" si="8"/>
        <v>720.86243849688822</v>
      </c>
      <c r="BI42" s="62">
        <f ca="1">AVERAGE(OFFSET($BH$3,0,0,'Données projet'!$E$11+1,1))-AVERAGE(OFFSET($H$3,0,0,'Données projet'!$E$11+1,1))</f>
        <v>255.41017495879987</v>
      </c>
      <c r="BJ42" s="62">
        <f t="shared" si="38"/>
        <v>297.50513563712764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6.9817736537896478</v>
      </c>
      <c r="BQ42" s="23">
        <f>EXP(-LN(2)/25)*BQ41+(1-EXP(-LN(2)/25))/(LN(2)/25)*Calculateur!BL42*Calculateur!BN42*VLOOKUP('Données projet'!$B$11,Paramètres!$A$1:$I$89,3,0)*0.475*44/12</f>
        <v>21.715213759346341</v>
      </c>
      <c r="BR42" s="23">
        <f>EXP(-LN(2)/2)*BR41+(1-EXP(-LN(2)/2))/(LN(2)/2)*BL42*BO42*VLOOKUP('Données projet'!$B$11,Paramètres!$A$1:$I$89,3,0)*0.475*44/12</f>
        <v>1.078390482621217</v>
      </c>
      <c r="BS42" s="24">
        <f t="shared" si="9"/>
        <v>29.775377895757206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30.2</v>
      </c>
      <c r="BY42" s="13">
        <f>IF('Données projet'!$A$114&gt;35,BY41+BX42-CG41,IF(A42&lt;'Données projet'!$A$114,$BV$205^A42,IF(A42='Données projet'!$A$114,'Données projet'!$B$114,BY41+BX42-CG41)))</f>
        <v>570.80000000000007</v>
      </c>
      <c r="BZ42" s="14">
        <f>BY42*VLOOKUP('Données projet'!$B$12,Paramètres!$A$1:$I$89,3,0)*VLOOKUP('Données projet'!$B$12,Paramètres!$A$1:$I$89,5,0)</f>
        <v>274.55480000000006</v>
      </c>
      <c r="CA42" s="14">
        <f t="shared" si="39"/>
        <v>65.814969645996925</v>
      </c>
      <c r="CB42" s="22">
        <f t="shared" si="10"/>
        <v>592.81068213344474</v>
      </c>
      <c r="CC42" s="62">
        <f t="shared" si="11"/>
        <v>886.144015466778</v>
      </c>
      <c r="CD42" s="62">
        <f ca="1">AVERAGE(OFFSET($CC$3,0,0,'Données projet'!$E$12+1,1))-AVERAGE(OFFSET($H$3,0,0,'Données projet'!$E$12+1,1))</f>
        <v>409.97612835032567</v>
      </c>
      <c r="CE42" s="62">
        <f t="shared" si="40"/>
        <v>411.87876448092288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9.0443867615787781</v>
      </c>
      <c r="CL42" s="23">
        <f>EXP(-LN(2)/25)*CL41+(1-EXP(-LN(2)/25))/(LN(2)/25)*Calculateur!CG42*Calculateur!CI42*VLOOKUP('Données projet'!$B$12,Paramètres!$A$1:$I$89,3,0)*0.475*44/12</f>
        <v>21.215619140603007</v>
      </c>
      <c r="CM42" s="23">
        <f>EXP(-LN(2)/2)*CM41+(1-EXP(-LN(2)/2))/(LN(2)/2)*CG42*CJ42*VLOOKUP('Données projet'!$B$12,Paramètres!$A$1:$I$89,3,0)*0.475*44/12</f>
        <v>1.498778924716003</v>
      </c>
      <c r="CN42" s="24">
        <f t="shared" si="12"/>
        <v>31.758784826897788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26.3</v>
      </c>
      <c r="CT42" s="13">
        <f>IF('Données projet'!$A$140&gt;35,CT41+CS42-DB41,IF(A42&lt;'Données projet'!$A$140,$CQ$205^A42,IF(A42='Données projet'!$A$140,'Données projet'!$B$140,CT41+CS42-DB41)))</f>
        <v>510.70000000000022</v>
      </c>
      <c r="CU42" s="18">
        <f>CT42*VLOOKUP('Données projet'!$B$13,Paramètres!$A$1:$I$89,3,0)*VLOOKUP('Données projet'!$B$13,Paramètres!$A$1:$I$89,5,0)</f>
        <v>305.39860000000016</v>
      </c>
      <c r="CV42" s="14">
        <f t="shared" si="41"/>
        <v>72.307039943112898</v>
      </c>
      <c r="CW42" s="22">
        <f t="shared" si="13"/>
        <v>657.83732290092178</v>
      </c>
      <c r="CX42" s="62">
        <f t="shared" si="14"/>
        <v>951.17065623425515</v>
      </c>
      <c r="CY42" s="62">
        <f ca="1">AVERAGE(OFFSET($CX$3,0,0,'Données projet'!$E$13+1,1))-AVERAGE(OFFSET($H$3,0,0,'Données projet'!$E$13+1,1))</f>
        <v>463.3255103386889</v>
      </c>
      <c r="CZ42" s="62">
        <f t="shared" si="42"/>
        <v>474.73210558736127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4.1817915113844268</v>
      </c>
      <c r="DG42" s="23">
        <f>EXP(-LN(2)/25)*DG41+(1-EXP(-LN(2)/25))/(LN(2)/25)*Calculateur!DB42*Calculateur!DD42*VLOOKUP('Données projet'!$B$13,Paramètres!$A$1:$I$89,3,0)*0.475*44/12</f>
        <v>27.007525026124636</v>
      </c>
      <c r="DH42" s="23">
        <f>EXP(-LN(2)/2)*DH41+(1-EXP(-LN(2)/2))/(LN(2)/2)*DB42*DE42*VLOOKUP('Données projet'!$B$13,Paramètres!$A$1:$I$89,3,0)*0.475*44/12</f>
        <v>1.9276807191098035</v>
      </c>
      <c r="DI42" s="24">
        <f t="shared" si="15"/>
        <v>33.116997256618866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10.000000000000004</v>
      </c>
      <c r="DO42" s="13">
        <f>IF('Données projet'!$A$166&gt;35,DO41+DN42-DW41,IF(A42&lt;'Données projet'!$A$166,$DL$205^A42,IF(A42='Données projet'!$A$166,'Données projet'!$B$166,DO41+DN42-DW41)))</f>
        <v>281.59999999999991</v>
      </c>
      <c r="DP42" s="18">
        <f>DO42*VLOOKUP('Données projet'!$B$14,Paramètres!$A$1:$I$89,3,0)*VLOOKUP('Données projet'!$B$14,Paramètres!$A$1:$I$89,5,0)</f>
        <v>131.78879999999995</v>
      </c>
      <c r="DQ42" s="14">
        <f t="shared" si="43"/>
        <v>34.409369159409614</v>
      </c>
      <c r="DR42" s="22">
        <f t="shared" si="16"/>
        <v>289.46181128597163</v>
      </c>
      <c r="DS42" s="62">
        <f t="shared" si="17"/>
        <v>582.79514461930489</v>
      </c>
      <c r="DT42" s="62">
        <f ca="1">AVERAGE(OFFSET($DS$3,0,0,'Données projet'!$E$14+1,1))-AVERAGE(OFFSET($H$3,0,0,'Données projet'!$E$14+1,1))</f>
        <v>215.23235148064941</v>
      </c>
      <c r="DU42" s="62">
        <f t="shared" si="44"/>
        <v>184.07239726900434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2.6228404150285667</v>
      </c>
      <c r="EB42" s="23">
        <f>EXP(-LN(2)/25)*EB41+(1-EXP(-LN(2)/25))/(LN(2)/25)*Calculateur!DW42*Calculateur!DY42*VLOOKUP('Données projet'!$B$14,Paramètres!$A$1:$I$89,3,0)*0.475*44/12</f>
        <v>6.1206995814171732</v>
      </c>
      <c r="EC42" s="23">
        <f>EXP(-LN(2)/2)*EC41+(1-EXP(-LN(2)/2))/(LN(2)/2)*DW42*DZ42*VLOOKUP('Données projet'!$B$14,Paramètres!$A$1:$I$89,3,0)*0.475*44/12</f>
        <v>0.43452491644001107</v>
      </c>
      <c r="ED42" s="24">
        <f t="shared" si="18"/>
        <v>9.1780649128857519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374.11886559244715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575</v>
      </c>
      <c r="L43" s="13">
        <f>VLOOKUP(A43,'Données projet'!$A$35:$I$55,9,0)</f>
        <v>29.2</v>
      </c>
      <c r="M43" s="13">
        <f t="array" ref="M43">INDEX(L:L,MIN(IF(ISNUMBER(L43:L239),ROW(L43:L239),"")))</f>
        <v>29.2</v>
      </c>
      <c r="N43" s="14">
        <f>IF('Données projet'!$A$36&gt;35,N42+M43-V42,IF(A43&lt;'Données projet'!$A$36,$K$205^A43,IF(A43='Données projet'!$A$36,'Données projet'!$B$36,N42+M43-V42)))</f>
        <v>575.00000000000023</v>
      </c>
      <c r="O43" s="14">
        <f>N43*VLOOKUP('Données projet'!$B$9,Paramètres!$A$1:$I$89,3,0)*VLOOKUP('Données projet'!$B$9,Paramètres!$A$1:$I$89,5,0)</f>
        <v>321.42500000000013</v>
      </c>
      <c r="P43" s="14">
        <f t="shared" si="33"/>
        <v>75.649775908797736</v>
      </c>
      <c r="Q43" s="22">
        <f t="shared" si="53"/>
        <v>691.57190137448958</v>
      </c>
      <c r="R43" s="62">
        <f t="shared" si="0"/>
        <v>984.90523470782296</v>
      </c>
      <c r="S43" s="62">
        <f ca="1">AVERAGE(OFFSET($R$3,0,0,'Données projet'!$E$9+1,1))-AVERAGE(OFFSET($H$3,0,0,'Données projet'!$E$9+1,1))</f>
        <v>460.40450534123659</v>
      </c>
      <c r="T43" s="62">
        <f t="shared" si="34"/>
        <v>467.77477728479198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154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10.304928911074686</v>
      </c>
      <c r="AA43" s="23">
        <f>EXP(-LN(2)/25)*AA42+(1-EXP(-LN(2)/25))/(LN(2)/25)*Calculateur!V43*Calculateur!X43*VLOOKUP('Données projet'!$B$9,Paramètres!$A$1:$I$89,3,0)*0.475*44/12</f>
        <v>33.548188531870622</v>
      </c>
      <c r="AB43" s="23">
        <f>EXP(-LN(2)/2)*AB42+(1-EXP(-LN(2)/2))/(LN(2)/2)*V43*Y43*VLOOKUP('Données projet'!$B$9,Paramètres!$A$1:$I$89,3,0)*0.475*44/12</f>
        <v>1.2569971096924626</v>
      </c>
      <c r="AC43" s="24">
        <f t="shared" si="3"/>
        <v>45.110114552637768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203</v>
      </c>
      <c r="AG43" s="13">
        <f>VLOOKUP(A43,'Données projet'!$A$61:$I$81,9,0)</f>
        <v>11</v>
      </c>
      <c r="AH43" s="13">
        <f t="array" ref="AH43">INDEX(AG:AG,MIN(IF(ISNUMBER(AG43:AG239),ROW(AG43:AG239),"")))</f>
        <v>11</v>
      </c>
      <c r="AI43" s="14">
        <f>IF('Données projet'!$A$62&gt;35,AI42+AH43-AQ42,IF(A43&lt;'Données projet'!$A$62,$AF$205^A43,IF(A43='Données projet'!$A$62,'Données projet'!$B$62,AI42+AH43-AQ42)))</f>
        <v>203</v>
      </c>
      <c r="AJ43" s="14">
        <f>AI43*VLOOKUP('Données projet'!$B$10,Paramètres!$A$1:$I$89,3,0)*VLOOKUP('Données projet'!$B$10,Paramètres!$A$1:$I$89,5,0)</f>
        <v>183.67439999999999</v>
      </c>
      <c r="AK43" s="14">
        <f t="shared" si="35"/>
        <v>46.138708549418673</v>
      </c>
      <c r="AL43" s="22">
        <f t="shared" si="4"/>
        <v>400.25783072357081</v>
      </c>
      <c r="AM43" s="62">
        <f t="shared" si="5"/>
        <v>693.59116405690406</v>
      </c>
      <c r="AN43" s="62">
        <f ca="1">AVERAGE(OFFSET($AM$3,0,0,'Données projet'!$E$10+1,1))-AVERAGE(OFFSET($H$3,0,0,'Données projet'!$E$10+1,1))</f>
        <v>321.03881567735544</v>
      </c>
      <c r="AO43" s="62">
        <f t="shared" si="36"/>
        <v>234.87694492493506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56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1.975821080470519</v>
      </c>
      <c r="AV43" s="23">
        <f>EXP(-LN(2)/25)*AV42+(1-EXP(-LN(2)/25))/(LN(2)/25)*Calculateur!AQ43*Calculateur!AS43*VLOOKUP('Données projet'!$B$10,Paramètres!$A$1:$I$89,3,0)*0.475*44/12</f>
        <v>10.273156865099565</v>
      </c>
      <c r="AW43" s="23">
        <f>EXP(-LN(2)/2)*AW42+(1-EXP(-LN(2)/2))/(LN(2)/2)*AQ43*AT43*VLOOKUP('Données projet'!$B$10,Paramètres!$A$1:$I$89,3,0)*0.475*44/12</f>
        <v>0.67937763558374564</v>
      </c>
      <c r="AX43" s="23">
        <f t="shared" si="6"/>
        <v>12.928355581153831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330</v>
      </c>
      <c r="BB43" s="13">
        <f>VLOOKUP(A43,'Données projet'!$A$87:$I$107,9,0)</f>
        <v>15.1</v>
      </c>
      <c r="BC43" s="13">
        <f t="array" ref="BC43">INDEX(BB:BB,MIN(IF(ISNUMBER(BB43:BB239),ROW(BB43:BB239),"")))</f>
        <v>15.1</v>
      </c>
      <c r="BD43" s="13">
        <f>IF('Données projet'!$A$88&gt;35,BD42+BC43-BL42,IF(A43&lt;'Données projet'!$A$88,$BA$205^A43,IF(A43='Données projet'!$A$88,'Données projet'!$B$88,BD42+BC43-BL42)))</f>
        <v>330.00000000000011</v>
      </c>
      <c r="BE43" s="14">
        <f>BD43*VLOOKUP('Données projet'!$B$11,Paramètres!$A$1:$I$89,3,0)*VLOOKUP('Données projet'!$B$11,Paramètres!$A$1:$I$89,5,0)</f>
        <v>205.9200000000001</v>
      </c>
      <c r="BF43" s="14">
        <f t="shared" si="37"/>
        <v>51.042987531485686</v>
      </c>
      <c r="BG43" s="22">
        <f t="shared" si="7"/>
        <v>447.54386995067108</v>
      </c>
      <c r="BH43" s="62">
        <f t="shared" si="8"/>
        <v>740.87720328400439</v>
      </c>
      <c r="BI43" s="62">
        <f ca="1">AVERAGE(OFFSET($BH$3,0,0,'Données projet'!$E$11+1,1))-AVERAGE(OFFSET($H$3,0,0,'Données projet'!$E$11+1,1))</f>
        <v>255.41017495879987</v>
      </c>
      <c r="BJ43" s="62">
        <f t="shared" si="38"/>
        <v>297.50513563712764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82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6.8448653309002738</v>
      </c>
      <c r="BQ43" s="23">
        <f>EXP(-LN(2)/25)*BQ42+(1-EXP(-LN(2)/25))/(LN(2)/25)*Calculateur!BL43*Calculateur!BN43*VLOOKUP('Données projet'!$B$11,Paramètres!$A$1:$I$89,3,0)*0.475*44/12</f>
        <v>21.121410097143553</v>
      </c>
      <c r="BR43" s="23">
        <f>EXP(-LN(2)/2)*BR42+(1-EXP(-LN(2)/2))/(LN(2)/2)*BL43*BO43*VLOOKUP('Données projet'!$B$11,Paramètres!$A$1:$I$89,3,0)*0.475*44/12</f>
        <v>0.76253722302849625</v>
      </c>
      <c r="BS43" s="24">
        <f t="shared" si="9"/>
        <v>28.728812651072321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601</v>
      </c>
      <c r="BW43" s="13">
        <f>VLOOKUP(A43,'Données projet'!$A$113:$I$133,9,0)</f>
        <v>30.2</v>
      </c>
      <c r="BX43" s="13">
        <f t="array" ref="BX43">INDEX(BW:BW,MIN(IF(ISNUMBER(BW43:BW239),ROW(BW43:BW239),"")))</f>
        <v>30.2</v>
      </c>
      <c r="BY43" s="13">
        <f>IF('Données projet'!$A$114&gt;35,BY42+BX43-CG42,IF(A43&lt;'Données projet'!$A$114,$BV$205^A43,IF(A43='Données projet'!$A$114,'Données projet'!$B$114,BY42+BX43-CG42)))</f>
        <v>601.00000000000011</v>
      </c>
      <c r="BZ43" s="14">
        <f>BY43*VLOOKUP('Données projet'!$B$12,Paramètres!$A$1:$I$89,3,0)*VLOOKUP('Données projet'!$B$12,Paramètres!$A$1:$I$89,5,0)</f>
        <v>289.08100000000007</v>
      </c>
      <c r="CA43" s="14">
        <f t="shared" si="39"/>
        <v>68.882505858147525</v>
      </c>
      <c r="CB43" s="22">
        <f t="shared" si="10"/>
        <v>623.45310603627365</v>
      </c>
      <c r="CC43" s="62">
        <f t="shared" si="11"/>
        <v>916.78643936960702</v>
      </c>
      <c r="CD43" s="62">
        <f ca="1">AVERAGE(OFFSET($CC$3,0,0,'Données projet'!$E$12+1,1))-AVERAGE(OFFSET($H$3,0,0,'Données projet'!$E$12+1,1))</f>
        <v>409.97612835032567</v>
      </c>
      <c r="CE43" s="62">
        <f t="shared" si="40"/>
        <v>411.87876448092288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154</v>
      </c>
      <c r="CH43" s="17">
        <f>IF(ISNA(VLOOKUP(A43,'Données projet'!$A$113:$I$133,5,0)),0%,VLOOKUP(A43,'Données projet'!$A$113:$I$133,5,0)*VLOOKUP('Données projet'!$B$12,Paramètres!$A$1:$I$89,7,0))</f>
        <v>0.16500000000000001</v>
      </c>
      <c r="CI43" s="17">
        <f>IF(ISNA(VLOOKUP(A43,'Données projet'!$A$113:$I$133,6,0)),0%,VLOOKUP(A43,'Données projet'!$A$113:$I$133,6,0)*VLOOKUP('Données projet'!$B$12,Paramètres!$A$1:$I$89,7,0))</f>
        <v>0.1925</v>
      </c>
      <c r="CJ43" s="17">
        <f>IF(ISNA(VLOOKUP(A43,'Données projet'!$A$113:$I$133,7,0)),0%,VLOOKUP(A43,'Données projet'!$A$113:$I$133,7,0))</f>
        <v>0.35</v>
      </c>
      <c r="CK43" s="23">
        <f>EXP(-LN(2)/35)*CK42+(1-EXP(-LN(2)/35))/(LN(2)/35)*CG43*CH43*VLOOKUP('Données projet'!$B$12,Paramètres!$A$1:$I$89,3,0)*0.475*44/12</f>
        <v>25.080581206633127</v>
      </c>
      <c r="CL43" s="23">
        <f>EXP(-LN(2)/25)*CL42+(1-EXP(-LN(2)/25))/(LN(2)/25)*Calculateur!CG43*Calculateur!CI43*VLOOKUP('Données projet'!$B$12,Paramètres!$A$1:$I$89,3,0)*0.475*44/12</f>
        <v>39.476805756002364</v>
      </c>
      <c r="CM43" s="23">
        <f>EXP(-LN(2)/2)*CM42+(1-EXP(-LN(2)/2))/(LN(2)/2)*CG43*CJ43*VLOOKUP('Données projet'!$B$12,Paramètres!$A$1:$I$89,3,0)*0.475*44/12</f>
        <v>30.413938063607564</v>
      </c>
      <c r="CN43" s="24">
        <f t="shared" si="12"/>
        <v>94.971325026243051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537</v>
      </c>
      <c r="CR43" s="13">
        <f>VLOOKUP(A43,'Données projet'!$A$139:$I$159,9,0)</f>
        <v>26.3</v>
      </c>
      <c r="CS43" s="13">
        <f t="array" ref="CS43">INDEX(CR:CR,MIN(IF(ISNUMBER(CR43:CR239),ROW(CR43:CR239),"")))</f>
        <v>26.3</v>
      </c>
      <c r="CT43" s="13">
        <f>IF('Données projet'!$A$140&gt;35,CT42+CS43-DB42,IF(A43&lt;'Données projet'!$A$140,$CQ$205^A43,IF(A43='Données projet'!$A$140,'Données projet'!$B$140,CT42+CS43-DB42)))</f>
        <v>537.00000000000023</v>
      </c>
      <c r="CU43" s="18">
        <f>CT43*VLOOKUP('Données projet'!$B$13,Paramètres!$A$1:$I$89,3,0)*VLOOKUP('Données projet'!$B$13,Paramètres!$A$1:$I$89,5,0)</f>
        <v>321.12600000000015</v>
      </c>
      <c r="CV43" s="14">
        <f t="shared" si="41"/>
        <v>75.587591944000323</v>
      </c>
      <c r="CW43" s="22">
        <f t="shared" si="13"/>
        <v>690.94283930246741</v>
      </c>
      <c r="CX43" s="62">
        <f t="shared" si="14"/>
        <v>984.27617263580078</v>
      </c>
      <c r="CY43" s="62">
        <f ca="1">AVERAGE(OFFSET($CX$3,0,0,'Données projet'!$E$13+1,1))-AVERAGE(OFFSET($H$3,0,0,'Données projet'!$E$13+1,1))</f>
        <v>463.3255103386889</v>
      </c>
      <c r="CZ43" s="62">
        <f t="shared" si="42"/>
        <v>474.73210558736127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140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4.099789130487145</v>
      </c>
      <c r="DG43" s="23">
        <f>EXP(-LN(2)/25)*DG42+(1-EXP(-LN(2)/25))/(LN(2)/25)*Calculateur!DB43*Calculateur!DD43*VLOOKUP('Données projet'!$B$13,Paramètres!$A$1:$I$89,3,0)*0.475*44/12</f>
        <v>26.269002834021244</v>
      </c>
      <c r="DH43" s="23">
        <f>EXP(-LN(2)/2)*DH42+(1-EXP(-LN(2)/2))/(LN(2)/2)*DB43*DE43*VLOOKUP('Données projet'!$B$13,Paramètres!$A$1:$I$89,3,0)*0.475*44/12</f>
        <v>1.3630761084451026</v>
      </c>
      <c r="DI43" s="24">
        <f t="shared" si="15"/>
        <v>31.731868072953493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291.60000000000002</v>
      </c>
      <c r="DM43" s="13">
        <f>VLOOKUP(A43,'Données projet'!$A$165:$I$185,9,0)</f>
        <v>10.000000000000004</v>
      </c>
      <c r="DN43" s="13">
        <f t="array" ref="DN43">INDEX(DM:DM,MIN(IF(ISNUMBER(DM43:DM239),ROW(DM43:DM239),"")))</f>
        <v>10.000000000000004</v>
      </c>
      <c r="DO43" s="13">
        <f>IF('Données projet'!$A$166&gt;35,DO42+DN43-DW42,IF(A43&lt;'Données projet'!$A$166,$DL$205^A43,IF(A43='Données projet'!$A$166,'Données projet'!$B$166,DO42+DN43-DW42)))</f>
        <v>291.59999999999991</v>
      </c>
      <c r="DP43" s="18">
        <f>DO43*VLOOKUP('Données projet'!$B$14,Paramètres!$A$1:$I$89,3,0)*VLOOKUP('Données projet'!$B$14,Paramètres!$A$1:$I$89,5,0)</f>
        <v>136.46879999999996</v>
      </c>
      <c r="DQ43" s="14">
        <f t="shared" si="43"/>
        <v>35.486858352195874</v>
      </c>
      <c r="DR43" s="22">
        <f t="shared" si="16"/>
        <v>299.48943829674107</v>
      </c>
      <c r="DS43" s="62">
        <f t="shared" si="17"/>
        <v>592.82277163007439</v>
      </c>
      <c r="DT43" s="62">
        <f ca="1">AVERAGE(OFFSET($DS$3,0,0,'Données projet'!$E$14+1,1))-AVERAGE(OFFSET($H$3,0,0,'Données projet'!$E$14+1,1))</f>
        <v>215.23235148064941</v>
      </c>
      <c r="DU43" s="62">
        <f t="shared" si="44"/>
        <v>184.07239726900434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83.4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2.5714081142645449</v>
      </c>
      <c r="EB43" s="23">
        <f>EXP(-LN(2)/25)*EB42+(1-EXP(-LN(2)/25))/(LN(2)/25)*Calculateur!DW43*Calculateur!DY43*VLOOKUP('Données projet'!$B$14,Paramètres!$A$1:$I$89,3,0)*0.475*44/12</f>
        <v>5.9533287294897184</v>
      </c>
      <c r="EC43" s="23">
        <f>EXP(-LN(2)/2)*EC42+(1-EXP(-LN(2)/2))/(LN(2)/2)*DW43*DZ43*VLOOKUP('Données projet'!$B$14,Paramètres!$A$1:$I$89,3,0)*0.475*44/12</f>
        <v>0.30725551500924975</v>
      </c>
      <c r="ED43" s="24">
        <f t="shared" si="18"/>
        <v>8.8319923587635127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376.08308560652495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24.6</v>
      </c>
      <c r="N44" s="14">
        <f>IF('Données projet'!$A$36&gt;35,N43+M44-V43,IF(A44&lt;'Données projet'!$A$36,$K$205^A44,IF(A44='Données projet'!$A$36,'Données projet'!$B$36,N43+M44-V43)))</f>
        <v>445.60000000000025</v>
      </c>
      <c r="O44" s="14">
        <f>N44*VLOOKUP('Données projet'!$B$9,Paramètres!$A$1:$I$89,3,0)*VLOOKUP('Données projet'!$B$9,Paramètres!$A$1:$I$89,5,0)</f>
        <v>249.09040000000016</v>
      </c>
      <c r="P44" s="14">
        <f t="shared" si="33"/>
        <v>60.391122401453096</v>
      </c>
      <c r="Q44" s="22">
        <f t="shared" si="53"/>
        <v>539.01365151586447</v>
      </c>
      <c r="R44" s="62">
        <f t="shared" si="0"/>
        <v>832.34698484919772</v>
      </c>
      <c r="S44" s="62">
        <f ca="1">AVERAGE(OFFSET($R$3,0,0,'Données projet'!$E$9+1,1))-AVERAGE(OFFSET($H$3,0,0,'Données projet'!$E$9+1,1))</f>
        <v>460.40450534123659</v>
      </c>
      <c r="T44" s="62">
        <f t="shared" si="34"/>
        <v>467.77477728479198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10.102855540514517</v>
      </c>
      <c r="AA44" s="23">
        <f>EXP(-LN(2)/25)*AA43+(1-EXP(-LN(2)/25))/(LN(2)/25)*Calculateur!V44*Calculateur!X44*VLOOKUP('Données projet'!$B$9,Paramètres!$A$1:$I$89,3,0)*0.475*44/12</f>
        <v>32.630811552244062</v>
      </c>
      <c r="AB44" s="23">
        <f>EXP(-LN(2)/2)*AB43+(1-EXP(-LN(2)/2))/(LN(2)/2)*V44*Y44*VLOOKUP('Données projet'!$B$9,Paramètres!$A$1:$I$89,3,0)*0.475*44/12</f>
        <v>0.88883118019543084</v>
      </c>
      <c r="AC44" s="24">
        <f t="shared" si="3"/>
        <v>43.622498272954012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11.2</v>
      </c>
      <c r="AI44" s="14">
        <f>IF('Données projet'!$A$62&gt;35,AI43+AH44-AQ43,IF(A44&lt;'Données projet'!$A$62,$AF$205^A44,IF(A44='Données projet'!$A$62,'Données projet'!$B$62,AI43+AH44-AQ43)))</f>
        <v>158.19999999999999</v>
      </c>
      <c r="AJ44" s="14">
        <f>AI44*VLOOKUP('Données projet'!$B$10,Paramètres!$A$1:$I$89,3,0)*VLOOKUP('Données projet'!$B$10,Paramètres!$A$1:$I$89,5,0)</f>
        <v>143.13935999999998</v>
      </c>
      <c r="AK44" s="14">
        <f t="shared" si="35"/>
        <v>37.015257937854066</v>
      </c>
      <c r="AL44" s="22">
        <f t="shared" si="4"/>
        <v>313.76929290842912</v>
      </c>
      <c r="AM44" s="62">
        <f t="shared" si="5"/>
        <v>607.10262624176244</v>
      </c>
      <c r="AN44" s="62">
        <f ca="1">AVERAGE(OFFSET($AM$3,0,0,'Données projet'!$E$10+1,1))-AVERAGE(OFFSET($H$3,0,0,'Données projet'!$E$10+1,1))</f>
        <v>321.03881567735544</v>
      </c>
      <c r="AO44" s="62">
        <f t="shared" si="36"/>
        <v>234.87694492493506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1.9370764342143543</v>
      </c>
      <c r="AV44" s="23">
        <f>EXP(-LN(2)/25)*AV43+(1-EXP(-LN(2)/25))/(LN(2)/25)*Calculateur!AQ44*Calculateur!AS44*VLOOKUP('Données projet'!$B$10,Paramètres!$A$1:$I$89,3,0)*0.475*44/12</f>
        <v>9.9922368503815786</v>
      </c>
      <c r="AW44" s="23">
        <f>EXP(-LN(2)/2)*AW43+(1-EXP(-LN(2)/2))/(LN(2)/2)*AQ44*AT44*VLOOKUP('Données projet'!$B$10,Paramètres!$A$1:$I$89,3,0)*0.475*44/12</f>
        <v>0.48039253310774971</v>
      </c>
      <c r="AX44" s="23">
        <f t="shared" si="6"/>
        <v>12.409705817703683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12.4</v>
      </c>
      <c r="BD44" s="13">
        <f>IF('Données projet'!$A$88&gt;35,BD43+BC44-BL43,IF(A44&lt;'Données projet'!$A$88,$BA$205^A44,IF(A44='Données projet'!$A$88,'Données projet'!$B$88,BD43+BC44-BL43)))</f>
        <v>260.40000000000009</v>
      </c>
      <c r="BE44" s="14">
        <f>BD44*VLOOKUP('Données projet'!$B$11,Paramètres!$A$1:$I$89,3,0)*VLOOKUP('Données projet'!$B$11,Paramètres!$A$1:$I$89,5,0)</f>
        <v>162.48960000000005</v>
      </c>
      <c r="BF44" s="14">
        <f t="shared" si="37"/>
        <v>41.403546033820696</v>
      </c>
      <c r="BG44" s="22">
        <f t="shared" si="7"/>
        <v>355.11389600890448</v>
      </c>
      <c r="BH44" s="62">
        <f t="shared" si="8"/>
        <v>648.44722934223773</v>
      </c>
      <c r="BI44" s="62">
        <f ca="1">AVERAGE(OFFSET($BH$3,0,0,'Données projet'!$E$11+1,1))-AVERAGE(OFFSET($H$3,0,0,'Données projet'!$E$11+1,1))</f>
        <v>255.41017495879987</v>
      </c>
      <c r="BJ44" s="62">
        <f t="shared" si="38"/>
        <v>297.50513563712764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6.7106416967169285</v>
      </c>
      <c r="BQ44" s="23">
        <f>EXP(-LN(2)/25)*BQ43+(1-EXP(-LN(2)/25))/(LN(2)/25)*Calculateur!BL44*Calculateur!BN44*VLOOKUP('Données projet'!$B$11,Paramètres!$A$1:$I$89,3,0)*0.475*44/12</f>
        <v>20.543844027310477</v>
      </c>
      <c r="BR44" s="23">
        <f>EXP(-LN(2)/2)*BR43+(1-EXP(-LN(2)/2))/(LN(2)/2)*BL44*BO44*VLOOKUP('Données projet'!$B$11,Paramètres!$A$1:$I$89,3,0)*0.475*44/12</f>
        <v>0.53919524131060848</v>
      </c>
      <c r="BS44" s="24">
        <f t="shared" si="9"/>
        <v>27.793680965338012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27.4</v>
      </c>
      <c r="BY44" s="13">
        <f>IF('Données projet'!$A$114&gt;35,BY43+BX44-CG43,IF(A44&lt;'Données projet'!$A$114,$BV$205^A44,IF(A44='Données projet'!$A$114,'Données projet'!$B$114,BY43+BX44-CG43)))</f>
        <v>474.40000000000009</v>
      </c>
      <c r="BZ44" s="14">
        <f>BY44*VLOOKUP('Données projet'!$B$12,Paramètres!$A$1:$I$89,3,0)*VLOOKUP('Données projet'!$B$12,Paramètres!$A$1:$I$89,5,0)</f>
        <v>228.18640000000002</v>
      </c>
      <c r="CA44" s="14">
        <f t="shared" si="39"/>
        <v>55.890358316878277</v>
      </c>
      <c r="CB44" s="22">
        <f t="shared" si="10"/>
        <v>494.76702073522966</v>
      </c>
      <c r="CC44" s="62">
        <f t="shared" si="11"/>
        <v>788.10035406856298</v>
      </c>
      <c r="CD44" s="62">
        <f ca="1">AVERAGE(OFFSET($CC$3,0,0,'Données projet'!$E$12+1,1))-AVERAGE(OFFSET($H$3,0,0,'Données projet'!$E$12+1,1))</f>
        <v>409.97612835032567</v>
      </c>
      <c r="CE44" s="62">
        <f t="shared" si="40"/>
        <v>411.87876448092288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24.588766306815071</v>
      </c>
      <c r="CL44" s="23">
        <f>EXP(-LN(2)/25)*CL43+(1-EXP(-LN(2)/25))/(LN(2)/25)*Calculateur!CG44*Calculateur!CI44*VLOOKUP('Données projet'!$B$12,Paramètres!$A$1:$I$89,3,0)*0.475*44/12</f>
        <v>38.397310426609486</v>
      </c>
      <c r="CM44" s="23">
        <f>EXP(-LN(2)/2)*CM43+(1-EXP(-LN(2)/2))/(LN(2)/2)*CG44*CJ44*VLOOKUP('Données projet'!$B$12,Paramètres!$A$1:$I$89,3,0)*0.475*44/12</f>
        <v>21.505901847364562</v>
      </c>
      <c r="CN44" s="24">
        <f t="shared" si="12"/>
        <v>84.491978580789123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23</v>
      </c>
      <c r="CT44" s="13">
        <f>IF('Données projet'!$A$140&gt;35,CT43+CS44-DB43,IF(A44&lt;'Données projet'!$A$140,$CQ$205^A44,IF(A44='Données projet'!$A$140,'Données projet'!$B$140,CT43+CS44-DB43)))</f>
        <v>420.00000000000023</v>
      </c>
      <c r="CU44" s="18">
        <f>CT44*VLOOKUP('Données projet'!$B$13,Paramètres!$A$1:$I$89,3,0)*VLOOKUP('Données projet'!$B$13,Paramètres!$A$1:$I$89,5,0)</f>
        <v>251.16000000000014</v>
      </c>
      <c r="CV44" s="14">
        <f t="shared" si="41"/>
        <v>60.834270430141594</v>
      </c>
      <c r="CW44" s="22">
        <f t="shared" si="13"/>
        <v>543.39002099916354</v>
      </c>
      <c r="CX44" s="62">
        <f t="shared" si="14"/>
        <v>836.72335433249691</v>
      </c>
      <c r="CY44" s="62">
        <f ca="1">AVERAGE(OFFSET($CX$3,0,0,'Données projet'!$E$13+1,1))-AVERAGE(OFFSET($H$3,0,0,'Données projet'!$E$13+1,1))</f>
        <v>463.3255103386889</v>
      </c>
      <c r="CZ44" s="62">
        <f t="shared" si="42"/>
        <v>474.73210558736127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4.0193947662627458</v>
      </c>
      <c r="DG44" s="23">
        <f>EXP(-LN(2)/25)*DG43+(1-EXP(-LN(2)/25))/(LN(2)/25)*Calculateur!DB44*Calculateur!DD44*VLOOKUP('Données projet'!$B$13,Paramètres!$A$1:$I$89,3,0)*0.475*44/12</f>
        <v>25.550675570098111</v>
      </c>
      <c r="DH44" s="23">
        <f>EXP(-LN(2)/2)*DH43+(1-EXP(-LN(2)/2))/(LN(2)/2)*DB44*DE44*VLOOKUP('Données projet'!$B$13,Paramètres!$A$1:$I$89,3,0)*0.475*44/12</f>
        <v>0.96384035955490199</v>
      </c>
      <c r="DI44" s="24">
        <f t="shared" si="15"/>
        <v>30.533910695915758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11.499999999999996</v>
      </c>
      <c r="DO44" s="13">
        <f>IF('Données projet'!$A$166&gt;35,DO43+DN44-DW43,IF(A44&lt;'Données projet'!$A$166,$DL$205^A44,IF(A44='Données projet'!$A$166,'Données projet'!$B$166,DO43+DN44-DW43)))</f>
        <v>219.6999999999999</v>
      </c>
      <c r="DP44" s="18">
        <f>DO44*VLOOKUP('Données projet'!$B$14,Paramètres!$A$1:$I$89,3,0)*VLOOKUP('Données projet'!$B$14,Paramètres!$A$1:$I$89,5,0)</f>
        <v>102.81959999999995</v>
      </c>
      <c r="DQ44" s="14">
        <f t="shared" si="43"/>
        <v>27.632637448562328</v>
      </c>
      <c r="DR44" s="22">
        <f t="shared" si="16"/>
        <v>227.20431355624598</v>
      </c>
      <c r="DS44" s="62">
        <f t="shared" si="17"/>
        <v>520.53764688957926</v>
      </c>
      <c r="DT44" s="62">
        <f ca="1">AVERAGE(OFFSET($DS$3,0,0,'Données projet'!$E$14+1,1))-AVERAGE(OFFSET($H$3,0,0,'Données projet'!$E$14+1,1))</f>
        <v>215.23235148064941</v>
      </c>
      <c r="DU44" s="62">
        <f t="shared" si="44"/>
        <v>184.07239726900434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2.5209843695478997</v>
      </c>
      <c r="EB44" s="23">
        <f>EXP(-LN(2)/25)*EB43+(1-EXP(-LN(2)/25))/(LN(2)/25)*Calculateur!DW44*Calculateur!DY44*VLOOKUP('Données projet'!$B$14,Paramètres!$A$1:$I$89,3,0)*0.475*44/12</f>
        <v>5.7905346423098703</v>
      </c>
      <c r="EC44" s="23">
        <f>EXP(-LN(2)/2)*EC43+(1-EXP(-LN(2)/2))/(LN(2)/2)*DW44*DZ44*VLOOKUP('Données projet'!$B$14,Paramètres!$A$1:$I$89,3,0)*0.475*44/12</f>
        <v>0.21726245822000553</v>
      </c>
      <c r="ED44" s="24">
        <f t="shared" si="18"/>
        <v>8.5287814700777762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378.04612747032132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24.6</v>
      </c>
      <c r="N45" s="14">
        <f>IF('Données projet'!$A$36&gt;35,N44+M45-V44,IF(A45&lt;'Données projet'!$A$36,$K$205^A45,IF(A45='Données projet'!$A$36,'Données projet'!$B$36,N44+M45-V44)))</f>
        <v>470.20000000000027</v>
      </c>
      <c r="O45" s="14">
        <f>N45*VLOOKUP('Données projet'!$B$9,Paramètres!$A$1:$I$89,3,0)*VLOOKUP('Données projet'!$B$9,Paramètres!$A$1:$I$89,5,0)</f>
        <v>262.84180000000015</v>
      </c>
      <c r="P45" s="14">
        <f t="shared" si="33"/>
        <v>63.327751097024091</v>
      </c>
      <c r="Q45" s="22">
        <f t="shared" si="53"/>
        <v>568.07863482731716</v>
      </c>
      <c r="R45" s="62">
        <f t="shared" si="0"/>
        <v>861.41196816065053</v>
      </c>
      <c r="S45" s="62">
        <f ca="1">AVERAGE(OFFSET($R$3,0,0,'Données projet'!$E$9+1,1))-AVERAGE(OFFSET($H$3,0,0,'Données projet'!$E$9+1,1))</f>
        <v>460.40450534123659</v>
      </c>
      <c r="T45" s="62">
        <f t="shared" si="34"/>
        <v>467.77477728479198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9.9047447054984463</v>
      </c>
      <c r="AA45" s="23">
        <f>EXP(-LN(2)/25)*AA44+(1-EXP(-LN(2)/25))/(LN(2)/25)*Calculateur!V45*Calculateur!X45*VLOOKUP('Données projet'!$B$9,Paramètres!$A$1:$I$89,3,0)*0.475*44/12</f>
        <v>31.738520294368147</v>
      </c>
      <c r="AB45" s="23">
        <f>EXP(-LN(2)/2)*AB44+(1-EXP(-LN(2)/2))/(LN(2)/2)*V45*Y45*VLOOKUP('Données projet'!$B$9,Paramètres!$A$1:$I$89,3,0)*0.475*44/12</f>
        <v>0.62849855484623129</v>
      </c>
      <c r="AC45" s="24">
        <f t="shared" si="3"/>
        <v>42.271763554712827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11.2</v>
      </c>
      <c r="AI45" s="14">
        <f>IF('Données projet'!$A$62&gt;35,AI44+AH45-AQ44,IF(A45&lt;'Données projet'!$A$62,$AF$205^A45,IF(A45='Données projet'!$A$62,'Données projet'!$B$62,AI44+AH45-AQ44)))</f>
        <v>169.39999999999998</v>
      </c>
      <c r="AJ45" s="14">
        <f>AI45*VLOOKUP('Données projet'!$B$10,Paramètres!$A$1:$I$89,3,0)*VLOOKUP('Données projet'!$B$10,Paramètres!$A$1:$I$89,5,0)</f>
        <v>153.27311999999998</v>
      </c>
      <c r="AK45" s="14">
        <f t="shared" si="35"/>
        <v>39.321476829336504</v>
      </c>
      <c r="AL45" s="22">
        <f t="shared" si="4"/>
        <v>335.43558947776097</v>
      </c>
      <c r="AM45" s="62">
        <f t="shared" si="5"/>
        <v>628.76892281109428</v>
      </c>
      <c r="AN45" s="62">
        <f ca="1">AVERAGE(OFFSET($AM$3,0,0,'Données projet'!$E$10+1,1))-AVERAGE(OFFSET($H$3,0,0,'Données projet'!$E$10+1,1))</f>
        <v>321.03881567735544</v>
      </c>
      <c r="AO45" s="62">
        <f t="shared" si="36"/>
        <v>234.87694492493506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1.8990915468393723</v>
      </c>
      <c r="AV45" s="23">
        <f>EXP(-LN(2)/25)*AV44+(1-EXP(-LN(2)/25))/(LN(2)/25)*Calculateur!AQ45*Calculateur!AS45*VLOOKUP('Données projet'!$B$10,Paramètres!$A$1:$I$89,3,0)*0.475*44/12</f>
        <v>9.7189986082389961</v>
      </c>
      <c r="AW45" s="23">
        <f>EXP(-LN(2)/2)*AW44+(1-EXP(-LN(2)/2))/(LN(2)/2)*AQ45*AT45*VLOOKUP('Données projet'!$B$10,Paramètres!$A$1:$I$89,3,0)*0.475*44/12</f>
        <v>0.33968881779187288</v>
      </c>
      <c r="AX45" s="23">
        <f t="shared" si="6"/>
        <v>11.957778972870241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12.4</v>
      </c>
      <c r="BD45" s="13">
        <f>IF('Données projet'!$A$88&gt;35,BD44+BC45-BL44,IF(A45&lt;'Données projet'!$A$88,$BA$205^A45,IF(A45='Données projet'!$A$88,'Données projet'!$B$88,BD44+BC45-BL44)))</f>
        <v>272.80000000000007</v>
      </c>
      <c r="BE45" s="14">
        <f>BD45*VLOOKUP('Données projet'!$B$11,Paramètres!$A$1:$I$89,3,0)*VLOOKUP('Données projet'!$B$11,Paramètres!$A$1:$I$89,5,0)</f>
        <v>170.22720000000004</v>
      </c>
      <c r="BF45" s="14">
        <f t="shared" si="37"/>
        <v>43.140904871338378</v>
      </c>
      <c r="BG45" s="22">
        <f t="shared" si="7"/>
        <v>371.6161159842477</v>
      </c>
      <c r="BH45" s="62">
        <f t="shared" si="8"/>
        <v>664.94944931758096</v>
      </c>
      <c r="BI45" s="62">
        <f ca="1">AVERAGE(OFFSET($BH$3,0,0,'Données projet'!$E$11+1,1))-AVERAGE(OFFSET($H$3,0,0,'Données projet'!$E$11+1,1))</f>
        <v>255.41017495879987</v>
      </c>
      <c r="BJ45" s="62">
        <f t="shared" si="38"/>
        <v>297.50513563712764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6.5790501061315858</v>
      </c>
      <c r="BQ45" s="23">
        <f>EXP(-LN(2)/25)*BQ44+(1-EXP(-LN(2)/25))/(LN(2)/25)*Calculateur!BL45*Calculateur!BN45*VLOOKUP('Données projet'!$B$11,Paramètres!$A$1:$I$89,3,0)*0.475*44/12</f>
        <v>19.98207153202987</v>
      </c>
      <c r="BR45" s="23">
        <f>EXP(-LN(2)/2)*BR44+(1-EXP(-LN(2)/2))/(LN(2)/2)*BL45*BO45*VLOOKUP('Données projet'!$B$11,Paramètres!$A$1:$I$89,3,0)*0.475*44/12</f>
        <v>0.38126861151424812</v>
      </c>
      <c r="BS45" s="24">
        <f t="shared" si="9"/>
        <v>26.942390249675704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27.4</v>
      </c>
      <c r="BY45" s="13">
        <f>IF('Données projet'!$A$114&gt;35,BY44+BX45-CG44,IF(A45&lt;'Données projet'!$A$114,$BV$205^A45,IF(A45='Données projet'!$A$114,'Données projet'!$B$114,BY44+BX45-CG44)))</f>
        <v>501.80000000000007</v>
      </c>
      <c r="BZ45" s="14">
        <f>BY45*VLOOKUP('Données projet'!$B$12,Paramètres!$A$1:$I$89,3,0)*VLOOKUP('Données projet'!$B$12,Paramètres!$A$1:$I$89,5,0)</f>
        <v>241.36580000000004</v>
      </c>
      <c r="CA45" s="14">
        <f t="shared" si="39"/>
        <v>58.733291883206277</v>
      </c>
      <c r="CB45" s="22">
        <f t="shared" si="10"/>
        <v>522.67258502991763</v>
      </c>
      <c r="CC45" s="62">
        <f t="shared" si="11"/>
        <v>816.00591836325088</v>
      </c>
      <c r="CD45" s="62">
        <f ca="1">AVERAGE(OFFSET($CC$3,0,0,'Données projet'!$E$12+1,1))-AVERAGE(OFFSET($H$3,0,0,'Données projet'!$E$12+1,1))</f>
        <v>409.97612835032567</v>
      </c>
      <c r="CE45" s="62">
        <f t="shared" si="40"/>
        <v>411.87876448092288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24.106595597204979</v>
      </c>
      <c r="CL45" s="23">
        <f>EXP(-LN(2)/25)*CL44+(1-EXP(-LN(2)/25))/(LN(2)/25)*Calculateur!CG45*Calculateur!CI45*VLOOKUP('Données projet'!$B$12,Paramètres!$A$1:$I$89,3,0)*0.475*44/12</f>
        <v>37.347333953767055</v>
      </c>
      <c r="CM45" s="23">
        <f>EXP(-LN(2)/2)*CM44+(1-EXP(-LN(2)/2))/(LN(2)/2)*CG45*CJ45*VLOOKUP('Données projet'!$B$12,Paramètres!$A$1:$I$89,3,0)*0.475*44/12</f>
        <v>15.206969031803784</v>
      </c>
      <c r="CN45" s="24">
        <f t="shared" si="12"/>
        <v>76.660898582775815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23</v>
      </c>
      <c r="CT45" s="13">
        <f>IF('Données projet'!$A$140&gt;35,CT44+CS45-DB44,IF(A45&lt;'Données projet'!$A$140,$CQ$205^A45,IF(A45='Données projet'!$A$140,'Données projet'!$B$140,CT44+CS45-DB44)))</f>
        <v>443.00000000000023</v>
      </c>
      <c r="CU45" s="18">
        <f>CT45*VLOOKUP('Données projet'!$B$13,Paramètres!$A$1:$I$89,3,0)*VLOOKUP('Données projet'!$B$13,Paramètres!$A$1:$I$89,5,0)</f>
        <v>264.91400000000016</v>
      </c>
      <c r="CV45" s="14">
        <f t="shared" si="41"/>
        <v>63.768700008671679</v>
      </c>
      <c r="CW45" s="22">
        <f t="shared" si="13"/>
        <v>572.45570251510333</v>
      </c>
      <c r="CX45" s="62">
        <f t="shared" si="14"/>
        <v>865.7890358484367</v>
      </c>
      <c r="CY45" s="62">
        <f ca="1">AVERAGE(OFFSET($CX$3,0,0,'Données projet'!$E$13+1,1))-AVERAGE(OFFSET($H$3,0,0,'Données projet'!$E$13+1,1))</f>
        <v>463.3255103386889</v>
      </c>
      <c r="CZ45" s="62">
        <f t="shared" si="42"/>
        <v>474.73210558736127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3.9405768864850663</v>
      </c>
      <c r="DG45" s="23">
        <f>EXP(-LN(2)/25)*DG44+(1-EXP(-LN(2)/25))/(LN(2)/25)*Calculateur!DB45*Calculateur!DD45*VLOOKUP('Données projet'!$B$13,Paramètres!$A$1:$I$89,3,0)*0.475*44/12</f>
        <v>24.851991002982146</v>
      </c>
      <c r="DH45" s="23">
        <f>EXP(-LN(2)/2)*DH44+(1-EXP(-LN(2)/2))/(LN(2)/2)*DB45*DE45*VLOOKUP('Données projet'!$B$13,Paramètres!$A$1:$I$89,3,0)*0.475*44/12</f>
        <v>0.68153805422255143</v>
      </c>
      <c r="DI45" s="24">
        <f t="shared" si="15"/>
        <v>29.474105943689761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11.499999999999996</v>
      </c>
      <c r="DO45" s="13">
        <f>IF('Données projet'!$A$166&gt;35,DO44+DN45-DW44,IF(A45&lt;'Données projet'!$A$166,$DL$205^A45,IF(A45='Données projet'!$A$166,'Données projet'!$B$166,DO44+DN45-DW44)))</f>
        <v>231.1999999999999</v>
      </c>
      <c r="DP45" s="18">
        <f>DO45*VLOOKUP('Données projet'!$B$14,Paramètres!$A$1:$I$89,3,0)*VLOOKUP('Données projet'!$B$14,Paramètres!$A$1:$I$89,5,0)</f>
        <v>108.20159999999994</v>
      </c>
      <c r="DQ45" s="14">
        <f t="shared" si="43"/>
        <v>28.906861857161235</v>
      </c>
      <c r="DR45" s="22">
        <f t="shared" si="16"/>
        <v>238.79723773455569</v>
      </c>
      <c r="DS45" s="62">
        <f t="shared" si="17"/>
        <v>532.13057106788904</v>
      </c>
      <c r="DT45" s="62">
        <f ca="1">AVERAGE(OFFSET($DS$3,0,0,'Données projet'!$E$14+1,1))-AVERAGE(OFFSET($H$3,0,0,'Données projet'!$E$14+1,1))</f>
        <v>215.23235148064941</v>
      </c>
      <c r="DU45" s="62">
        <f t="shared" si="44"/>
        <v>184.07239726900434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2.4715494037097008</v>
      </c>
      <c r="EB45" s="23">
        <f>EXP(-LN(2)/25)*EB44+(1-EXP(-LN(2)/25))/(LN(2)/25)*Calculateur!DW45*Calculateur!DY45*VLOOKUP('Données projet'!$B$14,Paramètres!$A$1:$I$89,3,0)*0.475*44/12</f>
        <v>5.6321921680049245</v>
      </c>
      <c r="EC45" s="23">
        <f>EXP(-LN(2)/2)*EC44+(1-EXP(-LN(2)/2))/(LN(2)/2)*DW45*DZ45*VLOOKUP('Données projet'!$B$14,Paramètres!$A$1:$I$89,3,0)*0.475*44/12</f>
        <v>0.15362775750462487</v>
      </c>
      <c r="ED45" s="24">
        <f t="shared" si="18"/>
        <v>8.2573693292192498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380.00802246281268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24.6</v>
      </c>
      <c r="N46" s="14">
        <f>IF('Données projet'!$A$36&gt;35,N45+M46-V45,IF(A46&lt;'Données projet'!$A$36,$K$205^A46,IF(A46='Données projet'!$A$36,'Données projet'!$B$36,N45+M46-V45)))</f>
        <v>494.8000000000003</v>
      </c>
      <c r="O46" s="14">
        <f>N46*VLOOKUP('Données projet'!$B$9,Paramètres!$A$1:$I$89,3,0)*VLOOKUP('Données projet'!$B$9,Paramètres!$A$1:$I$89,5,0)</f>
        <v>276.59320000000019</v>
      </c>
      <c r="P46" s="14">
        <f t="shared" si="33"/>
        <v>66.246541963934263</v>
      </c>
      <c r="Q46" s="22">
        <f t="shared" si="53"/>
        <v>597.11255058718575</v>
      </c>
      <c r="R46" s="62">
        <f t="shared" si="0"/>
        <v>890.44588392051901</v>
      </c>
      <c r="S46" s="62">
        <f ca="1">AVERAGE(OFFSET($R$3,0,0,'Données projet'!$E$9+1,1))-AVERAGE(OFFSET($H$3,0,0,'Données projet'!$E$9+1,1))</f>
        <v>460.40450534123659</v>
      </c>
      <c r="T46" s="62">
        <f t="shared" si="34"/>
        <v>467.77477728479198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9.7105187031213642</v>
      </c>
      <c r="AA46" s="23">
        <f>EXP(-LN(2)/25)*AA45+(1-EXP(-LN(2)/25))/(LN(2)/25)*Calculateur!V46*Calculateur!X46*VLOOKUP('Données projet'!$B$9,Paramètres!$A$1:$I$89,3,0)*0.475*44/12</f>
        <v>30.870628787862408</v>
      </c>
      <c r="AB46" s="23">
        <f>EXP(-LN(2)/2)*AB45+(1-EXP(-LN(2)/2))/(LN(2)/2)*V46*Y46*VLOOKUP('Données projet'!$B$9,Paramètres!$A$1:$I$89,3,0)*0.475*44/12</f>
        <v>0.44441559009771542</v>
      </c>
      <c r="AC46" s="24">
        <f t="shared" si="3"/>
        <v>41.025563081081486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11.2</v>
      </c>
      <c r="AI46" s="14">
        <f>IF('Données projet'!$A$62&gt;35,AI45+AH46-AQ45,IF(A46&lt;'Données projet'!$A$62,$AF$205^A46,IF(A46='Données projet'!$A$62,'Données projet'!$B$62,AI45+AH46-AQ45)))</f>
        <v>180.59999999999997</v>
      </c>
      <c r="AJ46" s="14">
        <f>AI46*VLOOKUP('Données projet'!$B$10,Paramètres!$A$1:$I$89,3,0)*VLOOKUP('Données projet'!$B$10,Paramètres!$A$1:$I$89,5,0)</f>
        <v>163.40687999999997</v>
      </c>
      <c r="AK46" s="14">
        <f t="shared" si="35"/>
        <v>41.610001881769797</v>
      </c>
      <c r="AL46" s="22">
        <f t="shared" si="4"/>
        <v>357.07106927741569</v>
      </c>
      <c r="AM46" s="62">
        <f t="shared" si="5"/>
        <v>650.404402610749</v>
      </c>
      <c r="AN46" s="62">
        <f ca="1">AVERAGE(OFFSET($AM$3,0,0,'Données projet'!$E$10+1,1))-AVERAGE(OFFSET($H$3,0,0,'Données projet'!$E$10+1,1))</f>
        <v>321.03881567735544</v>
      </c>
      <c r="AO46" s="62">
        <f t="shared" si="36"/>
        <v>234.87694492493506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1.86185151993732</v>
      </c>
      <c r="AV46" s="23">
        <f>EXP(-LN(2)/25)*AV45+(1-EXP(-LN(2)/25))/(LN(2)/25)*Calculateur!AQ46*Calculateur!AS46*VLOOKUP('Données projet'!$B$10,Paramètres!$A$1:$I$89,3,0)*0.475*44/12</f>
        <v>9.4532320801967771</v>
      </c>
      <c r="AW46" s="23">
        <f>EXP(-LN(2)/2)*AW45+(1-EXP(-LN(2)/2))/(LN(2)/2)*AQ46*AT46*VLOOKUP('Données projet'!$B$10,Paramètres!$A$1:$I$89,3,0)*0.475*44/12</f>
        <v>0.24019626655387488</v>
      </c>
      <c r="AX46" s="23">
        <f t="shared" si="6"/>
        <v>11.555279866687972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12.4</v>
      </c>
      <c r="BD46" s="13">
        <f>IF('Données projet'!$A$88&gt;35,BD45+BC46-BL45,IF(A46&lt;'Données projet'!$A$88,$BA$205^A46,IF(A46='Données projet'!$A$88,'Données projet'!$B$88,BD45+BC46-BL45)))</f>
        <v>285.20000000000005</v>
      </c>
      <c r="BE46" s="14">
        <f>BD46*VLOOKUP('Données projet'!$B$11,Paramètres!$A$1:$I$89,3,0)*VLOOKUP('Données projet'!$B$11,Paramètres!$A$1:$I$89,5,0)</f>
        <v>177.96480000000003</v>
      </c>
      <c r="BF46" s="14">
        <f t="shared" si="37"/>
        <v>44.869092441133326</v>
      </c>
      <c r="BG46" s="22">
        <f t="shared" si="7"/>
        <v>388.10236266830719</v>
      </c>
      <c r="BH46" s="62">
        <f t="shared" si="8"/>
        <v>681.43569600164051</v>
      </c>
      <c r="BI46" s="62">
        <f ca="1">AVERAGE(OFFSET($BH$3,0,0,'Données projet'!$E$11+1,1))-AVERAGE(OFFSET($H$3,0,0,'Données projet'!$E$11+1,1))</f>
        <v>255.41017495879987</v>
      </c>
      <c r="BJ46" s="62">
        <f t="shared" si="38"/>
        <v>297.50513563712764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6.4500389463746766</v>
      </c>
      <c r="BQ46" s="23">
        <f>EXP(-LN(2)/25)*BQ45+(1-EXP(-LN(2)/25))/(LN(2)/25)*Calculateur!BL46*Calculateur!BN46*VLOOKUP('Données projet'!$B$11,Paramètres!$A$1:$I$89,3,0)*0.475*44/12</f>
        <v>19.435660735175041</v>
      </c>
      <c r="BR46" s="23">
        <f>EXP(-LN(2)/2)*BR45+(1-EXP(-LN(2)/2))/(LN(2)/2)*BL46*BO46*VLOOKUP('Données projet'!$B$11,Paramètres!$A$1:$I$89,3,0)*0.475*44/12</f>
        <v>0.26959762065530424</v>
      </c>
      <c r="BS46" s="24">
        <f t="shared" si="9"/>
        <v>26.155297302205021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27.4</v>
      </c>
      <c r="BY46" s="13">
        <f>IF('Données projet'!$A$114&gt;35,BY45+BX46-CG45,IF(A46&lt;'Données projet'!$A$114,$BV$205^A46,IF(A46='Données projet'!$A$114,'Données projet'!$B$114,BY45+BX46-CG45)))</f>
        <v>529.20000000000005</v>
      </c>
      <c r="BZ46" s="14">
        <f>BY46*VLOOKUP('Données projet'!$B$12,Paramètres!$A$1:$I$89,3,0)*VLOOKUP('Données projet'!$B$12,Paramètres!$A$1:$I$89,5,0)</f>
        <v>254.54520000000002</v>
      </c>
      <c r="CA46" s="14">
        <f t="shared" si="39"/>
        <v>61.558204069471131</v>
      </c>
      <c r="CB46" s="22">
        <f t="shared" si="10"/>
        <v>550.54676208766227</v>
      </c>
      <c r="CC46" s="62">
        <f t="shared" si="11"/>
        <v>843.88009542099553</v>
      </c>
      <c r="CD46" s="62">
        <f ca="1">AVERAGE(OFFSET($CC$3,0,0,'Données projet'!$E$12+1,1))-AVERAGE(OFFSET($H$3,0,0,'Données projet'!$E$12+1,1))</f>
        <v>409.97612835032567</v>
      </c>
      <c r="CE46" s="62">
        <f t="shared" si="40"/>
        <v>411.87876448092288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23.633879961115248</v>
      </c>
      <c r="CL46" s="23">
        <f>EXP(-LN(2)/25)*CL45+(1-EXP(-LN(2)/25))/(LN(2)/25)*Calculateur!CG46*Calculateur!CI46*VLOOKUP('Données projet'!$B$12,Paramètres!$A$1:$I$89,3,0)*0.475*44/12</f>
        <v>36.326069142790359</v>
      </c>
      <c r="CM46" s="23">
        <f>EXP(-LN(2)/2)*CM45+(1-EXP(-LN(2)/2))/(LN(2)/2)*CG46*CJ46*VLOOKUP('Données projet'!$B$12,Paramètres!$A$1:$I$89,3,0)*0.475*44/12</f>
        <v>10.752950923682283</v>
      </c>
      <c r="CN46" s="24">
        <f t="shared" si="12"/>
        <v>70.712900027587892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23</v>
      </c>
      <c r="CT46" s="13">
        <f>IF('Données projet'!$A$140&gt;35,CT45+CS46-DB45,IF(A46&lt;'Données projet'!$A$140,$CQ$205^A46,IF(A46='Données projet'!$A$140,'Données projet'!$B$140,CT45+CS46-DB45)))</f>
        <v>466.00000000000023</v>
      </c>
      <c r="CU46" s="18">
        <f>CT46*VLOOKUP('Données projet'!$B$13,Paramètres!$A$1:$I$89,3,0)*VLOOKUP('Données projet'!$B$13,Paramètres!$A$1:$I$89,5,0)</f>
        <v>278.66800000000018</v>
      </c>
      <c r="CV46" s="14">
        <f t="shared" si="41"/>
        <v>66.685440917424543</v>
      </c>
      <c r="CW46" s="22">
        <f t="shared" si="13"/>
        <v>601.49057626451474</v>
      </c>
      <c r="CX46" s="62">
        <f t="shared" si="14"/>
        <v>894.82390959784811</v>
      </c>
      <c r="CY46" s="62">
        <f ca="1">AVERAGE(OFFSET($CX$3,0,0,'Données projet'!$E$13+1,1))-AVERAGE(OFFSET($H$3,0,0,'Données projet'!$E$13+1,1))</f>
        <v>463.3255103386889</v>
      </c>
      <c r="CZ46" s="62">
        <f t="shared" si="42"/>
        <v>474.73210558736127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3.8633045772556676</v>
      </c>
      <c r="DG46" s="23">
        <f>EXP(-LN(2)/25)*DG45+(1-EXP(-LN(2)/25))/(LN(2)/25)*Calculateur!DB46*Calculateur!DD46*VLOOKUP('Données projet'!$B$13,Paramètres!$A$1:$I$89,3,0)*0.475*44/12</f>
        <v>24.172412002096191</v>
      </c>
      <c r="DH46" s="23">
        <f>EXP(-LN(2)/2)*DH45+(1-EXP(-LN(2)/2))/(LN(2)/2)*DB46*DE46*VLOOKUP('Données projet'!$B$13,Paramètres!$A$1:$I$89,3,0)*0.475*44/12</f>
        <v>0.48192017977745105</v>
      </c>
      <c r="DI46" s="24">
        <f t="shared" si="15"/>
        <v>28.51763675912931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11.499999999999996</v>
      </c>
      <c r="DO46" s="13">
        <f>IF('Données projet'!$A$166&gt;35,DO45+DN46-DW45,IF(A46&lt;'Données projet'!$A$166,$DL$205^A46,IF(A46='Données projet'!$A$166,'Données projet'!$B$166,DO45+DN46-DW45)))</f>
        <v>242.6999999999999</v>
      </c>
      <c r="DP46" s="18">
        <f>DO46*VLOOKUP('Données projet'!$B$14,Paramètres!$A$1:$I$89,3,0)*VLOOKUP('Données projet'!$B$14,Paramètres!$A$1:$I$89,5,0)</f>
        <v>113.58359999999995</v>
      </c>
      <c r="DQ46" s="14">
        <f t="shared" si="43"/>
        <v>30.17372688298952</v>
      </c>
      <c r="DR46" s="22">
        <f t="shared" si="16"/>
        <v>250.37734432120666</v>
      </c>
      <c r="DS46" s="62">
        <f t="shared" si="17"/>
        <v>543.71067765453995</v>
      </c>
      <c r="DT46" s="62">
        <f ca="1">AVERAGE(OFFSET($DS$3,0,0,'Données projet'!$E$14+1,1))-AVERAGE(OFFSET($H$3,0,0,'Données projet'!$E$14+1,1))</f>
        <v>215.23235148064941</v>
      </c>
      <c r="DU46" s="62">
        <f t="shared" si="44"/>
        <v>184.07239726900434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2.4230838273992368</v>
      </c>
      <c r="EB46" s="23">
        <f>EXP(-LN(2)/25)*EB45+(1-EXP(-LN(2)/25))/(LN(2)/25)*Calculateur!DW46*Calculateur!DY46*VLOOKUP('Données projet'!$B$14,Paramètres!$A$1:$I$89,3,0)*0.475*44/12</f>
        <v>5.4781795769867161</v>
      </c>
      <c r="EC46" s="23">
        <f>EXP(-LN(2)/2)*EC45+(1-EXP(-LN(2)/2))/(LN(2)/2)*DW46*DZ46*VLOOKUP('Données projet'!$B$14,Paramètres!$A$1:$I$89,3,0)*0.475*44/12</f>
        <v>0.10863122911000277</v>
      </c>
      <c r="ED46" s="24">
        <f t="shared" si="18"/>
        <v>8.0098946334959553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381.96880032513235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24.6</v>
      </c>
      <c r="N47" s="14">
        <f>IF('Données projet'!$A$36&gt;35,N46+M47-V46,IF(A47&lt;'Données projet'!$A$36,$K$205^A47,IF(A47='Données projet'!$A$36,'Données projet'!$B$36,N46+M47-V46)))</f>
        <v>519.40000000000032</v>
      </c>
      <c r="O47" s="14">
        <f>N47*VLOOKUP('Données projet'!$B$9,Paramètres!$A$1:$I$89,3,0)*VLOOKUP('Données projet'!$B$9,Paramètres!$A$1:$I$89,5,0)</f>
        <v>290.34460000000018</v>
      </c>
      <c r="P47" s="14">
        <f t="shared" si="33"/>
        <v>69.148483049501678</v>
      </c>
      <c r="Q47" s="22">
        <f t="shared" si="53"/>
        <v>626.11711964454901</v>
      </c>
      <c r="R47" s="62">
        <f t="shared" si="0"/>
        <v>919.45045297788238</v>
      </c>
      <c r="S47" s="62">
        <f ca="1">AVERAGE(OFFSET($R$3,0,0,'Données projet'!$E$9+1,1))-AVERAGE(OFFSET($H$3,0,0,'Données projet'!$E$9+1,1))</f>
        <v>460.40450534123659</v>
      </c>
      <c r="T47" s="62">
        <f t="shared" si="34"/>
        <v>467.77477728479198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9.5201013541847317</v>
      </c>
      <c r="AA47" s="23">
        <f>EXP(-LN(2)/25)*AA46+(1-EXP(-LN(2)/25))/(LN(2)/25)*Calculateur!V47*Calculateur!X47*VLOOKUP('Données projet'!$B$9,Paramètres!$A$1:$I$89,3,0)*0.475*44/12</f>
        <v>30.026469820242497</v>
      </c>
      <c r="AB47" s="23">
        <f>EXP(-LN(2)/2)*AB46+(1-EXP(-LN(2)/2))/(LN(2)/2)*V47*Y47*VLOOKUP('Données projet'!$B$9,Paramètres!$A$1:$I$89,3,0)*0.475*44/12</f>
        <v>0.31424927742311565</v>
      </c>
      <c r="AC47" s="24">
        <f t="shared" si="3"/>
        <v>39.860820451850344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11.2</v>
      </c>
      <c r="AI47" s="14">
        <f>IF('Données projet'!$A$62&gt;35,AI46+AH47-AQ46,IF(A47&lt;'Données projet'!$A$62,$AF$205^A47,IF(A47='Données projet'!$A$62,'Données projet'!$B$62,AI46+AH47-AQ46)))</f>
        <v>191.79999999999995</v>
      </c>
      <c r="AJ47" s="14">
        <f>AI47*VLOOKUP('Données projet'!$B$10,Paramètres!$A$1:$I$89,3,0)*VLOOKUP('Données projet'!$B$10,Paramètres!$A$1:$I$89,5,0)</f>
        <v>173.54063999999997</v>
      </c>
      <c r="AK47" s="14">
        <f t="shared" si="35"/>
        <v>43.882055316228445</v>
      </c>
      <c r="AL47" s="22">
        <f t="shared" si="4"/>
        <v>378.6778610090978</v>
      </c>
      <c r="AM47" s="62">
        <f t="shared" si="5"/>
        <v>672.01119434243105</v>
      </c>
      <c r="AN47" s="62">
        <f ca="1">AVERAGE(OFFSET($AM$3,0,0,'Données projet'!$E$10+1,1))-AVERAGE(OFFSET($H$3,0,0,'Données projet'!$E$10+1,1))</f>
        <v>321.03881567735544</v>
      </c>
      <c r="AO47" s="62">
        <f t="shared" si="36"/>
        <v>234.87694492493506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1.8253417472486435</v>
      </c>
      <c r="AV47" s="23">
        <f>EXP(-LN(2)/25)*AV46+(1-EXP(-LN(2)/25))/(LN(2)/25)*Calculateur!AQ47*Calculateur!AS47*VLOOKUP('Données projet'!$B$10,Paramètres!$A$1:$I$89,3,0)*0.475*44/12</f>
        <v>9.1947329518399261</v>
      </c>
      <c r="AW47" s="23">
        <f>EXP(-LN(2)/2)*AW46+(1-EXP(-LN(2)/2))/(LN(2)/2)*AQ47*AT47*VLOOKUP('Données projet'!$B$10,Paramètres!$A$1:$I$89,3,0)*0.475*44/12</f>
        <v>0.16984440889593647</v>
      </c>
      <c r="AX47" s="23">
        <f t="shared" si="6"/>
        <v>11.189919107984506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12.4</v>
      </c>
      <c r="BD47" s="13">
        <f>IF('Données projet'!$A$88&gt;35,BD46+BC47-BL46,IF(A47&lt;'Données projet'!$A$88,$BA$205^A47,IF(A47='Données projet'!$A$88,'Données projet'!$B$88,BD46+BC47-BL46)))</f>
        <v>297.60000000000002</v>
      </c>
      <c r="BE47" s="14">
        <f>BD47*VLOOKUP('Données projet'!$B$11,Paramètres!$A$1:$I$89,3,0)*VLOOKUP('Données projet'!$B$11,Paramètres!$A$1:$I$89,5,0)</f>
        <v>185.70240000000001</v>
      </c>
      <c r="BF47" s="14">
        <f t="shared" si="37"/>
        <v>46.588553069776829</v>
      </c>
      <c r="BG47" s="22">
        <f t="shared" si="7"/>
        <v>404.57340992986133</v>
      </c>
      <c r="BH47" s="62">
        <f t="shared" si="8"/>
        <v>697.90674326319458</v>
      </c>
      <c r="BI47" s="62">
        <f ca="1">AVERAGE(OFFSET($BH$3,0,0,'Données projet'!$E$11+1,1))-AVERAGE(OFFSET($H$3,0,0,'Données projet'!$E$11+1,1))</f>
        <v>255.41017495879987</v>
      </c>
      <c r="BJ47" s="62">
        <f t="shared" si="38"/>
        <v>297.50513563712764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6.3235576167715628</v>
      </c>
      <c r="BQ47" s="23">
        <f>EXP(-LN(2)/25)*BQ46+(1-EXP(-LN(2)/25))/(LN(2)/25)*Calculateur!BL47*Calculateur!BN47*VLOOKUP('Données projet'!$B$11,Paramètres!$A$1:$I$89,3,0)*0.475*44/12</f>
        <v>18.904191570294703</v>
      </c>
      <c r="BR47" s="23">
        <f>EXP(-LN(2)/2)*BR46+(1-EXP(-LN(2)/2))/(LN(2)/2)*BL47*BO47*VLOOKUP('Données projet'!$B$11,Paramètres!$A$1:$I$89,3,0)*0.475*44/12</f>
        <v>0.19063430575712406</v>
      </c>
      <c r="BS47" s="24">
        <f t="shared" si="9"/>
        <v>25.418383492823391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27.4</v>
      </c>
      <c r="BY47" s="13">
        <f>IF('Données projet'!$A$114&gt;35,BY46+BX47-CG46,IF(A47&lt;'Données projet'!$A$114,$BV$205^A47,IF(A47='Données projet'!$A$114,'Données projet'!$B$114,BY46+BX47-CG46)))</f>
        <v>556.6</v>
      </c>
      <c r="BZ47" s="14">
        <f>BY47*VLOOKUP('Données projet'!$B$12,Paramètres!$A$1:$I$89,3,0)*VLOOKUP('Données projet'!$B$12,Paramètres!$A$1:$I$89,5,0)</f>
        <v>267.72460000000001</v>
      </c>
      <c r="CA47" s="14">
        <f t="shared" si="39"/>
        <v>64.366134385369264</v>
      </c>
      <c r="CB47" s="22">
        <f t="shared" si="10"/>
        <v>578.39136238785147</v>
      </c>
      <c r="CC47" s="62">
        <f t="shared" si="11"/>
        <v>871.72469572118484</v>
      </c>
      <c r="CD47" s="62">
        <f ca="1">AVERAGE(OFFSET($CC$3,0,0,'Données projet'!$E$12+1,1))-AVERAGE(OFFSET($H$3,0,0,'Données projet'!$E$12+1,1))</f>
        <v>409.97612835032567</v>
      </c>
      <c r="CE47" s="62">
        <f t="shared" si="40"/>
        <v>411.87876448092288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23.170433990321168</v>
      </c>
      <c r="CL47" s="23">
        <f>EXP(-LN(2)/25)*CL46+(1-EXP(-LN(2)/25))/(LN(2)/25)*Calculateur!CG47*Calculateur!CI47*VLOOKUP('Données projet'!$B$12,Paramètres!$A$1:$I$89,3,0)*0.475*44/12</f>
        <v>35.332730871775809</v>
      </c>
      <c r="CM47" s="23">
        <f>EXP(-LN(2)/2)*CM46+(1-EXP(-LN(2)/2))/(LN(2)/2)*CG47*CJ47*VLOOKUP('Données projet'!$B$12,Paramètres!$A$1:$I$89,3,0)*0.475*44/12</f>
        <v>7.6034845159018927</v>
      </c>
      <c r="CN47" s="24">
        <f t="shared" si="12"/>
        <v>66.106649377998878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23</v>
      </c>
      <c r="CT47" s="13">
        <f>IF('Données projet'!$A$140&gt;35,CT46+CS47-DB46,IF(A47&lt;'Données projet'!$A$140,$CQ$205^A47,IF(A47='Données projet'!$A$140,'Données projet'!$B$140,CT46+CS47-DB46)))</f>
        <v>489.00000000000023</v>
      </c>
      <c r="CU47" s="18">
        <f>CT47*VLOOKUP('Données projet'!$B$13,Paramètres!$A$1:$I$89,3,0)*VLOOKUP('Données projet'!$B$13,Paramètres!$A$1:$I$89,5,0)</f>
        <v>292.42200000000014</v>
      </c>
      <c r="CV47" s="14">
        <f t="shared" si="41"/>
        <v>69.585465839061428</v>
      </c>
      <c r="CW47" s="22">
        <f t="shared" si="13"/>
        <v>630.49633633636552</v>
      </c>
      <c r="CX47" s="62">
        <f t="shared" si="14"/>
        <v>923.82966966969889</v>
      </c>
      <c r="CY47" s="62">
        <f ca="1">AVERAGE(OFFSET($CX$3,0,0,'Données projet'!$E$13+1,1))-AVERAGE(OFFSET($H$3,0,0,'Données projet'!$E$13+1,1))</f>
        <v>463.3255103386889</v>
      </c>
      <c r="CZ47" s="62">
        <f t="shared" si="42"/>
        <v>474.73210558736127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3.7875475308788027</v>
      </c>
      <c r="DG47" s="23">
        <f>EXP(-LN(2)/25)*DG46+(1-EXP(-LN(2)/25))/(LN(2)/25)*Calculateur!DB47*Calculateur!DD47*VLOOKUP('Données projet'!$B$13,Paramètres!$A$1:$I$89,3,0)*0.475*44/12</f>
        <v>23.511416124726971</v>
      </c>
      <c r="DH47" s="23">
        <f>EXP(-LN(2)/2)*DH46+(1-EXP(-LN(2)/2))/(LN(2)/2)*DB47*DE47*VLOOKUP('Données projet'!$B$13,Paramètres!$A$1:$I$89,3,0)*0.475*44/12</f>
        <v>0.34076902711127577</v>
      </c>
      <c r="DI47" s="24">
        <f t="shared" si="15"/>
        <v>27.63973268271705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11.499999999999996</v>
      </c>
      <c r="DO47" s="13">
        <f>IF('Données projet'!$A$166&gt;35,DO46+DN47-DW46,IF(A47&lt;'Données projet'!$A$166,$DL$205^A47,IF(A47='Données projet'!$A$166,'Données projet'!$B$166,DO46+DN47-DW46)))</f>
        <v>254.1999999999999</v>
      </c>
      <c r="DP47" s="18">
        <f>DO47*VLOOKUP('Données projet'!$B$14,Paramètres!$A$1:$I$89,3,0)*VLOOKUP('Données projet'!$B$14,Paramètres!$A$1:$I$89,5,0)</f>
        <v>118.96559999999995</v>
      </c>
      <c r="DQ47" s="14">
        <f t="shared" si="43"/>
        <v>31.433621056182272</v>
      </c>
      <c r="DR47" s="22">
        <f t="shared" si="16"/>
        <v>261.945310006184</v>
      </c>
      <c r="DS47" s="62">
        <f t="shared" si="17"/>
        <v>555.27864333951732</v>
      </c>
      <c r="DT47" s="62">
        <f ca="1">AVERAGE(OFFSET($DS$3,0,0,'Données projet'!$E$14+1,1))-AVERAGE(OFFSET($H$3,0,0,'Données projet'!$E$14+1,1))</f>
        <v>215.23235148064941</v>
      </c>
      <c r="DU47" s="62">
        <f t="shared" si="44"/>
        <v>184.07239726900434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2.3755686314791387</v>
      </c>
      <c r="EB47" s="23">
        <f>EXP(-LN(2)/25)*EB46+(1-EXP(-LN(2)/25))/(LN(2)/25)*Calculateur!DW47*Calculateur!DY47*VLOOKUP('Données projet'!$B$14,Paramètres!$A$1:$I$89,3,0)*0.475*44/12</f>
        <v>5.3283784683690714</v>
      </c>
      <c r="EC47" s="23">
        <f>EXP(-LN(2)/2)*EC46+(1-EXP(-LN(2)/2))/(LN(2)/2)*DW47*DZ47*VLOOKUP('Données projet'!$B$14,Paramètres!$A$1:$I$89,3,0)*0.475*44/12</f>
        <v>7.6813878752312437E-2</v>
      </c>
      <c r="ED47" s="24">
        <f t="shared" si="18"/>
        <v>7.7807609786005223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383.92848936938583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24.6</v>
      </c>
      <c r="N48" s="14">
        <f>IF('Données projet'!$A$36&gt;35,N47+M48-V47,IF(A48&lt;'Données projet'!$A$36,$K$205^A48,IF(A48='Données projet'!$A$36,'Données projet'!$B$36,N47+M48-V47)))</f>
        <v>544.00000000000034</v>
      </c>
      <c r="O48" s="14">
        <f>N48*VLOOKUP('Données projet'!$B$9,Paramètres!$A$1:$I$89,3,0)*VLOOKUP('Données projet'!$B$9,Paramètres!$A$1:$I$89,5,0)</f>
        <v>304.09600000000017</v>
      </c>
      <c r="P48" s="14">
        <f t="shared" si="33"/>
        <v>72.03446351987327</v>
      </c>
      <c r="Q48" s="22">
        <f t="shared" si="53"/>
        <v>655.09389063044625</v>
      </c>
      <c r="R48" s="62">
        <f t="shared" si="0"/>
        <v>948.42722396377962</v>
      </c>
      <c r="S48" s="62">
        <f ca="1">AVERAGE(OFFSET($R$3,0,0,'Données projet'!$E$9+1,1))-AVERAGE(OFFSET($H$3,0,0,'Données projet'!$E$9+1,1))</f>
        <v>460.40450534123659</v>
      </c>
      <c r="T48" s="62">
        <f t="shared" si="34"/>
        <v>467.77477728479198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9.3334179733176317</v>
      </c>
      <c r="AA48" s="23">
        <f>EXP(-LN(2)/25)*AA47+(1-EXP(-LN(2)/25))/(LN(2)/25)*Calculateur!V48*Calculateur!X48*VLOOKUP('Données projet'!$B$9,Paramètres!$A$1:$I$89,3,0)*0.475*44/12</f>
        <v>29.205394423984544</v>
      </c>
      <c r="AB48" s="23">
        <f>EXP(-LN(2)/2)*AB47+(1-EXP(-LN(2)/2))/(LN(2)/2)*V48*Y48*VLOOKUP('Données projet'!$B$9,Paramètres!$A$1:$I$89,3,0)*0.475*44/12</f>
        <v>0.22220779504885771</v>
      </c>
      <c r="AC48" s="24">
        <f t="shared" si="3"/>
        <v>38.761020192351033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11.2</v>
      </c>
      <c r="AI48" s="14">
        <f>IF('Données projet'!$A$62&gt;35,AI47+AH48-AQ47,IF(A48&lt;'Données projet'!$A$62,$AF$205^A48,IF(A48='Données projet'!$A$62,'Données projet'!$B$62,AI47+AH48-AQ47)))</f>
        <v>202.99999999999994</v>
      </c>
      <c r="AJ48" s="14">
        <f>AI48*VLOOKUP('Données projet'!$B$10,Paramètres!$A$1:$I$89,3,0)*VLOOKUP('Données projet'!$B$10,Paramètres!$A$1:$I$89,5,0)</f>
        <v>183.67439999999993</v>
      </c>
      <c r="AK48" s="14">
        <f t="shared" si="35"/>
        <v>46.138708549418673</v>
      </c>
      <c r="AL48" s="22">
        <f t="shared" si="4"/>
        <v>400.25783072357075</v>
      </c>
      <c r="AM48" s="62">
        <f t="shared" si="5"/>
        <v>693.59116405690406</v>
      </c>
      <c r="AN48" s="62">
        <f ca="1">AVERAGE(OFFSET($AM$3,0,0,'Données projet'!$E$10+1,1))-AVERAGE(OFFSET($H$3,0,0,'Données projet'!$E$10+1,1))</f>
        <v>321.03881567735544</v>
      </c>
      <c r="AO48" s="62">
        <f t="shared" si="36"/>
        <v>234.87694492493506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1.7895479089336295</v>
      </c>
      <c r="AV48" s="23">
        <f>EXP(-LN(2)/25)*AV47+(1-EXP(-LN(2)/25))/(LN(2)/25)*Calculateur!AQ48*Calculateur!AS48*VLOOKUP('Données projet'!$B$10,Paramètres!$A$1:$I$89,3,0)*0.475*44/12</f>
        <v>8.9433024957418716</v>
      </c>
      <c r="AW48" s="23">
        <f>EXP(-LN(2)/2)*AW47+(1-EXP(-LN(2)/2))/(LN(2)/2)*AQ48*AT48*VLOOKUP('Données projet'!$B$10,Paramètres!$A$1:$I$89,3,0)*0.475*44/12</f>
        <v>0.12009813327693745</v>
      </c>
      <c r="AX48" s="23">
        <f t="shared" si="6"/>
        <v>10.852948537952438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12.4</v>
      </c>
      <c r="BD48" s="13">
        <f>IF('Données projet'!$A$88&gt;35,BD47+BC48-BL47,IF(A48&lt;'Données projet'!$A$88,$BA$205^A48,IF(A48='Données projet'!$A$88,'Données projet'!$B$88,BD47+BC48-BL47)))</f>
        <v>310</v>
      </c>
      <c r="BE48" s="14">
        <f>BD48*VLOOKUP('Données projet'!$B$11,Paramètres!$A$1:$I$89,3,0)*VLOOKUP('Données projet'!$B$11,Paramètres!$A$1:$I$89,5,0)</f>
        <v>193.44</v>
      </c>
      <c r="BF48" s="14">
        <f t="shared" si="37"/>
        <v>48.299691961776745</v>
      </c>
      <c r="BG48" s="22">
        <f t="shared" si="7"/>
        <v>421.02996350009448</v>
      </c>
      <c r="BH48" s="62">
        <f t="shared" si="8"/>
        <v>714.36329683342774</v>
      </c>
      <c r="BI48" s="62">
        <f ca="1">AVERAGE(OFFSET($BH$3,0,0,'Données projet'!$E$11+1,1))-AVERAGE(OFFSET($H$3,0,0,'Données projet'!$E$11+1,1))</f>
        <v>255.41017495879987</v>
      </c>
      <c r="BJ48" s="62">
        <f t="shared" si="38"/>
        <v>297.50513563712764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6.1995565088959728</v>
      </c>
      <c r="BQ48" s="23">
        <f>EXP(-LN(2)/25)*BQ47+(1-EXP(-LN(2)/25))/(LN(2)/25)*Calculateur!BL48*Calculateur!BN48*VLOOKUP('Données projet'!$B$11,Paramètres!$A$1:$I$89,3,0)*0.475*44/12</f>
        <v>18.387255457676766</v>
      </c>
      <c r="BR48" s="23">
        <f>EXP(-LN(2)/2)*BR47+(1-EXP(-LN(2)/2))/(LN(2)/2)*BL48*BO48*VLOOKUP('Données projet'!$B$11,Paramètres!$A$1:$I$89,3,0)*0.475*44/12</f>
        <v>0.13479881032765212</v>
      </c>
      <c r="BS48" s="24">
        <f t="shared" si="9"/>
        <v>24.721610776900391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27.4</v>
      </c>
      <c r="BY48" s="13">
        <f>IF('Données projet'!$A$114&gt;35,BY47+BX48-CG47,IF(A48&lt;'Données projet'!$A$114,$BV$205^A48,IF(A48='Données projet'!$A$114,'Données projet'!$B$114,BY47+BX48-CG47)))</f>
        <v>584</v>
      </c>
      <c r="BZ48" s="14">
        <f>BY48*VLOOKUP('Données projet'!$B$12,Paramètres!$A$1:$I$89,3,0)*VLOOKUP('Données projet'!$B$12,Paramètres!$A$1:$I$89,5,0)</f>
        <v>280.904</v>
      </c>
      <c r="CA48" s="14">
        <f t="shared" si="39"/>
        <v>67.158014213902945</v>
      </c>
      <c r="CB48" s="22">
        <f t="shared" si="10"/>
        <v>606.20800808921422</v>
      </c>
      <c r="CC48" s="62">
        <f t="shared" si="11"/>
        <v>899.54134142254748</v>
      </c>
      <c r="CD48" s="62">
        <f ca="1">AVERAGE(OFFSET($CC$3,0,0,'Données projet'!$E$12+1,1))-AVERAGE(OFFSET($H$3,0,0,'Données projet'!$E$12+1,1))</f>
        <v>409.97612835032567</v>
      </c>
      <c r="CE48" s="62">
        <f t="shared" si="40"/>
        <v>411.87876448092288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22.71607591234023</v>
      </c>
      <c r="CL48" s="23">
        <f>EXP(-LN(2)/25)*CL47+(1-EXP(-LN(2)/25))/(LN(2)/25)*Calculateur!CG48*Calculateur!CI48*VLOOKUP('Données projet'!$B$12,Paramètres!$A$1:$I$89,3,0)*0.475*44/12</f>
        <v>34.366555488019536</v>
      </c>
      <c r="CM48" s="23">
        <f>EXP(-LN(2)/2)*CM47+(1-EXP(-LN(2)/2))/(LN(2)/2)*CG48*CJ48*VLOOKUP('Données projet'!$B$12,Paramètres!$A$1:$I$89,3,0)*0.475*44/12</f>
        <v>5.3764754618411423</v>
      </c>
      <c r="CN48" s="24">
        <f t="shared" si="12"/>
        <v>62.459106862200912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23</v>
      </c>
      <c r="CT48" s="13">
        <f>IF('Données projet'!$A$140&gt;35,CT47+CS48-DB47,IF(A48&lt;'Données projet'!$A$140,$CQ$205^A48,IF(A48='Données projet'!$A$140,'Données projet'!$B$140,CT47+CS48-DB47)))</f>
        <v>512.00000000000023</v>
      </c>
      <c r="CU48" s="18">
        <f>CT48*VLOOKUP('Données projet'!$B$13,Paramètres!$A$1:$I$89,3,0)*VLOOKUP('Données projet'!$B$13,Paramètres!$A$1:$I$89,5,0)</f>
        <v>306.17600000000016</v>
      </c>
      <c r="CV48" s="14">
        <f t="shared" si="41"/>
        <v>72.469650785730451</v>
      </c>
      <c r="CW48" s="22">
        <f t="shared" si="13"/>
        <v>659.47450845181413</v>
      </c>
      <c r="CX48" s="62">
        <f t="shared" si="14"/>
        <v>952.8078417851475</v>
      </c>
      <c r="CY48" s="62">
        <f ca="1">AVERAGE(OFFSET($CX$3,0,0,'Données projet'!$E$13+1,1))-AVERAGE(OFFSET($H$3,0,0,'Données projet'!$E$13+1,1))</f>
        <v>463.3255103386889</v>
      </c>
      <c r="CZ48" s="62">
        <f t="shared" si="42"/>
        <v>474.73210558736127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3.7132760339741524</v>
      </c>
      <c r="DG48" s="23">
        <f>EXP(-LN(2)/25)*DG47+(1-EXP(-LN(2)/25))/(LN(2)/25)*Calculateur!DB48*Calculateur!DD48*VLOOKUP('Données projet'!$B$13,Paramètres!$A$1:$I$89,3,0)*0.475*44/12</f>
        <v>22.868495214384673</v>
      </c>
      <c r="DH48" s="23">
        <f>EXP(-LN(2)/2)*DH47+(1-EXP(-LN(2)/2))/(LN(2)/2)*DB48*DE48*VLOOKUP('Données projet'!$B$13,Paramètres!$A$1:$I$89,3,0)*0.475*44/12</f>
        <v>0.24096008988872558</v>
      </c>
      <c r="DI48" s="24">
        <f t="shared" si="15"/>
        <v>26.822731338247554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11.499999999999996</v>
      </c>
      <c r="DO48" s="13">
        <f>IF('Données projet'!$A$166&gt;35,DO47+DN48-DW47,IF(A48&lt;'Données projet'!$A$166,$DL$205^A48,IF(A48='Données projet'!$A$166,'Données projet'!$B$166,DO47+DN48-DW47)))</f>
        <v>265.69999999999987</v>
      </c>
      <c r="DP48" s="18">
        <f>DO48*VLOOKUP('Données projet'!$B$14,Paramètres!$A$1:$I$89,3,0)*VLOOKUP('Données projet'!$B$14,Paramètres!$A$1:$I$89,5,0)</f>
        <v>124.34759999999994</v>
      </c>
      <c r="DQ48" s="14">
        <f t="shared" si="43"/>
        <v>32.68689576547478</v>
      </c>
      <c r="DR48" s="22">
        <f t="shared" si="16"/>
        <v>273.50174679153514</v>
      </c>
      <c r="DS48" s="62">
        <f t="shared" si="17"/>
        <v>566.83508012486845</v>
      </c>
      <c r="DT48" s="62">
        <f ca="1">AVERAGE(OFFSET($DS$3,0,0,'Données projet'!$E$14+1,1))-AVERAGE(OFFSET($H$3,0,0,'Données projet'!$E$14+1,1))</f>
        <v>215.23235148064941</v>
      </c>
      <c r="DU48" s="62">
        <f t="shared" si="44"/>
        <v>184.07239726900434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2.3289851795696257</v>
      </c>
      <c r="EB48" s="23">
        <f>EXP(-LN(2)/25)*EB47+(1-EXP(-LN(2)/25))/(LN(2)/25)*Calculateur!DW48*Calculateur!DY48*VLOOKUP('Données projet'!$B$14,Paramètres!$A$1:$I$89,3,0)*0.475*44/12</f>
        <v>5.1826736789442736</v>
      </c>
      <c r="EC48" s="23">
        <f>EXP(-LN(2)/2)*EC47+(1-EXP(-LN(2)/2))/(LN(2)/2)*DW48*DZ48*VLOOKUP('Données projet'!$B$14,Paramètres!$A$1:$I$89,3,0)*0.475*44/12</f>
        <v>5.4315614555001383E-2</v>
      </c>
      <c r="ED48" s="24">
        <f t="shared" si="18"/>
        <v>7.5659744730689003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385.88711657752037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24.6</v>
      </c>
      <c r="N49" s="14">
        <f>IF('Données projet'!$A$36&gt;35,N48+M49-V48,IF(A49&lt;'Données projet'!$A$36,$K$205^A49,IF(A49='Données projet'!$A$36,'Données projet'!$B$36,N48+M49-V48)))</f>
        <v>568.60000000000036</v>
      </c>
      <c r="O49" s="14">
        <f>N49*VLOOKUP('Données projet'!$B$9,Paramètres!$A$1:$I$89,3,0)*VLOOKUP('Données projet'!$B$9,Paramètres!$A$1:$I$89,5,0)</f>
        <v>317.84740000000022</v>
      </c>
      <c r="P49" s="14">
        <f t="shared" si="33"/>
        <v>74.905287578070485</v>
      </c>
      <c r="Q49" s="22">
        <f t="shared" si="53"/>
        <v>684.04426419847312</v>
      </c>
      <c r="R49" s="62">
        <f t="shared" si="0"/>
        <v>977.37759753180649</v>
      </c>
      <c r="S49" s="62">
        <f ca="1">AVERAGE(OFFSET($R$3,0,0,'Données projet'!$E$9+1,1))-AVERAGE(OFFSET($H$3,0,0,'Données projet'!$E$9+1,1))</f>
        <v>460.40450534123659</v>
      </c>
      <c r="T49" s="62">
        <f t="shared" si="34"/>
        <v>467.77477728479198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9.1503953396837172</v>
      </c>
      <c r="AA49" s="23">
        <f>EXP(-LN(2)/25)*AA48+(1-EXP(-LN(2)/25))/(LN(2)/25)*Calculateur!V49*Calculateur!X49*VLOOKUP('Données projet'!$B$9,Paramètres!$A$1:$I$89,3,0)*0.475*44/12</f>
        <v>28.406771377615744</v>
      </c>
      <c r="AB49" s="23">
        <f>EXP(-LN(2)/2)*AB48+(1-EXP(-LN(2)/2))/(LN(2)/2)*V49*Y49*VLOOKUP('Données projet'!$B$9,Paramètres!$A$1:$I$89,3,0)*0.475*44/12</f>
        <v>0.15712463871155782</v>
      </c>
      <c r="AC49" s="24">
        <f t="shared" si="3"/>
        <v>37.714291356011017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11.2</v>
      </c>
      <c r="AI49" s="14">
        <f>IF('Données projet'!$A$62&gt;35,AI48+AH49-AQ48,IF(A49&lt;'Données projet'!$A$62,$AF$205^A49,IF(A49='Données projet'!$A$62,'Données projet'!$B$62,AI48+AH49-AQ48)))</f>
        <v>214.19999999999993</v>
      </c>
      <c r="AJ49" s="14">
        <f>AI49*VLOOKUP('Données projet'!$B$10,Paramètres!$A$1:$I$89,3,0)*VLOOKUP('Données projet'!$B$10,Paramètres!$A$1:$I$89,5,0)</f>
        <v>193.80815999999993</v>
      </c>
      <c r="AK49" s="14">
        <f t="shared" si="35"/>
        <v>48.380908095574689</v>
      </c>
      <c r="AL49" s="22">
        <f t="shared" si="4"/>
        <v>421.81262693312578</v>
      </c>
      <c r="AM49" s="62">
        <f t="shared" si="5"/>
        <v>715.14596026645904</v>
      </c>
      <c r="AN49" s="62">
        <f ca="1">AVERAGE(OFFSET($AM$3,0,0,'Données projet'!$E$10+1,1))-AVERAGE(OFFSET($H$3,0,0,'Données projet'!$E$10+1,1))</f>
        <v>321.03881567735544</v>
      </c>
      <c r="AO49" s="62">
        <f t="shared" si="36"/>
        <v>234.87694492493506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1.7544559659558872</v>
      </c>
      <c r="AV49" s="23">
        <f>EXP(-LN(2)/25)*AV48+(1-EXP(-LN(2)/25))/(LN(2)/25)*Calculateur!AQ49*Calculateur!AS49*VLOOKUP('Données projet'!$B$10,Paramètres!$A$1:$I$89,3,0)*0.475*44/12</f>
        <v>8.6987474186879723</v>
      </c>
      <c r="AW49" s="23">
        <f>EXP(-LN(2)/2)*AW48+(1-EXP(-LN(2)/2))/(LN(2)/2)*AQ49*AT49*VLOOKUP('Données projet'!$B$10,Paramètres!$A$1:$I$89,3,0)*0.475*44/12</f>
        <v>8.4922204447968247E-2</v>
      </c>
      <c r="AX49" s="23">
        <f t="shared" si="6"/>
        <v>10.538125589091829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12.4</v>
      </c>
      <c r="BD49" s="13">
        <f>IF('Données projet'!$A$88&gt;35,BD48+BC49-BL48,IF(A49&lt;'Données projet'!$A$88,$BA$205^A49,IF(A49='Données projet'!$A$88,'Données projet'!$B$88,BD48+BC49-BL48)))</f>
        <v>322.39999999999998</v>
      </c>
      <c r="BE49" s="14">
        <f>BD49*VLOOKUP('Données projet'!$B$11,Paramètres!$A$1:$I$89,3,0)*VLOOKUP('Données projet'!$B$11,Paramètres!$A$1:$I$89,5,0)</f>
        <v>201.17759999999998</v>
      </c>
      <c r="BF49" s="14">
        <f t="shared" si="37"/>
        <v>50.002880070410733</v>
      </c>
      <c r="BG49" s="22">
        <f t="shared" si="7"/>
        <v>437.47266945596533</v>
      </c>
      <c r="BH49" s="62">
        <f t="shared" si="8"/>
        <v>730.80600278929865</v>
      </c>
      <c r="BI49" s="62">
        <f ca="1">AVERAGE(OFFSET($BH$3,0,0,'Données projet'!$E$11+1,1))-AVERAGE(OFFSET($H$3,0,0,'Données projet'!$E$11+1,1))</f>
        <v>255.41017495879987</v>
      </c>
      <c r="BJ49" s="62">
        <f t="shared" si="38"/>
        <v>297.50513563712764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6.0779869871126149</v>
      </c>
      <c r="BQ49" s="23">
        <f>EXP(-LN(2)/25)*BQ48+(1-EXP(-LN(2)/25))/(LN(2)/25)*Calculateur!BL49*Calculateur!BN49*VLOOKUP('Données projet'!$B$11,Paramètres!$A$1:$I$89,3,0)*0.475*44/12</f>
        <v>17.884454990242855</v>
      </c>
      <c r="BR49" s="23">
        <f>EXP(-LN(2)/2)*BR48+(1-EXP(-LN(2)/2))/(LN(2)/2)*BL49*BO49*VLOOKUP('Données projet'!$B$11,Paramètres!$A$1:$I$89,3,0)*0.475*44/12</f>
        <v>9.5317152878562031E-2</v>
      </c>
      <c r="BS49" s="24">
        <f t="shared" si="9"/>
        <v>24.057759130234029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27.4</v>
      </c>
      <c r="BY49" s="13">
        <f>IF('Données projet'!$A$114&gt;35,BY48+BX49-CG48,IF(A49&lt;'Données projet'!$A$114,$BV$205^A49,IF(A49='Données projet'!$A$114,'Données projet'!$B$114,BY48+BX49-CG48)))</f>
        <v>611.4</v>
      </c>
      <c r="BZ49" s="14">
        <f>BY49*VLOOKUP('Données projet'!$B$12,Paramètres!$A$1:$I$89,3,0)*VLOOKUP('Données projet'!$B$12,Paramètres!$A$1:$I$89,5,0)</f>
        <v>294.08339999999998</v>
      </c>
      <c r="CA49" s="14">
        <f t="shared" si="39"/>
        <v>69.934682602228946</v>
      </c>
      <c r="CB49" s="22">
        <f t="shared" si="10"/>
        <v>633.99816053221537</v>
      </c>
      <c r="CC49" s="62">
        <f t="shared" si="11"/>
        <v>927.33149386554874</v>
      </c>
      <c r="CD49" s="62">
        <f ca="1">AVERAGE(OFFSET($CC$3,0,0,'Données projet'!$E$12+1,1))-AVERAGE(OFFSET($H$3,0,0,'Données projet'!$E$12+1,1))</f>
        <v>409.97612835032567</v>
      </c>
      <c r="CE49" s="62">
        <f t="shared" si="40"/>
        <v>411.87876448092288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22.270627519137435</v>
      </c>
      <c r="CL49" s="23">
        <f>EXP(-LN(2)/25)*CL48+(1-EXP(-LN(2)/25))/(LN(2)/25)*Calculateur!CG49*Calculateur!CI49*VLOOKUP('Données projet'!$B$12,Paramètres!$A$1:$I$89,3,0)*0.475*44/12</f>
        <v>33.426800220941033</v>
      </c>
      <c r="CM49" s="23">
        <f>EXP(-LN(2)/2)*CM48+(1-EXP(-LN(2)/2))/(LN(2)/2)*CG49*CJ49*VLOOKUP('Données projet'!$B$12,Paramètres!$A$1:$I$89,3,0)*0.475*44/12</f>
        <v>3.8017422579509468</v>
      </c>
      <c r="CN49" s="24">
        <f t="shared" si="12"/>
        <v>59.499169998029416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23</v>
      </c>
      <c r="CT49" s="13">
        <f>IF('Données projet'!$A$140&gt;35,CT48+CS49-DB48,IF(A49&lt;'Données projet'!$A$140,$CQ$205^A49,IF(A49='Données projet'!$A$140,'Données projet'!$B$140,CT48+CS49-DB48)))</f>
        <v>535.00000000000023</v>
      </c>
      <c r="CU49" s="18">
        <f>CT49*VLOOKUP('Données projet'!$B$13,Paramètres!$A$1:$I$89,3,0)*VLOOKUP('Données projet'!$B$13,Paramètres!$A$1:$I$89,5,0)</f>
        <v>319.93000000000018</v>
      </c>
      <c r="CV49" s="14">
        <f t="shared" si="41"/>
        <v>75.338788616039082</v>
      </c>
      <c r="CW49" s="22">
        <f t="shared" si="13"/>
        <v>688.42647350626828</v>
      </c>
      <c r="CX49" s="62">
        <f t="shared" si="14"/>
        <v>981.75980683960165</v>
      </c>
      <c r="CY49" s="62">
        <f ca="1">AVERAGE(OFFSET($CX$3,0,0,'Données projet'!$E$13+1,1))-AVERAGE(OFFSET($H$3,0,0,'Données projet'!$E$13+1,1))</f>
        <v>463.3255103386889</v>
      </c>
      <c r="CZ49" s="62">
        <f t="shared" si="42"/>
        <v>474.73210558736127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3.6404609558226624</v>
      </c>
      <c r="DG49" s="23">
        <f>EXP(-LN(2)/25)*DG48+(1-EXP(-LN(2)/25))/(LN(2)/25)*Calculateur!DB49*Calculateur!DD49*VLOOKUP('Données projet'!$B$13,Paramètres!$A$1:$I$89,3,0)*0.475*44/12</f>
        <v>22.243155010145426</v>
      </c>
      <c r="DH49" s="23">
        <f>EXP(-LN(2)/2)*DH48+(1-EXP(-LN(2)/2))/(LN(2)/2)*DB49*DE49*VLOOKUP('Données projet'!$B$13,Paramètres!$A$1:$I$89,3,0)*0.475*44/12</f>
        <v>0.17038451355563791</v>
      </c>
      <c r="DI49" s="24">
        <f t="shared" si="15"/>
        <v>26.054000479523726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11.499999999999996</v>
      </c>
      <c r="DO49" s="13">
        <f>IF('Données projet'!$A$166&gt;35,DO48+DN49-DW48,IF(A49&lt;'Données projet'!$A$166,$DL$205^A49,IF(A49='Données projet'!$A$166,'Données projet'!$B$166,DO48+DN49-DW48)))</f>
        <v>277.19999999999987</v>
      </c>
      <c r="DP49" s="18">
        <f>DO49*VLOOKUP('Données projet'!$B$14,Paramètres!$A$1:$I$89,3,0)*VLOOKUP('Données projet'!$B$14,Paramètres!$A$1:$I$89,5,0)</f>
        <v>129.72959999999992</v>
      </c>
      <c r="DQ49" s="14">
        <f t="shared" si="43"/>
        <v>33.933870261867483</v>
      </c>
      <c r="DR49" s="22">
        <f t="shared" si="16"/>
        <v>285.04721070608576</v>
      </c>
      <c r="DS49" s="62">
        <f t="shared" si="17"/>
        <v>578.38054403941908</v>
      </c>
      <c r="DT49" s="62">
        <f ca="1">AVERAGE(OFFSET($DS$3,0,0,'Données projet'!$E$14+1,1))-AVERAGE(OFFSET($H$3,0,0,'Données projet'!$E$14+1,1))</f>
        <v>215.23235148064941</v>
      </c>
      <c r="DU49" s="62">
        <f t="shared" si="44"/>
        <v>184.07239726900434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2.2833152007389583</v>
      </c>
      <c r="EB49" s="23">
        <f>EXP(-LN(2)/25)*EB48+(1-EXP(-LN(2)/25))/(LN(2)/25)*Calculateur!DW49*Calculateur!DY49*VLOOKUP('Données projet'!$B$14,Paramètres!$A$1:$I$89,3,0)*0.475*44/12</f>
        <v>5.040953194648579</v>
      </c>
      <c r="EC49" s="23">
        <f>EXP(-LN(2)/2)*EC48+(1-EXP(-LN(2)/2))/(LN(2)/2)*DW49*DZ49*VLOOKUP('Données projet'!$B$14,Paramètres!$A$1:$I$89,3,0)*0.475*44/12</f>
        <v>3.8406939376156218E-2</v>
      </c>
      <c r="ED49" s="24">
        <f t="shared" si="18"/>
        <v>7.3626753347636944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387.84470769135481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24.6</v>
      </c>
      <c r="N50" s="14">
        <f>IF('Données projet'!$A$36&gt;35,N49+M50-V49,IF(A50&lt;'Données projet'!$A$36,$K$205^A50,IF(A50='Données projet'!$A$36,'Données projet'!$B$36,N49+M50-V49)))</f>
        <v>593.20000000000039</v>
      </c>
      <c r="O50" s="14">
        <f>N50*VLOOKUP('Données projet'!$B$9,Paramètres!$A$1:$I$89,3,0)*VLOOKUP('Données projet'!$B$9,Paramètres!$A$1:$I$89,5,0)</f>
        <v>331.59880000000021</v>
      </c>
      <c r="P50" s="14">
        <f t="shared" si="33"/>
        <v>77.761685905473513</v>
      </c>
      <c r="Q50" s="22">
        <f t="shared" si="53"/>
        <v>712.96951295203337</v>
      </c>
      <c r="R50" s="62">
        <f t="shared" si="0"/>
        <v>1006.3028462853667</v>
      </c>
      <c r="S50" s="62">
        <f ca="1">AVERAGE(OFFSET($R$3,0,0,'Données projet'!$E$9+1,1))-AVERAGE(OFFSET($H$3,0,0,'Données projet'!$E$9+1,1))</f>
        <v>460.40450534123659</v>
      </c>
      <c r="T50" s="62">
        <f t="shared" si="34"/>
        <v>467.77477728479198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8.9709616682625803</v>
      </c>
      <c r="AA50" s="23">
        <f>EXP(-LN(2)/25)*AA49+(1-EXP(-LN(2)/25))/(LN(2)/25)*Calculateur!V50*Calculateur!X50*VLOOKUP('Données projet'!$B$9,Paramètres!$A$1:$I$89,3,0)*0.475*44/12</f>
        <v>27.629986720447658</v>
      </c>
      <c r="AB50" s="23">
        <f>EXP(-LN(2)/2)*AB49+(1-EXP(-LN(2)/2))/(LN(2)/2)*V50*Y50*VLOOKUP('Données projet'!$B$9,Paramètres!$A$1:$I$89,3,0)*0.475*44/12</f>
        <v>0.11110389752442885</v>
      </c>
      <c r="AC50" s="24">
        <f t="shared" si="3"/>
        <v>36.712052286234666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11.2</v>
      </c>
      <c r="AI50" s="14">
        <f>IF('Données projet'!$A$62&gt;35,AI49+AH50-AQ49,IF(A50&lt;'Données projet'!$A$62,$AF$205^A50,IF(A50='Données projet'!$A$62,'Données projet'!$B$62,AI49+AH50-AQ49)))</f>
        <v>225.39999999999992</v>
      </c>
      <c r="AJ50" s="14">
        <f>AI50*VLOOKUP('Données projet'!$B$10,Paramètres!$A$1:$I$89,3,0)*VLOOKUP('Données projet'!$B$10,Paramètres!$A$1:$I$89,5,0)</f>
        <v>203.94191999999993</v>
      </c>
      <c r="AK50" s="14">
        <f t="shared" si="35"/>
        <v>50.609495896501116</v>
      </c>
      <c r="AL50" s="22">
        <f t="shared" si="4"/>
        <v>443.3437160197393</v>
      </c>
      <c r="AM50" s="62">
        <f t="shared" si="5"/>
        <v>736.67704935307256</v>
      </c>
      <c r="AN50" s="62">
        <f ca="1">AVERAGE(OFFSET($AM$3,0,0,'Données projet'!$E$10+1,1))-AVERAGE(OFFSET($H$3,0,0,'Données projet'!$E$10+1,1))</f>
        <v>321.03881567735544</v>
      </c>
      <c r="AO50" s="62">
        <f t="shared" si="36"/>
        <v>234.87694492493506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1.7200521545759666</v>
      </c>
      <c r="AV50" s="23">
        <f>EXP(-LN(2)/25)*AV49+(1-EXP(-LN(2)/25))/(LN(2)/25)*Calculateur!AQ50*Calculateur!AS50*VLOOKUP('Données projet'!$B$10,Paramètres!$A$1:$I$89,3,0)*0.475*44/12</f>
        <v>8.4608797130767037</v>
      </c>
      <c r="AW50" s="23">
        <f>EXP(-LN(2)/2)*AW49+(1-EXP(-LN(2)/2))/(LN(2)/2)*AQ50*AT50*VLOOKUP('Données projet'!$B$10,Paramètres!$A$1:$I$89,3,0)*0.475*44/12</f>
        <v>6.0049066638468741E-2</v>
      </c>
      <c r="AX50" s="23">
        <f t="shared" si="6"/>
        <v>10.240980934291139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12.4</v>
      </c>
      <c r="BD50" s="13">
        <f>IF('Données projet'!$A$88&gt;35,BD49+BC50-BL49,IF(A50&lt;'Données projet'!$A$88,$BA$205^A50,IF(A50='Données projet'!$A$88,'Données projet'!$B$88,BD49+BC50-BL49)))</f>
        <v>334.79999999999995</v>
      </c>
      <c r="BE50" s="14">
        <f>BD50*VLOOKUP('Données projet'!$B$11,Paramètres!$A$1:$I$89,3,0)*VLOOKUP('Données projet'!$B$11,Paramètres!$A$1:$I$89,5,0)</f>
        <v>208.91519999999997</v>
      </c>
      <c r="BF50" s="14">
        <f t="shared" si="37"/>
        <v>51.698458198123326</v>
      </c>
      <c r="BG50" s="22">
        <f t="shared" si="7"/>
        <v>453.90212136173136</v>
      </c>
      <c r="BH50" s="62">
        <f t="shared" si="8"/>
        <v>747.23545469506462</v>
      </c>
      <c r="BI50" s="62">
        <f ca="1">AVERAGE(OFFSET($BH$3,0,0,'Données projet'!$E$11+1,1))-AVERAGE(OFFSET($H$3,0,0,'Données projet'!$E$11+1,1))</f>
        <v>255.41017495879987</v>
      </c>
      <c r="BJ50" s="62">
        <f t="shared" si="38"/>
        <v>297.50513563712764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5.9588013695013426</v>
      </c>
      <c r="BQ50" s="23">
        <f>EXP(-LN(2)/25)*BQ49+(1-EXP(-LN(2)/25))/(LN(2)/25)*Calculateur!BL50*Calculateur!BN50*VLOOKUP('Données projet'!$B$11,Paramètres!$A$1:$I$89,3,0)*0.475*44/12</f>
        <v>17.395403628032053</v>
      </c>
      <c r="BR50" s="23">
        <f>EXP(-LN(2)/2)*BR49+(1-EXP(-LN(2)/2))/(LN(2)/2)*BL50*BO50*VLOOKUP('Données projet'!$B$11,Paramètres!$A$1:$I$89,3,0)*0.475*44/12</f>
        <v>6.7399405163826059E-2</v>
      </c>
      <c r="BS50" s="24">
        <f t="shared" si="9"/>
        <v>23.42160440269722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27.4</v>
      </c>
      <c r="BY50" s="13">
        <f>IF('Données projet'!$A$114&gt;35,BY49+BX50-CG49,IF(A50&lt;'Données projet'!$A$114,$BV$205^A50,IF(A50='Données projet'!$A$114,'Données projet'!$B$114,BY49+BX50-CG49)))</f>
        <v>638.79999999999995</v>
      </c>
      <c r="BZ50" s="14">
        <f>BY50*VLOOKUP('Données projet'!$B$12,Paramètres!$A$1:$I$89,3,0)*VLOOKUP('Données projet'!$B$12,Paramètres!$A$1:$I$89,5,0)</f>
        <v>307.26280000000003</v>
      </c>
      <c r="CA50" s="14">
        <f t="shared" si="39"/>
        <v>72.696899141861593</v>
      </c>
      <c r="CB50" s="22">
        <f t="shared" si="10"/>
        <v>661.76314267207567</v>
      </c>
      <c r="CC50" s="62">
        <f t="shared" si="11"/>
        <v>955.09647600540893</v>
      </c>
      <c r="CD50" s="62">
        <f ca="1">AVERAGE(OFFSET($CC$3,0,0,'Données projet'!$E$12+1,1))-AVERAGE(OFFSET($H$3,0,0,'Données projet'!$E$12+1,1))</f>
        <v>409.97612835032567</v>
      </c>
      <c r="CE50" s="62">
        <f t="shared" si="40"/>
        <v>411.87876448092288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21.833914097228654</v>
      </c>
      <c r="CL50" s="23">
        <f>EXP(-LN(2)/25)*CL49+(1-EXP(-LN(2)/25))/(LN(2)/25)*Calculateur!CG50*Calculateur!CI50*VLOOKUP('Données projet'!$B$12,Paramètres!$A$1:$I$89,3,0)*0.475*44/12</f>
        <v>32.512742611060375</v>
      </c>
      <c r="CM50" s="23">
        <f>EXP(-LN(2)/2)*CM49+(1-EXP(-LN(2)/2))/(LN(2)/2)*CG50*CJ50*VLOOKUP('Données projet'!$B$12,Paramètres!$A$1:$I$89,3,0)*0.475*44/12</f>
        <v>2.6882377309205716</v>
      </c>
      <c r="CN50" s="24">
        <f t="shared" si="12"/>
        <v>57.034894439209602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23</v>
      </c>
      <c r="CT50" s="13">
        <f>IF('Données projet'!$A$140&gt;35,CT49+CS50-DB49,IF(A50&lt;'Données projet'!$A$140,$CQ$205^A50,IF(A50='Données projet'!$A$140,'Données projet'!$B$140,CT49+CS50-DB49)))</f>
        <v>558.00000000000023</v>
      </c>
      <c r="CU50" s="18">
        <f>CT50*VLOOKUP('Données projet'!$B$13,Paramètres!$A$1:$I$89,3,0)*VLOOKUP('Données projet'!$B$13,Paramètres!$A$1:$I$89,5,0)</f>
        <v>333.6840000000002</v>
      </c>
      <c r="CV50" s="14">
        <f t="shared" si="41"/>
        <v>78.193600162051666</v>
      </c>
      <c r="CW50" s="22">
        <f t="shared" si="13"/>
        <v>717.35348694890706</v>
      </c>
      <c r="CX50" s="62">
        <f t="shared" si="14"/>
        <v>1010.6868202822404</v>
      </c>
      <c r="CY50" s="62">
        <f ca="1">AVERAGE(OFFSET($CX$3,0,0,'Données projet'!$E$13+1,1))-AVERAGE(OFFSET($H$3,0,0,'Données projet'!$E$13+1,1))</f>
        <v>463.3255103386889</v>
      </c>
      <c r="CZ50" s="62">
        <f t="shared" si="42"/>
        <v>474.73210558736127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3.5690737369409105</v>
      </c>
      <c r="DG50" s="23">
        <f>EXP(-LN(2)/25)*DG49+(1-EXP(-LN(2)/25))/(LN(2)/25)*Calculateur!DB50*Calculateur!DD50*VLOOKUP('Données projet'!$B$13,Paramètres!$A$1:$I$89,3,0)*0.475*44/12</f>
        <v>21.634914766676314</v>
      </c>
      <c r="DH50" s="23">
        <f>EXP(-LN(2)/2)*DH49+(1-EXP(-LN(2)/2))/(LN(2)/2)*DB50*DE50*VLOOKUP('Données projet'!$B$13,Paramètres!$A$1:$I$89,3,0)*0.475*44/12</f>
        <v>0.1204800449443628</v>
      </c>
      <c r="DI50" s="24">
        <f t="shared" si="15"/>
        <v>25.324468548561587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11.499999999999996</v>
      </c>
      <c r="DO50" s="13">
        <f>IF('Données projet'!$A$166&gt;35,DO49+DN50-DW49,IF(A50&lt;'Données projet'!$A$166,$DL$205^A50,IF(A50='Données projet'!$A$166,'Données projet'!$B$166,DO49+DN50-DW49)))</f>
        <v>288.69999999999987</v>
      </c>
      <c r="DP50" s="18">
        <f>DO50*VLOOKUP('Données projet'!$B$14,Paramètres!$A$1:$I$89,3,0)*VLOOKUP('Données projet'!$B$14,Paramètres!$A$1:$I$89,5,0)</f>
        <v>135.11159999999992</v>
      </c>
      <c r="DQ50" s="14">
        <f t="shared" si="43"/>
        <v>35.174835808562257</v>
      </c>
      <c r="DR50" s="22">
        <f t="shared" si="16"/>
        <v>296.58220903324576</v>
      </c>
      <c r="DS50" s="62">
        <f t="shared" si="17"/>
        <v>589.91554236657907</v>
      </c>
      <c r="DT50" s="62">
        <f ca="1">AVERAGE(OFFSET($DS$3,0,0,'Données projet'!$E$14+1,1))-AVERAGE(OFFSET($H$3,0,0,'Données projet'!$E$14+1,1))</f>
        <v>215.23235148064941</v>
      </c>
      <c r="DU50" s="62">
        <f t="shared" si="44"/>
        <v>184.07239726900434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2.2385407823372234</v>
      </c>
      <c r="EB50" s="23">
        <f>EXP(-LN(2)/25)*EB49+(1-EXP(-LN(2)/25))/(LN(2)/25)*Calculateur!DW50*Calculateur!DY50*VLOOKUP('Données projet'!$B$14,Paramètres!$A$1:$I$89,3,0)*0.475*44/12</f>
        <v>4.9031080644487064</v>
      </c>
      <c r="EC50" s="23">
        <f>EXP(-LN(2)/2)*EC49+(1-EXP(-LN(2)/2))/(LN(2)/2)*DW50*DZ50*VLOOKUP('Données projet'!$B$14,Paramètres!$A$1:$I$89,3,0)*0.475*44/12</f>
        <v>2.7157807277500692E-2</v>
      </c>
      <c r="ED50" s="24">
        <f t="shared" si="18"/>
        <v>7.168806654063431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389.80128729473108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24.6</v>
      </c>
      <c r="N51" s="14">
        <f>IF('Données projet'!$A$36&gt;35,N50+M51-V50,IF(A51&lt;'Données projet'!$A$36,$K$205^A51,IF(A51='Données projet'!$A$36,'Données projet'!$B$36,N50+M51-V50)))</f>
        <v>617.80000000000041</v>
      </c>
      <c r="O51" s="14">
        <f>N51*VLOOKUP('Données projet'!$B$9,Paramètres!$A$1:$I$89,3,0)*VLOOKUP('Données projet'!$B$9,Paramètres!$A$1:$I$89,5,0)</f>
        <v>345.35020000000026</v>
      </c>
      <c r="P51" s="14">
        <f t="shared" si="33"/>
        <v>80.604325151919511</v>
      </c>
      <c r="Q51" s="22">
        <f t="shared" si="53"/>
        <v>741.87079797292688</v>
      </c>
      <c r="R51" s="62">
        <f t="shared" si="0"/>
        <v>1035.2041313062603</v>
      </c>
      <c r="S51" s="62">
        <f ca="1">AVERAGE(OFFSET($R$3,0,0,'Données projet'!$E$9+1,1))-AVERAGE(OFFSET($H$3,0,0,'Données projet'!$E$9+1,1))</f>
        <v>460.40450534123659</v>
      </c>
      <c r="T51" s="62">
        <f t="shared" si="34"/>
        <v>467.77477728479198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8.7950465816942796</v>
      </c>
      <c r="AA51" s="23">
        <f>EXP(-LN(2)/25)*AA50+(1-EXP(-LN(2)/25))/(LN(2)/25)*Calculateur!V51*Calculateur!X51*VLOOKUP('Données projet'!$B$9,Paramètres!$A$1:$I$89,3,0)*0.475*44/12</f>
        <v>26.874443280579165</v>
      </c>
      <c r="AB51" s="23">
        <f>EXP(-LN(2)/2)*AB50+(1-EXP(-LN(2)/2))/(LN(2)/2)*V51*Y51*VLOOKUP('Données projet'!$B$9,Paramètres!$A$1:$I$89,3,0)*0.475*44/12</f>
        <v>7.8562319355778912E-2</v>
      </c>
      <c r="AC51" s="24">
        <f t="shared" si="3"/>
        <v>35.74805218162922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11.2</v>
      </c>
      <c r="AI51" s="14">
        <f>IF('Données projet'!$A$62&gt;35,AI50+AH51-AQ50,IF(A51&lt;'Données projet'!$A$62,$AF$205^A51,IF(A51='Données projet'!$A$62,'Données projet'!$B$62,AI50+AH51-AQ50)))</f>
        <v>236.59999999999991</v>
      </c>
      <c r="AJ51" s="14">
        <f>AI51*VLOOKUP('Données projet'!$B$10,Paramètres!$A$1:$I$89,3,0)*VLOOKUP('Données projet'!$B$10,Paramètres!$A$1:$I$89,5,0)</f>
        <v>214.07567999999992</v>
      </c>
      <c r="AK51" s="14">
        <f t="shared" si="35"/>
        <v>52.825225496078176</v>
      </c>
      <c r="AL51" s="22">
        <f t="shared" si="4"/>
        <v>464.85241040566939</v>
      </c>
      <c r="AM51" s="62">
        <f t="shared" si="5"/>
        <v>758.18574373900265</v>
      </c>
      <c r="AN51" s="62">
        <f ca="1">AVERAGE(OFFSET($AM$3,0,0,'Données projet'!$E$10+1,1))-AVERAGE(OFFSET($H$3,0,0,'Données projet'!$E$10+1,1))</f>
        <v>321.03881567735544</v>
      </c>
      <c r="AO51" s="62">
        <f t="shared" si="36"/>
        <v>234.87694492493506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1.6863229809529534</v>
      </c>
      <c r="AV51" s="23">
        <f>EXP(-LN(2)/25)*AV50+(1-EXP(-LN(2)/25))/(LN(2)/25)*Calculateur!AQ51*Calculateur!AS51*VLOOKUP('Données projet'!$B$10,Paramètres!$A$1:$I$89,3,0)*0.475*44/12</f>
        <v>8.2295165123842953</v>
      </c>
      <c r="AW51" s="23">
        <f>EXP(-LN(2)/2)*AW50+(1-EXP(-LN(2)/2))/(LN(2)/2)*AQ51*AT51*VLOOKUP('Données projet'!$B$10,Paramètres!$A$1:$I$89,3,0)*0.475*44/12</f>
        <v>4.246110222398413E-2</v>
      </c>
      <c r="AX51" s="23">
        <f t="shared" si="6"/>
        <v>9.9583005955612318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12.4</v>
      </c>
      <c r="BD51" s="13">
        <f>IF('Données projet'!$A$88&gt;35,BD50+BC51-BL50,IF(A51&lt;'Données projet'!$A$88,$BA$205^A51,IF(A51='Données projet'!$A$88,'Données projet'!$B$88,BD50+BC51-BL50)))</f>
        <v>347.19999999999993</v>
      </c>
      <c r="BE51" s="14">
        <f>BD51*VLOOKUP('Données projet'!$B$11,Paramètres!$A$1:$I$89,3,0)*VLOOKUP('Données projet'!$B$11,Paramètres!$A$1:$I$89,5,0)</f>
        <v>216.65279999999993</v>
      </c>
      <c r="BF51" s="14">
        <f t="shared" si="37"/>
        <v>53.38674047237982</v>
      </c>
      <c r="BG51" s="22">
        <f t="shared" si="7"/>
        <v>470.31886632272807</v>
      </c>
      <c r="BH51" s="62">
        <f t="shared" si="8"/>
        <v>763.65219965606138</v>
      </c>
      <c r="BI51" s="62">
        <f ca="1">AVERAGE(OFFSET($BH$3,0,0,'Données projet'!$E$11+1,1))-AVERAGE(OFFSET($H$3,0,0,'Données projet'!$E$11+1,1))</f>
        <v>255.41017495879987</v>
      </c>
      <c r="BJ51" s="62">
        <f t="shared" si="38"/>
        <v>297.50513563712764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5.8419529091553786</v>
      </c>
      <c r="BQ51" s="23">
        <f>EXP(-LN(2)/25)*BQ50+(1-EXP(-LN(2)/25))/(LN(2)/25)*Calculateur!BL51*Calculateur!BN51*VLOOKUP('Données projet'!$B$11,Paramètres!$A$1:$I$89,3,0)*0.475*44/12</f>
        <v>16.919725401038999</v>
      </c>
      <c r="BR51" s="23">
        <f>EXP(-LN(2)/2)*BR50+(1-EXP(-LN(2)/2))/(LN(2)/2)*BL51*BO51*VLOOKUP('Données projet'!$B$11,Paramètres!$A$1:$I$89,3,0)*0.475*44/12</f>
        <v>4.7658576439281015E-2</v>
      </c>
      <c r="BS51" s="24">
        <f t="shared" si="9"/>
        <v>22.809336886633659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27.4</v>
      </c>
      <c r="BY51" s="13">
        <f>IF('Données projet'!$A$114&gt;35,BY50+BX51-CG50,IF(A51&lt;'Données projet'!$A$114,$BV$205^A51,IF(A51='Données projet'!$A$114,'Données projet'!$B$114,BY50+BX51-CG50)))</f>
        <v>666.19999999999993</v>
      </c>
      <c r="BZ51" s="14">
        <f>BY51*VLOOKUP('Données projet'!$B$12,Paramètres!$A$1:$I$89,3,0)*VLOOKUP('Données projet'!$B$12,Paramètres!$A$1:$I$89,5,0)</f>
        <v>320.44219999999996</v>
      </c>
      <c r="CA51" s="14">
        <f t="shared" si="39"/>
        <v>75.445354576669629</v>
      </c>
      <c r="CB51" s="22">
        <f t="shared" si="10"/>
        <v>689.50415755436609</v>
      </c>
      <c r="CC51" s="62">
        <f t="shared" si="11"/>
        <v>982.83749088769946</v>
      </c>
      <c r="CD51" s="62">
        <f ca="1">AVERAGE(OFFSET($CC$3,0,0,'Données projet'!$E$12+1,1))-AVERAGE(OFFSET($H$3,0,0,'Données projet'!$E$12+1,1))</f>
        <v>409.97612835032567</v>
      </c>
      <c r="CE51" s="62">
        <f t="shared" si="40"/>
        <v>411.87876448092288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21.405764359154617</v>
      </c>
      <c r="CL51" s="23">
        <f>EXP(-LN(2)/25)*CL50+(1-EXP(-LN(2)/25))/(LN(2)/25)*Calculateur!CG51*Calculateur!CI51*VLOOKUP('Données projet'!$B$12,Paramètres!$A$1:$I$89,3,0)*0.475*44/12</f>
        <v>31.623679954590106</v>
      </c>
      <c r="CM51" s="23">
        <f>EXP(-LN(2)/2)*CM50+(1-EXP(-LN(2)/2))/(LN(2)/2)*CG51*CJ51*VLOOKUP('Données projet'!$B$12,Paramètres!$A$1:$I$89,3,0)*0.475*44/12</f>
        <v>1.9008711289754738</v>
      </c>
      <c r="CN51" s="24">
        <f t="shared" si="12"/>
        <v>54.930315442720193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23</v>
      </c>
      <c r="CT51" s="13">
        <f>IF('Données projet'!$A$140&gt;35,CT50+CS51-DB50,IF(A51&lt;'Données projet'!$A$140,$CQ$205^A51,IF(A51='Données projet'!$A$140,'Données projet'!$B$140,CT50+CS51-DB50)))</f>
        <v>581.00000000000023</v>
      </c>
      <c r="CU51" s="18">
        <f>CT51*VLOOKUP('Données projet'!$B$13,Paramètres!$A$1:$I$89,3,0)*VLOOKUP('Données projet'!$B$13,Paramètres!$A$1:$I$89,5,0)</f>
        <v>347.43800000000016</v>
      </c>
      <c r="CV51" s="14">
        <f t="shared" si="41"/>
        <v>81.034743470048156</v>
      </c>
      <c r="CW51" s="22">
        <f t="shared" si="13"/>
        <v>746.25669487700088</v>
      </c>
      <c r="CX51" s="62">
        <f t="shared" si="14"/>
        <v>1039.5900282103341</v>
      </c>
      <c r="CY51" s="62">
        <f ca="1">AVERAGE(OFFSET($CX$3,0,0,'Données projet'!$E$13+1,1))-AVERAGE(OFFSET($H$3,0,0,'Données projet'!$E$13+1,1))</f>
        <v>463.3255103386889</v>
      </c>
      <c r="CZ51" s="62">
        <f t="shared" si="42"/>
        <v>474.73210558736127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3.4990863778795256</v>
      </c>
      <c r="DG51" s="23">
        <f>EXP(-LN(2)/25)*DG50+(1-EXP(-LN(2)/25))/(LN(2)/25)*Calculateur!DB51*Calculateur!DD51*VLOOKUP('Données projet'!$B$13,Paramètres!$A$1:$I$89,3,0)*0.475*44/12</f>
        <v>21.043306884650828</v>
      </c>
      <c r="DH51" s="23">
        <f>EXP(-LN(2)/2)*DH50+(1-EXP(-LN(2)/2))/(LN(2)/2)*DB51*DE51*VLOOKUP('Données projet'!$B$13,Paramètres!$A$1:$I$89,3,0)*0.475*44/12</f>
        <v>8.519225677781897E-2</v>
      </c>
      <c r="DI51" s="24">
        <f t="shared" si="15"/>
        <v>24.627585519308173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11.499999999999996</v>
      </c>
      <c r="DO51" s="13">
        <f>IF('Données projet'!$A$166&gt;35,DO50+DN51-DW50,IF(A51&lt;'Données projet'!$A$166,$DL$205^A51,IF(A51='Données projet'!$A$166,'Données projet'!$B$166,DO50+DN51-DW50)))</f>
        <v>300.19999999999987</v>
      </c>
      <c r="DP51" s="18">
        <f>DO51*VLOOKUP('Données projet'!$B$14,Paramètres!$A$1:$I$89,3,0)*VLOOKUP('Données projet'!$B$14,Paramètres!$A$1:$I$89,5,0)</f>
        <v>140.49359999999993</v>
      </c>
      <c r="DQ51" s="14">
        <f t="shared" si="43"/>
        <v>36.410059151057915</v>
      </c>
      <c r="DR51" s="22">
        <f t="shared" si="16"/>
        <v>308.10720635475906</v>
      </c>
      <c r="DS51" s="62">
        <f t="shared" si="17"/>
        <v>601.44053968809237</v>
      </c>
      <c r="DT51" s="62">
        <f ca="1">AVERAGE(OFFSET($DS$3,0,0,'Données projet'!$E$14+1,1))-AVERAGE(OFFSET($H$3,0,0,'Données projet'!$E$14+1,1))</f>
        <v>215.23235148064941</v>
      </c>
      <c r="DU51" s="62">
        <f t="shared" si="44"/>
        <v>184.07239726900434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2.194644362970648</v>
      </c>
      <c r="EB51" s="23">
        <f>EXP(-LN(2)/25)*EB50+(1-EXP(-LN(2)/25))/(LN(2)/25)*Calculateur!DW51*Calculateur!DY51*VLOOKUP('Données projet'!$B$14,Paramètres!$A$1:$I$89,3,0)*0.475*44/12</f>
        <v>4.7690323165831092</v>
      </c>
      <c r="EC51" s="23">
        <f>EXP(-LN(2)/2)*EC50+(1-EXP(-LN(2)/2))/(LN(2)/2)*DW51*DZ51*VLOOKUP('Données projet'!$B$14,Paramètres!$A$1:$I$89,3,0)*0.475*44/12</f>
        <v>1.9203469688078109E-2</v>
      </c>
      <c r="ED51" s="24">
        <f t="shared" si="18"/>
        <v>6.9828801492418346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391.75687888862672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24.6</v>
      </c>
      <c r="N52" s="14">
        <f>IF('Données projet'!$A$36&gt;35,N51+M52-V51,IF(A52&lt;'Données projet'!$A$36,$K$205^A52,IF(A52='Données projet'!$A$36,'Données projet'!$B$36,N51+M52-V51)))</f>
        <v>642.40000000000043</v>
      </c>
      <c r="O52" s="14">
        <f>N52*VLOOKUP('Données projet'!$B$9,Paramètres!$A$1:$I$89,3,0)*VLOOKUP('Données projet'!$B$9,Paramètres!$A$1:$I$89,5,0)</f>
        <v>359.10160000000025</v>
      </c>
      <c r="P52" s="14">
        <f t="shared" si="33"/>
        <v>83.43381587172361</v>
      </c>
      <c r="Q52" s="22">
        <f t="shared" si="53"/>
        <v>770.74918264325231</v>
      </c>
      <c r="R52" s="62">
        <f t="shared" si="0"/>
        <v>1064.0825159765857</v>
      </c>
      <c r="S52" s="62">
        <f ca="1">AVERAGE(OFFSET($R$3,0,0,'Données projet'!$E$9+1,1))-AVERAGE(OFFSET($H$3,0,0,'Données projet'!$E$9+1,1))</f>
        <v>460.40450534123659</v>
      </c>
      <c r="T52" s="62">
        <f t="shared" si="34"/>
        <v>467.77477728479198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8.6225810826759748</v>
      </c>
      <c r="AA52" s="23">
        <f>EXP(-LN(2)/25)*AA51+(1-EXP(-LN(2)/25))/(LN(2)/25)*Calculateur!V52*Calculateur!X52*VLOOKUP('Données projet'!$B$9,Paramètres!$A$1:$I$89,3,0)*0.475*44/12</f>
        <v>26.139560215806178</v>
      </c>
      <c r="AB52" s="23">
        <f>EXP(-LN(2)/2)*AB51+(1-EXP(-LN(2)/2))/(LN(2)/2)*V52*Y52*VLOOKUP('Données projet'!$B$9,Paramètres!$A$1:$I$89,3,0)*0.475*44/12</f>
        <v>5.5551948762214427E-2</v>
      </c>
      <c r="AC52" s="24">
        <f t="shared" si="3"/>
        <v>34.817693247244364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11.2</v>
      </c>
      <c r="AI52" s="14">
        <f>IF('Données projet'!$A$62&gt;35,AI51+AH52-AQ51,IF(A52&lt;'Données projet'!$A$62,$AF$205^A52,IF(A52='Données projet'!$A$62,'Données projet'!$B$62,AI51+AH52-AQ51)))</f>
        <v>247.7999999999999</v>
      </c>
      <c r="AJ52" s="14">
        <f>AI52*VLOOKUP('Données projet'!$B$10,Paramètres!$A$1:$I$89,3,0)*VLOOKUP('Données projet'!$B$10,Paramètres!$A$1:$I$89,5,0)</f>
        <v>224.20943999999992</v>
      </c>
      <c r="AK52" s="14">
        <f t="shared" si="35"/>
        <v>55.028775065392324</v>
      </c>
      <c r="AL52" s="22">
        <f t="shared" si="4"/>
        <v>486.33989123889143</v>
      </c>
      <c r="AM52" s="62">
        <f t="shared" si="5"/>
        <v>779.67322457222474</v>
      </c>
      <c r="AN52" s="62">
        <f ca="1">AVERAGE(OFFSET($AM$3,0,0,'Données projet'!$E$10+1,1))-AVERAGE(OFFSET($H$3,0,0,'Données projet'!$E$10+1,1))</f>
        <v>321.03881567735544</v>
      </c>
      <c r="AO52" s="62">
        <f t="shared" si="36"/>
        <v>234.87694492493506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1.6532552158519229</v>
      </c>
      <c r="AV52" s="23">
        <f>EXP(-LN(2)/25)*AV51+(1-EXP(-LN(2)/25))/(LN(2)/25)*Calculateur!AQ52*Calculateur!AS52*VLOOKUP('Données projet'!$B$10,Paramètres!$A$1:$I$89,3,0)*0.475*44/12</f>
        <v>8.0044799505816826</v>
      </c>
      <c r="AW52" s="23">
        <f>EXP(-LN(2)/2)*AW51+(1-EXP(-LN(2)/2))/(LN(2)/2)*AQ52*AT52*VLOOKUP('Données projet'!$B$10,Paramètres!$A$1:$I$89,3,0)*0.475*44/12</f>
        <v>3.0024533319234374E-2</v>
      </c>
      <c r="AX52" s="23">
        <f t="shared" si="6"/>
        <v>9.6877596997528403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12.4</v>
      </c>
      <c r="BD52" s="13">
        <f>IF('Données projet'!$A$88&gt;35,BD51+BC52-BL51,IF(A52&lt;'Données projet'!$A$88,$BA$205^A52,IF(A52='Données projet'!$A$88,'Données projet'!$B$88,BD51+BC52-BL51)))</f>
        <v>359.59999999999991</v>
      </c>
      <c r="BE52" s="14">
        <f>BD52*VLOOKUP('Données projet'!$B$11,Paramètres!$A$1:$I$89,3,0)*VLOOKUP('Données projet'!$B$11,Paramètres!$A$1:$I$89,5,0)</f>
        <v>224.39039999999994</v>
      </c>
      <c r="BF52" s="14">
        <f t="shared" si="37"/>
        <v>55.068017311015858</v>
      </c>
      <c r="BG52" s="22">
        <f t="shared" si="7"/>
        <v>486.72341015001916</v>
      </c>
      <c r="BH52" s="62">
        <f t="shared" si="8"/>
        <v>780.05674348335242</v>
      </c>
      <c r="BI52" s="62">
        <f ca="1">AVERAGE(OFFSET($BH$3,0,0,'Données projet'!$E$11+1,1))-AVERAGE(OFFSET($H$3,0,0,'Données projet'!$E$11+1,1))</f>
        <v>255.41017495879987</v>
      </c>
      <c r="BJ52" s="62">
        <f t="shared" si="38"/>
        <v>297.50513563712764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5.7273957758462757</v>
      </c>
      <c r="BQ52" s="23">
        <f>EXP(-LN(2)/25)*BQ51+(1-EXP(-LN(2)/25))/(LN(2)/25)*Calculateur!BL52*Calculateur!BN52*VLOOKUP('Données projet'!$B$11,Paramètres!$A$1:$I$89,3,0)*0.475*44/12</f>
        <v>16.4570546201779</v>
      </c>
      <c r="BR52" s="23">
        <f>EXP(-LN(2)/2)*BR51+(1-EXP(-LN(2)/2))/(LN(2)/2)*BL52*BO52*VLOOKUP('Données projet'!$B$11,Paramètres!$A$1:$I$89,3,0)*0.475*44/12</f>
        <v>3.369970258191303E-2</v>
      </c>
      <c r="BS52" s="24">
        <f t="shared" si="9"/>
        <v>22.218150098606088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27.4</v>
      </c>
      <c r="BY52" s="13">
        <f>IF('Données projet'!$A$114&gt;35,BY51+BX52-CG51,IF(A52&lt;'Données projet'!$A$114,$BV$205^A52,IF(A52='Données projet'!$A$114,'Données projet'!$B$114,BY51+BX52-CG51)))</f>
        <v>693.59999999999991</v>
      </c>
      <c r="BZ52" s="14">
        <f>BY52*VLOOKUP('Données projet'!$B$12,Paramètres!$A$1:$I$89,3,0)*VLOOKUP('Données projet'!$B$12,Paramètres!$A$1:$I$89,5,0)</f>
        <v>333.62159999999994</v>
      </c>
      <c r="CA52" s="14">
        <f t="shared" si="39"/>
        <v>78.180679616540033</v>
      </c>
      <c r="CB52" s="22">
        <f t="shared" si="10"/>
        <v>717.22230366547376</v>
      </c>
      <c r="CC52" s="62">
        <f t="shared" si="11"/>
        <v>1010.5556369988071</v>
      </c>
      <c r="CD52" s="62">
        <f ca="1">AVERAGE(OFFSET($CC$3,0,0,'Données projet'!$E$12+1,1))-AVERAGE(OFFSET($H$3,0,0,'Données projet'!$E$12+1,1))</f>
        <v>409.97612835032567</v>
      </c>
      <c r="CE52" s="62">
        <f t="shared" si="40"/>
        <v>411.87876448092288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20.986010376298658</v>
      </c>
      <c r="CL52" s="23">
        <f>EXP(-LN(2)/25)*CL51+(1-EXP(-LN(2)/25))/(LN(2)/25)*Calculateur!CG52*Calculateur!CI52*VLOOKUP('Données projet'!$B$12,Paramètres!$A$1:$I$89,3,0)*0.475*44/12</f>
        <v>30.758928763214787</v>
      </c>
      <c r="CM52" s="23">
        <f>EXP(-LN(2)/2)*CM51+(1-EXP(-LN(2)/2))/(LN(2)/2)*CG52*CJ52*VLOOKUP('Données projet'!$B$12,Paramètres!$A$1:$I$89,3,0)*0.475*44/12</f>
        <v>1.344118865460286</v>
      </c>
      <c r="CN52" s="24">
        <f t="shared" si="12"/>
        <v>53.089058004973737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23</v>
      </c>
      <c r="CT52" s="13">
        <f>IF('Données projet'!$A$140&gt;35,CT51+CS52-DB51,IF(A52&lt;'Données projet'!$A$140,$CQ$205^A52,IF(A52='Données projet'!$A$140,'Données projet'!$B$140,CT51+CS52-DB51)))</f>
        <v>604.00000000000023</v>
      </c>
      <c r="CU52" s="18">
        <f>CT52*VLOOKUP('Données projet'!$B$13,Paramètres!$A$1:$I$89,3,0)*VLOOKUP('Données projet'!$B$13,Paramètres!$A$1:$I$89,5,0)</f>
        <v>361.19200000000012</v>
      </c>
      <c r="CV52" s="14">
        <f t="shared" si="41"/>
        <v>83.862821536851357</v>
      </c>
      <c r="CW52" s="22">
        <f t="shared" si="13"/>
        <v>775.13714751001635</v>
      </c>
      <c r="CX52" s="62">
        <f t="shared" si="14"/>
        <v>1068.4704808433496</v>
      </c>
      <c r="CY52" s="62">
        <f ca="1">AVERAGE(OFFSET($CX$3,0,0,'Données projet'!$E$13+1,1))-AVERAGE(OFFSET($H$3,0,0,'Données projet'!$E$13+1,1))</f>
        <v>463.3255103386889</v>
      </c>
      <c r="CZ52" s="62">
        <f t="shared" si="42"/>
        <v>474.73210558736127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3.4304714282412605</v>
      </c>
      <c r="DG52" s="23">
        <f>EXP(-LN(2)/25)*DG51+(1-EXP(-LN(2)/25))/(LN(2)/25)*Calculateur!DB52*Calculateur!DD52*VLOOKUP('Données projet'!$B$13,Paramètres!$A$1:$I$89,3,0)*0.475*44/12</f>
        <v>20.467876551270638</v>
      </c>
      <c r="DH52" s="23">
        <f>EXP(-LN(2)/2)*DH51+(1-EXP(-LN(2)/2))/(LN(2)/2)*DB52*DE52*VLOOKUP('Données projet'!$B$13,Paramètres!$A$1:$I$89,3,0)*0.475*44/12</f>
        <v>6.0240022472181409E-2</v>
      </c>
      <c r="DI52" s="24">
        <f t="shared" si="15"/>
        <v>23.958588001984083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11.499999999999996</v>
      </c>
      <c r="DO52" s="13">
        <f>IF('Données projet'!$A$166&gt;35,DO51+DN52-DW51,IF(A52&lt;'Données projet'!$A$166,$DL$205^A52,IF(A52='Données projet'!$A$166,'Données projet'!$B$166,DO51+DN52-DW51)))</f>
        <v>311.69999999999987</v>
      </c>
      <c r="DP52" s="18">
        <f>DO52*VLOOKUP('Données projet'!$B$14,Paramètres!$A$1:$I$89,3,0)*VLOOKUP('Données projet'!$B$14,Paramètres!$A$1:$I$89,5,0)</f>
        <v>145.87559999999993</v>
      </c>
      <c r="DQ52" s="14">
        <f t="shared" si="43"/>
        <v>37.639785440563628</v>
      </c>
      <c r="DR52" s="22">
        <f t="shared" si="16"/>
        <v>319.62262964231485</v>
      </c>
      <c r="DS52" s="62">
        <f t="shared" si="17"/>
        <v>612.95596297564816</v>
      </c>
      <c r="DT52" s="62">
        <f ca="1">AVERAGE(OFFSET($DS$3,0,0,'Données projet'!$E$14+1,1))-AVERAGE(OFFSET($H$3,0,0,'Données projet'!$E$14+1,1))</f>
        <v>215.23235148064941</v>
      </c>
      <c r="DU52" s="62">
        <f t="shared" si="44"/>
        <v>184.07239726900434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2.1516087256136793</v>
      </c>
      <c r="EB52" s="23">
        <f>EXP(-LN(2)/25)*EB51+(1-EXP(-LN(2)/25))/(LN(2)/25)*Calculateur!DW52*Calculateur!DY52*VLOOKUP('Données projet'!$B$14,Paramètres!$A$1:$I$89,3,0)*0.475*44/12</f>
        <v>4.638622877093634</v>
      </c>
      <c r="EC52" s="23">
        <f>EXP(-LN(2)/2)*EC51+(1-EXP(-LN(2)/2))/(LN(2)/2)*DW52*DZ52*VLOOKUP('Données projet'!$B$14,Paramètres!$A$1:$I$89,3,0)*0.475*44/12</f>
        <v>1.3578903638750346E-2</v>
      </c>
      <c r="ED52" s="24">
        <f t="shared" si="18"/>
        <v>6.8038105063460641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393.71150495996233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667</v>
      </c>
      <c r="L53" s="13">
        <f>VLOOKUP(A53,'Données projet'!$A$35:$I$55,9,0)</f>
        <v>24.6</v>
      </c>
      <c r="M53" s="13">
        <f t="array" ref="M53">INDEX(L:L,MIN(IF(ISNUMBER(L53:L249),ROW(L53:L249),"")))</f>
        <v>24.6</v>
      </c>
      <c r="N53" s="14">
        <f>IF('Données projet'!$A$36&gt;35,N52+M53-V52,IF(A53&lt;'Données projet'!$A$36,$K$205^A53,IF(A53='Données projet'!$A$36,'Données projet'!$B$36,N52+M53-V52)))</f>
        <v>667.00000000000045</v>
      </c>
      <c r="O53" s="14">
        <f>N53*VLOOKUP('Données projet'!$B$9,Paramètres!$A$1:$I$89,3,0)*VLOOKUP('Données projet'!$B$9,Paramètres!$A$1:$I$89,5,0)</f>
        <v>372.85300000000024</v>
      </c>
      <c r="P53" s="14">
        <f t="shared" si="33"/>
        <v>86.250719209905597</v>
      </c>
      <c r="Q53" s="22">
        <f t="shared" si="53"/>
        <v>799.60564429058593</v>
      </c>
      <c r="R53" s="62">
        <f t="shared" si="0"/>
        <v>1092.9389776239193</v>
      </c>
      <c r="S53" s="62">
        <f ca="1">AVERAGE(OFFSET($R$3,0,0,'Données projet'!$E$9+1,1))-AVERAGE(OFFSET($H$3,0,0,'Données projet'!$E$9+1,1))</f>
        <v>460.40450534123659</v>
      </c>
      <c r="T53" s="62">
        <f t="shared" si="34"/>
        <v>467.77477728479198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138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8.4534975268998505</v>
      </c>
      <c r="AA53" s="23">
        <f>EXP(-LN(2)/25)*AA52+(1-EXP(-LN(2)/25))/(LN(2)/25)*Calculateur!V53*Calculateur!X53*VLOOKUP('Données projet'!$B$9,Paramètres!$A$1:$I$89,3,0)*0.475*44/12</f>
        <v>25.424772567085228</v>
      </c>
      <c r="AB53" s="23">
        <f>EXP(-LN(2)/2)*AB52+(1-EXP(-LN(2)/2))/(LN(2)/2)*V53*Y53*VLOOKUP('Données projet'!$B$9,Paramètres!$A$1:$I$89,3,0)*0.475*44/12</f>
        <v>3.9281159677889456E-2</v>
      </c>
      <c r="AC53" s="24">
        <f t="shared" si="3"/>
        <v>33.917551253662971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259</v>
      </c>
      <c r="AG53" s="13">
        <f>VLOOKUP(A53,'Données projet'!$A$61:$I$81,9,0)</f>
        <v>11.2</v>
      </c>
      <c r="AH53" s="13">
        <f t="array" ref="AH53">INDEX(AG:AG,MIN(IF(ISNUMBER(AG53:AG249),ROW(AG53:AG249),"")))</f>
        <v>11.2</v>
      </c>
      <c r="AI53" s="14">
        <f>IF('Données projet'!$A$62&gt;35,AI52+AH53-AQ52,IF(A53&lt;'Données projet'!$A$62,$AF$205^A53,IF(A53='Données projet'!$A$62,'Données projet'!$B$62,AI52+AH53-AQ52)))</f>
        <v>258.99999999999989</v>
      </c>
      <c r="AJ53" s="14">
        <f>AI53*VLOOKUP('Données projet'!$B$10,Paramètres!$A$1:$I$89,3,0)*VLOOKUP('Données projet'!$B$10,Paramètres!$A$1:$I$89,5,0)</f>
        <v>234.34319999999988</v>
      </c>
      <c r="AK53" s="14">
        <f t="shared" si="35"/>
        <v>57.220758006491614</v>
      </c>
      <c r="AL53" s="22">
        <f t="shared" si="4"/>
        <v>507.80722686130594</v>
      </c>
      <c r="AM53" s="62">
        <f t="shared" si="5"/>
        <v>801.14056019463919</v>
      </c>
      <c r="AN53" s="62">
        <f ca="1">AVERAGE(OFFSET($AM$3,0,0,'Données projet'!$E$10+1,1))-AVERAGE(OFFSET($H$3,0,0,'Données projet'!$E$10+1,1))</f>
        <v>321.03881567735544</v>
      </c>
      <c r="AO53" s="62">
        <f t="shared" si="36"/>
        <v>234.87694492493506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56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1.6208358894551784</v>
      </c>
      <c r="AV53" s="23">
        <f>EXP(-LN(2)/25)*AV52+(1-EXP(-LN(2)/25))/(LN(2)/25)*Calculateur!AQ53*Calculateur!AS53*VLOOKUP('Données projet'!$B$10,Paramètres!$A$1:$I$89,3,0)*0.475*44/12</f>
        <v>7.7855970253957203</v>
      </c>
      <c r="AW53" s="23">
        <f>EXP(-LN(2)/2)*AW52+(1-EXP(-LN(2)/2))/(LN(2)/2)*AQ53*AT53*VLOOKUP('Données projet'!$B$10,Paramètres!$A$1:$I$89,3,0)*0.475*44/12</f>
        <v>2.1230551111992069E-2</v>
      </c>
      <c r="AX53" s="23">
        <f t="shared" si="6"/>
        <v>9.4276634659628922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372</v>
      </c>
      <c r="BB53" s="13">
        <f>VLOOKUP(A53,'Données projet'!$A$87:$I$107,9,0)</f>
        <v>12.4</v>
      </c>
      <c r="BC53" s="13">
        <f t="array" ref="BC53">INDEX(BB:BB,MIN(IF(ISNUMBER(BB53:BB249),ROW(BB53:BB249),"")))</f>
        <v>12.4</v>
      </c>
      <c r="BD53" s="13">
        <f>IF('Données projet'!$A$88&gt;35,BD52+BC53-BL52,IF(A53&lt;'Données projet'!$A$88,$BA$205^A53,IF(A53='Données projet'!$A$88,'Données projet'!$B$88,BD52+BC53-BL52)))</f>
        <v>371.99999999999989</v>
      </c>
      <c r="BE53" s="14">
        <f>BD53*VLOOKUP('Données projet'!$B$11,Paramètres!$A$1:$I$89,3,0)*VLOOKUP('Données projet'!$B$11,Paramètres!$A$1:$I$89,5,0)</f>
        <v>232.12799999999993</v>
      </c>
      <c r="BF53" s="14">
        <f t="shared" si="37"/>
        <v>56.742557967082398</v>
      </c>
      <c r="BG53" s="22">
        <f t="shared" si="7"/>
        <v>503.11622179266834</v>
      </c>
      <c r="BH53" s="62">
        <f t="shared" si="8"/>
        <v>796.44955512600166</v>
      </c>
      <c r="BI53" s="62">
        <f ca="1">AVERAGE(OFFSET($BH$3,0,0,'Données projet'!$E$11+1,1))-AVERAGE(OFFSET($H$3,0,0,'Données projet'!$E$11+1,1))</f>
        <v>255.41017495879987</v>
      </c>
      <c r="BJ53" s="62">
        <f t="shared" si="38"/>
        <v>297.50513563712764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68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5.6150850380484121</v>
      </c>
      <c r="BQ53" s="23">
        <f>EXP(-LN(2)/25)*BQ52+(1-EXP(-LN(2)/25))/(LN(2)/25)*Calculateur!BL53*Calculateur!BN53*VLOOKUP('Données projet'!$B$11,Paramètres!$A$1:$I$89,3,0)*0.475*44/12</f>
        <v>16.007035596150246</v>
      </c>
      <c r="BR53" s="23">
        <f>EXP(-LN(2)/2)*BR52+(1-EXP(-LN(2)/2))/(LN(2)/2)*BL53*BO53*VLOOKUP('Données projet'!$B$11,Paramètres!$A$1:$I$89,3,0)*0.475*44/12</f>
        <v>2.3829288219640508E-2</v>
      </c>
      <c r="BS53" s="24">
        <f t="shared" si="9"/>
        <v>21.6459499224183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721</v>
      </c>
      <c r="BW53" s="13">
        <f>VLOOKUP(A53,'Données projet'!$A$113:$I$133,9,0)</f>
        <v>27.4</v>
      </c>
      <c r="BX53" s="13">
        <f t="array" ref="BX53">INDEX(BW:BW,MIN(IF(ISNUMBER(BW53:BW249),ROW(BW53:BW249),"")))</f>
        <v>27.4</v>
      </c>
      <c r="BY53" s="13">
        <f>IF('Données projet'!$A$114&gt;35,BY52+BX53-CG52,IF(A53&lt;'Données projet'!$A$114,$BV$205^A53,IF(A53='Données projet'!$A$114,'Données projet'!$B$114,BY52+BX53-CG52)))</f>
        <v>720.99999999999989</v>
      </c>
      <c r="BZ53" s="14">
        <f>BY53*VLOOKUP('Données projet'!$B$12,Paramètres!$A$1:$I$89,3,0)*VLOOKUP('Données projet'!$B$12,Paramètres!$A$1:$I$89,5,0)</f>
        <v>346.80099999999999</v>
      </c>
      <c r="CA53" s="14">
        <f t="shared" si="39"/>
        <v>80.903452319147092</v>
      </c>
      <c r="CB53" s="22">
        <f t="shared" si="10"/>
        <v>744.91858778918106</v>
      </c>
      <c r="CC53" s="62">
        <f t="shared" si="11"/>
        <v>1038.2519211225144</v>
      </c>
      <c r="CD53" s="62">
        <f ca="1">AVERAGE(OFFSET($CC$3,0,0,'Données projet'!$E$12+1,1))-AVERAGE(OFFSET($H$3,0,0,'Données projet'!$E$12+1,1))</f>
        <v>409.97612835032567</v>
      </c>
      <c r="CE53" s="62">
        <f t="shared" si="40"/>
        <v>411.87876448092288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154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20.574487513021857</v>
      </c>
      <c r="CL53" s="23">
        <f>EXP(-LN(2)/25)*CL52+(1-EXP(-LN(2)/25))/(LN(2)/25)*Calculateur!CG53*Calculateur!CI53*VLOOKUP('Données projet'!$B$12,Paramètres!$A$1:$I$89,3,0)*0.475*44/12</f>
        <v>29.917824238642915</v>
      </c>
      <c r="CM53" s="23">
        <f>EXP(-LN(2)/2)*CM52+(1-EXP(-LN(2)/2))/(LN(2)/2)*CG53*CJ53*VLOOKUP('Données projet'!$B$12,Paramètres!$A$1:$I$89,3,0)*0.475*44/12</f>
        <v>0.95043556448773703</v>
      </c>
      <c r="CN53" s="24">
        <f t="shared" si="12"/>
        <v>51.442747316152506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627</v>
      </c>
      <c r="CR53" s="13">
        <f>VLOOKUP(A53,'Données projet'!$A$139:$I$159,9,0)</f>
        <v>23</v>
      </c>
      <c r="CS53" s="13">
        <f t="array" ref="CS53">INDEX(CR:CR,MIN(IF(ISNUMBER(CR53:CR249),ROW(CR53:CR249),"")))</f>
        <v>23</v>
      </c>
      <c r="CT53" s="13">
        <f>IF('Données projet'!$A$140&gt;35,CT52+CS53-DB52,IF(A53&lt;'Données projet'!$A$140,$CQ$205^A53,IF(A53='Données projet'!$A$140,'Données projet'!$B$140,CT52+CS53-DB52)))</f>
        <v>627.00000000000023</v>
      </c>
      <c r="CU53" s="18">
        <f>CT53*VLOOKUP('Données projet'!$B$13,Paramètres!$A$1:$I$89,3,0)*VLOOKUP('Données projet'!$B$13,Paramètres!$A$1:$I$89,5,0)</f>
        <v>374.9460000000002</v>
      </c>
      <c r="CV53" s="14">
        <f t="shared" si="41"/>
        <v>86.678388834633381</v>
      </c>
      <c r="CW53" s="22">
        <f t="shared" si="13"/>
        <v>803.99581055365343</v>
      </c>
      <c r="CX53" s="62">
        <f t="shared" si="14"/>
        <v>1097.3291438869867</v>
      </c>
      <c r="CY53" s="62">
        <f ca="1">AVERAGE(OFFSET($CX$3,0,0,'Données projet'!$E$13+1,1))-AVERAGE(OFFSET($H$3,0,0,'Données projet'!$E$13+1,1))</f>
        <v>463.3255103386889</v>
      </c>
      <c r="CZ53" s="62">
        <f t="shared" si="42"/>
        <v>474.73210558736127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120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3.3632019759144152</v>
      </c>
      <c r="DG53" s="23">
        <f>EXP(-LN(2)/25)*DG52+(1-EXP(-LN(2)/25))/(LN(2)/25)*Calculateur!DB53*Calculateur!DD53*VLOOKUP('Données projet'!$B$13,Paramètres!$A$1:$I$89,3,0)*0.475*44/12</f>
        <v>19.908181390617294</v>
      </c>
      <c r="DH53" s="23">
        <f>EXP(-LN(2)/2)*DH52+(1-EXP(-LN(2)/2))/(LN(2)/2)*DB53*DE53*VLOOKUP('Données projet'!$B$13,Paramètres!$A$1:$I$89,3,0)*0.475*44/12</f>
        <v>4.2596128388909485E-2</v>
      </c>
      <c r="DI53" s="24">
        <f t="shared" si="15"/>
        <v>23.313979494920616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323.2</v>
      </c>
      <c r="DM53" s="13">
        <f>VLOOKUP(A53,'Données projet'!$A$165:$I$185,9,0)</f>
        <v>11.499999999999996</v>
      </c>
      <c r="DN53" s="13">
        <f t="array" ref="DN53">INDEX(DM:DM,MIN(IF(ISNUMBER(DM53:DM249),ROW(DM53:DM249),"")))</f>
        <v>11.499999999999996</v>
      </c>
      <c r="DO53" s="13">
        <f>IF('Données projet'!$A$166&gt;35,DO52+DN53-DW52,IF(A53&lt;'Données projet'!$A$166,$DL$205^A53,IF(A53='Données projet'!$A$166,'Données projet'!$B$166,DO52+DN53-DW52)))</f>
        <v>323.19999999999987</v>
      </c>
      <c r="DP53" s="18">
        <f>DO53*VLOOKUP('Données projet'!$B$14,Paramètres!$A$1:$I$89,3,0)*VLOOKUP('Données projet'!$B$14,Paramètres!$A$1:$I$89,5,0)</f>
        <v>151.25759999999994</v>
      </c>
      <c r="DQ53" s="14">
        <f t="shared" si="43"/>
        <v>38.864240713854024</v>
      </c>
      <c r="DR53" s="22">
        <f t="shared" si="16"/>
        <v>331.12887257662896</v>
      </c>
      <c r="DS53" s="62">
        <f t="shared" si="17"/>
        <v>624.46220590996222</v>
      </c>
      <c r="DT53" s="62">
        <f ca="1">AVERAGE(OFFSET($DS$3,0,0,'Données projet'!$E$14+1,1))-AVERAGE(OFFSET($H$3,0,0,'Données projet'!$E$14+1,1))</f>
        <v>215.23235148064941</v>
      </c>
      <c r="DU53" s="62">
        <f t="shared" si="44"/>
        <v>184.07239726900434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83.4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2.1094169908561335</v>
      </c>
      <c r="EB53" s="23">
        <f>EXP(-LN(2)/25)*EB52+(1-EXP(-LN(2)/25))/(LN(2)/25)*Calculateur!DW53*Calculateur!DY53*VLOOKUP('Données projet'!$B$14,Paramètres!$A$1:$I$89,3,0)*0.475*44/12</f>
        <v>4.5117794905849333</v>
      </c>
      <c r="EC53" s="23">
        <f>EXP(-LN(2)/2)*EC52+(1-EXP(-LN(2)/2))/(LN(2)/2)*DW53*DZ53*VLOOKUP('Données projet'!$B$14,Paramètres!$A$1:$I$89,3,0)*0.475*44/12</f>
        <v>9.6017348440390546E-3</v>
      </c>
      <c r="ED53" s="24">
        <f t="shared" si="18"/>
        <v>6.6307982162851058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395.66518704474902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20.6</v>
      </c>
      <c r="N54" s="14">
        <f>IF('Données projet'!$A$36&gt;35,N53+M54-V53,IF(A54&lt;'Données projet'!$A$36,$K$205^A54,IF(A54='Données projet'!$A$36,'Données projet'!$B$36,N53+M54-V53)))</f>
        <v>549.60000000000048</v>
      </c>
      <c r="O54" s="14">
        <f>N54*VLOOKUP('Données projet'!$B$9,Paramètres!$A$1:$I$89,3,0)*VLOOKUP('Données projet'!$B$9,Paramètres!$A$1:$I$89,5,0)</f>
        <v>307.2264000000003</v>
      </c>
      <c r="P54" s="14">
        <f t="shared" si="33"/>
        <v>72.689289468980533</v>
      </c>
      <c r="Q54" s="22">
        <f t="shared" si="53"/>
        <v>661.68649249180817</v>
      </c>
      <c r="R54" s="62">
        <f t="shared" si="0"/>
        <v>955.01982582514142</v>
      </c>
      <c r="S54" s="62">
        <f ca="1">AVERAGE(OFFSET($R$3,0,0,'Données projet'!$E$9+1,1))-AVERAGE(OFFSET($H$3,0,0,'Données projet'!$E$9+1,1))</f>
        <v>460.40450534123659</v>
      </c>
      <c r="T54" s="62">
        <f t="shared" si="34"/>
        <v>467.77477728479198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8.2877295965217108</v>
      </c>
      <c r="AA54" s="23">
        <f>EXP(-LN(2)/25)*AA53+(1-EXP(-LN(2)/25))/(LN(2)/25)*Calculateur!V54*Calculateur!X54*VLOOKUP('Données projet'!$B$9,Paramètres!$A$1:$I$89,3,0)*0.475*44/12</f>
        <v>24.7295308242076</v>
      </c>
      <c r="AB54" s="23">
        <f>EXP(-LN(2)/2)*AB53+(1-EXP(-LN(2)/2))/(LN(2)/2)*V54*Y54*VLOOKUP('Données projet'!$B$9,Paramètres!$A$1:$I$89,3,0)*0.475*44/12</f>
        <v>2.7775974381107214E-2</v>
      </c>
      <c r="AC54" s="24">
        <f t="shared" si="3"/>
        <v>33.045036395110422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9.8000000000000007</v>
      </c>
      <c r="AI54" s="14">
        <f>IF('Données projet'!$A$62&gt;35,AI53+AH54-AQ53,IF(A54&lt;'Données projet'!$A$62,$AF$205^A54,IF(A54='Données projet'!$A$62,'Données projet'!$B$62,AI53+AH54-AQ53)))</f>
        <v>212.7999999999999</v>
      </c>
      <c r="AJ54" s="14">
        <f>AI54*VLOOKUP('Données projet'!$B$10,Paramètres!$A$1:$I$89,3,0)*VLOOKUP('Données projet'!$B$10,Paramètres!$A$1:$I$89,5,0)</f>
        <v>192.54143999999991</v>
      </c>
      <c r="AK54" s="14">
        <f t="shared" si="35"/>
        <v>48.101393902059698</v>
      </c>
      <c r="AL54" s="22">
        <f t="shared" si="4"/>
        <v>419.11960237942048</v>
      </c>
      <c r="AM54" s="62">
        <f t="shared" si="5"/>
        <v>712.45293571275374</v>
      </c>
      <c r="AN54" s="62">
        <f ca="1">AVERAGE(OFFSET($AM$3,0,0,'Données projet'!$E$10+1,1))-AVERAGE(OFFSET($H$3,0,0,'Données projet'!$E$10+1,1))</f>
        <v>321.03881567735544</v>
      </c>
      <c r="AO54" s="62">
        <f t="shared" si="36"/>
        <v>234.87694492493506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1.5890522862752376</v>
      </c>
      <c r="AV54" s="23">
        <f>EXP(-LN(2)/25)*AV53+(1-EXP(-LN(2)/25))/(LN(2)/25)*Calculateur!AQ54*Calculateur!AS54*VLOOKUP('Données projet'!$B$10,Paramètres!$A$1:$I$89,3,0)*0.475*44/12</f>
        <v>7.5726994653095208</v>
      </c>
      <c r="AW54" s="23">
        <f>EXP(-LN(2)/2)*AW53+(1-EXP(-LN(2)/2))/(LN(2)/2)*AQ54*AT54*VLOOKUP('Données projet'!$B$10,Paramètres!$A$1:$I$89,3,0)*0.475*44/12</f>
        <v>1.5012266659617191E-2</v>
      </c>
      <c r="AX54" s="23">
        <f t="shared" si="6"/>
        <v>9.1767640182443753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</v>
      </c>
      <c r="BD54" s="13">
        <f>IF('Données projet'!$A$88&gt;35,BD53+BC54-BL53,IF(A54&lt;'Données projet'!$A$88,$BA$205^A54,IF(A54='Données projet'!$A$88,'Données projet'!$B$88,BD53+BC54-BL53)))</f>
        <v>313.99999999999989</v>
      </c>
      <c r="BE54" s="14">
        <f>BD54*VLOOKUP('Données projet'!$B$11,Paramètres!$A$1:$I$89,3,0)*VLOOKUP('Données projet'!$B$11,Paramètres!$A$1:$I$89,5,0)</f>
        <v>195.93599999999992</v>
      </c>
      <c r="BF54" s="14">
        <f t="shared" si="37"/>
        <v>48.849959202565856</v>
      </c>
      <c r="BG54" s="22">
        <f t="shared" si="7"/>
        <v>426.33554561113533</v>
      </c>
      <c r="BH54" s="62">
        <f t="shared" si="8"/>
        <v>719.66887894446859</v>
      </c>
      <c r="BI54" s="62">
        <f ca="1">AVERAGE(OFFSET($BH$3,0,0,'Données projet'!$E$11+1,1))-AVERAGE(OFFSET($H$3,0,0,'Données projet'!$E$11+1,1))</f>
        <v>255.41017495879987</v>
      </c>
      <c r="BJ54" s="62">
        <f t="shared" si="38"/>
        <v>297.50513563712764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5.5049766453159785</v>
      </c>
      <c r="BQ54" s="23">
        <f>EXP(-LN(2)/25)*BQ53+(1-EXP(-LN(2)/25))/(LN(2)/25)*Calculateur!BL54*Calculateur!BN54*VLOOKUP('Données projet'!$B$11,Paramètres!$A$1:$I$89,3,0)*0.475*44/12</f>
        <v>15.569322366000099</v>
      </c>
      <c r="BR54" s="23">
        <f>EXP(-LN(2)/2)*BR53+(1-EXP(-LN(2)/2))/(LN(2)/2)*BL54*BO54*VLOOKUP('Données projet'!$B$11,Paramètres!$A$1:$I$89,3,0)*0.475*44/12</f>
        <v>1.6849851290956515E-2</v>
      </c>
      <c r="BS54" s="24">
        <f t="shared" si="9"/>
        <v>21.091148862607035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24.6</v>
      </c>
      <c r="BY54" s="13">
        <f>IF('Données projet'!$A$114&gt;35,BY53+BX54-CG53,IF(A54&lt;'Données projet'!$A$114,$BV$205^A54,IF(A54='Données projet'!$A$114,'Données projet'!$B$114,BY53+BX54-CG53)))</f>
        <v>591.59999999999991</v>
      </c>
      <c r="BZ54" s="14">
        <f>BY54*VLOOKUP('Données projet'!$B$12,Paramètres!$A$1:$I$89,3,0)*VLOOKUP('Données projet'!$B$12,Paramètres!$A$1:$I$89,5,0)</f>
        <v>284.55959999999999</v>
      </c>
      <c r="CA54" s="14">
        <f t="shared" si="39"/>
        <v>67.929675697579739</v>
      </c>
      <c r="CB54" s="22">
        <f t="shared" si="10"/>
        <v>613.91882183995131</v>
      </c>
      <c r="CC54" s="62">
        <f t="shared" si="11"/>
        <v>907.25215517328456</v>
      </c>
      <c r="CD54" s="62">
        <f ca="1">AVERAGE(OFFSET($CC$3,0,0,'Données projet'!$E$12+1,1))-AVERAGE(OFFSET($H$3,0,0,'Données projet'!$E$12+1,1))</f>
        <v>409.97612835032567</v>
      </c>
      <c r="CE54" s="62">
        <f t="shared" si="40"/>
        <v>411.87876448092288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20.171034362089753</v>
      </c>
      <c r="CL54" s="23">
        <f>EXP(-LN(2)/25)*CL53+(1-EXP(-LN(2)/25))/(LN(2)/25)*Calculateur!CG54*Calculateur!CI54*VLOOKUP('Données projet'!$B$12,Paramètres!$A$1:$I$89,3,0)*0.475*44/12</f>
        <v>29.099719761527226</v>
      </c>
      <c r="CM54" s="23">
        <f>EXP(-LN(2)/2)*CM53+(1-EXP(-LN(2)/2))/(LN(2)/2)*CG54*CJ54*VLOOKUP('Données projet'!$B$12,Paramètres!$A$1:$I$89,3,0)*0.475*44/12</f>
        <v>0.67205943273014312</v>
      </c>
      <c r="CN54" s="24">
        <f t="shared" si="12"/>
        <v>49.942813556347126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19.399999999999999</v>
      </c>
      <c r="CT54" s="13">
        <f>IF('Données projet'!$A$140&gt;35,CT53+CS54-DB53,IF(A54&lt;'Données projet'!$A$140,$CQ$205^A54,IF(A54='Données projet'!$A$140,'Données projet'!$B$140,CT53+CS54-DB53)))</f>
        <v>526.4000000000002</v>
      </c>
      <c r="CU54" s="18">
        <f>CT54*VLOOKUP('Données projet'!$B$13,Paramètres!$A$1:$I$89,3,0)*VLOOKUP('Données projet'!$B$13,Paramètres!$A$1:$I$89,5,0)</f>
        <v>314.78720000000015</v>
      </c>
      <c r="CV54" s="14">
        <f t="shared" si="41"/>
        <v>74.267694648841371</v>
      </c>
      <c r="CW54" s="22">
        <f t="shared" si="13"/>
        <v>677.60394151339892</v>
      </c>
      <c r="CX54" s="62">
        <f t="shared" si="14"/>
        <v>970.93727484673218</v>
      </c>
      <c r="CY54" s="62">
        <f ca="1">AVERAGE(OFFSET($CX$3,0,0,'Données projet'!$E$13+1,1))-AVERAGE(OFFSET($H$3,0,0,'Données projet'!$E$13+1,1))</f>
        <v>463.3255103386889</v>
      </c>
      <c r="CZ54" s="62">
        <f t="shared" si="42"/>
        <v>474.73210558736127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3.2972516365173847</v>
      </c>
      <c r="DG54" s="23">
        <f>EXP(-LN(2)/25)*DG53+(1-EXP(-LN(2)/25))/(LN(2)/25)*Calculateur!DB54*Calculateur!DD54*VLOOKUP('Données projet'!$B$13,Paramètres!$A$1:$I$89,3,0)*0.475*44/12</f>
        <v>19.363791123565104</v>
      </c>
      <c r="DH54" s="23">
        <f>EXP(-LN(2)/2)*DH53+(1-EXP(-LN(2)/2))/(LN(2)/2)*DB54*DE54*VLOOKUP('Données projet'!$B$13,Paramètres!$A$1:$I$89,3,0)*0.475*44/12</f>
        <v>3.0120011236090705E-2</v>
      </c>
      <c r="DI54" s="24">
        <f t="shared" si="15"/>
        <v>22.691162771318577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13.499999999999996</v>
      </c>
      <c r="DO54" s="13">
        <f>IF('Données projet'!$A$166&gt;35,DO53+DN54-DW53,IF(A54&lt;'Données projet'!$A$166,$DL$205^A54,IF(A54='Données projet'!$A$166,'Données projet'!$B$166,DO53+DN54-DW53)))</f>
        <v>253.29999999999987</v>
      </c>
      <c r="DP54" s="18">
        <f>DO54*VLOOKUP('Données projet'!$B$14,Paramètres!$A$1:$I$89,3,0)*VLOOKUP('Données projet'!$B$14,Paramètres!$A$1:$I$89,5,0)</f>
        <v>118.54439999999994</v>
      </c>
      <c r="DQ54" s="14">
        <f t="shared" si="43"/>
        <v>31.3352637371359</v>
      </c>
      <c r="DR54" s="22">
        <f t="shared" si="16"/>
        <v>261.04041434217822</v>
      </c>
      <c r="DS54" s="62">
        <f t="shared" si="17"/>
        <v>554.37374767551159</v>
      </c>
      <c r="DT54" s="62">
        <f ca="1">AVERAGE(OFFSET($DS$3,0,0,'Données projet'!$E$14+1,1))-AVERAGE(OFFSET($H$3,0,0,'Données projet'!$E$14+1,1))</f>
        <v>215.23235148064941</v>
      </c>
      <c r="DU54" s="62">
        <f t="shared" si="44"/>
        <v>184.07239726900434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2.0680526102827663</v>
      </c>
      <c r="EB54" s="23">
        <f>EXP(-LN(2)/25)*EB53+(1-EXP(-LN(2)/25))/(LN(2)/25)*Calculateur!DW54*Calculateur!DY54*VLOOKUP('Données projet'!$B$14,Paramètres!$A$1:$I$89,3,0)*0.475*44/12</f>
        <v>4.3884046431507171</v>
      </c>
      <c r="EC54" s="23">
        <f>EXP(-LN(2)/2)*EC53+(1-EXP(-LN(2)/2))/(LN(2)/2)*DW54*DZ54*VLOOKUP('Données projet'!$B$14,Paramètres!$A$1:$I$89,3,0)*0.475*44/12</f>
        <v>6.7894518193751729E-3</v>
      </c>
      <c r="ED54" s="24">
        <f t="shared" si="18"/>
        <v>6.4632467052528586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397.61794578614325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20.6</v>
      </c>
      <c r="N55" s="14">
        <f>IF('Données projet'!$A$36&gt;35,N54+M55-V54,IF(A55&lt;'Données projet'!$A$36,$K$205^A55,IF(A55='Données projet'!$A$36,'Données projet'!$B$36,N54+M55-V54)))</f>
        <v>570.2000000000005</v>
      </c>
      <c r="O55" s="14">
        <f>N55*VLOOKUP('Données projet'!$B$9,Paramètres!$A$1:$I$89,3,0)*VLOOKUP('Données projet'!$B$9,Paramètres!$A$1:$I$89,5,0)</f>
        <v>318.7418000000003</v>
      </c>
      <c r="P55" s="14">
        <f t="shared" si="33"/>
        <v>75.091500688337987</v>
      </c>
      <c r="Q55" s="22">
        <f t="shared" si="53"/>
        <v>685.92633203218918</v>
      </c>
      <c r="R55" s="62">
        <f t="shared" si="0"/>
        <v>979.25966536552255</v>
      </c>
      <c r="S55" s="62">
        <f ca="1">AVERAGE(OFFSET($R$3,0,0,'Données projet'!$E$9+1,1))-AVERAGE(OFFSET($H$3,0,0,'Données projet'!$E$9+1,1))</f>
        <v>460.40450534123659</v>
      </c>
      <c r="T55" s="62">
        <f t="shared" si="34"/>
        <v>467.77477728479198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8.1252122741498329</v>
      </c>
      <c r="AA55" s="23">
        <f>EXP(-LN(2)/25)*AA54+(1-EXP(-LN(2)/25))/(LN(2)/25)*Calculateur!V55*Calculateur!X55*VLOOKUP('Données projet'!$B$9,Paramètres!$A$1:$I$89,3,0)*0.475*44/12</f>
        <v>24.053300503350137</v>
      </c>
      <c r="AB55" s="23">
        <f>EXP(-LN(2)/2)*AB54+(1-EXP(-LN(2)/2))/(LN(2)/2)*V55*Y55*VLOOKUP('Données projet'!$B$9,Paramètres!$A$1:$I$89,3,0)*0.475*44/12</f>
        <v>1.9640579838944728E-2</v>
      </c>
      <c r="AC55" s="24">
        <f t="shared" si="3"/>
        <v>32.19815335733891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9.8000000000000007</v>
      </c>
      <c r="AI55" s="14">
        <f>IF('Données projet'!$A$62&gt;35,AI54+AH55-AQ54,IF(A55&lt;'Données projet'!$A$62,$AF$205^A55,IF(A55='Données projet'!$A$62,'Données projet'!$B$62,AI54+AH55-AQ54)))</f>
        <v>222.59999999999991</v>
      </c>
      <c r="AJ55" s="14">
        <f>AI55*VLOOKUP('Données projet'!$B$10,Paramètres!$A$1:$I$89,3,0)*VLOOKUP('Données projet'!$B$10,Paramètres!$A$1:$I$89,5,0)</f>
        <v>201.40847999999991</v>
      </c>
      <c r="AK55" s="14">
        <f t="shared" si="35"/>
        <v>50.053582459229212</v>
      </c>
      <c r="AL55" s="22">
        <f t="shared" si="4"/>
        <v>437.96309211649071</v>
      </c>
      <c r="AM55" s="62">
        <f t="shared" si="5"/>
        <v>731.29642544982403</v>
      </c>
      <c r="AN55" s="62">
        <f ca="1">AVERAGE(OFFSET($AM$3,0,0,'Données projet'!$E$10+1,1))-AVERAGE(OFFSET($H$3,0,0,'Données projet'!$E$10+1,1))</f>
        <v>321.03881567735544</v>
      </c>
      <c r="AO55" s="62">
        <f t="shared" si="36"/>
        <v>234.87694492493506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1.5578919401675717</v>
      </c>
      <c r="AV55" s="23">
        <f>EXP(-LN(2)/25)*AV54+(1-EXP(-LN(2)/25))/(LN(2)/25)*Calculateur!AQ55*Calculateur!AS55*VLOOKUP('Données projet'!$B$10,Paramètres!$A$1:$I$89,3,0)*0.475*44/12</f>
        <v>7.3656236001996751</v>
      </c>
      <c r="AW55" s="23">
        <f>EXP(-LN(2)/2)*AW54+(1-EXP(-LN(2)/2))/(LN(2)/2)*AQ55*AT55*VLOOKUP('Données projet'!$B$10,Paramètres!$A$1:$I$89,3,0)*0.475*44/12</f>
        <v>1.0615275555996036E-2</v>
      </c>
      <c r="AX55" s="23">
        <f t="shared" si="6"/>
        <v>8.9341308159232415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</v>
      </c>
      <c r="BD55" s="13">
        <f>IF('Données projet'!$A$88&gt;35,BD54+BC55-BL54,IF(A55&lt;'Données projet'!$A$88,$BA$205^A55,IF(A55='Données projet'!$A$88,'Données projet'!$B$88,BD54+BC55-BL54)))</f>
        <v>323.99999999999989</v>
      </c>
      <c r="BE55" s="14">
        <f>BD55*VLOOKUP('Données projet'!$B$11,Paramètres!$A$1:$I$89,3,0)*VLOOKUP('Données projet'!$B$11,Paramètres!$A$1:$I$89,5,0)</f>
        <v>202.17599999999996</v>
      </c>
      <c r="BF55" s="14">
        <f t="shared" si="37"/>
        <v>50.22208506756467</v>
      </c>
      <c r="BG55" s="22">
        <f t="shared" si="7"/>
        <v>439.59333149267508</v>
      </c>
      <c r="BH55" s="62">
        <f t="shared" si="8"/>
        <v>732.92666482600839</v>
      </c>
      <c r="BI55" s="62">
        <f ca="1">AVERAGE(OFFSET($BH$3,0,0,'Données projet'!$E$11+1,1))-AVERAGE(OFFSET($H$3,0,0,'Données projet'!$E$11+1,1))</f>
        <v>255.41017495879987</v>
      </c>
      <c r="BJ55" s="62">
        <f t="shared" si="38"/>
        <v>297.50513563712764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5.3970274110055403</v>
      </c>
      <c r="BQ55" s="23">
        <f>EXP(-LN(2)/25)*BQ54+(1-EXP(-LN(2)/25))/(LN(2)/25)*Calculateur!BL55*Calculateur!BN55*VLOOKUP('Données projet'!$B$11,Paramètres!$A$1:$I$89,3,0)*0.475*44/12</f>
        <v>15.143578427146748</v>
      </c>
      <c r="BR55" s="23">
        <f>EXP(-LN(2)/2)*BR54+(1-EXP(-LN(2)/2))/(LN(2)/2)*BL55*BO55*VLOOKUP('Données projet'!$B$11,Paramètres!$A$1:$I$89,3,0)*0.475*44/12</f>
        <v>1.1914644109820254E-2</v>
      </c>
      <c r="BS55" s="24">
        <f t="shared" si="9"/>
        <v>20.552520482262107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24.6</v>
      </c>
      <c r="BY55" s="13">
        <f>IF('Données projet'!$A$114&gt;35,BY54+BX55-CG54,IF(A55&lt;'Données projet'!$A$114,$BV$205^A55,IF(A55='Données projet'!$A$114,'Données projet'!$B$114,BY54+BX55-CG54)))</f>
        <v>616.19999999999993</v>
      </c>
      <c r="BZ55" s="14">
        <f>BY55*VLOOKUP('Données projet'!$B$12,Paramètres!$A$1:$I$89,3,0)*VLOOKUP('Données projet'!$B$12,Paramètres!$A$1:$I$89,5,0)</f>
        <v>296.39219999999995</v>
      </c>
      <c r="CA55" s="14">
        <f t="shared" si="39"/>
        <v>70.419598266536553</v>
      </c>
      <c r="CB55" s="22">
        <f t="shared" si="10"/>
        <v>638.86388198088434</v>
      </c>
      <c r="CC55" s="62">
        <f t="shared" si="11"/>
        <v>932.1972153142176</v>
      </c>
      <c r="CD55" s="62">
        <f ca="1">AVERAGE(OFFSET($CC$3,0,0,'Données projet'!$E$12+1,1))-AVERAGE(OFFSET($H$3,0,0,'Données projet'!$E$12+1,1))</f>
        <v>409.97612835032567</v>
      </c>
      <c r="CE55" s="62">
        <f t="shared" si="40"/>
        <v>411.87876448092288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19.7754926813653</v>
      </c>
      <c r="CL55" s="23">
        <f>EXP(-LN(2)/25)*CL54+(1-EXP(-LN(2)/25))/(LN(2)/25)*Calculateur!CG55*Calculateur!CI55*VLOOKUP('Données projet'!$B$12,Paramètres!$A$1:$I$89,3,0)*0.475*44/12</f>
        <v>28.303986394360511</v>
      </c>
      <c r="CM55" s="23">
        <f>EXP(-LN(2)/2)*CM54+(1-EXP(-LN(2)/2))/(LN(2)/2)*CG55*CJ55*VLOOKUP('Données projet'!$B$12,Paramètres!$A$1:$I$89,3,0)*0.475*44/12</f>
        <v>0.47521778224386862</v>
      </c>
      <c r="CN55" s="24">
        <f t="shared" si="12"/>
        <v>48.554696857969681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19.399999999999999</v>
      </c>
      <c r="CT55" s="13">
        <f>IF('Données projet'!$A$140&gt;35,CT54+CS55-DB54,IF(A55&lt;'Données projet'!$A$140,$CQ$205^A55,IF(A55='Données projet'!$A$140,'Données projet'!$B$140,CT54+CS55-DB54)))</f>
        <v>545.80000000000018</v>
      </c>
      <c r="CU55" s="18">
        <f>CT55*VLOOKUP('Données projet'!$B$13,Paramètres!$A$1:$I$89,3,0)*VLOOKUP('Données projet'!$B$13,Paramètres!$A$1:$I$89,5,0)</f>
        <v>326.38840000000016</v>
      </c>
      <c r="CV55" s="14">
        <f t="shared" si="41"/>
        <v>76.681051456851932</v>
      </c>
      <c r="CW55" s="22">
        <f t="shared" si="13"/>
        <v>702.01262795401738</v>
      </c>
      <c r="CX55" s="62">
        <f t="shared" si="14"/>
        <v>995.34596128735075</v>
      </c>
      <c r="CY55" s="62">
        <f ca="1">AVERAGE(OFFSET($CX$3,0,0,'Données projet'!$E$13+1,1))-AVERAGE(OFFSET($H$3,0,0,'Données projet'!$E$13+1,1))</f>
        <v>463.3255103386889</v>
      </c>
      <c r="CZ55" s="62">
        <f t="shared" si="42"/>
        <v>474.73210558736127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3.2325945430501948</v>
      </c>
      <c r="DG55" s="23">
        <f>EXP(-LN(2)/25)*DG54+(1-EXP(-LN(2)/25))/(LN(2)/25)*Calculateur!DB55*Calculateur!DD55*VLOOKUP('Données projet'!$B$13,Paramètres!$A$1:$I$89,3,0)*0.475*44/12</f>
        <v>18.834287236993699</v>
      </c>
      <c r="DH55" s="23">
        <f>EXP(-LN(2)/2)*DH54+(1-EXP(-LN(2)/2))/(LN(2)/2)*DB55*DE55*VLOOKUP('Données projet'!$B$13,Paramètres!$A$1:$I$89,3,0)*0.475*44/12</f>
        <v>2.1298064194454742E-2</v>
      </c>
      <c r="DI55" s="24">
        <f t="shared" si="15"/>
        <v>22.088179844238347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13.499999999999996</v>
      </c>
      <c r="DO55" s="13">
        <f>IF('Données projet'!$A$166&gt;35,DO54+DN55-DW54,IF(A55&lt;'Données projet'!$A$166,$DL$205^A55,IF(A55='Données projet'!$A$166,'Données projet'!$B$166,DO54+DN55-DW54)))</f>
        <v>266.79999999999984</v>
      </c>
      <c r="DP55" s="18">
        <f>DO55*VLOOKUP('Données projet'!$B$14,Paramètres!$A$1:$I$89,3,0)*VLOOKUP('Données projet'!$B$14,Paramètres!$A$1:$I$89,5,0)</f>
        <v>124.86239999999994</v>
      </c>
      <c r="DQ55" s="14">
        <f t="shared" si="43"/>
        <v>32.80643928056157</v>
      </c>
      <c r="DR55" s="22">
        <f t="shared" si="16"/>
        <v>274.60656174697795</v>
      </c>
      <c r="DS55" s="62">
        <f t="shared" si="17"/>
        <v>567.93989508031132</v>
      </c>
      <c r="DT55" s="62">
        <f ca="1">AVERAGE(OFFSET($DS$3,0,0,'Données projet'!$E$14+1,1))-AVERAGE(OFFSET($H$3,0,0,'Données projet'!$E$14+1,1))</f>
        <v>215.23235148064941</v>
      </c>
      <c r="DU55" s="62">
        <f t="shared" si="44"/>
        <v>184.07239726900434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2.0274993599826621</v>
      </c>
      <c r="EB55" s="23">
        <f>EXP(-LN(2)/25)*EB54+(1-EXP(-LN(2)/25))/(LN(2)/25)*Calculateur!DW55*Calculateur!DY55*VLOOKUP('Données projet'!$B$14,Paramètres!$A$1:$I$89,3,0)*0.475*44/12</f>
        <v>4.26840348740759</v>
      </c>
      <c r="EC55" s="23">
        <f>EXP(-LN(2)/2)*EC54+(1-EXP(-LN(2)/2))/(LN(2)/2)*DW55*DZ55*VLOOKUP('Données projet'!$B$14,Paramètres!$A$1:$I$89,3,0)*0.475*44/12</f>
        <v>4.8008674220195273E-3</v>
      </c>
      <c r="ED55" s="24">
        <f t="shared" si="18"/>
        <v>6.300703714812272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399.56980098790956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20.6</v>
      </c>
      <c r="N56" s="14">
        <f>IF('Données projet'!$A$36&gt;35,N55+M56-V55,IF(A56&lt;'Données projet'!$A$36,$K$205^A56,IF(A56='Données projet'!$A$36,'Données projet'!$B$36,N55+M56-V55)))</f>
        <v>590.80000000000052</v>
      </c>
      <c r="O56" s="14">
        <f>N56*VLOOKUP('Données projet'!$B$9,Paramètres!$A$1:$I$89,3,0)*VLOOKUP('Données projet'!$B$9,Paramètres!$A$1:$I$89,5,0)</f>
        <v>330.2572000000003</v>
      </c>
      <c r="P56" s="14">
        <f t="shared" si="33"/>
        <v>77.483628875744813</v>
      </c>
      <c r="Q56" s="22">
        <f t="shared" si="53"/>
        <v>710.14861029192286</v>
      </c>
      <c r="R56" s="62">
        <f t="shared" si="0"/>
        <v>1003.4819436252562</v>
      </c>
      <c r="S56" s="62">
        <f ca="1">AVERAGE(OFFSET($R$3,0,0,'Données projet'!$E$9+1,1))-AVERAGE(OFFSET($H$3,0,0,'Données projet'!$E$9+1,1))</f>
        <v>460.40450534123659</v>
      </c>
      <c r="T56" s="62">
        <f t="shared" si="34"/>
        <v>467.77477728479198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7.9658818173438881</v>
      </c>
      <c r="AA56" s="23">
        <f>EXP(-LN(2)/25)*AA55+(1-EXP(-LN(2)/25))/(LN(2)/25)*Calculateur!V56*Calculateur!X56*VLOOKUP('Données projet'!$B$9,Paramètres!$A$1:$I$89,3,0)*0.475*44/12</f>
        <v>23.395561736177928</v>
      </c>
      <c r="AB56" s="23">
        <f>EXP(-LN(2)/2)*AB55+(1-EXP(-LN(2)/2))/(LN(2)/2)*V56*Y56*VLOOKUP('Données projet'!$B$9,Paramètres!$A$1:$I$89,3,0)*0.475*44/12</f>
        <v>1.3887987190553607E-2</v>
      </c>
      <c r="AC56" s="24">
        <f t="shared" si="3"/>
        <v>31.37533154071237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9.8000000000000007</v>
      </c>
      <c r="AI56" s="14">
        <f>IF('Données projet'!$A$62&gt;35,AI55+AH56-AQ55,IF(A56&lt;'Données projet'!$A$62,$AF$205^A56,IF(A56='Données projet'!$A$62,'Données projet'!$B$62,AI55+AH56-AQ55)))</f>
        <v>232.39999999999992</v>
      </c>
      <c r="AJ56" s="14">
        <f>AI56*VLOOKUP('Données projet'!$B$10,Paramètres!$A$1:$I$89,3,0)*VLOOKUP('Données projet'!$B$10,Paramètres!$A$1:$I$89,5,0)</f>
        <v>210.27551999999991</v>
      </c>
      <c r="AK56" s="14">
        <f t="shared" si="35"/>
        <v>51.995789155135654</v>
      </c>
      <c r="AL56" s="22">
        <f t="shared" si="4"/>
        <v>456.78919677852781</v>
      </c>
      <c r="AM56" s="62">
        <f t="shared" si="5"/>
        <v>750.12253011186112</v>
      </c>
      <c r="AN56" s="62">
        <f ca="1">AVERAGE(OFFSET($AM$3,0,0,'Données projet'!$E$10+1,1))-AVERAGE(OFFSET($H$3,0,0,'Données projet'!$E$10+1,1))</f>
        <v>321.03881567735544</v>
      </c>
      <c r="AO56" s="62">
        <f t="shared" si="36"/>
        <v>234.87694492493506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1.5273426294411427</v>
      </c>
      <c r="AV56" s="23">
        <f>EXP(-LN(2)/25)*AV55+(1-EXP(-LN(2)/25))/(LN(2)/25)*Calculateur!AQ56*Calculateur!AS56*VLOOKUP('Données projet'!$B$10,Paramètres!$A$1:$I$89,3,0)*0.475*44/12</f>
        <v>7.1642102355109039</v>
      </c>
      <c r="AW56" s="23">
        <f>EXP(-LN(2)/2)*AW55+(1-EXP(-LN(2)/2))/(LN(2)/2)*AQ56*AT56*VLOOKUP('Données projet'!$B$10,Paramètres!$A$1:$I$89,3,0)*0.475*44/12</f>
        <v>7.5061333298085961E-3</v>
      </c>
      <c r="AX56" s="23">
        <f t="shared" si="6"/>
        <v>8.6990589982818562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</v>
      </c>
      <c r="BD56" s="13">
        <f>IF('Données projet'!$A$88&gt;35,BD55+BC56-BL55,IF(A56&lt;'Données projet'!$A$88,$BA$205^A56,IF(A56='Données projet'!$A$88,'Données projet'!$B$88,BD55+BC56-BL55)))</f>
        <v>333.99999999999989</v>
      </c>
      <c r="BE56" s="14">
        <f>BD56*VLOOKUP('Données projet'!$B$11,Paramètres!$A$1:$I$89,3,0)*VLOOKUP('Données projet'!$B$11,Paramètres!$A$1:$I$89,5,0)</f>
        <v>208.41599999999991</v>
      </c>
      <c r="BF56" s="14">
        <f t="shared" si="37"/>
        <v>51.589289462027516</v>
      </c>
      <c r="BG56" s="22">
        <f t="shared" si="7"/>
        <v>452.84254581303099</v>
      </c>
      <c r="BH56" s="62">
        <f t="shared" si="8"/>
        <v>746.17587914636431</v>
      </c>
      <c r="BI56" s="62">
        <f ca="1">AVERAGE(OFFSET($BH$3,0,0,'Données projet'!$E$11+1,1))-AVERAGE(OFFSET($H$3,0,0,'Données projet'!$E$11+1,1))</f>
        <v>255.41017495879987</v>
      </c>
      <c r="BJ56" s="62">
        <f t="shared" si="38"/>
        <v>297.50513563712764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5.2911949953373982</v>
      </c>
      <c r="BQ56" s="23">
        <f>EXP(-LN(2)/25)*BQ55+(1-EXP(-LN(2)/25))/(LN(2)/25)*Calculateur!BL56*Calculateur!BN56*VLOOKUP('Données projet'!$B$11,Paramètres!$A$1:$I$89,3,0)*0.475*44/12</f>
        <v>14.729476478690241</v>
      </c>
      <c r="BR56" s="23">
        <f>EXP(-LN(2)/2)*BR55+(1-EXP(-LN(2)/2))/(LN(2)/2)*BL56*BO56*VLOOKUP('Données projet'!$B$11,Paramètres!$A$1:$I$89,3,0)*0.475*44/12</f>
        <v>8.4249256454782574E-3</v>
      </c>
      <c r="BS56" s="24">
        <f t="shared" si="9"/>
        <v>20.029096399673119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24.6</v>
      </c>
      <c r="BY56" s="13">
        <f>IF('Données projet'!$A$114&gt;35,BY55+BX56-CG55,IF(A56&lt;'Données projet'!$A$114,$BV$205^A56,IF(A56='Données projet'!$A$114,'Données projet'!$B$114,BY55+BX56-CG55)))</f>
        <v>640.79999999999995</v>
      </c>
      <c r="BZ56" s="14">
        <f>BY56*VLOOKUP('Données projet'!$B$12,Paramètres!$A$1:$I$89,3,0)*VLOOKUP('Données projet'!$B$12,Paramètres!$A$1:$I$89,5,0)</f>
        <v>308.22479999999996</v>
      </c>
      <c r="CA56" s="14">
        <f t="shared" si="39"/>
        <v>72.897973935264957</v>
      </c>
      <c r="CB56" s="22">
        <f t="shared" si="10"/>
        <v>663.78883127058646</v>
      </c>
      <c r="CC56" s="62">
        <f t="shared" si="11"/>
        <v>957.12216460391983</v>
      </c>
      <c r="CD56" s="62">
        <f ca="1">AVERAGE(OFFSET($CC$3,0,0,'Données projet'!$E$12+1,1))-AVERAGE(OFFSET($H$3,0,0,'Données projet'!$E$12+1,1))</f>
        <v>409.97612835032567</v>
      </c>
      <c r="CE56" s="62">
        <f t="shared" si="40"/>
        <v>411.87876448092288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19.387707331743254</v>
      </c>
      <c r="CL56" s="23">
        <f>EXP(-LN(2)/25)*CL55+(1-EXP(-LN(2)/25))/(LN(2)/25)*Calculateur!CG56*Calculateur!CI56*VLOOKUP('Données projet'!$B$12,Paramètres!$A$1:$I$89,3,0)*0.475*44/12</f>
        <v>27.530012397964768</v>
      </c>
      <c r="CM56" s="23">
        <f>EXP(-LN(2)/2)*CM55+(1-EXP(-LN(2)/2))/(LN(2)/2)*CG56*CJ56*VLOOKUP('Données projet'!$B$12,Paramètres!$A$1:$I$89,3,0)*0.475*44/12</f>
        <v>0.33602971636507162</v>
      </c>
      <c r="CN56" s="24">
        <f t="shared" si="12"/>
        <v>47.253749446073094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19.399999999999999</v>
      </c>
      <c r="CT56" s="13">
        <f>IF('Données projet'!$A$140&gt;35,CT55+CS56-DB55,IF(A56&lt;'Données projet'!$A$140,$CQ$205^A56,IF(A56='Données projet'!$A$140,'Données projet'!$B$140,CT55+CS56-DB55)))</f>
        <v>565.20000000000016</v>
      </c>
      <c r="CU56" s="18">
        <f>CT56*VLOOKUP('Données projet'!$B$13,Paramètres!$A$1:$I$89,3,0)*VLOOKUP('Données projet'!$B$13,Paramètres!$A$1:$I$89,5,0)</f>
        <v>337.98960000000011</v>
      </c>
      <c r="CV56" s="14">
        <f t="shared" si="41"/>
        <v>79.084441798114071</v>
      </c>
      <c r="CW56" s="22">
        <f t="shared" si="13"/>
        <v>726.40395613171552</v>
      </c>
      <c r="CX56" s="62">
        <f t="shared" si="14"/>
        <v>1019.7372894650489</v>
      </c>
      <c r="CY56" s="62">
        <f ca="1">AVERAGE(OFFSET($CX$3,0,0,'Données projet'!$E$13+1,1))-AVERAGE(OFFSET($H$3,0,0,'Données projet'!$E$13+1,1))</f>
        <v>463.3255103386889</v>
      </c>
      <c r="CZ56" s="62">
        <f t="shared" si="42"/>
        <v>474.73210558736127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3.1692053357489636</v>
      </c>
      <c r="DG56" s="23">
        <f>EXP(-LN(2)/25)*DG55+(1-EXP(-LN(2)/25))/(LN(2)/25)*Calculateur!DB56*Calculateur!DD56*VLOOKUP('Données projet'!$B$13,Paramètres!$A$1:$I$89,3,0)*0.475*44/12</f>
        <v>18.319262662045986</v>
      </c>
      <c r="DH56" s="23">
        <f>EXP(-LN(2)/2)*DH55+(1-EXP(-LN(2)/2))/(LN(2)/2)*DB56*DE56*VLOOKUP('Données projet'!$B$13,Paramètres!$A$1:$I$89,3,0)*0.475*44/12</f>
        <v>1.5060005618045352E-2</v>
      </c>
      <c r="DI56" s="24">
        <f t="shared" si="15"/>
        <v>21.503528003412995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13.499999999999996</v>
      </c>
      <c r="DO56" s="13">
        <f>IF('Données projet'!$A$166&gt;35,DO55+DN56-DW55,IF(A56&lt;'Données projet'!$A$166,$DL$205^A56,IF(A56='Données projet'!$A$166,'Données projet'!$B$166,DO55+DN56-DW55)))</f>
        <v>280.29999999999984</v>
      </c>
      <c r="DP56" s="18">
        <f>DO56*VLOOKUP('Données projet'!$B$14,Paramètres!$A$1:$I$89,3,0)*VLOOKUP('Données projet'!$B$14,Paramètres!$A$1:$I$89,5,0)</f>
        <v>131.18039999999993</v>
      </c>
      <c r="DQ56" s="14">
        <f t="shared" si="43"/>
        <v>34.268971460239172</v>
      </c>
      <c r="DR56" s="22">
        <f t="shared" si="16"/>
        <v>288.15765529324972</v>
      </c>
      <c r="DS56" s="62">
        <f t="shared" si="17"/>
        <v>581.49098862658298</v>
      </c>
      <c r="DT56" s="62">
        <f ca="1">AVERAGE(OFFSET($DS$3,0,0,'Données projet'!$E$14+1,1))-AVERAGE(OFFSET($H$3,0,0,'Données projet'!$E$14+1,1))</f>
        <v>215.23235148064941</v>
      </c>
      <c r="DU56" s="62">
        <f t="shared" si="44"/>
        <v>184.07239726900434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1.9877413341859023</v>
      </c>
      <c r="EB56" s="23">
        <f>EXP(-LN(2)/25)*EB55+(1-EXP(-LN(2)/25))/(LN(2)/25)*Calculateur!DW56*Calculateur!DY56*VLOOKUP('Données projet'!$B$14,Paramètres!$A$1:$I$89,3,0)*0.475*44/12</f>
        <v>4.1516837695788453</v>
      </c>
      <c r="EC56" s="23">
        <f>EXP(-LN(2)/2)*EC55+(1-EXP(-LN(2)/2))/(LN(2)/2)*DW56*DZ56*VLOOKUP('Données projet'!$B$14,Paramètres!$A$1:$I$89,3,0)*0.475*44/12</f>
        <v>3.3947259096875865E-3</v>
      </c>
      <c r="ED56" s="24">
        <f t="shared" si="18"/>
        <v>6.1428198296744343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401.52077166373437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20.6</v>
      </c>
      <c r="N57" s="14">
        <f>IF('Données projet'!$A$36&gt;35,N56+M57-V56,IF(A57&lt;'Données projet'!$A$36,$K$205^A57,IF(A57='Données projet'!$A$36,'Données projet'!$B$36,N56+M57-V56)))</f>
        <v>611.40000000000055</v>
      </c>
      <c r="O57" s="14">
        <f>N57*VLOOKUP('Données projet'!$B$9,Paramètres!$A$1:$I$89,3,0)*VLOOKUP('Données projet'!$B$9,Paramètres!$A$1:$I$89,5,0)</f>
        <v>341.7726000000003</v>
      </c>
      <c r="P57" s="14">
        <f t="shared" si="33"/>
        <v>79.866065895408255</v>
      </c>
      <c r="Q57" s="22">
        <f t="shared" si="53"/>
        <v>734.35400976783649</v>
      </c>
      <c r="R57" s="62">
        <f t="shared" si="0"/>
        <v>1027.6873431011697</v>
      </c>
      <c r="S57" s="62">
        <f ca="1">AVERAGE(OFFSET($R$3,0,0,'Données projet'!$E$9+1,1))-AVERAGE(OFFSET($H$3,0,0,'Données projet'!$E$9+1,1))</f>
        <v>460.40450534123659</v>
      </c>
      <c r="T57" s="62">
        <f t="shared" si="34"/>
        <v>467.77477728479198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7.8096757336139255</v>
      </c>
      <c r="AA57" s="23">
        <f>EXP(-LN(2)/25)*AA56+(1-EXP(-LN(2)/25))/(LN(2)/25)*Calculateur!V57*Calculateur!X57*VLOOKUP('Données projet'!$B$9,Paramètres!$A$1:$I$89,3,0)*0.475*44/12</f>
        <v>22.755808870183021</v>
      </c>
      <c r="AB57" s="23">
        <f>EXP(-LN(2)/2)*AB56+(1-EXP(-LN(2)/2))/(LN(2)/2)*V57*Y57*VLOOKUP('Données projet'!$B$9,Paramètres!$A$1:$I$89,3,0)*0.475*44/12</f>
        <v>9.820289919472364E-3</v>
      </c>
      <c r="AC57" s="24">
        <f t="shared" si="3"/>
        <v>30.575304893716417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9.8000000000000007</v>
      </c>
      <c r="AI57" s="14">
        <f>IF('Données projet'!$A$62&gt;35,AI56+AH57-AQ56,IF(A57&lt;'Données projet'!$A$62,$AF$205^A57,IF(A57='Données projet'!$A$62,'Données projet'!$B$62,AI56+AH57-AQ56)))</f>
        <v>242.19999999999993</v>
      </c>
      <c r="AJ57" s="14">
        <f>AI57*VLOOKUP('Données projet'!$B$10,Paramètres!$A$1:$I$89,3,0)*VLOOKUP('Données projet'!$B$10,Paramètres!$A$1:$I$89,5,0)</f>
        <v>219.14255999999992</v>
      </c>
      <c r="AK57" s="14">
        <f t="shared" si="35"/>
        <v>53.928483039139707</v>
      </c>
      <c r="AL57" s="22">
        <f t="shared" si="4"/>
        <v>475.59873329316815</v>
      </c>
      <c r="AM57" s="62">
        <f t="shared" si="5"/>
        <v>768.93206662650141</v>
      </c>
      <c r="AN57" s="62">
        <f ca="1">AVERAGE(OFFSET($AM$3,0,0,'Données projet'!$E$10+1,1))-AVERAGE(OFFSET($H$3,0,0,'Données projet'!$E$10+1,1))</f>
        <v>321.03881567735544</v>
      </c>
      <c r="AO57" s="62">
        <f t="shared" si="36"/>
        <v>234.87694492493506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1.4973923720648192</v>
      </c>
      <c r="AV57" s="23">
        <f>EXP(-LN(2)/25)*AV56+(1-EXP(-LN(2)/25))/(LN(2)/25)*Calculateur!AQ57*Calculateur!AS57*VLOOKUP('Données projet'!$B$10,Paramètres!$A$1:$I$89,3,0)*0.475*44/12</f>
        <v>6.9683045298714159</v>
      </c>
      <c r="AW57" s="23">
        <f>EXP(-LN(2)/2)*AW56+(1-EXP(-LN(2)/2))/(LN(2)/2)*AQ57*AT57*VLOOKUP('Données projet'!$B$10,Paramètres!$A$1:$I$89,3,0)*0.475*44/12</f>
        <v>5.3076377779980189E-3</v>
      </c>
      <c r="AX57" s="23">
        <f t="shared" si="6"/>
        <v>8.4710045397142331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</v>
      </c>
      <c r="BD57" s="13">
        <f>IF('Données projet'!$A$88&gt;35,BD56+BC57-BL56,IF(A57&lt;'Données projet'!$A$88,$BA$205^A57,IF(A57='Données projet'!$A$88,'Données projet'!$B$88,BD56+BC57-BL56)))</f>
        <v>343.99999999999989</v>
      </c>
      <c r="BE57" s="14">
        <f>BD57*VLOOKUP('Données projet'!$B$11,Paramètres!$A$1:$I$89,3,0)*VLOOKUP('Données projet'!$B$11,Paramètres!$A$1:$I$89,5,0)</f>
        <v>214.65599999999995</v>
      </c>
      <c r="BF57" s="14">
        <f t="shared" si="37"/>
        <v>52.951736650296546</v>
      </c>
      <c r="BG57" s="22">
        <f t="shared" si="7"/>
        <v>466.08347466593301</v>
      </c>
      <c r="BH57" s="62">
        <f t="shared" si="8"/>
        <v>759.41680799926633</v>
      </c>
      <c r="BI57" s="62">
        <f ca="1">AVERAGE(OFFSET($BH$3,0,0,'Données projet'!$E$11+1,1))-AVERAGE(OFFSET($H$3,0,0,'Données projet'!$E$11+1,1))</f>
        <v>255.41017495879987</v>
      </c>
      <c r="BJ57" s="62">
        <f t="shared" si="38"/>
        <v>297.50513563712764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5.1874378887891082</v>
      </c>
      <c r="BQ57" s="23">
        <f>EXP(-LN(2)/25)*BQ56+(1-EXP(-LN(2)/25))/(LN(2)/25)*Calculateur!BL57*Calculateur!BN57*VLOOKUP('Données projet'!$B$11,Paramètres!$A$1:$I$89,3,0)*0.475*44/12</f>
        <v>14.326698169790953</v>
      </c>
      <c r="BR57" s="23">
        <f>EXP(-LN(2)/2)*BR56+(1-EXP(-LN(2)/2))/(LN(2)/2)*BL57*BO57*VLOOKUP('Données projet'!$B$11,Paramètres!$A$1:$I$89,3,0)*0.475*44/12</f>
        <v>5.9573220549101269E-3</v>
      </c>
      <c r="BS57" s="24">
        <f t="shared" si="9"/>
        <v>19.520093380634972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24.6</v>
      </c>
      <c r="BY57" s="13">
        <f>IF('Données projet'!$A$114&gt;35,BY56+BX57-CG56,IF(A57&lt;'Données projet'!$A$114,$BV$205^A57,IF(A57='Données projet'!$A$114,'Données projet'!$B$114,BY56+BX57-CG56)))</f>
        <v>665.4</v>
      </c>
      <c r="BZ57" s="14">
        <f>BY57*VLOOKUP('Données projet'!$B$12,Paramètres!$A$1:$I$89,3,0)*VLOOKUP('Données projet'!$B$12,Paramètres!$A$1:$I$89,5,0)</f>
        <v>320.05739999999997</v>
      </c>
      <c r="CA57" s="14">
        <f t="shared" si="39"/>
        <v>75.365296724458844</v>
      </c>
      <c r="CB57" s="22">
        <f t="shared" si="10"/>
        <v>688.69453012843235</v>
      </c>
      <c r="CC57" s="62">
        <f t="shared" si="11"/>
        <v>982.02786346176572</v>
      </c>
      <c r="CD57" s="62">
        <f ca="1">AVERAGE(OFFSET($CC$3,0,0,'Données projet'!$E$12+1,1))-AVERAGE(OFFSET($H$3,0,0,'Données projet'!$E$12+1,1))</f>
        <v>409.97612835032567</v>
      </c>
      <c r="CE57" s="62">
        <f t="shared" si="40"/>
        <v>411.87876448092288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19.007526216301585</v>
      </c>
      <c r="CL57" s="23">
        <f>EXP(-LN(2)/25)*CL56+(1-EXP(-LN(2)/25))/(LN(2)/25)*Calculateur!CG57*Calculateur!CI57*VLOOKUP('Données projet'!$B$12,Paramètres!$A$1:$I$89,3,0)*0.475*44/12</f>
        <v>26.777202761201991</v>
      </c>
      <c r="CM57" s="23">
        <f>EXP(-LN(2)/2)*CM56+(1-EXP(-LN(2)/2))/(LN(2)/2)*CG57*CJ57*VLOOKUP('Données projet'!$B$12,Paramètres!$A$1:$I$89,3,0)*0.475*44/12</f>
        <v>0.23760889112193434</v>
      </c>
      <c r="CN57" s="24">
        <f t="shared" si="12"/>
        <v>46.022337868625513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19.399999999999999</v>
      </c>
      <c r="CT57" s="13">
        <f>IF('Données projet'!$A$140&gt;35,CT56+CS57-DB56,IF(A57&lt;'Données projet'!$A$140,$CQ$205^A57,IF(A57='Données projet'!$A$140,'Données projet'!$B$140,CT56+CS57-DB56)))</f>
        <v>584.60000000000014</v>
      </c>
      <c r="CU57" s="18">
        <f>CT57*VLOOKUP('Données projet'!$B$13,Paramètres!$A$1:$I$89,3,0)*VLOOKUP('Données projet'!$B$13,Paramètres!$A$1:$I$89,5,0)</f>
        <v>349.59080000000006</v>
      </c>
      <c r="CV57" s="14">
        <f t="shared" si="41"/>
        <v>81.478246972509538</v>
      </c>
      <c r="CW57" s="22">
        <f t="shared" si="13"/>
        <v>750.77859014378737</v>
      </c>
      <c r="CX57" s="62">
        <f t="shared" si="14"/>
        <v>1044.1119234771206</v>
      </c>
      <c r="CY57" s="62">
        <f ca="1">AVERAGE(OFFSET($CX$3,0,0,'Données projet'!$E$13+1,1))-AVERAGE(OFFSET($H$3,0,0,'Données projet'!$E$13+1,1))</f>
        <v>463.3255103386889</v>
      </c>
      <c r="CZ57" s="62">
        <f t="shared" si="42"/>
        <v>474.73210558736127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3.1070591521393109</v>
      </c>
      <c r="DG57" s="23">
        <f>EXP(-LN(2)/25)*DG56+(1-EXP(-LN(2)/25))/(LN(2)/25)*Calculateur!DB57*Calculateur!DD57*VLOOKUP('Données projet'!$B$13,Paramètres!$A$1:$I$89,3,0)*0.475*44/12</f>
        <v>17.818321461184183</v>
      </c>
      <c r="DH57" s="23">
        <f>EXP(-LN(2)/2)*DH56+(1-EXP(-LN(2)/2))/(LN(2)/2)*DB57*DE57*VLOOKUP('Données projet'!$B$13,Paramètres!$A$1:$I$89,3,0)*0.475*44/12</f>
        <v>1.0649032097227371E-2</v>
      </c>
      <c r="DI57" s="24">
        <f t="shared" si="15"/>
        <v>20.936029645420721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13.499999999999996</v>
      </c>
      <c r="DO57" s="13">
        <f>IF('Données projet'!$A$166&gt;35,DO56+DN57-DW56,IF(A57&lt;'Données projet'!$A$166,$DL$205^A57,IF(A57='Données projet'!$A$166,'Données projet'!$B$166,DO56+DN57-DW56)))</f>
        <v>293.79999999999984</v>
      </c>
      <c r="DP57" s="18">
        <f>DO57*VLOOKUP('Données projet'!$B$14,Paramètres!$A$1:$I$89,3,0)*VLOOKUP('Données projet'!$B$14,Paramètres!$A$1:$I$89,5,0)</f>
        <v>137.49839999999992</v>
      </c>
      <c r="DQ57" s="14">
        <f t="shared" si="43"/>
        <v>35.723324086274197</v>
      </c>
      <c r="DR57" s="22">
        <f t="shared" si="16"/>
        <v>301.69450278359409</v>
      </c>
      <c r="DS57" s="62">
        <f t="shared" si="17"/>
        <v>595.02783611692735</v>
      </c>
      <c r="DT57" s="62">
        <f ca="1">AVERAGE(OFFSET($DS$3,0,0,'Données projet'!$E$14+1,1))-AVERAGE(OFFSET($H$3,0,0,'Données projet'!$E$14+1,1))</f>
        <v>215.23235148064941</v>
      </c>
      <c r="DU57" s="62">
        <f t="shared" si="44"/>
        <v>184.07239726900434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1.9487629390250159</v>
      </c>
      <c r="EB57" s="23">
        <f>EXP(-LN(2)/25)*EB56+(1-EXP(-LN(2)/25))/(LN(2)/25)*Calculateur!DW57*Calculateur!DY57*VLOOKUP('Données projet'!$B$14,Paramètres!$A$1:$I$89,3,0)*0.475*44/12</f>
        <v>4.0381557585721515</v>
      </c>
      <c r="EC57" s="23">
        <f>EXP(-LN(2)/2)*EC56+(1-EXP(-LN(2)/2))/(LN(2)/2)*DW57*DZ57*VLOOKUP('Données projet'!$B$14,Paramètres!$A$1:$I$89,3,0)*0.475*44/12</f>
        <v>2.4004337110097636E-3</v>
      </c>
      <c r="ED57" s="24">
        <f t="shared" si="18"/>
        <v>5.9893191313081768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403.47087608278355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20.6</v>
      </c>
      <c r="N58" s="14">
        <f>IF('Données projet'!$A$36&gt;35,N57+M58-V57,IF(A58&lt;'Données projet'!$A$36,$K$205^A58,IF(A58='Données projet'!$A$36,'Données projet'!$B$36,N57+M58-V57)))</f>
        <v>632.00000000000057</v>
      </c>
      <c r="O58" s="14">
        <f>N58*VLOOKUP('Données projet'!$B$9,Paramètres!$A$1:$I$89,3,0)*VLOOKUP('Données projet'!$B$9,Paramètres!$A$1:$I$89,5,0)</f>
        <v>353.2880000000003</v>
      </c>
      <c r="P58" s="14">
        <f t="shared" si="33"/>
        <v>82.239175707062913</v>
      </c>
      <c r="Q58" s="22">
        <f t="shared" si="53"/>
        <v>758.54316435646831</v>
      </c>
      <c r="R58" s="62">
        <f t="shared" si="0"/>
        <v>1051.8764976898017</v>
      </c>
      <c r="S58" s="62">
        <f ca="1">AVERAGE(OFFSET($R$3,0,0,'Données projet'!$E$9+1,1))-AVERAGE(OFFSET($H$3,0,0,'Données projet'!$E$9+1,1))</f>
        <v>460.40450534123659</v>
      </c>
      <c r="T58" s="62">
        <f t="shared" si="34"/>
        <v>467.77477728479198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7.6565327559096037</v>
      </c>
      <c r="AA58" s="23">
        <f>EXP(-LN(2)/25)*AA57+(1-EXP(-LN(2)/25))/(LN(2)/25)*Calculateur!V58*Calculateur!X58*VLOOKUP('Données projet'!$B$9,Paramètres!$A$1:$I$89,3,0)*0.475*44/12</f>
        <v>22.133550079951888</v>
      </c>
      <c r="AB58" s="23">
        <f>EXP(-LN(2)/2)*AB57+(1-EXP(-LN(2)/2))/(LN(2)/2)*V58*Y58*VLOOKUP('Données projet'!$B$9,Paramètres!$A$1:$I$89,3,0)*0.475*44/12</f>
        <v>6.9439935952768034E-3</v>
      </c>
      <c r="AC58" s="24">
        <f t="shared" si="3"/>
        <v>29.797026829456765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9.8000000000000007</v>
      </c>
      <c r="AI58" s="14">
        <f>IF('Données projet'!$A$62&gt;35,AI57+AH58-AQ57,IF(A58&lt;'Données projet'!$A$62,$AF$205^A58,IF(A58='Données projet'!$A$62,'Données projet'!$B$62,AI57+AH58-AQ57)))</f>
        <v>251.99999999999994</v>
      </c>
      <c r="AJ58" s="14">
        <f>AI58*VLOOKUP('Données projet'!$B$10,Paramètres!$A$1:$I$89,3,0)*VLOOKUP('Données projet'!$B$10,Paramètres!$A$1:$I$89,5,0)</f>
        <v>228.00959999999995</v>
      </c>
      <c r="AK58" s="14">
        <f t="shared" si="35"/>
        <v>55.852093054619829</v>
      </c>
      <c r="AL58" s="22">
        <f t="shared" si="4"/>
        <v>494.3924487367961</v>
      </c>
      <c r="AM58" s="62">
        <f t="shared" si="5"/>
        <v>787.72578207012941</v>
      </c>
      <c r="AN58" s="62">
        <f ca="1">AVERAGE(OFFSET($AM$3,0,0,'Données projet'!$E$10+1,1))-AVERAGE(OFFSET($H$3,0,0,'Données projet'!$E$10+1,1))</f>
        <v>321.03881567735544</v>
      </c>
      <c r="AO58" s="62">
        <f t="shared" si="36"/>
        <v>234.87694492493506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1.4680294209677922</v>
      </c>
      <c r="AV58" s="23">
        <f>EXP(-LN(2)/25)*AV57+(1-EXP(-LN(2)/25))/(LN(2)/25)*Calculateur!AQ58*Calculateur!AS58*VLOOKUP('Données projet'!$B$10,Paramètres!$A$1:$I$89,3,0)*0.475*44/12</f>
        <v>6.7777558760548731</v>
      </c>
      <c r="AW58" s="23">
        <f>EXP(-LN(2)/2)*AW57+(1-EXP(-LN(2)/2))/(LN(2)/2)*AQ58*AT58*VLOOKUP('Données projet'!$B$10,Paramètres!$A$1:$I$89,3,0)*0.475*44/12</f>
        <v>3.7530666649042985E-3</v>
      </c>
      <c r="AX58" s="23">
        <f t="shared" si="6"/>
        <v>8.2495383636875701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10</v>
      </c>
      <c r="BD58" s="13">
        <f>IF('Données projet'!$A$88&gt;35,BD57+BC58-BL57,IF(A58&lt;'Données projet'!$A$88,$BA$205^A58,IF(A58='Données projet'!$A$88,'Données projet'!$B$88,BD57+BC58-BL57)))</f>
        <v>353.99999999999989</v>
      </c>
      <c r="BE58" s="14">
        <f>BD58*VLOOKUP('Données projet'!$B$11,Paramètres!$A$1:$I$89,3,0)*VLOOKUP('Données projet'!$B$11,Paramètres!$A$1:$I$89,5,0)</f>
        <v>220.89599999999993</v>
      </c>
      <c r="BF58" s="14">
        <f t="shared" si="37"/>
        <v>54.309580803412238</v>
      </c>
      <c r="BG58" s="22">
        <f t="shared" si="7"/>
        <v>479.31638656594276</v>
      </c>
      <c r="BH58" s="62">
        <f t="shared" si="8"/>
        <v>772.64971989927608</v>
      </c>
      <c r="BI58" s="62">
        <f ca="1">AVERAGE(OFFSET($BH$3,0,0,'Données projet'!$E$11+1,1))-AVERAGE(OFFSET($H$3,0,0,'Données projet'!$E$11+1,1))</f>
        <v>255.41017495879987</v>
      </c>
      <c r="BJ58" s="62">
        <f t="shared" si="38"/>
        <v>297.50513563712764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5.0857153958146446</v>
      </c>
      <c r="BQ58" s="23">
        <f>EXP(-LN(2)/25)*BQ57+(1-EXP(-LN(2)/25))/(LN(2)/25)*Calculateur!BL58*Calculateur!BN58*VLOOKUP('Données projet'!$B$11,Paramètres!$A$1:$I$89,3,0)*0.475*44/12</f>
        <v>13.934933854929707</v>
      </c>
      <c r="BR58" s="23">
        <f>EXP(-LN(2)/2)*BR57+(1-EXP(-LN(2)/2))/(LN(2)/2)*BL58*BO58*VLOOKUP('Données projet'!$B$11,Paramètres!$A$1:$I$89,3,0)*0.475*44/12</f>
        <v>4.2124628227391287E-3</v>
      </c>
      <c r="BS58" s="24">
        <f t="shared" si="9"/>
        <v>19.024861713567091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24.6</v>
      </c>
      <c r="BY58" s="13">
        <f>IF('Données projet'!$A$114&gt;35,BY57+BX58-CG57,IF(A58&lt;'Données projet'!$A$114,$BV$205^A58,IF(A58='Données projet'!$A$114,'Données projet'!$B$114,BY57+BX58-CG57)))</f>
        <v>690</v>
      </c>
      <c r="BZ58" s="14">
        <f>BY58*VLOOKUP('Données projet'!$B$12,Paramètres!$A$1:$I$89,3,0)*VLOOKUP('Données projet'!$B$12,Paramètres!$A$1:$I$89,5,0)</f>
        <v>331.89</v>
      </c>
      <c r="CA58" s="14">
        <f t="shared" si="39"/>
        <v>77.822022056956186</v>
      </c>
      <c r="CB58" s="22">
        <f t="shared" si="10"/>
        <v>713.58177174919865</v>
      </c>
      <c r="CC58" s="62">
        <f t="shared" si="11"/>
        <v>1006.9151050825319</v>
      </c>
      <c r="CD58" s="62">
        <f ca="1">AVERAGE(OFFSET($CC$3,0,0,'Données projet'!$E$12+1,1))-AVERAGE(OFFSET($H$3,0,0,'Données projet'!$E$12+1,1))</f>
        <v>409.97612835032567</v>
      </c>
      <c r="CE58" s="62">
        <f t="shared" si="40"/>
        <v>411.87876448092288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18.634800220646145</v>
      </c>
      <c r="CL58" s="23">
        <f>EXP(-LN(2)/25)*CL57+(1-EXP(-LN(2)/25))/(LN(2)/25)*Calculateur!CG58*Calculateur!CI58*VLOOKUP('Données projet'!$B$12,Paramètres!$A$1:$I$89,3,0)*0.475*44/12</f>
        <v>26.04497874354503</v>
      </c>
      <c r="CM58" s="23">
        <f>EXP(-LN(2)/2)*CM57+(1-EXP(-LN(2)/2))/(LN(2)/2)*CG58*CJ58*VLOOKUP('Données projet'!$B$12,Paramètres!$A$1:$I$89,3,0)*0.475*44/12</f>
        <v>0.16801485818253584</v>
      </c>
      <c r="CN58" s="24">
        <f t="shared" si="12"/>
        <v>44.84779382237371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19.399999999999999</v>
      </c>
      <c r="CT58" s="13">
        <f>IF('Données projet'!$A$140&gt;35,CT57+CS58-DB57,IF(A58&lt;'Données projet'!$A$140,$CQ$205^A58,IF(A58='Données projet'!$A$140,'Données projet'!$B$140,CT57+CS58-DB57)))</f>
        <v>604.00000000000011</v>
      </c>
      <c r="CU58" s="18">
        <f>CT58*VLOOKUP('Données projet'!$B$13,Paramètres!$A$1:$I$89,3,0)*VLOOKUP('Données projet'!$B$13,Paramètres!$A$1:$I$89,5,0)</f>
        <v>361.19200000000012</v>
      </c>
      <c r="CV58" s="14">
        <f t="shared" si="41"/>
        <v>83.862821536851357</v>
      </c>
      <c r="CW58" s="22">
        <f t="shared" si="13"/>
        <v>775.13714751001635</v>
      </c>
      <c r="CX58" s="62">
        <f t="shared" si="14"/>
        <v>1068.4704808433496</v>
      </c>
      <c r="CY58" s="62">
        <f ca="1">AVERAGE(OFFSET($CX$3,0,0,'Données projet'!$E$13+1,1))-AVERAGE(OFFSET($H$3,0,0,'Données projet'!$E$13+1,1))</f>
        <v>463.3255103386889</v>
      </c>
      <c r="CZ58" s="62">
        <f t="shared" si="42"/>
        <v>474.73210558736127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3.0461316172848143</v>
      </c>
      <c r="DG58" s="23">
        <f>EXP(-LN(2)/25)*DG57+(1-EXP(-LN(2)/25))/(LN(2)/25)*Calculateur!DB58*Calculateur!DD58*VLOOKUP('Données projet'!$B$13,Paramètres!$A$1:$I$89,3,0)*0.475*44/12</f>
        <v>17.331078523803299</v>
      </c>
      <c r="DH58" s="23">
        <f>EXP(-LN(2)/2)*DH57+(1-EXP(-LN(2)/2))/(LN(2)/2)*DB58*DE58*VLOOKUP('Données projet'!$B$13,Paramètres!$A$1:$I$89,3,0)*0.475*44/12</f>
        <v>7.5300028090226762E-3</v>
      </c>
      <c r="DI58" s="24">
        <f t="shared" si="15"/>
        <v>20.384740143897137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13.499999999999996</v>
      </c>
      <c r="DO58" s="13">
        <f>IF('Données projet'!$A$166&gt;35,DO57+DN58-DW57,IF(A58&lt;'Données projet'!$A$166,$DL$205^A58,IF(A58='Données projet'!$A$166,'Données projet'!$B$166,DO57+DN58-DW57)))</f>
        <v>307.29999999999984</v>
      </c>
      <c r="DP58" s="18">
        <f>DO58*VLOOKUP('Données projet'!$B$14,Paramètres!$A$1:$I$89,3,0)*VLOOKUP('Données projet'!$B$14,Paramètres!$A$1:$I$89,5,0)</f>
        <v>143.81639999999993</v>
      </c>
      <c r="DQ58" s="14">
        <f t="shared" si="43"/>
        <v>37.169915935828818</v>
      </c>
      <c r="DR58" s="22">
        <f t="shared" si="16"/>
        <v>315.21783358823507</v>
      </c>
      <c r="DS58" s="62">
        <f t="shared" si="17"/>
        <v>608.55116692156844</v>
      </c>
      <c r="DT58" s="62">
        <f ca="1">AVERAGE(OFFSET($DS$3,0,0,'Données projet'!$E$14+1,1))-AVERAGE(OFFSET($H$3,0,0,'Données projet'!$E$14+1,1))</f>
        <v>215.23235148064941</v>
      </c>
      <c r="DU58" s="62">
        <f t="shared" si="44"/>
        <v>184.07239726900434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1.9105488864187608</v>
      </c>
      <c r="EB58" s="23">
        <f>EXP(-LN(2)/25)*EB57+(1-EXP(-LN(2)/25))/(LN(2)/25)*Calculateur!DW58*Calculateur!DY58*VLOOKUP('Données projet'!$B$14,Paramètres!$A$1:$I$89,3,0)*0.475*44/12</f>
        <v>3.927732176996614</v>
      </c>
      <c r="EC58" s="23">
        <f>EXP(-LN(2)/2)*EC57+(1-EXP(-LN(2)/2))/(LN(2)/2)*DW58*DZ58*VLOOKUP('Données projet'!$B$14,Paramètres!$A$1:$I$89,3,0)*0.475*44/12</f>
        <v>1.6973629548437932E-3</v>
      </c>
      <c r="ED58" s="24">
        <f t="shared" si="18"/>
        <v>5.8399784263702186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405.42013181185314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20.6</v>
      </c>
      <c r="N59" s="14">
        <f>IF('Données projet'!$A$36&gt;35,N58+M59-V58,IF(A59&lt;'Données projet'!$A$36,$K$205^A59,IF(A59='Données projet'!$A$36,'Données projet'!$B$36,N58+M59-V58)))</f>
        <v>652.60000000000059</v>
      </c>
      <c r="O59" s="14">
        <f>N59*VLOOKUP('Données projet'!$B$9,Paramètres!$A$1:$I$89,3,0)*VLOOKUP('Données projet'!$B$9,Paramètres!$A$1:$I$89,5,0)</f>
        <v>364.80340000000029</v>
      </c>
      <c r="P59" s="14">
        <f t="shared" si="33"/>
        <v>84.603297197151761</v>
      </c>
      <c r="Q59" s="22">
        <f t="shared" si="53"/>
        <v>782.71666428503977</v>
      </c>
      <c r="R59" s="62">
        <f t="shared" si="0"/>
        <v>1076.049997618373</v>
      </c>
      <c r="S59" s="62">
        <f ca="1">AVERAGE(OFFSET($R$3,0,0,'Données projet'!$E$9+1,1))-AVERAGE(OFFSET($H$3,0,0,'Données projet'!$E$9+1,1))</f>
        <v>460.40450534123659</v>
      </c>
      <c r="T59" s="62">
        <f t="shared" si="34"/>
        <v>467.77477728479198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7.5063928185900712</v>
      </c>
      <c r="AA59" s="23">
        <f>EXP(-LN(2)/25)*AA58+(1-EXP(-LN(2)/25))/(LN(2)/25)*Calculateur!V59*Calculateur!X59*VLOOKUP('Données projet'!$B$9,Paramètres!$A$1:$I$89,3,0)*0.475*44/12</f>
        <v>21.528306989062791</v>
      </c>
      <c r="AB59" s="23">
        <f>EXP(-LN(2)/2)*AB58+(1-EXP(-LN(2)/2))/(LN(2)/2)*V59*Y59*VLOOKUP('Données projet'!$B$9,Paramètres!$A$1:$I$89,3,0)*0.475*44/12</f>
        <v>4.910144959736182E-3</v>
      </c>
      <c r="AC59" s="24">
        <f t="shared" si="3"/>
        <v>29.039609952612601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9.8000000000000007</v>
      </c>
      <c r="AI59" s="14">
        <f>IF('Données projet'!$A$62&gt;35,AI58+AH59-AQ58,IF(A59&lt;'Données projet'!$A$62,$AF$205^A59,IF(A59='Données projet'!$A$62,'Données projet'!$B$62,AI58+AH59-AQ58)))</f>
        <v>261.79999999999995</v>
      </c>
      <c r="AJ59" s="14">
        <f>AI59*VLOOKUP('Données projet'!$B$10,Paramètres!$A$1:$I$89,3,0)*VLOOKUP('Données projet'!$B$10,Paramètres!$A$1:$I$89,5,0)</f>
        <v>236.87663999999995</v>
      </c>
      <c r="AK59" s="14">
        <f t="shared" si="35"/>
        <v>57.767012893614115</v>
      </c>
      <c r="AL59" s="22">
        <f t="shared" si="4"/>
        <v>513.17102878971104</v>
      </c>
      <c r="AM59" s="62">
        <f t="shared" si="5"/>
        <v>806.5043621230443</v>
      </c>
      <c r="AN59" s="62">
        <f ca="1">AVERAGE(OFFSET($AM$3,0,0,'Données projet'!$E$10+1,1))-AVERAGE(OFFSET($H$3,0,0,'Données projet'!$E$10+1,1))</f>
        <v>321.03881567735544</v>
      </c>
      <c r="AO59" s="62">
        <f t="shared" si="36"/>
        <v>234.87694492493506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1.4392422594321463</v>
      </c>
      <c r="AV59" s="23">
        <f>EXP(-LN(2)/25)*AV58+(1-EXP(-LN(2)/25))/(LN(2)/25)*Calculateur!AQ59*Calculateur!AS59*VLOOKUP('Données projet'!$B$10,Paramètres!$A$1:$I$89,3,0)*0.475*44/12</f>
        <v>6.5924177851974619</v>
      </c>
      <c r="AW59" s="23">
        <f>EXP(-LN(2)/2)*AW58+(1-EXP(-LN(2)/2))/(LN(2)/2)*AQ59*AT59*VLOOKUP('Données projet'!$B$10,Paramètres!$A$1:$I$89,3,0)*0.475*44/12</f>
        <v>2.6538188889990095E-3</v>
      </c>
      <c r="AX59" s="23">
        <f t="shared" si="6"/>
        <v>8.0343138635186087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10</v>
      </c>
      <c r="BD59" s="13">
        <f>IF('Données projet'!$A$88&gt;35,BD58+BC59-BL58,IF(A59&lt;'Données projet'!$A$88,$BA$205^A59,IF(A59='Données projet'!$A$88,'Données projet'!$B$88,BD58+BC59-BL58)))</f>
        <v>363.99999999999989</v>
      </c>
      <c r="BE59" s="14">
        <f>BD59*VLOOKUP('Données projet'!$B$11,Paramètres!$A$1:$I$89,3,0)*VLOOKUP('Données projet'!$B$11,Paramètres!$A$1:$I$89,5,0)</f>
        <v>227.13599999999994</v>
      </c>
      <c r="BF59" s="14">
        <f t="shared" si="37"/>
        <v>55.662966886685133</v>
      </c>
      <c r="BG59" s="22">
        <f t="shared" si="7"/>
        <v>492.54153399430987</v>
      </c>
      <c r="BH59" s="62">
        <f t="shared" si="8"/>
        <v>785.87486732764319</v>
      </c>
      <c r="BI59" s="62">
        <f ca="1">AVERAGE(OFFSET($BH$3,0,0,'Données projet'!$E$11+1,1))-AVERAGE(OFFSET($H$3,0,0,'Données projet'!$E$11+1,1))</f>
        <v>255.41017495879987</v>
      </c>
      <c r="BJ59" s="62">
        <f t="shared" si="38"/>
        <v>297.50513563712764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4.9859876188828158</v>
      </c>
      <c r="BQ59" s="23">
        <f>EXP(-LN(2)/25)*BQ58+(1-EXP(-LN(2)/25))/(LN(2)/25)*Calculateur!BL59*Calculateur!BN59*VLOOKUP('Données projet'!$B$11,Paramètres!$A$1:$I$89,3,0)*0.475*44/12</f>
        <v>13.553882355860331</v>
      </c>
      <c r="BR59" s="23">
        <f>EXP(-LN(2)/2)*BR58+(1-EXP(-LN(2)/2))/(LN(2)/2)*BL59*BO59*VLOOKUP('Données projet'!$B$11,Paramètres!$A$1:$I$89,3,0)*0.475*44/12</f>
        <v>2.9786610274550635E-3</v>
      </c>
      <c r="BS59" s="24">
        <f t="shared" si="9"/>
        <v>18.542848635770603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24.6</v>
      </c>
      <c r="BY59" s="13">
        <f>IF('Données projet'!$A$114&gt;35,BY58+BX59-CG58,IF(A59&lt;'Données projet'!$A$114,$BV$205^A59,IF(A59='Données projet'!$A$114,'Données projet'!$B$114,BY58+BX59-CG58)))</f>
        <v>714.6</v>
      </c>
      <c r="BZ59" s="14">
        <f>BY59*VLOOKUP('Données projet'!$B$12,Paramètres!$A$1:$I$89,3,0)*VLOOKUP('Données projet'!$B$12,Paramètres!$A$1:$I$89,5,0)</f>
        <v>343.7226</v>
      </c>
      <c r="CA59" s="14">
        <f t="shared" si="39"/>
        <v>80.268571041046997</v>
      </c>
      <c r="CB59" s="22">
        <f t="shared" si="10"/>
        <v>738.45128956315682</v>
      </c>
      <c r="CC59" s="62">
        <f t="shared" si="11"/>
        <v>1031.7846228964902</v>
      </c>
      <c r="CD59" s="62">
        <f ca="1">AVERAGE(OFFSET($CC$3,0,0,'Données projet'!$E$12+1,1))-AVERAGE(OFFSET($H$3,0,0,'Données projet'!$E$12+1,1))</f>
        <v>409.97612835032567</v>
      </c>
      <c r="CE59" s="62">
        <f t="shared" si="40"/>
        <v>411.87876448092288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18.2693831544251</v>
      </c>
      <c r="CL59" s="23">
        <f>EXP(-LN(2)/25)*CL58+(1-EXP(-LN(2)/25))/(LN(2)/25)*Calculateur!CG59*Calculateur!CI59*VLOOKUP('Données projet'!$B$12,Paramètres!$A$1:$I$89,3,0)*0.475*44/12</f>
        <v>25.332777430156884</v>
      </c>
      <c r="CM59" s="23">
        <f>EXP(-LN(2)/2)*CM58+(1-EXP(-LN(2)/2))/(LN(2)/2)*CG59*CJ59*VLOOKUP('Données projet'!$B$12,Paramètres!$A$1:$I$89,3,0)*0.475*44/12</f>
        <v>0.11880444556096718</v>
      </c>
      <c r="CN59" s="24">
        <f t="shared" si="12"/>
        <v>43.720965030142949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19.399999999999999</v>
      </c>
      <c r="CT59" s="13">
        <f>IF('Données projet'!$A$140&gt;35,CT58+CS59-DB58,IF(A59&lt;'Données projet'!$A$140,$CQ$205^A59,IF(A59='Données projet'!$A$140,'Données projet'!$B$140,CT58+CS59-DB58)))</f>
        <v>623.40000000000009</v>
      </c>
      <c r="CU59" s="18">
        <f>CT59*VLOOKUP('Données projet'!$B$13,Paramètres!$A$1:$I$89,3,0)*VLOOKUP('Données projet'!$B$13,Paramètres!$A$1:$I$89,5,0)</f>
        <v>372.79320000000013</v>
      </c>
      <c r="CV59" s="14">
        <f t="shared" si="41"/>
        <v>86.238495978643058</v>
      </c>
      <c r="CW59" s="22">
        <f t="shared" si="13"/>
        <v>799.48020382947016</v>
      </c>
      <c r="CX59" s="62">
        <f t="shared" si="14"/>
        <v>1092.8135371628034</v>
      </c>
      <c r="CY59" s="62">
        <f ca="1">AVERAGE(OFFSET($CX$3,0,0,'Données projet'!$E$13+1,1))-AVERAGE(OFFSET($H$3,0,0,'Données projet'!$E$13+1,1))</f>
        <v>463.3255103386889</v>
      </c>
      <c r="CZ59" s="62">
        <f t="shared" si="42"/>
        <v>474.73210558736127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2.9863988342266876</v>
      </c>
      <c r="DG59" s="23">
        <f>EXP(-LN(2)/25)*DG58+(1-EXP(-LN(2)/25))/(LN(2)/25)*Calculateur!DB59*Calculateur!DD59*VLOOKUP('Données projet'!$B$13,Paramètres!$A$1:$I$89,3,0)*0.475*44/12</f>
        <v>16.85715927016809</v>
      </c>
      <c r="DH59" s="23">
        <f>EXP(-LN(2)/2)*DH58+(1-EXP(-LN(2)/2))/(LN(2)/2)*DB59*DE59*VLOOKUP('Données projet'!$B$13,Paramètres!$A$1:$I$89,3,0)*0.475*44/12</f>
        <v>5.3245160486136856E-3</v>
      </c>
      <c r="DI59" s="24">
        <f t="shared" si="15"/>
        <v>19.848882620443391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13.499999999999996</v>
      </c>
      <c r="DO59" s="13">
        <f>IF('Données projet'!$A$166&gt;35,DO58+DN59-DW58,IF(A59&lt;'Données projet'!$A$166,$DL$205^A59,IF(A59='Données projet'!$A$166,'Données projet'!$B$166,DO58+DN59-DW58)))</f>
        <v>320.79999999999984</v>
      </c>
      <c r="DP59" s="18">
        <f>DO59*VLOOKUP('Données projet'!$B$14,Paramètres!$A$1:$I$89,3,0)*VLOOKUP('Données projet'!$B$14,Paramètres!$A$1:$I$89,5,0)</f>
        <v>150.13439999999994</v>
      </c>
      <c r="DQ59" s="14">
        <f t="shared" si="43"/>
        <v>38.609126910934812</v>
      </c>
      <c r="DR59" s="22">
        <f t="shared" si="16"/>
        <v>328.72830936987799</v>
      </c>
      <c r="DS59" s="62">
        <f t="shared" si="17"/>
        <v>622.06164270321131</v>
      </c>
      <c r="DT59" s="62">
        <f ca="1">AVERAGE(OFFSET($DS$3,0,0,'Données projet'!$E$14+1,1))-AVERAGE(OFFSET($H$3,0,0,'Données projet'!$E$14+1,1))</f>
        <v>215.23235148064941</v>
      </c>
      <c r="DU59" s="62">
        <f t="shared" si="44"/>
        <v>184.07239726900434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1.8730841880758438</v>
      </c>
      <c r="EB59" s="23">
        <f>EXP(-LN(2)/25)*EB58+(1-EXP(-LN(2)/25))/(LN(2)/25)*Calculateur!DW59*Calculateur!DY59*VLOOKUP('Données projet'!$B$14,Paramètres!$A$1:$I$89,3,0)*0.475*44/12</f>
        <v>3.8203281340661834</v>
      </c>
      <c r="EC59" s="23">
        <f>EXP(-LN(2)/2)*EC58+(1-EXP(-LN(2)/2))/(LN(2)/2)*DW59*DZ59*VLOOKUP('Données projet'!$B$14,Paramètres!$A$1:$I$89,3,0)*0.475*44/12</f>
        <v>1.2002168555048818E-3</v>
      </c>
      <c r="ED59" s="24">
        <f t="shared" si="18"/>
        <v>5.6946125389975322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407.3685557544236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20.6</v>
      </c>
      <c r="N60" s="14">
        <f>IF('Données projet'!$A$36&gt;35,N59+M60-V59,IF(A60&lt;'Données projet'!$A$36,$K$205^A60,IF(A60='Données projet'!$A$36,'Données projet'!$B$36,N59+M60-V59)))</f>
        <v>673.20000000000061</v>
      </c>
      <c r="O60" s="14">
        <f>N60*VLOOKUP('Données projet'!$B$9,Paramètres!$A$1:$I$89,3,0)*VLOOKUP('Données projet'!$B$9,Paramètres!$A$1:$I$89,5,0)</f>
        <v>376.31880000000041</v>
      </c>
      <c r="P60" s="14">
        <f t="shared" si="33"/>
        <v>86.958746642488421</v>
      </c>
      <c r="Q60" s="22">
        <f t="shared" si="53"/>
        <v>806.87506040233473</v>
      </c>
      <c r="R60" s="62">
        <f t="shared" si="0"/>
        <v>1100.2083937356681</v>
      </c>
      <c r="S60" s="62">
        <f ca="1">AVERAGE(OFFSET($R$3,0,0,'Données projet'!$E$9+1,1))-AVERAGE(OFFSET($H$3,0,0,'Données projet'!$E$9+1,1))</f>
        <v>460.40450534123659</v>
      </c>
      <c r="T60" s="62">
        <f t="shared" si="34"/>
        <v>467.77477728479198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7.3591970338650547</v>
      </c>
      <c r="AA60" s="23">
        <f>EXP(-LN(2)/25)*AA59+(1-EXP(-LN(2)/25))/(LN(2)/25)*Calculateur!V60*Calculateur!X60*VLOOKUP('Données projet'!$B$9,Paramètres!$A$1:$I$89,3,0)*0.475*44/12</f>
        <v>20.939614302322408</v>
      </c>
      <c r="AB60" s="23">
        <f>EXP(-LN(2)/2)*AB59+(1-EXP(-LN(2)/2))/(LN(2)/2)*V60*Y60*VLOOKUP('Données projet'!$B$9,Paramètres!$A$1:$I$89,3,0)*0.475*44/12</f>
        <v>3.4719967976384017E-3</v>
      </c>
      <c r="AC60" s="24">
        <f t="shared" si="3"/>
        <v>28.302283332985102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9.8000000000000007</v>
      </c>
      <c r="AI60" s="14">
        <f>IF('Données projet'!$A$62&gt;35,AI59+AH60-AQ59,IF(A60&lt;'Données projet'!$A$62,$AF$205^A60,IF(A60='Données projet'!$A$62,'Données projet'!$B$62,AI59+AH60-AQ59)))</f>
        <v>271.59999999999997</v>
      </c>
      <c r="AJ60" s="14">
        <f>AI60*VLOOKUP('Données projet'!$B$10,Paramètres!$A$1:$I$89,3,0)*VLOOKUP('Données projet'!$B$10,Paramètres!$A$1:$I$89,5,0)</f>
        <v>245.74367999999996</v>
      </c>
      <c r="AK60" s="14">
        <f t="shared" si="35"/>
        <v>59.673605104126452</v>
      </c>
      <c r="AL60" s="22">
        <f t="shared" si="4"/>
        <v>531.93510488968684</v>
      </c>
      <c r="AM60" s="62">
        <f t="shared" si="5"/>
        <v>825.26843822302021</v>
      </c>
      <c r="AN60" s="62">
        <f ca="1">AVERAGE(OFFSET($AM$3,0,0,'Données projet'!$E$10+1,1))-AVERAGE(OFFSET($H$3,0,0,'Données projet'!$E$10+1,1))</f>
        <v>321.03881567735544</v>
      </c>
      <c r="AO60" s="62">
        <f t="shared" si="36"/>
        <v>234.87694492493506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1.4110195965757797</v>
      </c>
      <c r="AV60" s="23">
        <f>EXP(-LN(2)/25)*AV59+(1-EXP(-LN(2)/25))/(LN(2)/25)*Calculateur!AQ60*Calculateur!AS60*VLOOKUP('Données projet'!$B$10,Paramètres!$A$1:$I$89,3,0)*0.475*44/12</f>
        <v>6.4121477741810535</v>
      </c>
      <c r="AW60" s="23">
        <f>EXP(-LN(2)/2)*AW59+(1-EXP(-LN(2)/2))/(LN(2)/2)*AQ60*AT60*VLOOKUP('Données projet'!$B$10,Paramètres!$A$1:$I$89,3,0)*0.475*44/12</f>
        <v>1.8765333324521493E-3</v>
      </c>
      <c r="AX60" s="23">
        <f t="shared" si="6"/>
        <v>7.8250439040892852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10</v>
      </c>
      <c r="BD60" s="13">
        <f>IF('Données projet'!$A$88&gt;35,BD59+BC60-BL59,IF(A60&lt;'Données projet'!$A$88,$BA$205^A60,IF(A60='Données projet'!$A$88,'Données projet'!$B$88,BD59+BC60-BL59)))</f>
        <v>373.99999999999989</v>
      </c>
      <c r="BE60" s="14">
        <f>BD60*VLOOKUP('Données projet'!$B$11,Paramètres!$A$1:$I$89,3,0)*VLOOKUP('Données projet'!$B$11,Paramètres!$A$1:$I$89,5,0)</f>
        <v>233.37599999999992</v>
      </c>
      <c r="BF60" s="14">
        <f t="shared" si="37"/>
        <v>57.012031446990107</v>
      </c>
      <c r="BG60" s="22">
        <f t="shared" si="7"/>
        <v>505.75915477017423</v>
      </c>
      <c r="BH60" s="62">
        <f t="shared" si="8"/>
        <v>799.09248810350755</v>
      </c>
      <c r="BI60" s="62">
        <f ca="1">AVERAGE(OFFSET($BH$3,0,0,'Données projet'!$E$11+1,1))-AVERAGE(OFFSET($H$3,0,0,'Données projet'!$E$11+1,1))</f>
        <v>255.41017495879987</v>
      </c>
      <c r="BJ60" s="62">
        <f t="shared" si="38"/>
        <v>297.50513563712764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4.8882154428286828</v>
      </c>
      <c r="BQ60" s="23">
        <f>EXP(-LN(2)/25)*BQ59+(1-EXP(-LN(2)/25))/(LN(2)/25)*Calculateur!BL60*Calculateur!BN60*VLOOKUP('Données projet'!$B$11,Paramètres!$A$1:$I$89,3,0)*0.475*44/12</f>
        <v>13.183250730071634</v>
      </c>
      <c r="BR60" s="23">
        <f>EXP(-LN(2)/2)*BR59+(1-EXP(-LN(2)/2))/(LN(2)/2)*BL60*BO60*VLOOKUP('Données projet'!$B$11,Paramètres!$A$1:$I$89,3,0)*0.475*44/12</f>
        <v>2.1062314113695644E-3</v>
      </c>
      <c r="BS60" s="24">
        <f t="shared" si="9"/>
        <v>18.073572404311683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24.6</v>
      </c>
      <c r="BY60" s="13">
        <f>IF('Données projet'!$A$114&gt;35,BY59+BX60-CG59,IF(A60&lt;'Données projet'!$A$114,$BV$205^A60,IF(A60='Données projet'!$A$114,'Données projet'!$B$114,BY59+BX60-CG59)))</f>
        <v>739.2</v>
      </c>
      <c r="BZ60" s="14">
        <f>BY60*VLOOKUP('Données projet'!$B$12,Paramètres!$A$1:$I$89,3,0)*VLOOKUP('Données projet'!$B$12,Paramètres!$A$1:$I$89,5,0)</f>
        <v>355.55520000000001</v>
      </c>
      <c r="CA60" s="14">
        <f t="shared" si="39"/>
        <v>82.705334147401459</v>
      </c>
      <c r="CB60" s="22">
        <f t="shared" si="10"/>
        <v>763.30376364005758</v>
      </c>
      <c r="CC60" s="62">
        <f t="shared" si="11"/>
        <v>1056.637096973391</v>
      </c>
      <c r="CD60" s="62">
        <f ca="1">AVERAGE(OFFSET($CC$3,0,0,'Données projet'!$E$12+1,1))-AVERAGE(OFFSET($H$3,0,0,'Données projet'!$E$12+1,1))</f>
        <v>409.97612835032567</v>
      </c>
      <c r="CE60" s="62">
        <f t="shared" si="40"/>
        <v>411.87876448092288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17.911131693990246</v>
      </c>
      <c r="CL60" s="23">
        <f>EXP(-LN(2)/25)*CL59+(1-EXP(-LN(2)/25))/(LN(2)/25)*Calculateur!CG60*Calculateur!CI60*VLOOKUP('Données projet'!$B$12,Paramètres!$A$1:$I$89,3,0)*0.475*44/12</f>
        <v>24.640051299136378</v>
      </c>
      <c r="CM60" s="23">
        <f>EXP(-LN(2)/2)*CM59+(1-EXP(-LN(2)/2))/(LN(2)/2)*CG60*CJ60*VLOOKUP('Données projet'!$B$12,Paramètres!$A$1:$I$89,3,0)*0.475*44/12</f>
        <v>8.4007429091267932E-2</v>
      </c>
      <c r="CN60" s="24">
        <f t="shared" si="12"/>
        <v>42.635190422217889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19.399999999999999</v>
      </c>
      <c r="CT60" s="13">
        <f>IF('Données projet'!$A$140&gt;35,CT59+CS60-DB59,IF(A60&lt;'Données projet'!$A$140,$CQ$205^A60,IF(A60='Données projet'!$A$140,'Données projet'!$B$140,CT59+CS60-DB59)))</f>
        <v>642.80000000000007</v>
      </c>
      <c r="CU60" s="18">
        <f>CT60*VLOOKUP('Données projet'!$B$13,Paramètres!$A$1:$I$89,3,0)*VLOOKUP('Données projet'!$B$13,Paramètres!$A$1:$I$89,5,0)</f>
        <v>384.39440000000008</v>
      </c>
      <c r="CV60" s="14">
        <f t="shared" si="41"/>
        <v>88.605579047663127</v>
      </c>
      <c r="CW60" s="22">
        <f t="shared" si="13"/>
        <v>823.80829684134676</v>
      </c>
      <c r="CX60" s="62">
        <f t="shared" si="14"/>
        <v>1117.1416301746801</v>
      </c>
      <c r="CY60" s="62">
        <f ca="1">AVERAGE(OFFSET($CX$3,0,0,'Données projet'!$E$13+1,1))-AVERAGE(OFFSET($H$3,0,0,'Données projet'!$E$13+1,1))</f>
        <v>463.3255103386889</v>
      </c>
      <c r="CZ60" s="62">
        <f t="shared" si="42"/>
        <v>474.73210558736127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2.9278373746109305</v>
      </c>
      <c r="DG60" s="23">
        <f>EXP(-LN(2)/25)*DG59+(1-EXP(-LN(2)/25))/(LN(2)/25)*Calculateur!DB60*Calculateur!DD60*VLOOKUP('Données projet'!$B$13,Paramètres!$A$1:$I$89,3,0)*0.475*44/12</f>
        <v>16.396199363445866</v>
      </c>
      <c r="DH60" s="23">
        <f>EXP(-LN(2)/2)*DH59+(1-EXP(-LN(2)/2))/(LN(2)/2)*DB60*DE60*VLOOKUP('Données projet'!$B$13,Paramètres!$A$1:$I$89,3,0)*0.475*44/12</f>
        <v>3.7650014045113381E-3</v>
      </c>
      <c r="DI60" s="24">
        <f t="shared" si="15"/>
        <v>19.327801739461307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13.499999999999996</v>
      </c>
      <c r="DO60" s="13">
        <f>IF('Données projet'!$A$166&gt;35,DO59+DN60-DW59,IF(A60&lt;'Données projet'!$A$166,$DL$205^A60,IF(A60='Données projet'!$A$166,'Données projet'!$B$166,DO59+DN60-DW59)))</f>
        <v>334.29999999999984</v>
      </c>
      <c r="DP60" s="18">
        <f>DO60*VLOOKUP('Données projet'!$B$14,Paramètres!$A$1:$I$89,3,0)*VLOOKUP('Données projet'!$B$14,Paramètres!$A$1:$I$89,5,0)</f>
        <v>156.45239999999993</v>
      </c>
      <c r="DQ60" s="14">
        <f t="shared" si="43"/>
        <v>40.041303130551007</v>
      </c>
      <c r="DR60" s="22">
        <f t="shared" si="16"/>
        <v>342.2265329523762</v>
      </c>
      <c r="DS60" s="62">
        <f t="shared" si="17"/>
        <v>635.55986628570952</v>
      </c>
      <c r="DT60" s="62">
        <f ca="1">AVERAGE(OFFSET($DS$3,0,0,'Données projet'!$E$14+1,1))-AVERAGE(OFFSET($H$3,0,0,'Données projet'!$E$14+1,1))</f>
        <v>215.23235148064941</v>
      </c>
      <c r="DU60" s="62">
        <f t="shared" si="44"/>
        <v>184.07239726900434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1.8363541496162219</v>
      </c>
      <c r="EB60" s="23">
        <f>EXP(-LN(2)/25)*EB59+(1-EXP(-LN(2)/25))/(LN(2)/25)*Calculateur!DW60*Calculateur!DY60*VLOOKUP('Données projet'!$B$14,Paramètres!$A$1:$I$89,3,0)*0.475*44/12</f>
        <v>3.7158610603378186</v>
      </c>
      <c r="EC60" s="23">
        <f>EXP(-LN(2)/2)*EC59+(1-EXP(-LN(2)/2))/(LN(2)/2)*DW60*DZ60*VLOOKUP('Données projet'!$B$14,Paramètres!$A$1:$I$89,3,0)*0.475*44/12</f>
        <v>8.4868147742189661E-4</v>
      </c>
      <c r="ED60" s="24">
        <f t="shared" si="18"/>
        <v>5.5530638914314618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409.31616418689623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20.6</v>
      </c>
      <c r="N61" s="14">
        <f>IF('Données projet'!$A$36&gt;35,N60+M61-V60,IF(A61&lt;'Données projet'!$A$36,$K$205^A61,IF(A61='Données projet'!$A$36,'Données projet'!$B$36,N60+M61-V60)))</f>
        <v>693.80000000000064</v>
      </c>
      <c r="O61" s="14">
        <f>N61*VLOOKUP('Données projet'!$B$9,Paramètres!$A$1:$I$89,3,0)*VLOOKUP('Données projet'!$B$9,Paramètres!$A$1:$I$89,5,0)</f>
        <v>387.83420000000041</v>
      </c>
      <c r="P61" s="14">
        <f t="shared" si="33"/>
        <v>89.30581986389376</v>
      </c>
      <c r="Q61" s="22">
        <f t="shared" si="53"/>
        <v>831.01886792961568</v>
      </c>
      <c r="R61" s="62">
        <f t="shared" si="0"/>
        <v>1124.3522012629489</v>
      </c>
      <c r="S61" s="62">
        <f ca="1">AVERAGE(OFFSET($R$3,0,0,'Données projet'!$E$9+1,1))-AVERAGE(OFFSET($H$3,0,0,'Données projet'!$E$9+1,1))</f>
        <v>460.40450534123659</v>
      </c>
      <c r="T61" s="62">
        <f t="shared" si="34"/>
        <v>467.77477728479198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7.2148876686979326</v>
      </c>
      <c r="AA61" s="23">
        <f>EXP(-LN(2)/25)*AA60+(1-EXP(-LN(2)/25))/(LN(2)/25)*Calculateur!V61*Calculateur!X61*VLOOKUP('Données projet'!$B$9,Paramètres!$A$1:$I$89,3,0)*0.475*44/12</f>
        <v>20.367019448058944</v>
      </c>
      <c r="AB61" s="23">
        <f>EXP(-LN(2)/2)*AB60+(1-EXP(-LN(2)/2))/(LN(2)/2)*V61*Y61*VLOOKUP('Données projet'!$B$9,Paramètres!$A$1:$I$89,3,0)*0.475*44/12</f>
        <v>2.455072479868091E-3</v>
      </c>
      <c r="AC61" s="24">
        <f t="shared" si="3"/>
        <v>27.584362189236746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9.8000000000000007</v>
      </c>
      <c r="AI61" s="14">
        <f>IF('Données projet'!$A$62&gt;35,AI60+AH61-AQ60,IF(A61&lt;'Données projet'!$A$62,$AF$205^A61,IF(A61='Données projet'!$A$62,'Données projet'!$B$62,AI60+AH61-AQ60)))</f>
        <v>281.39999999999998</v>
      </c>
      <c r="AJ61" s="14">
        <f>AI61*VLOOKUP('Données projet'!$B$10,Paramètres!$A$1:$I$89,3,0)*VLOOKUP('Données projet'!$B$10,Paramètres!$A$1:$I$89,5,0)</f>
        <v>254.61071999999999</v>
      </c>
      <c r="AK61" s="14">
        <f t="shared" si="35"/>
        <v>61.572204587965679</v>
      </c>
      <c r="AL61" s="22">
        <f t="shared" si="4"/>
        <v>550.68526032404009</v>
      </c>
      <c r="AM61" s="62">
        <f t="shared" si="5"/>
        <v>844.01859365737346</v>
      </c>
      <c r="AN61" s="62">
        <f ca="1">AVERAGE(OFFSET($AM$3,0,0,'Données projet'!$E$10+1,1))-AVERAGE(OFFSET($H$3,0,0,'Données projet'!$E$10+1,1))</f>
        <v>321.03881567735544</v>
      </c>
      <c r="AO61" s="62">
        <f t="shared" si="36"/>
        <v>234.87694492493506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1.3833503629239017</v>
      </c>
      <c r="AV61" s="23">
        <f>EXP(-LN(2)/25)*AV60+(1-EXP(-LN(2)/25))/(LN(2)/25)*Calculateur!AQ61*Calculateur!AS61*VLOOKUP('Données projet'!$B$10,Paramètres!$A$1:$I$89,3,0)*0.475*44/12</f>
        <v>6.2368072560958767</v>
      </c>
      <c r="AW61" s="23">
        <f>EXP(-LN(2)/2)*AW60+(1-EXP(-LN(2)/2))/(LN(2)/2)*AQ61*AT61*VLOOKUP('Données projet'!$B$10,Paramètres!$A$1:$I$89,3,0)*0.475*44/12</f>
        <v>1.3269094444995047E-3</v>
      </c>
      <c r="AX61" s="23">
        <f t="shared" si="6"/>
        <v>7.6214845284642783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10</v>
      </c>
      <c r="BD61" s="13">
        <f>IF('Données projet'!$A$88&gt;35,BD60+BC61-BL60,IF(A61&lt;'Données projet'!$A$88,$BA$205^A61,IF(A61='Données projet'!$A$88,'Données projet'!$B$88,BD60+BC61-BL60)))</f>
        <v>383.99999999999989</v>
      </c>
      <c r="BE61" s="14">
        <f>BD61*VLOOKUP('Données projet'!$B$11,Paramètres!$A$1:$I$89,3,0)*VLOOKUP('Données projet'!$B$11,Paramètres!$A$1:$I$89,5,0)</f>
        <v>239.61599999999993</v>
      </c>
      <c r="BF61" s="14">
        <f t="shared" si="37"/>
        <v>58.356903313490157</v>
      </c>
      <c r="BG61" s="22">
        <f t="shared" si="7"/>
        <v>518.96947327099519</v>
      </c>
      <c r="BH61" s="62">
        <f t="shared" si="8"/>
        <v>812.30280660432845</v>
      </c>
      <c r="BI61" s="62">
        <f ca="1">AVERAGE(OFFSET($BH$3,0,0,'Données projet'!$E$11+1,1))-AVERAGE(OFFSET($H$3,0,0,'Données projet'!$E$11+1,1))</f>
        <v>255.41017495879987</v>
      </c>
      <c r="BJ61" s="62">
        <f t="shared" si="38"/>
        <v>297.50513563712764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4.7923605195118322</v>
      </c>
      <c r="BQ61" s="23">
        <f>EXP(-LN(2)/25)*BQ60+(1-EXP(-LN(2)/25))/(LN(2)/25)*Calculateur!BL61*Calculateur!BN61*VLOOKUP('Données projet'!$B$11,Paramètres!$A$1:$I$89,3,0)*0.475*44/12</f>
        <v>12.822754045580801</v>
      </c>
      <c r="BR61" s="23">
        <f>EXP(-LN(2)/2)*BR60+(1-EXP(-LN(2)/2))/(LN(2)/2)*BL61*BO61*VLOOKUP('Données projet'!$B$11,Paramètres!$A$1:$I$89,3,0)*0.475*44/12</f>
        <v>1.4893305137275317E-3</v>
      </c>
      <c r="BS61" s="24">
        <f t="shared" si="9"/>
        <v>17.61660389560636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24.6</v>
      </c>
      <c r="BY61" s="13">
        <f>IF('Données projet'!$A$114&gt;35,BY60+BX61-CG60,IF(A61&lt;'Données projet'!$A$114,$BV$205^A61,IF(A61='Données projet'!$A$114,'Données projet'!$B$114,BY60+BX61-CG60)))</f>
        <v>763.80000000000007</v>
      </c>
      <c r="BZ61" s="14">
        <f>BY61*VLOOKUP('Données projet'!$B$12,Paramètres!$A$1:$I$89,3,0)*VLOOKUP('Données projet'!$B$12,Paramètres!$A$1:$I$89,5,0)</f>
        <v>367.38780000000003</v>
      </c>
      <c r="CA61" s="14">
        <f t="shared" si="39"/>
        <v>85.132674382787556</v>
      </c>
      <c r="CB61" s="22">
        <f t="shared" si="10"/>
        <v>788.13982621668822</v>
      </c>
      <c r="CC61" s="62">
        <f t="shared" si="11"/>
        <v>1081.4731595500216</v>
      </c>
      <c r="CD61" s="62">
        <f ca="1">AVERAGE(OFFSET($CC$3,0,0,'Données projet'!$E$12+1,1))-AVERAGE(OFFSET($H$3,0,0,'Données projet'!$E$12+1,1))</f>
        <v>409.97612835032567</v>
      </c>
      <c r="CE61" s="62">
        <f t="shared" si="40"/>
        <v>411.87876448092288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17.559905326182704</v>
      </c>
      <c r="CL61" s="23">
        <f>EXP(-LN(2)/25)*CL60+(1-EXP(-LN(2)/25))/(LN(2)/25)*Calculateur!CG61*Calculateur!CI61*VLOOKUP('Données projet'!$B$12,Paramètres!$A$1:$I$89,3,0)*0.475*44/12</f>
        <v>23.96626780059751</v>
      </c>
      <c r="CM61" s="23">
        <f>EXP(-LN(2)/2)*CM60+(1-EXP(-LN(2)/2))/(LN(2)/2)*CG61*CJ61*VLOOKUP('Données projet'!$B$12,Paramètres!$A$1:$I$89,3,0)*0.475*44/12</f>
        <v>5.9402222780483606E-2</v>
      </c>
      <c r="CN61" s="24">
        <f t="shared" si="12"/>
        <v>41.585575349560699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19.399999999999999</v>
      </c>
      <c r="CT61" s="13">
        <f>IF('Données projet'!$A$140&gt;35,CT60+CS61-DB60,IF(A61&lt;'Données projet'!$A$140,$CQ$205^A61,IF(A61='Données projet'!$A$140,'Données projet'!$B$140,CT60+CS61-DB60)))</f>
        <v>662.2</v>
      </c>
      <c r="CU61" s="18">
        <f>CT61*VLOOKUP('Données projet'!$B$13,Paramètres!$A$1:$I$89,3,0)*VLOOKUP('Données projet'!$B$13,Paramètres!$A$1:$I$89,5,0)</f>
        <v>395.99560000000002</v>
      </c>
      <c r="CV61" s="14">
        <f t="shared" si="41"/>
        <v>90.964359798166669</v>
      </c>
      <c r="CW61" s="22">
        <f t="shared" si="13"/>
        <v>848.12192998180683</v>
      </c>
      <c r="CX61" s="62">
        <f t="shared" si="14"/>
        <v>1141.4552633151402</v>
      </c>
      <c r="CY61" s="62">
        <f ca="1">AVERAGE(OFFSET($CX$3,0,0,'Données projet'!$E$13+1,1))-AVERAGE(OFFSET($H$3,0,0,'Données projet'!$E$13+1,1))</f>
        <v>463.3255103386889</v>
      </c>
      <c r="CZ61" s="62">
        <f t="shared" si="42"/>
        <v>474.73210558736127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2.8704242694992752</v>
      </c>
      <c r="DG61" s="23">
        <f>EXP(-LN(2)/25)*DG60+(1-EXP(-LN(2)/25))/(LN(2)/25)*Calculateur!DB61*Calculateur!DD61*VLOOKUP('Données projet'!$B$13,Paramètres!$A$1:$I$89,3,0)*0.475*44/12</f>
        <v>15.947844429613788</v>
      </c>
      <c r="DH61" s="23">
        <f>EXP(-LN(2)/2)*DH60+(1-EXP(-LN(2)/2))/(LN(2)/2)*DB61*DE61*VLOOKUP('Données projet'!$B$13,Paramètres!$A$1:$I$89,3,0)*0.475*44/12</f>
        <v>2.6622580243068428E-3</v>
      </c>
      <c r="DI61" s="24">
        <f t="shared" si="15"/>
        <v>18.820930957137371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13.499999999999996</v>
      </c>
      <c r="DO61" s="13">
        <f>IF('Données projet'!$A$166&gt;35,DO60+DN61-DW60,IF(A61&lt;'Données projet'!$A$166,$DL$205^A61,IF(A61='Données projet'!$A$166,'Données projet'!$B$166,DO60+DN61-DW60)))</f>
        <v>347.79999999999984</v>
      </c>
      <c r="DP61" s="18">
        <f>DO61*VLOOKUP('Données projet'!$B$14,Paramètres!$A$1:$I$89,3,0)*VLOOKUP('Données projet'!$B$14,Paramètres!$A$1:$I$89,5,0)</f>
        <v>162.77039999999994</v>
      </c>
      <c r="DQ61" s="14">
        <f t="shared" si="43"/>
        <v>41.466761176934256</v>
      </c>
      <c r="DR61" s="22">
        <f t="shared" si="16"/>
        <v>355.71305571649367</v>
      </c>
      <c r="DS61" s="62">
        <f t="shared" si="17"/>
        <v>649.04638904982698</v>
      </c>
      <c r="DT61" s="62">
        <f ca="1">AVERAGE(OFFSET($DS$3,0,0,'Données projet'!$E$14+1,1))-AVERAGE(OFFSET($H$3,0,0,'Données projet'!$E$14+1,1))</f>
        <v>215.23235148064941</v>
      </c>
      <c r="DU61" s="62">
        <f t="shared" si="44"/>
        <v>184.07239726900434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1.8003443648076818</v>
      </c>
      <c r="EB61" s="23">
        <f>EXP(-LN(2)/25)*EB60+(1-EXP(-LN(2)/25))/(LN(2)/25)*Calculateur!DW61*Calculateur!DY61*VLOOKUP('Données projet'!$B$14,Paramètres!$A$1:$I$89,3,0)*0.475*44/12</f>
        <v>3.6142506442342404</v>
      </c>
      <c r="EC61" s="23">
        <f>EXP(-LN(2)/2)*EC60+(1-EXP(-LN(2)/2))/(LN(2)/2)*DW61*DZ61*VLOOKUP('Données projet'!$B$14,Paramètres!$A$1:$I$89,3,0)*0.475*44/12</f>
        <v>6.0010842775244091E-4</v>
      </c>
      <c r="ED61" s="24">
        <f t="shared" si="18"/>
        <v>5.4151951174696746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411.26297279225986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20.6</v>
      </c>
      <c r="N62" s="14">
        <f>IF('Données projet'!$A$36&gt;35,N61+M62-V61,IF(A62&lt;'Données projet'!$A$36,$K$205^A62,IF(A62='Données projet'!$A$36,'Données projet'!$B$36,N61+M62-V61)))</f>
        <v>714.40000000000066</v>
      </c>
      <c r="O62" s="14">
        <f>N62*VLOOKUP('Données projet'!$B$9,Paramètres!$A$1:$I$89,3,0)*VLOOKUP('Données projet'!$B$9,Paramètres!$A$1:$I$89,5,0)</f>
        <v>399.34960000000041</v>
      </c>
      <c r="P62" s="14">
        <f t="shared" si="33"/>
        <v>91.644794116866422</v>
      </c>
      <c r="Q62" s="22">
        <f t="shared" si="53"/>
        <v>855.14856975354303</v>
      </c>
      <c r="R62" s="62">
        <f t="shared" si="0"/>
        <v>1148.4819030868764</v>
      </c>
      <c r="S62" s="62">
        <f ca="1">AVERAGE(OFFSET($R$3,0,0,'Données projet'!$E$9+1,1))-AVERAGE(OFFSET($H$3,0,0,'Données projet'!$E$9+1,1))</f>
        <v>460.40450534123659</v>
      </c>
      <c r="T62" s="62">
        <f t="shared" si="34"/>
        <v>467.77477728479198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7.073408122161716</v>
      </c>
      <c r="AA62" s="23">
        <f>EXP(-LN(2)/25)*AA61+(1-EXP(-LN(2)/25))/(LN(2)/25)*Calculateur!V62*Calculateur!X62*VLOOKUP('Données projet'!$B$9,Paramètres!$A$1:$I$89,3,0)*0.475*44/12</f>
        <v>19.81008223019677</v>
      </c>
      <c r="AB62" s="23">
        <f>EXP(-LN(2)/2)*AB61+(1-EXP(-LN(2)/2))/(LN(2)/2)*V62*Y62*VLOOKUP('Données projet'!$B$9,Paramètres!$A$1:$I$89,3,0)*0.475*44/12</f>
        <v>1.7359983988192009E-3</v>
      </c>
      <c r="AC62" s="24">
        <f t="shared" si="3"/>
        <v>26.885226350757303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9.8000000000000007</v>
      </c>
      <c r="AI62" s="14">
        <f>IF('Données projet'!$A$62&gt;35,AI61+AH62-AQ61,IF(A62&lt;'Données projet'!$A$62,$AF$205^A62,IF(A62='Données projet'!$A$62,'Données projet'!$B$62,AI61+AH62-AQ61)))</f>
        <v>291.2</v>
      </c>
      <c r="AJ62" s="14">
        <f>AI62*VLOOKUP('Données projet'!$B$10,Paramètres!$A$1:$I$89,3,0)*VLOOKUP('Données projet'!$B$10,Paramètres!$A$1:$I$89,5,0)</f>
        <v>263.47775999999999</v>
      </c>
      <c r="AK62" s="14">
        <f t="shared" si="35"/>
        <v>63.46312159763346</v>
      </c>
      <c r="AL62" s="22">
        <f t="shared" si="4"/>
        <v>569.42203544921153</v>
      </c>
      <c r="AM62" s="62">
        <f t="shared" si="5"/>
        <v>862.75536878254479</v>
      </c>
      <c r="AN62" s="62">
        <f ca="1">AVERAGE(OFFSET($AM$3,0,0,'Données projet'!$E$10+1,1))-AVERAGE(OFFSET($H$3,0,0,'Données projet'!$E$10+1,1))</f>
        <v>321.03881567735544</v>
      </c>
      <c r="AO62" s="62">
        <f t="shared" si="36"/>
        <v>234.87694492493506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1.356223706067371</v>
      </c>
      <c r="AV62" s="23">
        <f>EXP(-LN(2)/25)*AV61+(1-EXP(-LN(2)/25))/(LN(2)/25)*Calculateur!AQ62*Calculateur!AS62*VLOOKUP('Données projet'!$B$10,Paramètres!$A$1:$I$89,3,0)*0.475*44/12</f>
        <v>6.0662614336984957</v>
      </c>
      <c r="AW62" s="23">
        <f>EXP(-LN(2)/2)*AW61+(1-EXP(-LN(2)/2))/(LN(2)/2)*AQ62*AT62*VLOOKUP('Données projet'!$B$10,Paramètres!$A$1:$I$89,3,0)*0.475*44/12</f>
        <v>9.3826666622607463E-4</v>
      </c>
      <c r="AX62" s="23">
        <f t="shared" si="6"/>
        <v>7.4234234064320921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10</v>
      </c>
      <c r="BD62" s="13">
        <f>IF('Données projet'!$A$88&gt;35,BD61+BC62-BL61,IF(A62&lt;'Données projet'!$A$88,$BA$205^A62,IF(A62='Données projet'!$A$88,'Données projet'!$B$88,BD61+BC62-BL61)))</f>
        <v>393.99999999999989</v>
      </c>
      <c r="BE62" s="14">
        <f>BD62*VLOOKUP('Données projet'!$B$11,Paramètres!$A$1:$I$89,3,0)*VLOOKUP('Données projet'!$B$11,Paramètres!$A$1:$I$89,5,0)</f>
        <v>245.85599999999994</v>
      </c>
      <c r="BF62" s="14">
        <f t="shared" si="37"/>
        <v>59.697704223313963</v>
      </c>
      <c r="BG62" s="22">
        <f t="shared" si="7"/>
        <v>532.17270152227172</v>
      </c>
      <c r="BH62" s="62">
        <f t="shared" si="8"/>
        <v>825.50603485560509</v>
      </c>
      <c r="BI62" s="62">
        <f ca="1">AVERAGE(OFFSET($BH$3,0,0,'Données projet'!$E$11+1,1))-AVERAGE(OFFSET($H$3,0,0,'Données projet'!$E$11+1,1))</f>
        <v>255.41017495879987</v>
      </c>
      <c r="BJ62" s="62">
        <f t="shared" si="38"/>
        <v>297.50513563712764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4.6983852527754948</v>
      </c>
      <c r="BQ62" s="23">
        <f>EXP(-LN(2)/25)*BQ61+(1-EXP(-LN(2)/25))/(LN(2)/25)*Calculateur!BL62*Calculateur!BN62*VLOOKUP('Données projet'!$B$11,Paramètres!$A$1:$I$89,3,0)*0.475*44/12</f>
        <v>12.472115161885066</v>
      </c>
      <c r="BR62" s="23">
        <f>EXP(-LN(2)/2)*BR61+(1-EXP(-LN(2)/2))/(LN(2)/2)*BL62*BO62*VLOOKUP('Données projet'!$B$11,Paramètres!$A$1:$I$89,3,0)*0.475*44/12</f>
        <v>1.0531157056847822E-3</v>
      </c>
      <c r="BS62" s="24">
        <f t="shared" si="9"/>
        <v>17.171553530366243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24.6</v>
      </c>
      <c r="BY62" s="13">
        <f>IF('Données projet'!$A$114&gt;35,BY61+BX62-CG61,IF(A62&lt;'Données projet'!$A$114,$BV$205^A62,IF(A62='Données projet'!$A$114,'Données projet'!$B$114,BY61+BX62-CG61)))</f>
        <v>788.40000000000009</v>
      </c>
      <c r="BZ62" s="14">
        <f>BY62*VLOOKUP('Données projet'!$B$12,Paramètres!$A$1:$I$89,3,0)*VLOOKUP('Données projet'!$B$12,Paramètres!$A$1:$I$89,5,0)</f>
        <v>379.22040000000004</v>
      </c>
      <c r="CA62" s="14">
        <f t="shared" si="39"/>
        <v>87.550930043434363</v>
      </c>
      <c r="CB62" s="22">
        <f t="shared" si="10"/>
        <v>812.96006649231504</v>
      </c>
      <c r="CC62" s="62">
        <f t="shared" si="11"/>
        <v>1106.2933998256483</v>
      </c>
      <c r="CD62" s="62">
        <f ca="1">AVERAGE(OFFSET($CC$3,0,0,'Données projet'!$E$12+1,1))-AVERAGE(OFFSET($H$3,0,0,'Données projet'!$E$12+1,1))</f>
        <v>409.97612835032567</v>
      </c>
      <c r="CE62" s="62">
        <f t="shared" si="40"/>
        <v>411.87876448092288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17.215566293220938</v>
      </c>
      <c r="CL62" s="23">
        <f>EXP(-LN(2)/25)*CL61+(1-EXP(-LN(2)/25))/(LN(2)/25)*Calculateur!CG62*Calculateur!CI62*VLOOKUP('Données projet'!$B$12,Paramètres!$A$1:$I$89,3,0)*0.475*44/12</f>
        <v>23.310908947258923</v>
      </c>
      <c r="CM62" s="23">
        <f>EXP(-LN(2)/2)*CM61+(1-EXP(-LN(2)/2))/(LN(2)/2)*CG62*CJ62*VLOOKUP('Données projet'!$B$12,Paramètres!$A$1:$I$89,3,0)*0.475*44/12</f>
        <v>4.2003714545633973E-2</v>
      </c>
      <c r="CN62" s="24">
        <f t="shared" si="12"/>
        <v>40.568478955025498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19.399999999999999</v>
      </c>
      <c r="CT62" s="13">
        <f>IF('Données projet'!$A$140&gt;35,CT61+CS62-DB61,IF(A62&lt;'Données projet'!$A$140,$CQ$205^A62,IF(A62='Données projet'!$A$140,'Données projet'!$B$140,CT61+CS62-DB61)))</f>
        <v>681.6</v>
      </c>
      <c r="CU62" s="18">
        <f>CT62*VLOOKUP('Données projet'!$B$13,Paramètres!$A$1:$I$89,3,0)*VLOOKUP('Données projet'!$B$13,Paramètres!$A$1:$I$89,5,0)</f>
        <v>407.59680000000003</v>
      </c>
      <c r="CV62" s="14">
        <f t="shared" si="41"/>
        <v>93.315109385047165</v>
      </c>
      <c r="CW62" s="22">
        <f t="shared" si="13"/>
        <v>872.42157551229047</v>
      </c>
      <c r="CX62" s="62">
        <f t="shared" si="14"/>
        <v>1165.7549088456237</v>
      </c>
      <c r="CY62" s="62">
        <f ca="1">AVERAGE(OFFSET($CX$3,0,0,'Données projet'!$E$13+1,1))-AVERAGE(OFFSET($H$3,0,0,'Données projet'!$E$13+1,1))</f>
        <v>463.3255103386889</v>
      </c>
      <c r="CZ62" s="62">
        <f t="shared" si="42"/>
        <v>474.73210558736127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2.814137000360323</v>
      </c>
      <c r="DG62" s="23">
        <f>EXP(-LN(2)/25)*DG61+(1-EXP(-LN(2)/25))/(LN(2)/25)*Calculateur!DB62*Calculateur!DD62*VLOOKUP('Données projet'!$B$13,Paramètres!$A$1:$I$89,3,0)*0.475*44/12</f>
        <v>15.511749785025311</v>
      </c>
      <c r="DH62" s="23">
        <f>EXP(-LN(2)/2)*DH61+(1-EXP(-LN(2)/2))/(LN(2)/2)*DB62*DE62*VLOOKUP('Données projet'!$B$13,Paramètres!$A$1:$I$89,3,0)*0.475*44/12</f>
        <v>1.882500702255669E-3</v>
      </c>
      <c r="DI62" s="24">
        <f t="shared" si="15"/>
        <v>18.327769286087889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13.499999999999996</v>
      </c>
      <c r="DO62" s="13">
        <f>IF('Données projet'!$A$166&gt;35,DO61+DN62-DW61,IF(A62&lt;'Données projet'!$A$166,$DL$205^A62,IF(A62='Données projet'!$A$166,'Données projet'!$B$166,DO61+DN62-DW61)))</f>
        <v>361.29999999999984</v>
      </c>
      <c r="DP62" s="18">
        <f>DO62*VLOOKUP('Données projet'!$B$14,Paramètres!$A$1:$I$89,3,0)*VLOOKUP('Données projet'!$B$14,Paramètres!$A$1:$I$89,5,0)</f>
        <v>169.08839999999992</v>
      </c>
      <c r="DQ62" s="14">
        <f t="shared" si="43"/>
        <v>42.885791664164614</v>
      </c>
      <c r="DR62" s="22">
        <f t="shared" si="16"/>
        <v>369.18838381508658</v>
      </c>
      <c r="DS62" s="62">
        <f t="shared" si="17"/>
        <v>662.52171714841984</v>
      </c>
      <c r="DT62" s="62">
        <f ca="1">AVERAGE(OFFSET($DS$3,0,0,'Données projet'!$E$14+1,1))-AVERAGE(OFFSET($H$3,0,0,'Données projet'!$E$14+1,1))</f>
        <v>215.23235148064941</v>
      </c>
      <c r="DU62" s="62">
        <f t="shared" si="44"/>
        <v>184.07239726900434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1.765040709915437</v>
      </c>
      <c r="EB62" s="23">
        <f>EXP(-LN(2)/25)*EB61+(1-EXP(-LN(2)/25))/(LN(2)/25)*Calculateur!DW62*Calculateur!DY62*VLOOKUP('Données projet'!$B$14,Paramètres!$A$1:$I$89,3,0)*0.475*44/12</f>
        <v>3.5154187703024742</v>
      </c>
      <c r="EC62" s="23">
        <f>EXP(-LN(2)/2)*EC61+(1-EXP(-LN(2)/2))/(LN(2)/2)*DW62*DZ62*VLOOKUP('Données projet'!$B$14,Paramètres!$A$1:$I$89,3,0)*0.475*44/12</f>
        <v>4.2434073871094831E-4</v>
      </c>
      <c r="ED62" s="24">
        <f t="shared" si="18"/>
        <v>5.280883820956622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413.20899669140988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735</v>
      </c>
      <c r="L63" s="13">
        <f>VLOOKUP(A63,'Données projet'!$A$35:$I$55,9,0)</f>
        <v>20.6</v>
      </c>
      <c r="M63" s="13">
        <f t="array" ref="M63">INDEX(L:L,MIN(IF(ISNUMBER(L63:L259),ROW(L63:L259),"")))</f>
        <v>20.6</v>
      </c>
      <c r="N63" s="14">
        <f>IF('Données projet'!$A$36&gt;35,N62+M63-V62,IF(A63&lt;'Données projet'!$A$36,$K$205^A63,IF(A63='Données projet'!$A$36,'Données projet'!$B$36,N62+M63-V62)))</f>
        <v>735.00000000000068</v>
      </c>
      <c r="O63" s="14">
        <f>N63*VLOOKUP('Données projet'!$B$9,Paramètres!$A$1:$I$89,3,0)*VLOOKUP('Données projet'!$B$9,Paramètres!$A$1:$I$89,5,0)</f>
        <v>410.86500000000041</v>
      </c>
      <c r="P63" s="14">
        <f t="shared" si="33"/>
        <v>93.975929758051123</v>
      </c>
      <c r="Q63" s="22">
        <f t="shared" si="53"/>
        <v>879.26461932860639</v>
      </c>
      <c r="R63" s="62">
        <f t="shared" si="0"/>
        <v>1172.5979526619396</v>
      </c>
      <c r="S63" s="62">
        <f ca="1">AVERAGE(OFFSET($R$3,0,0,'Données projet'!$E$9+1,1))-AVERAGE(OFFSET($H$3,0,0,'Données projet'!$E$9+1,1))</f>
        <v>460.40450534123659</v>
      </c>
      <c r="T63" s="62">
        <f t="shared" si="34"/>
        <v>467.77477728479198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101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6.9347029032390726</v>
      </c>
      <c r="AA63" s="23">
        <f>EXP(-LN(2)/25)*AA62+(1-EXP(-LN(2)/25))/(LN(2)/25)*Calculateur!V63*Calculateur!X63*VLOOKUP('Données projet'!$B$9,Paramètres!$A$1:$I$89,3,0)*0.475*44/12</f>
        <v>19.26837448984509</v>
      </c>
      <c r="AB63" s="23">
        <f>EXP(-LN(2)/2)*AB62+(1-EXP(-LN(2)/2))/(LN(2)/2)*V63*Y63*VLOOKUP('Données projet'!$B$9,Paramètres!$A$1:$I$89,3,0)*0.475*44/12</f>
        <v>1.2275362399340455E-3</v>
      </c>
      <c r="AC63" s="24">
        <f t="shared" si="3"/>
        <v>26.204304929324099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301</v>
      </c>
      <c r="AG63" s="13">
        <f>VLOOKUP(A63,'Données projet'!$A$61:$I$81,9,0)</f>
        <v>9.8000000000000007</v>
      </c>
      <c r="AH63" s="13">
        <f t="array" ref="AH63">INDEX(AG:AG,MIN(IF(ISNUMBER(AG63:AG259),ROW(AG63:AG259),"")))</f>
        <v>9.8000000000000007</v>
      </c>
      <c r="AI63" s="14">
        <f>IF('Données projet'!$A$62&gt;35,AI62+AH63-AQ62,IF(A63&lt;'Données projet'!$A$62,$AF$205^A63,IF(A63='Données projet'!$A$62,'Données projet'!$B$62,AI62+AH63-AQ62)))</f>
        <v>301</v>
      </c>
      <c r="AJ63" s="14">
        <f>AI63*VLOOKUP('Données projet'!$B$10,Paramètres!$A$1:$I$89,3,0)*VLOOKUP('Données projet'!$B$10,Paramètres!$A$1:$I$89,5,0)</f>
        <v>272.34479999999996</v>
      </c>
      <c r="AK63" s="14">
        <f t="shared" si="35"/>
        <v>65.346644318451652</v>
      </c>
      <c r="AL63" s="22">
        <f t="shared" si="4"/>
        <v>588.14593218796983</v>
      </c>
      <c r="AM63" s="62">
        <f t="shared" si="5"/>
        <v>881.4792655213032</v>
      </c>
      <c r="AN63" s="62">
        <f ca="1">AVERAGE(OFFSET($AM$3,0,0,'Données projet'!$E$10+1,1))-AVERAGE(OFFSET($H$3,0,0,'Données projet'!$E$10+1,1))</f>
        <v>321.03881567735544</v>
      </c>
      <c r="AO63" s="62">
        <f t="shared" si="36"/>
        <v>234.87694492493506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56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1.3296289864061699</v>
      </c>
      <c r="AV63" s="23">
        <f>EXP(-LN(2)/25)*AV62+(1-EXP(-LN(2)/25))/(LN(2)/25)*Calculateur!AQ63*Calculateur!AS63*VLOOKUP('Données projet'!$B$10,Paramètres!$A$1:$I$89,3,0)*0.475*44/12</f>
        <v>5.9003791957831861</v>
      </c>
      <c r="AW63" s="23">
        <f>EXP(-LN(2)/2)*AW62+(1-EXP(-LN(2)/2))/(LN(2)/2)*AQ63*AT63*VLOOKUP('Données projet'!$B$10,Paramètres!$A$1:$I$89,3,0)*0.475*44/12</f>
        <v>6.6345472224975236E-4</v>
      </c>
      <c r="AX63" s="23">
        <f t="shared" si="6"/>
        <v>7.2306716369116053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404</v>
      </c>
      <c r="BB63" s="13">
        <f>VLOOKUP(A63,'Données projet'!$A$87:$I$107,9,0)</f>
        <v>10</v>
      </c>
      <c r="BC63" s="13">
        <f t="array" ref="BC63">INDEX(BB:BB,MIN(IF(ISNUMBER(BB63:BB259),ROW(BB63:BB259),"")))</f>
        <v>10</v>
      </c>
      <c r="BD63" s="13">
        <f>IF('Données projet'!$A$88&gt;35,BD62+BC63-BL62,IF(A63&lt;'Données projet'!$A$88,$BA$205^A63,IF(A63='Données projet'!$A$88,'Données projet'!$B$88,BD62+BC63-BL62)))</f>
        <v>403.99999999999989</v>
      </c>
      <c r="BE63" s="14">
        <f>BD63*VLOOKUP('Données projet'!$B$11,Paramètres!$A$1:$I$89,3,0)*VLOOKUP('Données projet'!$B$11,Paramètres!$A$1:$I$89,5,0)</f>
        <v>252.09599999999992</v>
      </c>
      <c r="BF63" s="14">
        <f t="shared" si="37"/>
        <v>61.034549381925906</v>
      </c>
      <c r="BG63" s="22">
        <f t="shared" si="7"/>
        <v>545.36904017352083</v>
      </c>
      <c r="BH63" s="62">
        <f t="shared" si="8"/>
        <v>838.7023735068542</v>
      </c>
      <c r="BI63" s="62">
        <f ca="1">AVERAGE(OFFSET($BH$3,0,0,'Données projet'!$E$11+1,1))-AVERAGE(OFFSET($H$3,0,0,'Données projet'!$E$11+1,1))</f>
        <v>255.41017495879987</v>
      </c>
      <c r="BJ63" s="62">
        <f t="shared" si="38"/>
        <v>297.50513563712764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55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4.6062527837006044</v>
      </c>
      <c r="BQ63" s="23">
        <f>EXP(-LN(2)/25)*BQ62+(1-EXP(-LN(2)/25))/(LN(2)/25)*Calculateur!BL63*Calculateur!BN63*VLOOKUP('Données projet'!$B$11,Paramètres!$A$1:$I$89,3,0)*0.475*44/12</f>
        <v>12.131064516903288</v>
      </c>
      <c r="BR63" s="23">
        <f>EXP(-LN(2)/2)*BR62+(1-EXP(-LN(2)/2))/(LN(2)/2)*BL63*BO63*VLOOKUP('Données projet'!$B$11,Paramètres!$A$1:$I$89,3,0)*0.475*44/12</f>
        <v>7.4466525686376587E-4</v>
      </c>
      <c r="BS63" s="24">
        <f t="shared" si="9"/>
        <v>16.738061965860755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813</v>
      </c>
      <c r="BW63" s="13">
        <f>VLOOKUP(A63,'Données projet'!$A$113:$I$133,9,0)</f>
        <v>24.6</v>
      </c>
      <c r="BX63" s="13">
        <f t="array" ref="BX63">INDEX(BW:BW,MIN(IF(ISNUMBER(BW63:BW259),ROW(BW63:BW259),"")))</f>
        <v>24.6</v>
      </c>
      <c r="BY63" s="13">
        <f>IF('Données projet'!$A$114&gt;35,BY62+BX63-CG62,IF(A63&lt;'Données projet'!$A$114,$BV$205^A63,IF(A63='Données projet'!$A$114,'Données projet'!$B$114,BY62+BX63-CG62)))</f>
        <v>813.00000000000011</v>
      </c>
      <c r="BZ63" s="14">
        <f>BY63*VLOOKUP('Données projet'!$B$12,Paramètres!$A$1:$I$89,3,0)*VLOOKUP('Données projet'!$B$12,Paramètres!$A$1:$I$89,5,0)</f>
        <v>391.05300000000011</v>
      </c>
      <c r="CA63" s="14">
        <f t="shared" si="39"/>
        <v>89.960417115095453</v>
      </c>
      <c r="CB63" s="22">
        <f t="shared" si="10"/>
        <v>837.76503480879137</v>
      </c>
      <c r="CC63" s="62">
        <f t="shared" si="11"/>
        <v>1131.0983681421246</v>
      </c>
      <c r="CD63" s="62">
        <f ca="1">AVERAGE(OFFSET($CC$3,0,0,'Données projet'!$E$12+1,1))-AVERAGE(OFFSET($H$3,0,0,'Données projet'!$E$12+1,1))</f>
        <v>409.97612835032567</v>
      </c>
      <c r="CE63" s="62">
        <f t="shared" si="40"/>
        <v>411.87876448092288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139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16.877979538669479</v>
      </c>
      <c r="CL63" s="23">
        <f>EXP(-LN(2)/25)*CL62+(1-EXP(-LN(2)/25))/(LN(2)/25)*Calculateur!CG63*Calculateur!CI63*VLOOKUP('Données projet'!$B$12,Paramètres!$A$1:$I$89,3,0)*0.475*44/12</f>
        <v>22.673470916228705</v>
      </c>
      <c r="CM63" s="23">
        <f>EXP(-LN(2)/2)*CM62+(1-EXP(-LN(2)/2))/(LN(2)/2)*CG63*CJ63*VLOOKUP('Données projet'!$B$12,Paramètres!$A$1:$I$89,3,0)*0.475*44/12</f>
        <v>2.9701111390241806E-2</v>
      </c>
      <c r="CN63" s="24">
        <f t="shared" si="12"/>
        <v>39.581151566288426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701</v>
      </c>
      <c r="CR63" s="13">
        <f>VLOOKUP(A63,'Données projet'!$A$139:$I$159,9,0)</f>
        <v>19.399999999999999</v>
      </c>
      <c r="CS63" s="13">
        <f t="array" ref="CS63">INDEX(CR:CR,MIN(IF(ISNUMBER(CR63:CR259),ROW(CR63:CR259),"")))</f>
        <v>19.399999999999999</v>
      </c>
      <c r="CT63" s="13">
        <f>IF('Données projet'!$A$140&gt;35,CT62+CS63-DB62,IF(A63&lt;'Données projet'!$A$140,$CQ$205^A63,IF(A63='Données projet'!$A$140,'Données projet'!$B$140,CT62+CS63-DB62)))</f>
        <v>701</v>
      </c>
      <c r="CU63" s="18">
        <f>CT63*VLOOKUP('Données projet'!$B$13,Paramètres!$A$1:$I$89,3,0)*VLOOKUP('Données projet'!$B$13,Paramètres!$A$1:$I$89,5,0)</f>
        <v>419.19800000000004</v>
      </c>
      <c r="CV63" s="14">
        <f t="shared" si="41"/>
        <v>95.658082649757034</v>
      </c>
      <c r="CW63" s="22">
        <f t="shared" si="13"/>
        <v>896.70767728166027</v>
      </c>
      <c r="CX63" s="62">
        <f t="shared" si="14"/>
        <v>1190.0410106149936</v>
      </c>
      <c r="CY63" s="62">
        <f ca="1">AVERAGE(OFFSET($CX$3,0,0,'Données projet'!$E$13+1,1))-AVERAGE(OFFSET($H$3,0,0,'Données projet'!$E$13+1,1))</f>
        <v>463.3255103386889</v>
      </c>
      <c r="CZ63" s="62">
        <f t="shared" si="42"/>
        <v>474.73210558736127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90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2.7589534902373414</v>
      </c>
      <c r="DG63" s="23">
        <f>EXP(-LN(2)/25)*DG62+(1-EXP(-LN(2)/25))/(LN(2)/25)*Calculateur!DB63*Calculateur!DD63*VLOOKUP('Données projet'!$B$13,Paramètres!$A$1:$I$89,3,0)*0.475*44/12</f>
        <v>15.087580171426325</v>
      </c>
      <c r="DH63" s="23">
        <f>EXP(-LN(2)/2)*DH62+(1-EXP(-LN(2)/2))/(LN(2)/2)*DB63*DE63*VLOOKUP('Données projet'!$B$13,Paramètres!$A$1:$I$89,3,0)*0.475*44/12</f>
        <v>1.3311290121534214E-3</v>
      </c>
      <c r="DI63" s="24">
        <f t="shared" si="15"/>
        <v>17.847864790675821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374.79999999999995</v>
      </c>
      <c r="DM63" s="13">
        <f>VLOOKUP(A63,'Données projet'!$A$165:$I$185,9,0)</f>
        <v>13.499999999999996</v>
      </c>
      <c r="DN63" s="13">
        <f t="array" ref="DN63">INDEX(DM:DM,MIN(IF(ISNUMBER(DM63:DM259),ROW(DM63:DM259),"")))</f>
        <v>13.499999999999996</v>
      </c>
      <c r="DO63" s="13">
        <f>IF('Données projet'!$A$166&gt;35,DO62+DN63-DW62,IF(A63&lt;'Données projet'!$A$166,$DL$205^A63,IF(A63='Données projet'!$A$166,'Données projet'!$B$166,DO62+DN63-DW62)))</f>
        <v>374.79999999999984</v>
      </c>
      <c r="DP63" s="18">
        <f>DO63*VLOOKUP('Données projet'!$B$14,Paramètres!$A$1:$I$89,3,0)*VLOOKUP('Données projet'!$B$14,Paramètres!$A$1:$I$89,5,0)</f>
        <v>175.40639999999993</v>
      </c>
      <c r="DQ63" s="14">
        <f t="shared" si="43"/>
        <v>44.298662258322672</v>
      </c>
      <c r="DR63" s="22">
        <f t="shared" si="16"/>
        <v>382.65298343324525</v>
      </c>
      <c r="DS63" s="62">
        <f t="shared" si="17"/>
        <v>675.98631676657851</v>
      </c>
      <c r="DT63" s="62">
        <f ca="1">AVERAGE(OFFSET($DS$3,0,0,'Données projet'!$E$14+1,1))-AVERAGE(OFFSET($H$3,0,0,'Données projet'!$E$14+1,1))</f>
        <v>215.23235148064941</v>
      </c>
      <c r="DU63" s="62">
        <f t="shared" si="44"/>
        <v>184.07239726900434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83.4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1.730429338162526</v>
      </c>
      <c r="EB63" s="23">
        <f>EXP(-LN(2)/25)*EB62+(1-EXP(-LN(2)/25))/(LN(2)/25)*Calculateur!DW63*Calculateur!DY63*VLOOKUP('Données projet'!$B$14,Paramètres!$A$1:$I$89,3,0)*0.475*44/12</f>
        <v>3.4192894591607144</v>
      </c>
      <c r="EC63" s="23">
        <f>EXP(-LN(2)/2)*EC62+(1-EXP(-LN(2)/2))/(LN(2)/2)*DW63*DZ63*VLOOKUP('Données projet'!$B$14,Paramètres!$A$1:$I$89,3,0)*0.475*44/12</f>
        <v>3.0005421387622046E-4</v>
      </c>
      <c r="ED63" s="24">
        <f t="shared" si="18"/>
        <v>5.1500188515371166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415.15425047232054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17.100000000000001</v>
      </c>
      <c r="N64" s="14">
        <f>IF('Données projet'!$A$36&gt;35,N63+M64-V63,IF(A64&lt;'Données projet'!$A$36,$K$205^A64,IF(A64='Données projet'!$A$36,'Données projet'!$B$36,N63+M64-V63)))</f>
        <v>651.1000000000007</v>
      </c>
      <c r="O64" s="14">
        <f>N64*VLOOKUP('Données projet'!$B$9,Paramètres!$A$1:$I$89,3,0)*VLOOKUP('Données projet'!$B$9,Paramètres!$A$1:$I$89,5,0)</f>
        <v>363.9649000000004</v>
      </c>
      <c r="P64" s="14">
        <f t="shared" si="33"/>
        <v>84.431448862333326</v>
      </c>
      <c r="Q64" s="22">
        <f t="shared" si="53"/>
        <v>780.95697426856452</v>
      </c>
      <c r="R64" s="62">
        <f t="shared" si="0"/>
        <v>1074.2903076018979</v>
      </c>
      <c r="S64" s="62">
        <f ca="1">AVERAGE(OFFSET($R$3,0,0,'Données projet'!$E$9+1,1))-AVERAGE(OFFSET($H$3,0,0,'Données projet'!$E$9+1,1))</f>
        <v>460.40450534123659</v>
      </c>
      <c r="T64" s="62">
        <f t="shared" si="34"/>
        <v>467.77477728479198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6.7987176090576718</v>
      </c>
      <c r="AA64" s="23">
        <f>EXP(-LN(2)/25)*AA63+(1-EXP(-LN(2)/25))/(LN(2)/25)*Calculateur!V64*Calculateur!X64*VLOOKUP('Données projet'!$B$9,Paramètres!$A$1:$I$89,3,0)*0.475*44/12</f>
        <v>18.741479776140501</v>
      </c>
      <c r="AB64" s="23">
        <f>EXP(-LN(2)/2)*AB63+(1-EXP(-LN(2)/2))/(LN(2)/2)*V64*Y64*VLOOKUP('Données projet'!$B$9,Paramètres!$A$1:$I$89,3,0)*0.475*44/12</f>
        <v>8.6799919940960043E-4</v>
      </c>
      <c r="AC64" s="24">
        <f t="shared" si="3"/>
        <v>25.541065384397584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8.5</v>
      </c>
      <c r="AI64" s="14">
        <f>IF('Données projet'!$A$62&gt;35,AI63+AH64-AQ63,IF(A64&lt;'Données projet'!$A$62,$AF$205^A64,IF(A64='Données projet'!$A$62,'Données projet'!$B$62,AI63+AH64-AQ63)))</f>
        <v>253.5</v>
      </c>
      <c r="AJ64" s="14">
        <f>AI64*VLOOKUP('Données projet'!$B$10,Paramètres!$A$1:$I$89,3,0)*VLOOKUP('Données projet'!$B$10,Paramètres!$A$1:$I$89,5,0)</f>
        <v>229.36680000000001</v>
      </c>
      <c r="AK64" s="14">
        <f t="shared" si="35"/>
        <v>56.14574692729505</v>
      </c>
      <c r="AL64" s="22">
        <f t="shared" si="4"/>
        <v>497.26768589837212</v>
      </c>
      <c r="AM64" s="62">
        <f t="shared" si="5"/>
        <v>790.60101923170544</v>
      </c>
      <c r="AN64" s="62">
        <f ca="1">AVERAGE(OFFSET($AM$3,0,0,'Données projet'!$E$10+1,1))-AVERAGE(OFFSET($H$3,0,0,'Données projet'!$E$10+1,1))</f>
        <v>321.03881567735544</v>
      </c>
      <c r="AO64" s="62">
        <f t="shared" si="36"/>
        <v>234.87694492493506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1.3035557729763476</v>
      </c>
      <c r="AV64" s="23">
        <f>EXP(-LN(2)/25)*AV63+(1-EXP(-LN(2)/25))/(LN(2)/25)*Calculateur!AQ64*Calculateur!AS64*VLOOKUP('Données projet'!$B$10,Paramètres!$A$1:$I$89,3,0)*0.475*44/12</f>
        <v>5.7390330163870384</v>
      </c>
      <c r="AW64" s="23">
        <f>EXP(-LN(2)/2)*AW63+(1-EXP(-LN(2)/2))/(LN(2)/2)*AQ64*AT64*VLOOKUP('Données projet'!$B$10,Paramètres!$A$1:$I$89,3,0)*0.475*44/12</f>
        <v>4.6913333311303731E-4</v>
      </c>
      <c r="AX64" s="23">
        <f t="shared" si="6"/>
        <v>7.0430579226964989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7.8</v>
      </c>
      <c r="BD64" s="13">
        <f>IF('Données projet'!$A$88&gt;35,BD63+BC64-BL63,IF(A64&lt;'Données projet'!$A$88,$BA$205^A64,IF(A64='Données projet'!$A$88,'Données projet'!$B$88,BD63+BC64-BL63)))</f>
        <v>356.7999999999999</v>
      </c>
      <c r="BE64" s="14">
        <f>BD64*VLOOKUP('Données projet'!$B$11,Paramètres!$A$1:$I$89,3,0)*VLOOKUP('Données projet'!$B$11,Paramètres!$A$1:$I$89,5,0)</f>
        <v>222.64319999999995</v>
      </c>
      <c r="BF64" s="14">
        <f t="shared" si="37"/>
        <v>54.688972258092875</v>
      </c>
      <c r="BG64" s="22">
        <f t="shared" si="7"/>
        <v>483.02020001617831</v>
      </c>
      <c r="BH64" s="62">
        <f t="shared" si="8"/>
        <v>776.35353334951162</v>
      </c>
      <c r="BI64" s="62">
        <f ca="1">AVERAGE(OFFSET($BH$3,0,0,'Données projet'!$E$11+1,1))-AVERAGE(OFFSET($H$3,0,0,'Données projet'!$E$11+1,1))</f>
        <v>255.41017495879987</v>
      </c>
      <c r="BJ64" s="62">
        <f t="shared" si="38"/>
        <v>297.50513563712764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4.5159269761490153</v>
      </c>
      <c r="BQ64" s="23">
        <f>EXP(-LN(2)/25)*BQ63+(1-EXP(-LN(2)/25))/(LN(2)/25)*Calculateur!BL64*Calculateur!BN64*VLOOKUP('Données projet'!$B$11,Paramètres!$A$1:$I$89,3,0)*0.475*44/12</f>
        <v>11.799339919743611</v>
      </c>
      <c r="BR64" s="23">
        <f>EXP(-LN(2)/2)*BR63+(1-EXP(-LN(2)/2))/(LN(2)/2)*BL64*BO64*VLOOKUP('Données projet'!$B$11,Paramètres!$A$1:$I$89,3,0)*0.475*44/12</f>
        <v>5.2655785284239109E-4</v>
      </c>
      <c r="BS64" s="24">
        <f t="shared" si="9"/>
        <v>16.315793453745471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22</v>
      </c>
      <c r="BY64" s="13">
        <f>IF('Données projet'!$A$114&gt;35,BY63+BX64-CG63,IF(A64&lt;'Données projet'!$A$114,$BV$205^A64,IF(A64='Données projet'!$A$114,'Données projet'!$B$114,BY63+BX64-CG63)))</f>
        <v>696.00000000000011</v>
      </c>
      <c r="BZ64" s="14">
        <f>BY64*VLOOKUP('Données projet'!$B$12,Paramètres!$A$1:$I$89,3,0)*VLOOKUP('Données projet'!$B$12,Paramètres!$A$1:$I$89,5,0)</f>
        <v>334.77600000000007</v>
      </c>
      <c r="CA64" s="14">
        <f t="shared" si="39"/>
        <v>78.419664234834855</v>
      </c>
      <c r="CB64" s="22">
        <f t="shared" si="10"/>
        <v>719.64911520900421</v>
      </c>
      <c r="CC64" s="62">
        <f t="shared" si="11"/>
        <v>1012.9824485423376</v>
      </c>
      <c r="CD64" s="62">
        <f ca="1">AVERAGE(OFFSET($CC$3,0,0,'Données projet'!$E$12+1,1))-AVERAGE(OFFSET($H$3,0,0,'Données projet'!$E$12+1,1))</f>
        <v>409.97612835032567</v>
      </c>
      <c r="CE64" s="62">
        <f t="shared" si="40"/>
        <v>411.87876448092288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16.547012654467185</v>
      </c>
      <c r="CL64" s="23">
        <f>EXP(-LN(2)/25)*CL63+(1-EXP(-LN(2)/25))/(LN(2)/25)*Calculateur!CG64*Calculateur!CI64*VLOOKUP('Données projet'!$B$12,Paramètres!$A$1:$I$89,3,0)*0.475*44/12</f>
        <v>22.053463661678418</v>
      </c>
      <c r="CM64" s="23">
        <f>EXP(-LN(2)/2)*CM63+(1-EXP(-LN(2)/2))/(LN(2)/2)*CG64*CJ64*VLOOKUP('Données projet'!$B$12,Paramètres!$A$1:$I$89,3,0)*0.475*44/12</f>
        <v>2.100185727281699E-2</v>
      </c>
      <c r="CN64" s="24">
        <f t="shared" si="12"/>
        <v>38.621478173418417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15.9</v>
      </c>
      <c r="CT64" s="13">
        <f>IF('Données projet'!$A$140&gt;35,CT63+CS64-DB63,IF(A64&lt;'Données projet'!$A$140,$CQ$205^A64,IF(A64='Données projet'!$A$140,'Données projet'!$B$140,CT63+CS64-DB63)))</f>
        <v>626.9</v>
      </c>
      <c r="CU64" s="18">
        <f>CT64*VLOOKUP('Données projet'!$B$13,Paramètres!$A$1:$I$89,3,0)*VLOOKUP('Données projet'!$B$13,Paramètres!$A$1:$I$89,5,0)</f>
        <v>374.88620000000003</v>
      </c>
      <c r="CV64" s="14">
        <f t="shared" si="41"/>
        <v>86.666173565839401</v>
      </c>
      <c r="CW64" s="22">
        <f t="shared" si="13"/>
        <v>803.87038396050366</v>
      </c>
      <c r="CX64" s="62">
        <f t="shared" si="14"/>
        <v>1097.2037172938369</v>
      </c>
      <c r="CY64" s="62">
        <f ca="1">AVERAGE(OFFSET($CX$3,0,0,'Données projet'!$E$13+1,1))-AVERAGE(OFFSET($H$3,0,0,'Données projet'!$E$13+1,1))</f>
        <v>463.3255103386889</v>
      </c>
      <c r="CZ64" s="62">
        <f t="shared" si="42"/>
        <v>474.73210558736127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2.7048520950892541</v>
      </c>
      <c r="DG64" s="23">
        <f>EXP(-LN(2)/25)*DG63+(1-EXP(-LN(2)/25))/(LN(2)/25)*Calculateur!DB64*Calculateur!DD64*VLOOKUP('Données projet'!$B$13,Paramètres!$A$1:$I$89,3,0)*0.475*44/12</f>
        <v>14.675009498217314</v>
      </c>
      <c r="DH64" s="23">
        <f>EXP(-LN(2)/2)*DH63+(1-EXP(-LN(2)/2))/(LN(2)/2)*DB64*DE64*VLOOKUP('Données projet'!$B$13,Paramètres!$A$1:$I$89,3,0)*0.475*44/12</f>
        <v>9.4125035112783452E-4</v>
      </c>
      <c r="DI64" s="24">
        <f t="shared" si="15"/>
        <v>17.380802843657698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15.5</v>
      </c>
      <c r="DO64" s="13">
        <f>IF('Données projet'!$A$166&gt;35,DO63+DN64-DW63,IF(A64&lt;'Données projet'!$A$166,$DL$205^A64,IF(A64='Données projet'!$A$166,'Données projet'!$B$166,DO63+DN64-DW63)))</f>
        <v>306.89999999999986</v>
      </c>
      <c r="DP64" s="18">
        <f>DO64*VLOOKUP('Données projet'!$B$14,Paramètres!$A$1:$I$89,3,0)*VLOOKUP('Données projet'!$B$14,Paramètres!$A$1:$I$89,5,0)</f>
        <v>143.62919999999994</v>
      </c>
      <c r="DQ64" s="14">
        <f t="shared" si="43"/>
        <v>37.127161849234348</v>
      </c>
      <c r="DR64" s="22">
        <f t="shared" si="16"/>
        <v>314.81733022074968</v>
      </c>
      <c r="DS64" s="62">
        <f t="shared" si="17"/>
        <v>608.15066355408294</v>
      </c>
      <c r="DT64" s="62">
        <f ca="1">AVERAGE(OFFSET($DS$3,0,0,'Données projet'!$E$14+1,1))-AVERAGE(OFFSET($H$3,0,0,'Données projet'!$E$14+1,1))</f>
        <v>215.23235148064941</v>
      </c>
      <c r="DU64" s="62">
        <f t="shared" si="44"/>
        <v>184.07239726900434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1.6964966742988374</v>
      </c>
      <c r="EB64" s="23">
        <f>EXP(-LN(2)/25)*EB63+(1-EXP(-LN(2)/25))/(LN(2)/25)*Calculateur!DW64*Calculateur!DY64*VLOOKUP('Données projet'!$B$14,Paramètres!$A$1:$I$89,3,0)*0.475*44/12</f>
        <v>3.3257888090873466</v>
      </c>
      <c r="EC64" s="23">
        <f>EXP(-LN(2)/2)*EC63+(1-EXP(-LN(2)/2))/(LN(2)/2)*DW64*DZ64*VLOOKUP('Données projet'!$B$14,Paramètres!$A$1:$I$89,3,0)*0.475*44/12</f>
        <v>2.1217036935547415E-4</v>
      </c>
      <c r="ED64" s="24">
        <f t="shared" si="18"/>
        <v>5.0224976537555399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417.09874821725015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17.100000000000001</v>
      </c>
      <c r="N65" s="14">
        <f>IF('Données projet'!$A$36&gt;35,N64+M65-V64,IF(A65&lt;'Données projet'!$A$36,$K$205^A65,IF(A65='Données projet'!$A$36,'Données projet'!$B$36,N64+M65-V64)))</f>
        <v>668.20000000000073</v>
      </c>
      <c r="O65" s="14">
        <f>N65*VLOOKUP('Données projet'!$B$9,Paramètres!$A$1:$I$89,3,0)*VLOOKUP('Données projet'!$B$9,Paramètres!$A$1:$I$89,5,0)</f>
        <v>373.52380000000039</v>
      </c>
      <c r="P65" s="14">
        <f t="shared" si="33"/>
        <v>86.387816351032043</v>
      </c>
      <c r="Q65" s="22">
        <f t="shared" si="53"/>
        <v>801.0127318113814</v>
      </c>
      <c r="R65" s="62">
        <f t="shared" si="0"/>
        <v>1094.3460651447147</v>
      </c>
      <c r="S65" s="62">
        <f ca="1">AVERAGE(OFFSET($R$3,0,0,'Données projet'!$E$9+1,1))-AVERAGE(OFFSET($H$3,0,0,'Données projet'!$E$9+1,1))</f>
        <v>460.40450534123659</v>
      </c>
      <c r="T65" s="62">
        <f t="shared" si="34"/>
        <v>467.77477728479198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6.6653989035523287</v>
      </c>
      <c r="AA65" s="23">
        <f>EXP(-LN(2)/25)*AA64+(1-EXP(-LN(2)/25))/(LN(2)/25)*Calculateur!V65*Calculateur!X65*VLOOKUP('Données projet'!$B$9,Paramètres!$A$1:$I$89,3,0)*0.475*44/12</f>
        <v>18.22899302609035</v>
      </c>
      <c r="AB65" s="23">
        <f>EXP(-LN(2)/2)*AB64+(1-EXP(-LN(2)/2))/(LN(2)/2)*V65*Y65*VLOOKUP('Données projet'!$B$9,Paramètres!$A$1:$I$89,3,0)*0.475*44/12</f>
        <v>6.1376811996702275E-4</v>
      </c>
      <c r="AC65" s="24">
        <f t="shared" si="3"/>
        <v>24.895005697762645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8.5</v>
      </c>
      <c r="AI65" s="14">
        <f>IF('Données projet'!$A$62&gt;35,AI64+AH65-AQ64,IF(A65&lt;'Données projet'!$A$62,$AF$205^A65,IF(A65='Données projet'!$A$62,'Données projet'!$B$62,AI64+AH65-AQ64)))</f>
        <v>262</v>
      </c>
      <c r="AJ65" s="14">
        <f>AI65*VLOOKUP('Données projet'!$B$10,Paramètres!$A$1:$I$89,3,0)*VLOOKUP('Données projet'!$B$10,Paramètres!$A$1:$I$89,5,0)</f>
        <v>237.05759999999998</v>
      </c>
      <c r="AK65" s="14">
        <f t="shared" si="35"/>
        <v>57.806004997354641</v>
      </c>
      <c r="AL65" s="22">
        <f t="shared" si="4"/>
        <v>513.55411203705933</v>
      </c>
      <c r="AM65" s="62">
        <f t="shared" si="5"/>
        <v>806.8874453703927</v>
      </c>
      <c r="AN65" s="62">
        <f ca="1">AVERAGE(OFFSET($AM$3,0,0,'Données projet'!$E$10+1,1))-AVERAGE(OFFSET($H$3,0,0,'Données projet'!$E$10+1,1))</f>
        <v>321.03881567735544</v>
      </c>
      <c r="AO65" s="62">
        <f t="shared" si="36"/>
        <v>234.87694492493506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1.2779938393587942</v>
      </c>
      <c r="AV65" s="23">
        <f>EXP(-LN(2)/25)*AV64+(1-EXP(-LN(2)/25))/(LN(2)/25)*Calculateur!AQ65*Calculateur!AS65*VLOOKUP('Données projet'!$B$10,Paramètres!$A$1:$I$89,3,0)*0.475*44/12</f>
        <v>5.5820988567513057</v>
      </c>
      <c r="AW65" s="23">
        <f>EXP(-LN(2)/2)*AW64+(1-EXP(-LN(2)/2))/(LN(2)/2)*AQ65*AT65*VLOOKUP('Données projet'!$B$10,Paramètres!$A$1:$I$89,3,0)*0.475*44/12</f>
        <v>3.3172736112487618E-4</v>
      </c>
      <c r="AX65" s="23">
        <f t="shared" si="6"/>
        <v>6.8604244234712253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7.8</v>
      </c>
      <c r="BD65" s="13">
        <f>IF('Données projet'!$A$88&gt;35,BD64+BC65-BL64,IF(A65&lt;'Données projet'!$A$88,$BA$205^A65,IF(A65='Données projet'!$A$88,'Données projet'!$B$88,BD64+BC65-BL64)))</f>
        <v>364.59999999999991</v>
      </c>
      <c r="BE65" s="14">
        <f>BD65*VLOOKUP('Données projet'!$B$11,Paramètres!$A$1:$I$89,3,0)*VLOOKUP('Données projet'!$B$11,Paramètres!$A$1:$I$89,5,0)</f>
        <v>227.51039999999995</v>
      </c>
      <c r="BF65" s="14">
        <f t="shared" si="37"/>
        <v>55.7440313076156</v>
      </c>
      <c r="BG65" s="22">
        <f t="shared" si="7"/>
        <v>493.33480119409711</v>
      </c>
      <c r="BH65" s="62">
        <f t="shared" si="8"/>
        <v>786.66813452743042</v>
      </c>
      <c r="BI65" s="62">
        <f ca="1">AVERAGE(OFFSET($BH$3,0,0,'Données projet'!$E$11+1,1))-AVERAGE(OFFSET($H$3,0,0,'Données projet'!$E$11+1,1))</f>
        <v>255.41017495879987</v>
      </c>
      <c r="BJ65" s="62">
        <f t="shared" si="38"/>
        <v>297.50513563712764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4.4273724025902101</v>
      </c>
      <c r="BQ65" s="23">
        <f>EXP(-LN(2)/25)*BQ64+(1-EXP(-LN(2)/25))/(LN(2)/25)*Calculateur!BL65*Calculateur!BN65*VLOOKUP('Données projet'!$B$11,Paramètres!$A$1:$I$89,3,0)*0.475*44/12</f>
        <v>11.476686349137903</v>
      </c>
      <c r="BR65" s="23">
        <f>EXP(-LN(2)/2)*BR64+(1-EXP(-LN(2)/2))/(LN(2)/2)*BL65*BO65*VLOOKUP('Données projet'!$B$11,Paramètres!$A$1:$I$89,3,0)*0.475*44/12</f>
        <v>3.7233262843188293E-4</v>
      </c>
      <c r="BS65" s="24">
        <f t="shared" si="9"/>
        <v>15.904431084356546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22</v>
      </c>
      <c r="BY65" s="13">
        <f>IF('Données projet'!$A$114&gt;35,BY64+BX65-CG64,IF(A65&lt;'Données projet'!$A$114,$BV$205^A65,IF(A65='Données projet'!$A$114,'Données projet'!$B$114,BY64+BX65-CG64)))</f>
        <v>718.00000000000011</v>
      </c>
      <c r="BZ65" s="14">
        <f>BY65*VLOOKUP('Données projet'!$B$12,Paramètres!$A$1:$I$89,3,0)*VLOOKUP('Données projet'!$B$12,Paramètres!$A$1:$I$89,5,0)</f>
        <v>345.35800000000006</v>
      </c>
      <c r="CA65" s="14">
        <f t="shared" si="39"/>
        <v>80.605933753064207</v>
      </c>
      <c r="CB65" s="22">
        <f t="shared" si="10"/>
        <v>741.88718461992028</v>
      </c>
      <c r="CC65" s="62">
        <f t="shared" si="11"/>
        <v>1035.2205179532536</v>
      </c>
      <c r="CD65" s="62">
        <f ca="1">AVERAGE(OFFSET($CC$3,0,0,'Données projet'!$E$12+1,1))-AVERAGE(OFFSET($H$3,0,0,'Données projet'!$E$12+1,1))</f>
        <v>409.97612835032567</v>
      </c>
      <c r="CE65" s="62">
        <f t="shared" si="40"/>
        <v>411.87876448092288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16.222535828994232</v>
      </c>
      <c r="CL65" s="23">
        <f>EXP(-LN(2)/25)*CL64+(1-EXP(-LN(2)/25))/(LN(2)/25)*Calculateur!CG65*Calculateur!CI65*VLOOKUP('Données projet'!$B$12,Paramètres!$A$1:$I$89,3,0)*0.475*44/12</f>
        <v>21.450410538108571</v>
      </c>
      <c r="CM65" s="23">
        <f>EXP(-LN(2)/2)*CM64+(1-EXP(-LN(2)/2))/(LN(2)/2)*CG65*CJ65*VLOOKUP('Données projet'!$B$12,Paramètres!$A$1:$I$89,3,0)*0.475*44/12</f>
        <v>1.4850555695120907E-2</v>
      </c>
      <c r="CN65" s="24">
        <f t="shared" si="12"/>
        <v>37.687796922797922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15.9</v>
      </c>
      <c r="CT65" s="13">
        <f>IF('Données projet'!$A$140&gt;35,CT64+CS65-DB64,IF(A65&lt;'Données projet'!$A$140,$CQ$205^A65,IF(A65='Données projet'!$A$140,'Données projet'!$B$140,CT64+CS65-DB64)))</f>
        <v>642.79999999999995</v>
      </c>
      <c r="CU65" s="18">
        <f>CT65*VLOOKUP('Données projet'!$B$13,Paramètres!$A$1:$I$89,3,0)*VLOOKUP('Données projet'!$B$13,Paramètres!$A$1:$I$89,5,0)</f>
        <v>384.39440000000002</v>
      </c>
      <c r="CV65" s="14">
        <f t="shared" si="41"/>
        <v>88.605579047663127</v>
      </c>
      <c r="CW65" s="22">
        <f t="shared" si="13"/>
        <v>823.80829684134676</v>
      </c>
      <c r="CX65" s="62">
        <f t="shared" si="14"/>
        <v>1117.1416301746801</v>
      </c>
      <c r="CY65" s="62">
        <f ca="1">AVERAGE(OFFSET($CX$3,0,0,'Données projet'!$E$13+1,1))-AVERAGE(OFFSET($H$3,0,0,'Données projet'!$E$13+1,1))</f>
        <v>463.3255103386889</v>
      </c>
      <c r="CZ65" s="62">
        <f t="shared" si="42"/>
        <v>474.73210558736127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2.6518115953014281</v>
      </c>
      <c r="DG65" s="23">
        <f>EXP(-LN(2)/25)*DG64+(1-EXP(-LN(2)/25))/(LN(2)/25)*Calculateur!DB65*Calculateur!DD65*VLOOKUP('Données projet'!$B$13,Paramètres!$A$1:$I$89,3,0)*0.475*44/12</f>
        <v>14.273720591763352</v>
      </c>
      <c r="DH65" s="23">
        <f>EXP(-LN(2)/2)*DH64+(1-EXP(-LN(2)/2))/(LN(2)/2)*DB65*DE65*VLOOKUP('Données projet'!$B$13,Paramètres!$A$1:$I$89,3,0)*0.475*44/12</f>
        <v>6.655645060767107E-4</v>
      </c>
      <c r="DI65" s="24">
        <f t="shared" si="15"/>
        <v>16.926197751570857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15.5</v>
      </c>
      <c r="DO65" s="13">
        <f>IF('Données projet'!$A$166&gt;35,DO64+DN65-DW64,IF(A65&lt;'Données projet'!$A$166,$DL$205^A65,IF(A65='Données projet'!$A$166,'Données projet'!$B$166,DO64+DN65-DW64)))</f>
        <v>322.39999999999986</v>
      </c>
      <c r="DP65" s="18">
        <f>DO65*VLOOKUP('Données projet'!$B$14,Paramètres!$A$1:$I$89,3,0)*VLOOKUP('Données projet'!$B$14,Paramètres!$A$1:$I$89,5,0)</f>
        <v>150.88319999999993</v>
      </c>
      <c r="DQ65" s="14">
        <f t="shared" si="43"/>
        <v>38.779227360583164</v>
      </c>
      <c r="DR65" s="22">
        <f t="shared" si="16"/>
        <v>330.32872765301551</v>
      </c>
      <c r="DS65" s="62">
        <f t="shared" si="17"/>
        <v>623.66206098634882</v>
      </c>
      <c r="DT65" s="62">
        <f ca="1">AVERAGE(OFFSET($DS$3,0,0,'Données projet'!$E$14+1,1))-AVERAGE(OFFSET($H$3,0,0,'Données projet'!$E$14+1,1))</f>
        <v>215.23235148064941</v>
      </c>
      <c r="DU65" s="62">
        <f t="shared" si="44"/>
        <v>184.07239726900434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1.6632294092766344</v>
      </c>
      <c r="EB65" s="23">
        <f>EXP(-LN(2)/25)*EB64+(1-EXP(-LN(2)/25))/(LN(2)/25)*Calculateur!DW65*Calculateur!DY65*VLOOKUP('Données projet'!$B$14,Paramètres!$A$1:$I$89,3,0)*0.475*44/12</f>
        <v>3.2348449392072207</v>
      </c>
      <c r="EC65" s="23">
        <f>EXP(-LN(2)/2)*EC64+(1-EXP(-LN(2)/2))/(LN(2)/2)*DW65*DZ65*VLOOKUP('Données projet'!$B$14,Paramètres!$A$1:$I$89,3,0)*0.475*44/12</f>
        <v>1.5002710693811023E-4</v>
      </c>
      <c r="ED65" s="24">
        <f t="shared" si="18"/>
        <v>4.898224375590793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419.04250352814091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17.100000000000001</v>
      </c>
      <c r="N66" s="14">
        <f>IF('Données projet'!$A$36&gt;35,N65+M66-V65,IF(A66&lt;'Données projet'!$A$36,$K$205^A66,IF(A66='Données projet'!$A$36,'Données projet'!$B$36,N65+M66-V65)))</f>
        <v>685.30000000000075</v>
      </c>
      <c r="O66" s="14">
        <f>N66*VLOOKUP('Données projet'!$B$9,Paramètres!$A$1:$I$89,3,0)*VLOOKUP('Données projet'!$B$9,Paramètres!$A$1:$I$89,5,0)</f>
        <v>383.08270000000044</v>
      </c>
      <c r="P66" s="14">
        <f t="shared" si="33"/>
        <v>88.338364194968037</v>
      </c>
      <c r="Q66" s="22">
        <f t="shared" si="53"/>
        <v>821.05835347290338</v>
      </c>
      <c r="R66" s="62">
        <f t="shared" si="0"/>
        <v>1114.3916868062367</v>
      </c>
      <c r="S66" s="62">
        <f ca="1">AVERAGE(OFFSET($R$3,0,0,'Données projet'!$E$9+1,1))-AVERAGE(OFFSET($H$3,0,0,'Données projet'!$E$9+1,1))</f>
        <v>460.40450534123659</v>
      </c>
      <c r="T66" s="62">
        <f t="shared" si="34"/>
        <v>467.77477728479198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6.5346944965455647</v>
      </c>
      <c r="AA66" s="23">
        <f>EXP(-LN(2)/25)*AA65+(1-EXP(-LN(2)/25))/(LN(2)/25)*Calculateur!V66*Calculateur!X66*VLOOKUP('Données projet'!$B$9,Paramètres!$A$1:$I$89,3,0)*0.475*44/12</f>
        <v>17.73052025317083</v>
      </c>
      <c r="AB66" s="23">
        <f>EXP(-LN(2)/2)*AB65+(1-EXP(-LN(2)/2))/(LN(2)/2)*V66*Y66*VLOOKUP('Données projet'!$B$9,Paramètres!$A$1:$I$89,3,0)*0.475*44/12</f>
        <v>4.3399959970480021E-4</v>
      </c>
      <c r="AC66" s="24">
        <f t="shared" si="3"/>
        <v>24.265648749316099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8.5</v>
      </c>
      <c r="AI66" s="14">
        <f>IF('Données projet'!$A$62&gt;35,AI65+AH66-AQ65,IF(A66&lt;'Données projet'!$A$62,$AF$205^A66,IF(A66='Données projet'!$A$62,'Données projet'!$B$62,AI65+AH66-AQ65)))</f>
        <v>270.5</v>
      </c>
      <c r="AJ66" s="14">
        <f>AI66*VLOOKUP('Données projet'!$B$10,Paramètres!$A$1:$I$89,3,0)*VLOOKUP('Données projet'!$B$10,Paramètres!$A$1:$I$89,5,0)</f>
        <v>244.74839999999998</v>
      </c>
      <c r="AK66" s="14">
        <f t="shared" si="35"/>
        <v>59.460004038665112</v>
      </c>
      <c r="AL66" s="22">
        <f t="shared" si="4"/>
        <v>529.82963703400833</v>
      </c>
      <c r="AM66" s="62">
        <f t="shared" si="5"/>
        <v>823.16297036734159</v>
      </c>
      <c r="AN66" s="62">
        <f ca="1">AVERAGE(OFFSET($AM$3,0,0,'Données projet'!$E$10+1,1))-AVERAGE(OFFSET($H$3,0,0,'Données projet'!$E$10+1,1))</f>
        <v>321.03881567735544</v>
      </c>
      <c r="AO66" s="62">
        <f t="shared" si="36"/>
        <v>234.87694492493506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1.2529331596682411</v>
      </c>
      <c r="AV66" s="23">
        <f>EXP(-LN(2)/25)*AV65+(1-EXP(-LN(2)/25))/(LN(2)/25)*Calculateur!AQ66*Calculateur!AS66*VLOOKUP('Données projet'!$B$10,Paramètres!$A$1:$I$89,3,0)*0.475*44/12</f>
        <v>5.4294560699636207</v>
      </c>
      <c r="AW66" s="23">
        <f>EXP(-LN(2)/2)*AW65+(1-EXP(-LN(2)/2))/(LN(2)/2)*AQ66*AT66*VLOOKUP('Données projet'!$B$10,Paramètres!$A$1:$I$89,3,0)*0.475*44/12</f>
        <v>2.3456666655651866E-4</v>
      </c>
      <c r="AX66" s="23">
        <f t="shared" si="6"/>
        <v>6.6826237962984179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7.8</v>
      </c>
      <c r="BD66" s="13">
        <f>IF('Données projet'!$A$88&gt;35,BD65+BC66-BL65,IF(A66&lt;'Données projet'!$A$88,$BA$205^A66,IF(A66='Données projet'!$A$88,'Données projet'!$B$88,BD65+BC66-BL65)))</f>
        <v>372.39999999999992</v>
      </c>
      <c r="BE66" s="14">
        <f>BD66*VLOOKUP('Données projet'!$B$11,Paramètres!$A$1:$I$89,3,0)*VLOOKUP('Données projet'!$B$11,Paramètres!$A$1:$I$89,5,0)</f>
        <v>232.37759999999994</v>
      </c>
      <c r="BF66" s="14">
        <f t="shared" si="37"/>
        <v>56.79646612603225</v>
      </c>
      <c r="BG66" s="22">
        <f t="shared" si="7"/>
        <v>503.64483183617267</v>
      </c>
      <c r="BH66" s="62">
        <f t="shared" si="8"/>
        <v>796.97816516950593</v>
      </c>
      <c r="BI66" s="62">
        <f ca="1">AVERAGE(OFFSET($BH$3,0,0,'Données projet'!$E$11+1,1))-AVERAGE(OFFSET($H$3,0,0,'Données projet'!$E$11+1,1))</f>
        <v>255.41017495879987</v>
      </c>
      <c r="BJ66" s="62">
        <f t="shared" si="38"/>
        <v>297.50513563712764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4.3405543302059364</v>
      </c>
      <c r="BQ66" s="23">
        <f>EXP(-LN(2)/25)*BQ65+(1-EXP(-LN(2)/25))/(LN(2)/25)*Calculateur!BL66*Calculateur!BN66*VLOOKUP('Données projet'!$B$11,Paramètres!$A$1:$I$89,3,0)*0.475*44/12</f>
        <v>11.162855757388023</v>
      </c>
      <c r="BR66" s="23">
        <f>EXP(-LN(2)/2)*BR65+(1-EXP(-LN(2)/2))/(LN(2)/2)*BL66*BO66*VLOOKUP('Données projet'!$B$11,Paramètres!$A$1:$I$89,3,0)*0.475*44/12</f>
        <v>2.6327892642119554E-4</v>
      </c>
      <c r="BS66" s="24">
        <f t="shared" si="9"/>
        <v>15.503673366520381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22</v>
      </c>
      <c r="BY66" s="13">
        <f>IF('Données projet'!$A$114&gt;35,BY65+BX66-CG65,IF(A66&lt;'Données projet'!$A$114,$BV$205^A66,IF(A66='Données projet'!$A$114,'Données projet'!$B$114,BY65+BX66-CG65)))</f>
        <v>740.00000000000011</v>
      </c>
      <c r="BZ66" s="14">
        <f>BY66*VLOOKUP('Données projet'!$B$12,Paramètres!$A$1:$I$89,3,0)*VLOOKUP('Données projet'!$B$12,Paramètres!$A$1:$I$89,5,0)</f>
        <v>355.94000000000005</v>
      </c>
      <c r="CA66" s="14">
        <f t="shared" si="39"/>
        <v>82.784418381290166</v>
      </c>
      <c r="CB66" s="22">
        <f t="shared" si="10"/>
        <v>764.11169534741384</v>
      </c>
      <c r="CC66" s="62">
        <f t="shared" si="11"/>
        <v>1057.4450286807471</v>
      </c>
      <c r="CD66" s="62">
        <f ca="1">AVERAGE(OFFSET($CC$3,0,0,'Données projet'!$E$12+1,1))-AVERAGE(OFFSET($H$3,0,0,'Données projet'!$E$12+1,1))</f>
        <v>409.97612835032567</v>
      </c>
      <c r="CE66" s="62">
        <f t="shared" si="40"/>
        <v>411.87876448092288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15.904421796157484</v>
      </c>
      <c r="CL66" s="23">
        <f>EXP(-LN(2)/25)*CL65+(1-EXP(-LN(2)/25))/(LN(2)/25)*Calculateur!CG66*Calculateur!CI66*VLOOKUP('Données projet'!$B$12,Paramètres!$A$1:$I$89,3,0)*0.475*44/12</f>
        <v>20.863847933915928</v>
      </c>
      <c r="CM66" s="23">
        <f>EXP(-LN(2)/2)*CM65+(1-EXP(-LN(2)/2))/(LN(2)/2)*CG66*CJ66*VLOOKUP('Données projet'!$B$12,Paramètres!$A$1:$I$89,3,0)*0.475*44/12</f>
        <v>1.0500928636408497E-2</v>
      </c>
      <c r="CN66" s="24">
        <f t="shared" si="12"/>
        <v>36.778770658709824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15.9</v>
      </c>
      <c r="CT66" s="13">
        <f>IF('Données projet'!$A$140&gt;35,CT65+CS66-DB65,IF(A66&lt;'Données projet'!$A$140,$CQ$205^A66,IF(A66='Données projet'!$A$140,'Données projet'!$B$140,CT65+CS66-DB65)))</f>
        <v>658.69999999999993</v>
      </c>
      <c r="CU66" s="18">
        <f>CT66*VLOOKUP('Données projet'!$B$13,Paramètres!$A$1:$I$89,3,0)*VLOOKUP('Données projet'!$B$13,Paramètres!$A$1:$I$89,5,0)</f>
        <v>393.90260000000001</v>
      </c>
      <c r="CV66" s="14">
        <f t="shared" si="41"/>
        <v>90.539407992358704</v>
      </c>
      <c r="CW66" s="22">
        <f t="shared" si="13"/>
        <v>843.73649725335815</v>
      </c>
      <c r="CX66" s="62">
        <f t="shared" si="14"/>
        <v>1137.0698305866915</v>
      </c>
      <c r="CY66" s="62">
        <f ca="1">AVERAGE(OFFSET($CX$3,0,0,'Données projet'!$E$13+1,1))-AVERAGE(OFFSET($H$3,0,0,'Données projet'!$E$13+1,1))</f>
        <v>463.3255103386889</v>
      </c>
      <c r="CZ66" s="62">
        <f t="shared" si="42"/>
        <v>474.73210558736127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2.5998111873629308</v>
      </c>
      <c r="DG66" s="23">
        <f>EXP(-LN(2)/25)*DG65+(1-EXP(-LN(2)/25))/(LN(2)/25)*Calculateur!DB66*Calculateur!DD66*VLOOKUP('Données projet'!$B$13,Paramètres!$A$1:$I$89,3,0)*0.475*44/12</f>
        <v>13.883404951559241</v>
      </c>
      <c r="DH66" s="23">
        <f>EXP(-LN(2)/2)*DH65+(1-EXP(-LN(2)/2))/(LN(2)/2)*DB66*DE66*VLOOKUP('Données projet'!$B$13,Paramètres!$A$1:$I$89,3,0)*0.475*44/12</f>
        <v>4.7062517556391726E-4</v>
      </c>
      <c r="DI66" s="24">
        <f t="shared" si="15"/>
        <v>16.483686764097733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15.5</v>
      </c>
      <c r="DO66" s="13">
        <f>IF('Données projet'!$A$166&gt;35,DO65+DN66-DW65,IF(A66&lt;'Données projet'!$A$166,$DL$205^A66,IF(A66='Données projet'!$A$166,'Données projet'!$B$166,DO65+DN66-DW65)))</f>
        <v>337.89999999999986</v>
      </c>
      <c r="DP66" s="18">
        <f>DO66*VLOOKUP('Données projet'!$B$14,Paramètres!$A$1:$I$89,3,0)*VLOOKUP('Données projet'!$B$14,Paramètres!$A$1:$I$89,5,0)</f>
        <v>158.13719999999995</v>
      </c>
      <c r="DQ66" s="14">
        <f t="shared" si="43"/>
        <v>40.422069728367696</v>
      </c>
      <c r="DR66" s="22">
        <f t="shared" si="16"/>
        <v>345.82406144357361</v>
      </c>
      <c r="DS66" s="62">
        <f t="shared" si="17"/>
        <v>639.15739477690693</v>
      </c>
      <c r="DT66" s="62">
        <f ca="1">AVERAGE(OFFSET($DS$3,0,0,'Données projet'!$E$14+1,1))-AVERAGE(OFFSET($H$3,0,0,'Données projet'!$E$14+1,1))</f>
        <v>215.23235148064941</v>
      </c>
      <c r="DU66" s="62">
        <f t="shared" si="44"/>
        <v>184.07239726900434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1.6306144950304886</v>
      </c>
      <c r="EB66" s="23">
        <f>EXP(-LN(2)/25)*EB65+(1-EXP(-LN(2)/25))/(LN(2)/25)*Calculateur!DW66*Calculateur!DY66*VLOOKUP('Données projet'!$B$14,Paramètres!$A$1:$I$89,3,0)*0.475*44/12</f>
        <v>3.1463879342314973</v>
      </c>
      <c r="EC66" s="23">
        <f>EXP(-LN(2)/2)*EC65+(1-EXP(-LN(2)/2))/(LN(2)/2)*DW66*DZ66*VLOOKUP('Données projet'!$B$14,Paramètres!$A$1:$I$89,3,0)*0.475*44/12</f>
        <v>1.0608518467773708E-4</v>
      </c>
      <c r="ED66" s="24">
        <f t="shared" si="18"/>
        <v>4.7771085144466632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420.98552955036087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17.100000000000001</v>
      </c>
      <c r="N67" s="14">
        <f>IF('Données projet'!$A$36&gt;35,N66+M67-V66,IF(A67&lt;'Données projet'!$A$36,$K$205^A67,IF(A67='Données projet'!$A$36,'Données projet'!$B$36,N66+M67-V66)))</f>
        <v>702.40000000000077</v>
      </c>
      <c r="O67" s="14">
        <f>N67*VLOOKUP('Données projet'!$B$9,Paramètres!$A$1:$I$89,3,0)*VLOOKUP('Données projet'!$B$9,Paramètres!$A$1:$I$89,5,0)</f>
        <v>392.64160000000044</v>
      </c>
      <c r="P67" s="14">
        <f t="shared" si="33"/>
        <v>90.283254311091525</v>
      </c>
      <c r="Q67" s="22">
        <f t="shared" ref="Q67:Q98" si="54">(O67+P67)*0.475*44/12</f>
        <v>841.09412125848519</v>
      </c>
      <c r="R67" s="62">
        <f t="shared" ref="R67:R130" si="55">Q67+(I67+J67)*44/12</f>
        <v>1134.4274545918186</v>
      </c>
      <c r="S67" s="62">
        <f ca="1">AVERAGE(OFFSET($R$3,0,0,'Données projet'!$E$9+1,1))-AVERAGE(OFFSET($H$3,0,0,'Données projet'!$E$9+1,1))</f>
        <v>460.40450534123659</v>
      </c>
      <c r="T67" s="62">
        <f t="shared" si="34"/>
        <v>467.77477728479198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6.4065531232383872</v>
      </c>
      <c r="AA67" s="23">
        <f>EXP(-LN(2)/25)*AA66+(1-EXP(-LN(2)/25))/(LN(2)/25)*Calculateur!V67*Calculateur!X67*VLOOKUP('Données projet'!$B$9,Paramètres!$A$1:$I$89,3,0)*0.475*44/12</f>
        <v>17.245678244440338</v>
      </c>
      <c r="AB67" s="23">
        <f>EXP(-LN(2)/2)*AB66+(1-EXP(-LN(2)/2))/(LN(2)/2)*V67*Y67*VLOOKUP('Données projet'!$B$9,Paramètres!$A$1:$I$89,3,0)*0.475*44/12</f>
        <v>3.0688405998351137E-4</v>
      </c>
      <c r="AC67" s="24">
        <f t="shared" si="3"/>
        <v>23.652538251738708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8.5</v>
      </c>
      <c r="AI67" s="14">
        <f>IF('Données projet'!$A$62&gt;35,AI66+AH67-AQ66,IF(A67&lt;'Données projet'!$A$62,$AF$205^A67,IF(A67='Données projet'!$A$62,'Données projet'!$B$62,AI66+AH67-AQ66)))</f>
        <v>279</v>
      </c>
      <c r="AJ67" s="14">
        <f>AI67*VLOOKUP('Données projet'!$B$10,Paramètres!$A$1:$I$89,3,0)*VLOOKUP('Données projet'!$B$10,Paramètres!$A$1:$I$89,5,0)</f>
        <v>252.4392</v>
      </c>
      <c r="AK67" s="14">
        <f t="shared" si="35"/>
        <v>61.107963296116218</v>
      </c>
      <c r="AL67" s="22">
        <f t="shared" si="4"/>
        <v>546.09464274073571</v>
      </c>
      <c r="AM67" s="62">
        <f t="shared" si="5"/>
        <v>839.42797607406897</v>
      </c>
      <c r="AN67" s="62">
        <f ca="1">AVERAGE(OFFSET($AM$3,0,0,'Données projet'!$E$10+1,1))-AVERAGE(OFFSET($H$3,0,0,'Données projet'!$E$10+1,1))</f>
        <v>321.03881567735544</v>
      </c>
      <c r="AO67" s="62">
        <f t="shared" si="36"/>
        <v>234.87694492493506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1.2283639046209145</v>
      </c>
      <c r="AV67" s="23">
        <f>EXP(-LN(2)/25)*AV66+(1-EXP(-LN(2)/25))/(LN(2)/25)*Calculateur!AQ67*Calculateur!AS67*VLOOKUP('Données projet'!$B$10,Paramètres!$A$1:$I$89,3,0)*0.475*44/12</f>
        <v>5.2809873082077798</v>
      </c>
      <c r="AW67" s="23">
        <f>EXP(-LN(2)/2)*AW66+(1-EXP(-LN(2)/2))/(LN(2)/2)*AQ67*AT67*VLOOKUP('Données projet'!$B$10,Paramètres!$A$1:$I$89,3,0)*0.475*44/12</f>
        <v>1.6586368056243809E-4</v>
      </c>
      <c r="AX67" s="23">
        <f t="shared" si="6"/>
        <v>6.5095170765092565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7.8</v>
      </c>
      <c r="BD67" s="13">
        <f>IF('Données projet'!$A$88&gt;35,BD66+BC67-BL66,IF(A67&lt;'Données projet'!$A$88,$BA$205^A67,IF(A67='Données projet'!$A$88,'Données projet'!$B$88,BD66+BC67-BL66)))</f>
        <v>380.19999999999993</v>
      </c>
      <c r="BE67" s="14">
        <f>BD67*VLOOKUP('Données projet'!$B$11,Paramètres!$A$1:$I$89,3,0)*VLOOKUP('Données projet'!$B$11,Paramètres!$A$1:$I$89,5,0)</f>
        <v>237.24479999999994</v>
      </c>
      <c r="BF67" s="14">
        <f t="shared" si="37"/>
        <v>57.846338010686594</v>
      </c>
      <c r="BG67" s="22">
        <f t="shared" si="7"/>
        <v>513.9503987019458</v>
      </c>
      <c r="BH67" s="62">
        <f t="shared" si="8"/>
        <v>807.28373203527917</v>
      </c>
      <c r="BI67" s="62">
        <f ca="1">AVERAGE(OFFSET($BH$3,0,0,'Données projet'!$E$11+1,1))-AVERAGE(OFFSET($H$3,0,0,'Données projet'!$E$11+1,1))</f>
        <v>255.41017495879987</v>
      </c>
      <c r="BJ67" s="62">
        <f t="shared" si="38"/>
        <v>297.50513563712764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4.2554387072673228</v>
      </c>
      <c r="BQ67" s="23">
        <f>EXP(-LN(2)/25)*BQ66+(1-EXP(-LN(2)/25))/(LN(2)/25)*Calculateur!BL67*Calculateur!BN67*VLOOKUP('Données projet'!$B$11,Paramètres!$A$1:$I$89,3,0)*0.475*44/12</f>
        <v>10.857606879673176</v>
      </c>
      <c r="BR67" s="23">
        <f>EXP(-LN(2)/2)*BR66+(1-EXP(-LN(2)/2))/(LN(2)/2)*BL67*BO67*VLOOKUP('Données projet'!$B$11,Paramètres!$A$1:$I$89,3,0)*0.475*44/12</f>
        <v>1.8616631421594147E-4</v>
      </c>
      <c r="BS67" s="24">
        <f t="shared" si="9"/>
        <v>15.113231753254713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22</v>
      </c>
      <c r="BY67" s="13">
        <f>IF('Données projet'!$A$114&gt;35,BY66+BX67-CG66,IF(A67&lt;'Données projet'!$A$114,$BV$205^A67,IF(A67='Données projet'!$A$114,'Données projet'!$B$114,BY66+BX67-CG66)))</f>
        <v>762.00000000000011</v>
      </c>
      <c r="BZ67" s="14">
        <f>BY67*VLOOKUP('Données projet'!$B$12,Paramètres!$A$1:$I$89,3,0)*VLOOKUP('Données projet'!$B$12,Paramètres!$A$1:$I$89,5,0)</f>
        <v>366.52200000000011</v>
      </c>
      <c r="CA67" s="14">
        <f t="shared" si="39"/>
        <v>84.955376132624423</v>
      </c>
      <c r="CB67" s="22">
        <f t="shared" si="10"/>
        <v>786.32309676432089</v>
      </c>
      <c r="CC67" s="62">
        <f t="shared" si="11"/>
        <v>1079.6564300976543</v>
      </c>
      <c r="CD67" s="62">
        <f ca="1">AVERAGE(OFFSET($CC$3,0,0,'Données projet'!$E$12+1,1))-AVERAGE(OFFSET($H$3,0,0,'Données projet'!$E$12+1,1))</f>
        <v>409.97612835032567</v>
      </c>
      <c r="CE67" s="62">
        <f t="shared" si="40"/>
        <v>411.87876448092288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15.592545785474263</v>
      </c>
      <c r="CL67" s="23">
        <f>EXP(-LN(2)/25)*CL66+(1-EXP(-LN(2)/25))/(LN(2)/25)*Calculateur!CG67*Calculateur!CI67*VLOOKUP('Données projet'!$B$12,Paramètres!$A$1:$I$89,3,0)*0.475*44/12</f>
        <v>20.293324914980918</v>
      </c>
      <c r="CM67" s="23">
        <f>EXP(-LN(2)/2)*CM66+(1-EXP(-LN(2)/2))/(LN(2)/2)*CG67*CJ67*VLOOKUP('Données projet'!$B$12,Paramètres!$A$1:$I$89,3,0)*0.475*44/12</f>
        <v>7.4252778475604542E-3</v>
      </c>
      <c r="CN67" s="24">
        <f t="shared" si="12"/>
        <v>35.893295978302739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15.9</v>
      </c>
      <c r="CT67" s="13">
        <f>IF('Données projet'!$A$140&gt;35,CT66+CS67-DB66,IF(A67&lt;'Données projet'!$A$140,$CQ$205^A67,IF(A67='Données projet'!$A$140,'Données projet'!$B$140,CT66+CS67-DB66)))</f>
        <v>674.59999999999991</v>
      </c>
      <c r="CU67" s="18">
        <f>CT67*VLOOKUP('Données projet'!$B$13,Paramètres!$A$1:$I$89,3,0)*VLOOKUP('Données projet'!$B$13,Paramètres!$A$1:$I$89,5,0)</f>
        <v>403.41079999999999</v>
      </c>
      <c r="CV67" s="14">
        <f t="shared" si="41"/>
        <v>92.467810495954595</v>
      </c>
      <c r="CW67" s="22">
        <f t="shared" si="13"/>
        <v>863.65524661378765</v>
      </c>
      <c r="CX67" s="62">
        <f t="shared" si="14"/>
        <v>1156.988579947121</v>
      </c>
      <c r="CY67" s="62">
        <f ca="1">AVERAGE(OFFSET($CX$3,0,0,'Données projet'!$E$13+1,1))-AVERAGE(OFFSET($H$3,0,0,'Données projet'!$E$13+1,1))</f>
        <v>463.3255103386889</v>
      </c>
      <c r="CZ67" s="62">
        <f t="shared" si="42"/>
        <v>474.73210558736127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2.5488304757069904</v>
      </c>
      <c r="DG67" s="23">
        <f>EXP(-LN(2)/25)*DG66+(1-EXP(-LN(2)/25))/(LN(2)/25)*Calculateur!DB67*Calculateur!DD67*VLOOKUP('Données projet'!$B$13,Paramètres!$A$1:$I$89,3,0)*0.475*44/12</f>
        <v>13.503762513062318</v>
      </c>
      <c r="DH67" s="23">
        <f>EXP(-LN(2)/2)*DH66+(1-EXP(-LN(2)/2))/(LN(2)/2)*DB67*DE67*VLOOKUP('Données projet'!$B$13,Paramètres!$A$1:$I$89,3,0)*0.475*44/12</f>
        <v>3.3278225303835535E-4</v>
      </c>
      <c r="DI67" s="24">
        <f t="shared" si="15"/>
        <v>16.052925771022348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15.5</v>
      </c>
      <c r="DO67" s="13">
        <f>IF('Données projet'!$A$166&gt;35,DO66+DN67-DW66,IF(A67&lt;'Données projet'!$A$166,$DL$205^A67,IF(A67='Données projet'!$A$166,'Données projet'!$B$166,DO66+DN67-DW66)))</f>
        <v>353.39999999999986</v>
      </c>
      <c r="DP67" s="18">
        <f>DO67*VLOOKUP('Données projet'!$B$14,Paramètres!$A$1:$I$89,3,0)*VLOOKUP('Données projet'!$B$14,Paramètres!$A$1:$I$89,5,0)</f>
        <v>165.39119999999994</v>
      </c>
      <c r="DQ67" s="14">
        <f t="shared" si="43"/>
        <v>42.056160358234834</v>
      </c>
      <c r="DR67" s="22">
        <f t="shared" si="16"/>
        <v>361.30415262392557</v>
      </c>
      <c r="DS67" s="62">
        <f t="shared" si="17"/>
        <v>654.63748595725883</v>
      </c>
      <c r="DT67" s="62">
        <f ca="1">AVERAGE(OFFSET($DS$3,0,0,'Données projet'!$E$14+1,1))-AVERAGE(OFFSET($H$3,0,0,'Données projet'!$E$14+1,1))</f>
        <v>215.23235148064941</v>
      </c>
      <c r="DU67" s="62">
        <f t="shared" si="44"/>
        <v>184.07239726900434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1.5986391393595765</v>
      </c>
      <c r="EB67" s="23">
        <f>EXP(-LN(2)/25)*EB66+(1-EXP(-LN(2)/25))/(LN(2)/25)*Calculateur!DW67*Calculateur!DY67*VLOOKUP('Données projet'!$B$14,Paramètres!$A$1:$I$89,3,0)*0.475*44/12</f>
        <v>3.0603497907085866</v>
      </c>
      <c r="EC67" s="23">
        <f>EXP(-LN(2)/2)*EC66+(1-EXP(-LN(2)/2))/(LN(2)/2)*DW67*DZ67*VLOOKUP('Données projet'!$B$14,Paramètres!$A$1:$I$89,3,0)*0.475*44/12</f>
        <v>7.5013553469055114E-5</v>
      </c>
      <c r="ED67" s="24">
        <f t="shared" si="18"/>
        <v>4.6590639436216321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422.92783899491928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17.100000000000001</v>
      </c>
      <c r="N68" s="14">
        <f>IF('Données projet'!$A$36&gt;35,N67+M68-V67,IF(A68&lt;'Données projet'!$A$36,$K$205^A68,IF(A68='Données projet'!$A$36,'Données projet'!$B$36,N67+M68-V67)))</f>
        <v>719.5000000000008</v>
      </c>
      <c r="O68" s="14">
        <f>N68*VLOOKUP('Données projet'!$B$9,Paramètres!$A$1:$I$89,3,0)*VLOOKUP('Données projet'!$B$9,Paramètres!$A$1:$I$89,5,0)</f>
        <v>402.20050000000043</v>
      </c>
      <c r="P68" s="14">
        <f t="shared" si="33"/>
        <v>92.222640283077013</v>
      </c>
      <c r="Q68" s="22">
        <f t="shared" si="54"/>
        <v>861.12030265969315</v>
      </c>
      <c r="R68" s="62">
        <f t="shared" si="55"/>
        <v>1154.4536359930264</v>
      </c>
      <c r="S68" s="62">
        <f ca="1">AVERAGE(OFFSET($R$3,0,0,'Données projet'!$E$9+1,1))-AVERAGE(OFFSET($H$3,0,0,'Données projet'!$E$9+1,1))</f>
        <v>460.40450534123659</v>
      </c>
      <c r="T68" s="62">
        <f t="shared" si="34"/>
        <v>467.77477728479198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6.2809245241032432</v>
      </c>
      <c r="AA68" s="23">
        <f>EXP(-LN(2)/25)*AA67+(1-EXP(-LN(2)/25))/(LN(2)/25)*Calculateur!V68*Calculateur!X68*VLOOKUP('Données projet'!$B$9,Paramètres!$A$1:$I$89,3,0)*0.475*44/12</f>
        <v>16.774094265935314</v>
      </c>
      <c r="AB68" s="23">
        <f>EXP(-LN(2)/2)*AB67+(1-EXP(-LN(2)/2))/(LN(2)/2)*V68*Y68*VLOOKUP('Données projet'!$B$9,Paramètres!$A$1:$I$89,3,0)*0.475*44/12</f>
        <v>2.1699979985240011E-4</v>
      </c>
      <c r="AC68" s="24">
        <f t="shared" ref="AC68:AC131" si="57">SUM(Z68:AB68)</f>
        <v>23.055235789838413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8.5</v>
      </c>
      <c r="AI68" s="14">
        <f>IF('Données projet'!$A$62&gt;35,AI67+AH68-AQ67,IF(A68&lt;'Données projet'!$A$62,$AF$205^A68,IF(A68='Données projet'!$A$62,'Données projet'!$B$62,AI67+AH68-AQ67)))</f>
        <v>287.5</v>
      </c>
      <c r="AJ68" s="14">
        <f>AI68*VLOOKUP('Données projet'!$B$10,Paramètres!$A$1:$I$89,3,0)*VLOOKUP('Données projet'!$B$10,Paramètres!$A$1:$I$89,5,0)</f>
        <v>260.13</v>
      </c>
      <c r="AK68" s="14">
        <f t="shared" si="35"/>
        <v>62.750087896510983</v>
      </c>
      <c r="AL68" s="22">
        <f t="shared" ref="AL68:AL131" si="58">(AJ68+AK68)*0.475*44/12</f>
        <v>562.34948641975654</v>
      </c>
      <c r="AM68" s="62">
        <f t="shared" ref="AM68:AM131" si="59">AL68+(AD68+AE68)*44/12</f>
        <v>855.68281975308992</v>
      </c>
      <c r="AN68" s="62">
        <f ca="1">AVERAGE(OFFSET($AM$3,0,0,'Données projet'!$E$10+1,1))-AVERAGE(OFFSET($H$3,0,0,'Données projet'!$E$10+1,1))</f>
        <v>321.03881567735544</v>
      </c>
      <c r="AO68" s="62">
        <f t="shared" si="36"/>
        <v>234.87694492493506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1.2042764376793</v>
      </c>
      <c r="AV68" s="23">
        <f>EXP(-LN(2)/25)*AV67+(1-EXP(-LN(2)/25))/(LN(2)/25)*Calculateur!AQ68*Calculateur!AS68*VLOOKUP('Données projet'!$B$10,Paramètres!$A$1:$I$89,3,0)*0.475*44/12</f>
        <v>5.1365784325497854</v>
      </c>
      <c r="AW68" s="23">
        <f>EXP(-LN(2)/2)*AW67+(1-EXP(-LN(2)/2))/(LN(2)/2)*AQ68*AT68*VLOOKUP('Données projet'!$B$10,Paramètres!$A$1:$I$89,3,0)*0.475*44/12</f>
        <v>1.1728333327825933E-4</v>
      </c>
      <c r="AX68" s="23">
        <f t="shared" ref="AX68:AX131" si="60">SUM(AU68:AW68)</f>
        <v>6.3409721535623635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7.8</v>
      </c>
      <c r="BD68" s="13">
        <f>IF('Données projet'!$A$88&gt;35,BD67+BC68-BL67,IF(A68&lt;'Données projet'!$A$88,$BA$205^A68,IF(A68='Données projet'!$A$88,'Données projet'!$B$88,BD67+BC68-BL67)))</f>
        <v>387.99999999999994</v>
      </c>
      <c r="BE68" s="14">
        <f>BD68*VLOOKUP('Données projet'!$B$11,Paramètres!$A$1:$I$89,3,0)*VLOOKUP('Données projet'!$B$11,Paramètres!$A$1:$I$89,5,0)</f>
        <v>242.11199999999994</v>
      </c>
      <c r="BF68" s="14">
        <f t="shared" si="37"/>
        <v>58.893705600066006</v>
      </c>
      <c r="BG68" s="22">
        <f t="shared" ref="BG68:BG131" si="61">(BE68+BF68)*0.475*44/12</f>
        <v>524.2516039201148</v>
      </c>
      <c r="BH68" s="62">
        <f t="shared" ref="BH68:BH131" si="62">BG68+(AY68+AZ68)*44/12</f>
        <v>817.58493725344806</v>
      </c>
      <c r="BI68" s="62">
        <f ca="1">AVERAGE(OFFSET($BH$3,0,0,'Données projet'!$E$11+1,1))-AVERAGE(OFFSET($H$3,0,0,'Données projet'!$E$11+1,1))</f>
        <v>255.41017495879987</v>
      </c>
      <c r="BJ68" s="62">
        <f t="shared" si="38"/>
        <v>297.50513563712764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4.1719921497791317</v>
      </c>
      <c r="BQ68" s="23">
        <f>EXP(-LN(2)/25)*BQ67+(1-EXP(-LN(2)/25))/(LN(2)/25)*Calculateur!BL68*Calculateur!BN68*VLOOKUP('Données projet'!$B$11,Paramètres!$A$1:$I$89,3,0)*0.475*44/12</f>
        <v>10.560705048571782</v>
      </c>
      <c r="BR68" s="23">
        <f>EXP(-LN(2)/2)*BR67+(1-EXP(-LN(2)/2))/(LN(2)/2)*BL68*BO68*VLOOKUP('Données projet'!$B$11,Paramètres!$A$1:$I$89,3,0)*0.475*44/12</f>
        <v>1.3163946321059777E-4</v>
      </c>
      <c r="BS68" s="24">
        <f t="shared" ref="BS68:BS131" si="63">SUM(BP68:BR68)</f>
        <v>14.732828837814123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22</v>
      </c>
      <c r="BY68" s="13">
        <f>IF('Données projet'!$A$114&gt;35,BY67+BX68-CG67,IF(A68&lt;'Données projet'!$A$114,$BV$205^A68,IF(A68='Données projet'!$A$114,'Données projet'!$B$114,BY67+BX68-CG67)))</f>
        <v>784.00000000000011</v>
      </c>
      <c r="BZ68" s="14">
        <f>BY68*VLOOKUP('Données projet'!$B$12,Paramètres!$A$1:$I$89,3,0)*VLOOKUP('Données projet'!$B$12,Paramètres!$A$1:$I$89,5,0)</f>
        <v>377.10400000000004</v>
      </c>
      <c r="CA68" s="14">
        <f t="shared" si="39"/>
        <v>87.119049274537488</v>
      </c>
      <c r="CB68" s="22">
        <f t="shared" ref="CB68:CB131" si="64">(BZ68+CA68)*0.475*44/12</f>
        <v>808.52181081981951</v>
      </c>
      <c r="CC68" s="62">
        <f t="shared" ref="CC68:CC131" si="65">CB68+(BT68+BU68)*44/12</f>
        <v>1101.8551441531529</v>
      </c>
      <c r="CD68" s="62">
        <f ca="1">AVERAGE(OFFSET($CC$3,0,0,'Données projet'!$E$12+1,1))-AVERAGE(OFFSET($H$3,0,0,'Données projet'!$E$12+1,1))</f>
        <v>409.97612835032567</v>
      </c>
      <c r="CE68" s="62">
        <f t="shared" si="40"/>
        <v>411.87876448092288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15.286785473134957</v>
      </c>
      <c r="CL68" s="23">
        <f>EXP(-LN(2)/25)*CL67+(1-EXP(-LN(2)/25))/(LN(2)/25)*Calculateur!CG68*Calculateur!CI68*VLOOKUP('Données projet'!$B$12,Paramètres!$A$1:$I$89,3,0)*0.475*44/12</f>
        <v>19.738402878001189</v>
      </c>
      <c r="CM68" s="23">
        <f>EXP(-LN(2)/2)*CM67+(1-EXP(-LN(2)/2))/(LN(2)/2)*CG68*CJ68*VLOOKUP('Données projet'!$B$12,Paramètres!$A$1:$I$89,3,0)*0.475*44/12</f>
        <v>5.2504643182042492E-3</v>
      </c>
      <c r="CN68" s="24">
        <f t="shared" ref="CN68:CN131" si="66">SUM(CK68:CM68)</f>
        <v>35.030438815454346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15.9</v>
      </c>
      <c r="CT68" s="13">
        <f>IF('Données projet'!$A$140&gt;35,CT67+CS68-DB67,IF(A68&lt;'Données projet'!$A$140,$CQ$205^A68,IF(A68='Données projet'!$A$140,'Données projet'!$B$140,CT67+CS68-DB67)))</f>
        <v>690.49999999999989</v>
      </c>
      <c r="CU68" s="18">
        <f>CT68*VLOOKUP('Données projet'!$B$13,Paramètres!$A$1:$I$89,3,0)*VLOOKUP('Données projet'!$B$13,Paramètres!$A$1:$I$89,5,0)</f>
        <v>412.91899999999993</v>
      </c>
      <c r="CV68" s="14">
        <f t="shared" si="41"/>
        <v>94.390929175485113</v>
      </c>
      <c r="CW68" s="22">
        <f t="shared" ref="CW68:CW131" si="67">(CU68+CV68)*0.475*44/12</f>
        <v>883.56479331396974</v>
      </c>
      <c r="CX68" s="62">
        <f t="shared" ref="CX68:CX131" si="68">CW68+(CO68+CP68)*44/12</f>
        <v>1176.8981266473031</v>
      </c>
      <c r="CY68" s="62">
        <f ca="1">AVERAGE(OFFSET($CX$3,0,0,'Données projet'!$E$13+1,1))-AVERAGE(OFFSET($H$3,0,0,'Données projet'!$E$13+1,1))</f>
        <v>463.3255103386889</v>
      </c>
      <c r="CZ68" s="62">
        <f t="shared" si="42"/>
        <v>474.73210558736127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2.4988494647114594</v>
      </c>
      <c r="DG68" s="23">
        <f>EXP(-LN(2)/25)*DG67+(1-EXP(-LN(2)/25))/(LN(2)/25)*Calculateur!DB68*Calculateur!DD68*VLOOKUP('Données projet'!$B$13,Paramètres!$A$1:$I$89,3,0)*0.475*44/12</f>
        <v>13.134501417010622</v>
      </c>
      <c r="DH68" s="23">
        <f>EXP(-LN(2)/2)*DH67+(1-EXP(-LN(2)/2))/(LN(2)/2)*DB68*DE68*VLOOKUP('Données projet'!$B$13,Paramètres!$A$1:$I$89,3,0)*0.475*44/12</f>
        <v>2.3531258778195863E-4</v>
      </c>
      <c r="DI68" s="24">
        <f t="shared" ref="DI68:DI131" si="69">SUM(DF68:DH68)</f>
        <v>15.633586194309862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15.5</v>
      </c>
      <c r="DO68" s="13">
        <f>IF('Données projet'!$A$166&gt;35,DO67+DN68-DW67,IF(A68&lt;'Données projet'!$A$166,$DL$205^A68,IF(A68='Données projet'!$A$166,'Données projet'!$B$166,DO67+DN68-DW67)))</f>
        <v>368.89999999999986</v>
      </c>
      <c r="DP68" s="18">
        <f>DO68*VLOOKUP('Données projet'!$B$14,Paramètres!$A$1:$I$89,3,0)*VLOOKUP('Données projet'!$B$14,Paramètres!$A$1:$I$89,5,0)</f>
        <v>172.64519999999993</v>
      </c>
      <c r="DQ68" s="14">
        <f t="shared" si="43"/>
        <v>43.681926966241704</v>
      </c>
      <c r="DR68" s="22">
        <f t="shared" ref="DR68:DR131" si="70">(DP68+DQ68)*0.475*44/12</f>
        <v>376.76974613287081</v>
      </c>
      <c r="DS68" s="62">
        <f t="shared" ref="DS68:DS131" si="71">DR68+(DJ68+DK68)*44/12</f>
        <v>670.10307946620412</v>
      </c>
      <c r="DT68" s="62">
        <f ca="1">AVERAGE(OFFSET($DS$3,0,0,'Données projet'!$E$14+1,1))-AVERAGE(OFFSET($H$3,0,0,'Données projet'!$E$14+1,1))</f>
        <v>215.23235148064941</v>
      </c>
      <c r="DU68" s="62">
        <f t="shared" si="44"/>
        <v>184.07239726900434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1.5672908009103297</v>
      </c>
      <c r="EB68" s="23">
        <f>EXP(-LN(2)/25)*EB67+(1-EXP(-LN(2)/25))/(LN(2)/25)*Calculateur!DW68*Calculateur!DY68*VLOOKUP('Données projet'!$B$14,Paramètres!$A$1:$I$89,3,0)*0.475*44/12</f>
        <v>2.9766643647448592</v>
      </c>
      <c r="EC68" s="23">
        <f>EXP(-LN(2)/2)*EC67+(1-EXP(-LN(2)/2))/(LN(2)/2)*DW68*DZ68*VLOOKUP('Données projet'!$B$14,Paramètres!$A$1:$I$89,3,0)*0.475*44/12</f>
        <v>5.3042592338868538E-5</v>
      </c>
      <c r="ED68" s="24">
        <f t="shared" ref="ED68:ED131" si="72">SUM(EA68:EC68)</f>
        <v>4.5440082082475275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424.86944415927678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17.100000000000001</v>
      </c>
      <c r="N69" s="14">
        <f>IF('Données projet'!$A$36&gt;35,N68+M69-V68,IF(A69&lt;'Données projet'!$A$36,$K$205^A69,IF(A69='Données projet'!$A$36,'Données projet'!$B$36,N68+M69-V68)))</f>
        <v>736.60000000000082</v>
      </c>
      <c r="O69" s="14">
        <f>N69*VLOOKUP('Données projet'!$B$9,Paramètres!$A$1:$I$89,3,0)*VLOOKUP('Données projet'!$B$9,Paramètres!$A$1:$I$89,5,0)</f>
        <v>411.75940000000048</v>
      </c>
      <c r="P69" s="14">
        <f t="shared" ref="P69:P132" si="87">EXP(-1.0587+0.8836*LN(O69)+0.284)</f>
        <v>94.156667977916328</v>
      </c>
      <c r="Q69" s="22">
        <f t="shared" si="54"/>
        <v>881.13715172820503</v>
      </c>
      <c r="R69" s="62">
        <f t="shared" si="55"/>
        <v>1174.4704850615383</v>
      </c>
      <c r="S69" s="62">
        <f ca="1">AVERAGE(OFFSET($R$3,0,0,'Données projet'!$E$9+1,1))-AVERAGE(OFFSET($H$3,0,0,'Données projet'!$E$9+1,1))</f>
        <v>460.40450534123659</v>
      </c>
      <c r="T69" s="62">
        <f t="shared" ref="T69:T132" si="88">$T$3</f>
        <v>467.77477728479198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6.1577594251712595</v>
      </c>
      <c r="AA69" s="23">
        <f>EXP(-LN(2)/25)*AA68+(1-EXP(-LN(2)/25))/(LN(2)/25)*Calculateur!V69*Calculateur!X69*VLOOKUP('Données projet'!$B$9,Paramètres!$A$1:$I$89,3,0)*0.475*44/12</f>
        <v>16.315405776122034</v>
      </c>
      <c r="AB69" s="23">
        <f>EXP(-LN(2)/2)*AB68+(1-EXP(-LN(2)/2))/(LN(2)/2)*V69*Y69*VLOOKUP('Données projet'!$B$9,Paramètres!$A$1:$I$89,3,0)*0.475*44/12</f>
        <v>1.5344202999175569E-4</v>
      </c>
      <c r="AC69" s="24">
        <f t="shared" si="57"/>
        <v>22.473318643323285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8.5</v>
      </c>
      <c r="AI69" s="14">
        <f>IF('Données projet'!$A$62&gt;35,AI68+AH69-AQ68,IF(A69&lt;'Données projet'!$A$62,$AF$205^A69,IF(A69='Données projet'!$A$62,'Données projet'!$B$62,AI68+AH69-AQ68)))</f>
        <v>296</v>
      </c>
      <c r="AJ69" s="14">
        <f>AI69*VLOOKUP('Données projet'!$B$10,Paramètres!$A$1:$I$89,3,0)*VLOOKUP('Données projet'!$B$10,Paramètres!$A$1:$I$89,5,0)</f>
        <v>267.82079999999996</v>
      </c>
      <c r="AK69" s="14">
        <f t="shared" ref="AK69:AK132" si="89">EXP(-1.0587+0.8836*LN(AJ69)+0.284)</f>
        <v>64.386570147897302</v>
      </c>
      <c r="AL69" s="22">
        <f t="shared" si="58"/>
        <v>578.59450300758772</v>
      </c>
      <c r="AM69" s="62">
        <f t="shared" si="59"/>
        <v>871.92783634092098</v>
      </c>
      <c r="AN69" s="62">
        <f ca="1">AVERAGE(OFFSET($AM$3,0,0,'Données projet'!$E$10+1,1))-AVERAGE(OFFSET($H$3,0,0,'Données projet'!$E$10+1,1))</f>
        <v>321.03881567735544</v>
      </c>
      <c r="AO69" s="62">
        <f t="shared" ref="AO69:AO132" si="90">$AO$3</f>
        <v>234.87694492493506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1.1806613112725066</v>
      </c>
      <c r="AV69" s="23">
        <f>EXP(-LN(2)/25)*AV68+(1-EXP(-LN(2)/25))/(LN(2)/25)*Calculateur!AQ69*Calculateur!AS69*VLOOKUP('Données projet'!$B$10,Paramètres!$A$1:$I$89,3,0)*0.475*44/12</f>
        <v>4.996118425190792</v>
      </c>
      <c r="AW69" s="23">
        <f>EXP(-LN(2)/2)*AW68+(1-EXP(-LN(2)/2))/(LN(2)/2)*AQ69*AT69*VLOOKUP('Données projet'!$B$10,Paramètres!$A$1:$I$89,3,0)*0.475*44/12</f>
        <v>8.2931840281219045E-5</v>
      </c>
      <c r="AX69" s="23">
        <f t="shared" si="60"/>
        <v>6.1768626683035803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7.8</v>
      </c>
      <c r="BD69" s="13">
        <f>IF('Données projet'!$A$88&gt;35,BD68+BC69-BL68,IF(A69&lt;'Données projet'!$A$88,$BA$205^A69,IF(A69='Données projet'!$A$88,'Données projet'!$B$88,BD68+BC69-BL68)))</f>
        <v>395.79999999999995</v>
      </c>
      <c r="BE69" s="14">
        <f>BD69*VLOOKUP('Données projet'!$B$11,Paramètres!$A$1:$I$89,3,0)*VLOOKUP('Données projet'!$B$11,Paramètres!$A$1:$I$89,5,0)</f>
        <v>246.97919999999999</v>
      </c>
      <c r="BF69" s="14">
        <f t="shared" ref="BF69:BF132" si="91">EXP(-1.0587+0.8836*LN(BE69)+0.284)</f>
        <v>59.938625040227144</v>
      </c>
      <c r="BG69" s="22">
        <f t="shared" si="61"/>
        <v>534.54854527839552</v>
      </c>
      <c r="BH69" s="62">
        <f t="shared" si="62"/>
        <v>827.88187861172878</v>
      </c>
      <c r="BI69" s="62">
        <f ca="1">AVERAGE(OFFSET($BH$3,0,0,'Données projet'!$E$11+1,1))-AVERAGE(OFFSET($H$3,0,0,'Données projet'!$E$11+1,1))</f>
        <v>255.41017495879987</v>
      </c>
      <c r="BJ69" s="62">
        <f t="shared" ref="BJ69:BJ132" si="92">$BJ$3</f>
        <v>297.50513563712764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4.0901819283859098</v>
      </c>
      <c r="BQ69" s="23">
        <f>EXP(-LN(2)/25)*BQ68+(1-EXP(-LN(2)/25))/(LN(2)/25)*Calculateur!BL69*Calculateur!BN69*VLOOKUP('Données projet'!$B$11,Paramètres!$A$1:$I$89,3,0)*0.475*44/12</f>
        <v>10.271922013655244</v>
      </c>
      <c r="BR69" s="23">
        <f>EXP(-LN(2)/2)*BR68+(1-EXP(-LN(2)/2))/(LN(2)/2)*BL69*BO69*VLOOKUP('Données projet'!$B$11,Paramètres!$A$1:$I$89,3,0)*0.475*44/12</f>
        <v>9.3083157107970733E-5</v>
      </c>
      <c r="BS69" s="24">
        <f t="shared" si="63"/>
        <v>14.362197025198261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22</v>
      </c>
      <c r="BY69" s="13">
        <f>IF('Données projet'!$A$114&gt;35,BY68+BX69-CG68,IF(A69&lt;'Données projet'!$A$114,$BV$205^A69,IF(A69='Données projet'!$A$114,'Données projet'!$B$114,BY68+BX69-CG68)))</f>
        <v>806.00000000000011</v>
      </c>
      <c r="BZ69" s="14">
        <f>BY69*VLOOKUP('Données projet'!$B$12,Paramètres!$A$1:$I$89,3,0)*VLOOKUP('Données projet'!$B$12,Paramètres!$A$1:$I$89,5,0)</f>
        <v>387.68600000000004</v>
      </c>
      <c r="CA69" s="14">
        <f t="shared" ref="CA69:CA132" si="93">EXP(-1.0587+0.8836*LN(BZ69)+0.284)</f>
        <v>89.275665704300607</v>
      </c>
      <c r="CB69" s="22">
        <f t="shared" si="64"/>
        <v>830.70823443499012</v>
      </c>
      <c r="CC69" s="62">
        <f t="shared" si="65"/>
        <v>1124.0415677683234</v>
      </c>
      <c r="CD69" s="62">
        <f ca="1">AVERAGE(OFFSET($CC$3,0,0,'Données projet'!$E$12+1,1))-AVERAGE(OFFSET($H$3,0,0,'Données projet'!$E$12+1,1))</f>
        <v>409.97612835032567</v>
      </c>
      <c r="CE69" s="62">
        <f t="shared" ref="CE69:CE132" si="94">$CE$3</f>
        <v>411.87876448092288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14.987020934025249</v>
      </c>
      <c r="CL69" s="23">
        <f>EXP(-LN(2)/25)*CL68+(1-EXP(-LN(2)/25))/(LN(2)/25)*Calculateur!CG69*Calculateur!CI69*VLOOKUP('Données projet'!$B$12,Paramètres!$A$1:$I$89,3,0)*0.475*44/12</f>
        <v>19.19865521330475</v>
      </c>
      <c r="CM69" s="23">
        <f>EXP(-LN(2)/2)*CM68+(1-EXP(-LN(2)/2))/(LN(2)/2)*CG69*CJ69*VLOOKUP('Données projet'!$B$12,Paramètres!$A$1:$I$89,3,0)*0.475*44/12</f>
        <v>3.7126389237802275E-3</v>
      </c>
      <c r="CN69" s="24">
        <f t="shared" si="66"/>
        <v>34.18938878625378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15.9</v>
      </c>
      <c r="CT69" s="13">
        <f>IF('Données projet'!$A$140&gt;35,CT68+CS69-DB68,IF(A69&lt;'Données projet'!$A$140,$CQ$205^A69,IF(A69='Données projet'!$A$140,'Données projet'!$B$140,CT68+CS69-DB68)))</f>
        <v>706.39999999999986</v>
      </c>
      <c r="CU69" s="18">
        <f>CT69*VLOOKUP('Données projet'!$B$13,Paramètres!$A$1:$I$89,3,0)*VLOOKUP('Données projet'!$B$13,Paramètres!$A$1:$I$89,5,0)</f>
        <v>422.42719999999997</v>
      </c>
      <c r="CV69" s="14">
        <f t="shared" ref="CV69:CV132" si="95">EXP(-1.0587+0.8836*LN(CU69)+0.284)</f>
        <v>96.308899705159945</v>
      </c>
      <c r="CW69" s="22">
        <f t="shared" si="67"/>
        <v>903.46537365315351</v>
      </c>
      <c r="CX69" s="62">
        <f t="shared" si="68"/>
        <v>1196.7987069864869</v>
      </c>
      <c r="CY69" s="62">
        <f ca="1">AVERAGE(OFFSET($CX$3,0,0,'Données projet'!$E$13+1,1))-AVERAGE(OFFSET($H$3,0,0,'Données projet'!$E$13+1,1))</f>
        <v>463.3255103386889</v>
      </c>
      <c r="CZ69" s="62">
        <f t="shared" ref="CZ69:CZ132" si="96">$CZ$3</f>
        <v>474.73210558736127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2.4498485508561441</v>
      </c>
      <c r="DG69" s="23">
        <f>EXP(-LN(2)/25)*DG68+(1-EXP(-LN(2)/25))/(LN(2)/25)*Calculateur!DB69*Calculateur!DD69*VLOOKUP('Données projet'!$B$13,Paramètres!$A$1:$I$89,3,0)*0.475*44/12</f>
        <v>12.775337785049055</v>
      </c>
      <c r="DH69" s="23">
        <f>EXP(-LN(2)/2)*DH68+(1-EXP(-LN(2)/2))/(LN(2)/2)*DB69*DE69*VLOOKUP('Données projet'!$B$13,Paramètres!$A$1:$I$89,3,0)*0.475*44/12</f>
        <v>1.6639112651917768E-4</v>
      </c>
      <c r="DI69" s="24">
        <f t="shared" si="69"/>
        <v>15.225352727031719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15.5</v>
      </c>
      <c r="DO69" s="13">
        <f>IF('Données projet'!$A$166&gt;35,DO68+DN69-DW68,IF(A69&lt;'Données projet'!$A$166,$DL$205^A69,IF(A69='Données projet'!$A$166,'Données projet'!$B$166,DO68+DN69-DW68)))</f>
        <v>384.39999999999986</v>
      </c>
      <c r="DP69" s="18">
        <f>DO69*VLOOKUP('Données projet'!$B$14,Paramètres!$A$1:$I$89,3,0)*VLOOKUP('Données projet'!$B$14,Paramètres!$A$1:$I$89,5,0)</f>
        <v>179.89919999999995</v>
      </c>
      <c r="DQ69" s="14">
        <f t="shared" ref="DQ69:DQ132" si="97">EXP(-1.0587+0.8836*LN(DP69)+0.284)</f>
        <v>45.299759292628586</v>
      </c>
      <c r="DR69" s="22">
        <f t="shared" si="70"/>
        <v>392.22152076799466</v>
      </c>
      <c r="DS69" s="62">
        <f t="shared" si="71"/>
        <v>685.55485410132792</v>
      </c>
      <c r="DT69" s="62">
        <f ca="1">AVERAGE(OFFSET($DS$3,0,0,'Données projet'!$E$14+1,1))-AVERAGE(OFFSET($H$3,0,0,'Données projet'!$E$14+1,1))</f>
        <v>215.23235148064941</v>
      </c>
      <c r="DU69" s="62">
        <f t="shared" ref="DU69:DU132" si="98">$DU$3</f>
        <v>184.07239726900434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1.5365571842574741</v>
      </c>
      <c r="EB69" s="23">
        <f>EXP(-LN(2)/25)*EB68+(1-EXP(-LN(2)/25))/(LN(2)/25)*Calculateur!DW69*Calculateur!DY69*VLOOKUP('Données projet'!$B$14,Paramètres!$A$1:$I$89,3,0)*0.475*44/12</f>
        <v>2.8952673211549351</v>
      </c>
      <c r="EC69" s="23">
        <f>EXP(-LN(2)/2)*EC68+(1-EXP(-LN(2)/2))/(LN(2)/2)*DW69*DZ69*VLOOKUP('Données projet'!$B$14,Paramètres!$A$1:$I$89,3,0)*0.475*44/12</f>
        <v>3.7506776734527557E-5</v>
      </c>
      <c r="ED69" s="24">
        <f t="shared" si="72"/>
        <v>4.4318620121891437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426.81035694685789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17.100000000000001</v>
      </c>
      <c r="N70" s="14">
        <f>IF('Données projet'!$A$36&gt;35,N69+M70-V69,IF(A70&lt;'Données projet'!$A$36,$K$205^A70,IF(A70='Données projet'!$A$36,'Données projet'!$B$36,N69+M70-V69)))</f>
        <v>753.70000000000084</v>
      </c>
      <c r="O70" s="14">
        <f>N70*VLOOKUP('Données projet'!$B$9,Paramètres!$A$1:$I$89,3,0)*VLOOKUP('Données projet'!$B$9,Paramètres!$A$1:$I$89,5,0)</f>
        <v>421.31830000000048</v>
      </c>
      <c r="P70" s="14">
        <f t="shared" si="87"/>
        <v>96.085476103641199</v>
      </c>
      <c r="Q70" s="22">
        <f t="shared" si="54"/>
        <v>901.14491004717593</v>
      </c>
      <c r="R70" s="62">
        <f t="shared" si="55"/>
        <v>1194.4782433805092</v>
      </c>
      <c r="S70" s="62">
        <f ca="1">AVERAGE(OFFSET($R$3,0,0,'Données projet'!$E$9+1,1))-AVERAGE(OFFSET($H$3,0,0,'Données projet'!$E$9+1,1))</f>
        <v>460.40450534123659</v>
      </c>
      <c r="T70" s="62">
        <f t="shared" si="88"/>
        <v>467.77477728479198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6.0370095187060402</v>
      </c>
      <c r="AA70" s="23">
        <f>EXP(-LN(2)/25)*AA69+(1-EXP(-LN(2)/25))/(LN(2)/25)*Calculateur!V70*Calculateur!X70*VLOOKUP('Données projet'!$B$9,Paramètres!$A$1:$I$89,3,0)*0.475*44/12</f>
        <v>15.869260147184077</v>
      </c>
      <c r="AB70" s="23">
        <f>EXP(-LN(2)/2)*AB69+(1-EXP(-LN(2)/2))/(LN(2)/2)*V70*Y70*VLOOKUP('Données projet'!$B$9,Paramètres!$A$1:$I$89,3,0)*0.475*44/12</f>
        <v>1.0849989992620005E-4</v>
      </c>
      <c r="AC70" s="24">
        <f t="shared" si="57"/>
        <v>21.906378165790045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8.5</v>
      </c>
      <c r="AI70" s="14">
        <f>IF('Données projet'!$A$62&gt;35,AI69+AH70-AQ69,IF(A70&lt;'Données projet'!$A$62,$AF$205^A70,IF(A70='Données projet'!$A$62,'Données projet'!$B$62,AI69+AH70-AQ69)))</f>
        <v>304.5</v>
      </c>
      <c r="AJ70" s="14">
        <f>AI70*VLOOKUP('Données projet'!$B$10,Paramètres!$A$1:$I$89,3,0)*VLOOKUP('Données projet'!$B$10,Paramètres!$A$1:$I$89,5,0)</f>
        <v>275.51159999999999</v>
      </c>
      <c r="AK70" s="14">
        <f t="shared" si="89"/>
        <v>66.017590685458188</v>
      </c>
      <c r="AL70" s="22">
        <f t="shared" si="58"/>
        <v>594.83000711050624</v>
      </c>
      <c r="AM70" s="62">
        <f t="shared" si="59"/>
        <v>888.16334044383962</v>
      </c>
      <c r="AN70" s="62">
        <f ca="1">AVERAGE(OFFSET($AM$3,0,0,'Données projet'!$E$10+1,1))-AVERAGE(OFFSET($H$3,0,0,'Données projet'!$E$10+1,1))</f>
        <v>321.03881567735544</v>
      </c>
      <c r="AO70" s="62">
        <f t="shared" si="90"/>
        <v>234.87694492493506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1.1575092630907455</v>
      </c>
      <c r="AV70" s="23">
        <f>EXP(-LN(2)/25)*AV69+(1-EXP(-LN(2)/25))/(LN(2)/25)*Calculateur!AQ70*Calculateur!AS70*VLOOKUP('Données projet'!$B$10,Paramètres!$A$1:$I$89,3,0)*0.475*44/12</f>
        <v>4.8594993041195007</v>
      </c>
      <c r="AW70" s="23">
        <f>EXP(-LN(2)/2)*AW69+(1-EXP(-LN(2)/2))/(LN(2)/2)*AQ70*AT70*VLOOKUP('Données projet'!$B$10,Paramètres!$A$1:$I$89,3,0)*0.475*44/12</f>
        <v>5.8641666639129664E-5</v>
      </c>
      <c r="AX70" s="23">
        <f t="shared" si="60"/>
        <v>6.0170672088768855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7.8</v>
      </c>
      <c r="BD70" s="13">
        <f>IF('Données projet'!$A$88&gt;35,BD69+BC70-BL69,IF(A70&lt;'Données projet'!$A$88,$BA$205^A70,IF(A70='Données projet'!$A$88,'Données projet'!$B$88,BD69+BC70-BL69)))</f>
        <v>403.59999999999997</v>
      </c>
      <c r="BE70" s="14">
        <f>BD70*VLOOKUP('Données projet'!$B$11,Paramètres!$A$1:$I$89,3,0)*VLOOKUP('Données projet'!$B$11,Paramètres!$A$1:$I$89,5,0)</f>
        <v>251.84639999999999</v>
      </c>
      <c r="BF70" s="14">
        <f t="shared" si="91"/>
        <v>60.981150137731454</v>
      </c>
      <c r="BG70" s="22">
        <f t="shared" si="61"/>
        <v>544.84131648988216</v>
      </c>
      <c r="BH70" s="62">
        <f t="shared" si="62"/>
        <v>838.17464982321553</v>
      </c>
      <c r="BI70" s="62">
        <f ca="1">AVERAGE(OFFSET($BH$3,0,0,'Données projet'!$E$11+1,1))-AVERAGE(OFFSET($H$3,0,0,'Données projet'!$E$11+1,1))</f>
        <v>255.41017495879987</v>
      </c>
      <c r="BJ70" s="62">
        <f t="shared" si="92"/>
        <v>297.50513563712764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4.0099759555349008</v>
      </c>
      <c r="BQ70" s="23">
        <f>EXP(-LN(2)/25)*BQ69+(1-EXP(-LN(2)/25))/(LN(2)/25)*Calculateur!BL70*Calculateur!BN70*VLOOKUP('Données projet'!$B$11,Paramètres!$A$1:$I$89,3,0)*0.475*44/12</f>
        <v>9.9910357660149387</v>
      </c>
      <c r="BR70" s="23">
        <f>EXP(-LN(2)/2)*BR69+(1-EXP(-LN(2)/2))/(LN(2)/2)*BL70*BO70*VLOOKUP('Données projet'!$B$11,Paramètres!$A$1:$I$89,3,0)*0.475*44/12</f>
        <v>6.5819731605298886E-5</v>
      </c>
      <c r="BS70" s="24">
        <f t="shared" si="63"/>
        <v>14.001077541281445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22</v>
      </c>
      <c r="BY70" s="13">
        <f>IF('Données projet'!$A$114&gt;35,BY69+BX70-CG69,IF(A70&lt;'Données projet'!$A$114,$BV$205^A70,IF(A70='Données projet'!$A$114,'Données projet'!$B$114,BY69+BX70-CG69)))</f>
        <v>828.00000000000011</v>
      </c>
      <c r="BZ70" s="14">
        <f>BY70*VLOOKUP('Données projet'!$B$12,Paramètres!$A$1:$I$89,3,0)*VLOOKUP('Données projet'!$B$12,Paramètres!$A$1:$I$89,5,0)</f>
        <v>398.26800000000003</v>
      </c>
      <c r="CA70" s="14">
        <f t="shared" si="93"/>
        <v>91.425440170032132</v>
      </c>
      <c r="CB70" s="22">
        <f t="shared" si="64"/>
        <v>852.88274162947266</v>
      </c>
      <c r="CC70" s="62">
        <f t="shared" si="65"/>
        <v>1146.216074962806</v>
      </c>
      <c r="CD70" s="62">
        <f ca="1">AVERAGE(OFFSET($CC$3,0,0,'Données projet'!$E$12+1,1))-AVERAGE(OFFSET($H$3,0,0,'Données projet'!$E$12+1,1))</f>
        <v>409.97612835032567</v>
      </c>
      <c r="CE70" s="62">
        <f t="shared" si="94"/>
        <v>411.87876448092288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14.693134594689168</v>
      </c>
      <c r="CL70" s="23">
        <f>EXP(-LN(2)/25)*CL69+(1-EXP(-LN(2)/25))/(LN(2)/25)*Calculateur!CG70*Calculateur!CI70*VLOOKUP('Données projet'!$B$12,Paramètres!$A$1:$I$89,3,0)*0.475*44/12</f>
        <v>18.673666976883535</v>
      </c>
      <c r="CM70" s="23">
        <f>EXP(-LN(2)/2)*CM69+(1-EXP(-LN(2)/2))/(LN(2)/2)*CG70*CJ70*VLOOKUP('Données projet'!$B$12,Paramètres!$A$1:$I$89,3,0)*0.475*44/12</f>
        <v>2.6252321591021246E-3</v>
      </c>
      <c r="CN70" s="24">
        <f t="shared" si="66"/>
        <v>33.369426803731805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15.9</v>
      </c>
      <c r="CT70" s="13">
        <f>IF('Données projet'!$A$140&gt;35,CT69+CS70-DB69,IF(A70&lt;'Données projet'!$A$140,$CQ$205^A70,IF(A70='Données projet'!$A$140,'Données projet'!$B$140,CT69+CS70-DB69)))</f>
        <v>722.29999999999984</v>
      </c>
      <c r="CU70" s="18">
        <f>CT70*VLOOKUP('Données projet'!$B$13,Paramètres!$A$1:$I$89,3,0)*VLOOKUP('Données projet'!$B$13,Paramètres!$A$1:$I$89,5,0)</f>
        <v>431.9353999999999</v>
      </c>
      <c r="CV70" s="14">
        <f t="shared" si="95"/>
        <v>98.221851302899935</v>
      </c>
      <c r="CW70" s="22">
        <f t="shared" si="67"/>
        <v>923.35721268588384</v>
      </c>
      <c r="CX70" s="62">
        <f t="shared" si="68"/>
        <v>1216.6905460192172</v>
      </c>
      <c r="CY70" s="62">
        <f ca="1">AVERAGE(OFFSET($CX$3,0,0,'Données projet'!$E$13+1,1))-AVERAGE(OFFSET($H$3,0,0,'Données projet'!$E$13+1,1))</f>
        <v>463.3255103386889</v>
      </c>
      <c r="CZ70" s="62">
        <f t="shared" si="96"/>
        <v>474.73210558736127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2.4018085150339252</v>
      </c>
      <c r="DG70" s="23">
        <f>EXP(-LN(2)/25)*DG69+(1-EXP(-LN(2)/25))/(LN(2)/25)*Calculateur!DB70*Calculateur!DD70*VLOOKUP('Données projet'!$B$13,Paramètres!$A$1:$I$89,3,0)*0.475*44/12</f>
        <v>12.425995501491073</v>
      </c>
      <c r="DH70" s="23">
        <f>EXP(-LN(2)/2)*DH69+(1-EXP(-LN(2)/2))/(LN(2)/2)*DB70*DE70*VLOOKUP('Données projet'!$B$13,Paramètres!$A$1:$I$89,3,0)*0.475*44/12</f>
        <v>1.1765629389097931E-4</v>
      </c>
      <c r="DI70" s="24">
        <f t="shared" si="69"/>
        <v>14.82792167281889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15.5</v>
      </c>
      <c r="DO70" s="13">
        <f>IF('Données projet'!$A$166&gt;35,DO69+DN70-DW69,IF(A70&lt;'Données projet'!$A$166,$DL$205^A70,IF(A70='Données projet'!$A$166,'Données projet'!$B$166,DO69+DN70-DW69)))</f>
        <v>399.89999999999986</v>
      </c>
      <c r="DP70" s="18">
        <f>DO70*VLOOKUP('Données projet'!$B$14,Paramètres!$A$1:$I$89,3,0)*VLOOKUP('Données projet'!$B$14,Paramètres!$A$1:$I$89,5,0)</f>
        <v>187.15319999999994</v>
      </c>
      <c r="DQ70" s="14">
        <f t="shared" si="97"/>
        <v>46.9100138680691</v>
      </c>
      <c r="DR70" s="22">
        <f t="shared" si="70"/>
        <v>407.66009748688685</v>
      </c>
      <c r="DS70" s="62">
        <f t="shared" si="71"/>
        <v>700.99343082022017</v>
      </c>
      <c r="DT70" s="62">
        <f ca="1">AVERAGE(OFFSET($DS$3,0,0,'Données projet'!$E$14+1,1))-AVERAGE(OFFSET($H$3,0,0,'Données projet'!$E$14+1,1))</f>
        <v>215.23235148064941</v>
      </c>
      <c r="DU70" s="62">
        <f t="shared" si="98"/>
        <v>184.07239726900434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1.5064262350815258</v>
      </c>
      <c r="EB70" s="23">
        <f>EXP(-LN(2)/25)*EB69+(1-EXP(-LN(2)/25))/(LN(2)/25)*Calculateur!DW70*Calculateur!DY70*VLOOKUP('Données projet'!$B$14,Paramètres!$A$1:$I$89,3,0)*0.475*44/12</f>
        <v>2.8160960840024623</v>
      </c>
      <c r="EC70" s="23">
        <f>EXP(-LN(2)/2)*EC69+(1-EXP(-LN(2)/2))/(LN(2)/2)*DW70*DZ70*VLOOKUP('Données projet'!$B$14,Paramètres!$A$1:$I$89,3,0)*0.475*44/12</f>
        <v>2.6521296169434269E-5</v>
      </c>
      <c r="ED70" s="24">
        <f t="shared" si="72"/>
        <v>4.3225488403801577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428.75058888536569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17.100000000000001</v>
      </c>
      <c r="N71" s="14">
        <f>IF('Données projet'!$A$36&gt;35,N70+M71-V70,IF(A71&lt;'Données projet'!$A$36,$K$205^A71,IF(A71='Données projet'!$A$36,'Données projet'!$B$36,N70+M71-V70)))</f>
        <v>770.80000000000086</v>
      </c>
      <c r="O71" s="14">
        <f>N71*VLOOKUP('Données projet'!$B$9,Paramètres!$A$1:$I$89,3,0)*VLOOKUP('Données projet'!$B$9,Paramètres!$A$1:$I$89,5,0)</f>
        <v>430.87720000000047</v>
      </c>
      <c r="P71" s="14">
        <f t="shared" si="87"/>
        <v>98.009196715005118</v>
      </c>
      <c r="Q71" s="22">
        <f t="shared" si="54"/>
        <v>921.14380761196799</v>
      </c>
      <c r="R71" s="62">
        <f t="shared" si="55"/>
        <v>1214.4771409453012</v>
      </c>
      <c r="S71" s="62">
        <f ca="1">AVERAGE(OFFSET($R$3,0,0,'Données projet'!$E$9+1,1))-AVERAGE(OFFSET($H$3,0,0,'Données projet'!$E$9+1,1))</f>
        <v>460.40450534123659</v>
      </c>
      <c r="T71" s="62">
        <f t="shared" si="88"/>
        <v>467.77477728479198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5.9186274442564333</v>
      </c>
      <c r="AA71" s="23">
        <f>EXP(-LN(2)/25)*AA70+(1-EXP(-LN(2)/25))/(LN(2)/25)*Calculateur!V71*Calculateur!X71*VLOOKUP('Données projet'!$B$9,Paramètres!$A$1:$I$89,3,0)*0.475*44/12</f>
        <v>15.435314393931208</v>
      </c>
      <c r="AB71" s="23">
        <f>EXP(-LN(2)/2)*AB70+(1-EXP(-LN(2)/2))/(LN(2)/2)*V71*Y71*VLOOKUP('Données projet'!$B$9,Paramètres!$A$1:$I$89,3,0)*0.475*44/12</f>
        <v>7.6721014995877844E-5</v>
      </c>
      <c r="AC71" s="24">
        <f t="shared" si="57"/>
        <v>21.354018559202636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8.5</v>
      </c>
      <c r="AI71" s="14">
        <f>IF('Données projet'!$A$62&gt;35,AI70+AH71-AQ70,IF(A71&lt;'Données projet'!$A$62,$AF$205^A71,IF(A71='Données projet'!$A$62,'Données projet'!$B$62,AI70+AH71-AQ70)))</f>
        <v>313</v>
      </c>
      <c r="AJ71" s="14">
        <f>AI71*VLOOKUP('Données projet'!$B$10,Paramètres!$A$1:$I$89,3,0)*VLOOKUP('Données projet'!$B$10,Paramètres!$A$1:$I$89,5,0)</f>
        <v>283.20240000000001</v>
      </c>
      <c r="AK71" s="14">
        <f t="shared" si="89"/>
        <v>67.643319485855841</v>
      </c>
      <c r="AL71" s="22">
        <f t="shared" si="58"/>
        <v>611.05629477119896</v>
      </c>
      <c r="AM71" s="62">
        <f t="shared" si="59"/>
        <v>904.38962810453222</v>
      </c>
      <c r="AN71" s="62">
        <f ca="1">AVERAGE(OFFSET($AM$3,0,0,'Données projet'!$E$10+1,1))-AVERAGE(OFFSET($H$3,0,0,'Données projet'!$E$10+1,1))</f>
        <v>321.03881567735544</v>
      </c>
      <c r="AO71" s="62">
        <f t="shared" si="90"/>
        <v>234.87694492493506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1.1348112124524736</v>
      </c>
      <c r="AV71" s="23">
        <f>EXP(-LN(2)/25)*AV70+(1-EXP(-LN(2)/25))/(LN(2)/25)*Calculateur!AQ71*Calculateur!AS71*VLOOKUP('Données projet'!$B$10,Paramètres!$A$1:$I$89,3,0)*0.475*44/12</f>
        <v>4.7266160400983912</v>
      </c>
      <c r="AW71" s="23">
        <f>EXP(-LN(2)/2)*AW70+(1-EXP(-LN(2)/2))/(LN(2)/2)*AQ71*AT71*VLOOKUP('Données projet'!$B$10,Paramètres!$A$1:$I$89,3,0)*0.475*44/12</f>
        <v>4.1465920140609523E-5</v>
      </c>
      <c r="AX71" s="23">
        <f t="shared" si="60"/>
        <v>5.8614687184710048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7.8</v>
      </c>
      <c r="BD71" s="13">
        <f>IF('Données projet'!$A$88&gt;35,BD70+BC71-BL70,IF(A71&lt;'Données projet'!$A$88,$BA$205^A71,IF(A71='Données projet'!$A$88,'Données projet'!$B$88,BD70+BC71-BL70)))</f>
        <v>411.4</v>
      </c>
      <c r="BE71" s="14">
        <f>BD71*VLOOKUP('Données projet'!$B$11,Paramètres!$A$1:$I$89,3,0)*VLOOKUP('Données projet'!$B$11,Paramètres!$A$1:$I$89,5,0)</f>
        <v>256.71359999999999</v>
      </c>
      <c r="BF71" s="14">
        <f t="shared" si="91"/>
        <v>62.021332500424947</v>
      </c>
      <c r="BG71" s="22">
        <f t="shared" si="61"/>
        <v>555.13000743824</v>
      </c>
      <c r="BH71" s="62">
        <f t="shared" si="62"/>
        <v>848.46334077157326</v>
      </c>
      <c r="BI71" s="62">
        <f ca="1">AVERAGE(OFFSET($BH$3,0,0,'Données projet'!$E$11+1,1))-AVERAGE(OFFSET($H$3,0,0,'Données projet'!$E$11+1,1))</f>
        <v>255.41017495879987</v>
      </c>
      <c r="BJ71" s="62">
        <f t="shared" si="92"/>
        <v>297.50513563712764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3.9313427728906873</v>
      </c>
      <c r="BQ71" s="23">
        <f>EXP(-LN(2)/25)*BQ70+(1-EXP(-LN(2)/25))/(LN(2)/25)*Calculateur!BL71*Calculateur!BN71*VLOOKUP('Données projet'!$B$11,Paramètres!$A$1:$I$89,3,0)*0.475*44/12</f>
        <v>9.7178303675875242</v>
      </c>
      <c r="BR71" s="23">
        <f>EXP(-LN(2)/2)*BR70+(1-EXP(-LN(2)/2))/(LN(2)/2)*BL71*BO71*VLOOKUP('Données projet'!$B$11,Paramètres!$A$1:$I$89,3,0)*0.475*44/12</f>
        <v>4.6541578553985367E-5</v>
      </c>
      <c r="BS71" s="24">
        <f t="shared" si="63"/>
        <v>13.649219682056765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22</v>
      </c>
      <c r="BY71" s="13">
        <f>IF('Données projet'!$A$114&gt;35,BY70+BX71-CG70,IF(A71&lt;'Données projet'!$A$114,$BV$205^A71,IF(A71='Données projet'!$A$114,'Données projet'!$B$114,BY70+BX71-CG70)))</f>
        <v>850.00000000000011</v>
      </c>
      <c r="BZ71" s="14">
        <f>BY71*VLOOKUP('Données projet'!$B$12,Paramètres!$A$1:$I$89,3,0)*VLOOKUP('Données projet'!$B$12,Paramètres!$A$1:$I$89,5,0)</f>
        <v>408.85000000000008</v>
      </c>
      <c r="CA71" s="14">
        <f t="shared" si="93"/>
        <v>93.568575358321141</v>
      </c>
      <c r="CB71" s="22">
        <f t="shared" si="64"/>
        <v>875.0456854157427</v>
      </c>
      <c r="CC71" s="62">
        <f t="shared" si="65"/>
        <v>1168.3790187490761</v>
      </c>
      <c r="CD71" s="62">
        <f ca="1">AVERAGE(OFFSET($CC$3,0,0,'Données projet'!$E$12+1,1))-AVERAGE(OFFSET($H$3,0,0,'Données projet'!$E$12+1,1))</f>
        <v>409.97612835032567</v>
      </c>
      <c r="CE71" s="62">
        <f t="shared" si="94"/>
        <v>411.87876448092288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14.4050111872145</v>
      </c>
      <c r="CL71" s="23">
        <f>EXP(-LN(2)/25)*CL70+(1-EXP(-LN(2)/25))/(LN(2)/25)*Calculateur!CG71*Calculateur!CI71*VLOOKUP('Données projet'!$B$12,Paramètres!$A$1:$I$89,3,0)*0.475*44/12</f>
        <v>18.163034571395187</v>
      </c>
      <c r="CM71" s="23">
        <f>EXP(-LN(2)/2)*CM70+(1-EXP(-LN(2)/2))/(LN(2)/2)*CG71*CJ71*VLOOKUP('Données projet'!$B$12,Paramètres!$A$1:$I$89,3,0)*0.475*44/12</f>
        <v>1.8563194618901138E-3</v>
      </c>
      <c r="CN71" s="24">
        <f t="shared" si="66"/>
        <v>32.569902078071578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15.9</v>
      </c>
      <c r="CT71" s="13">
        <f>IF('Données projet'!$A$140&gt;35,CT70+CS71-DB70,IF(A71&lt;'Données projet'!$A$140,$CQ$205^A71,IF(A71='Données projet'!$A$140,'Données projet'!$B$140,CT70+CS71-DB70)))</f>
        <v>738.19999999999982</v>
      </c>
      <c r="CU71" s="18">
        <f>CT71*VLOOKUP('Données projet'!$B$13,Paramètres!$A$1:$I$89,3,0)*VLOOKUP('Données projet'!$B$13,Paramètres!$A$1:$I$89,5,0)</f>
        <v>441.44359999999995</v>
      </c>
      <c r="CV71" s="14">
        <f t="shared" si="95"/>
        <v>100.12990717282293</v>
      </c>
      <c r="CW71" s="22">
        <f t="shared" si="67"/>
        <v>943.24052499266656</v>
      </c>
      <c r="CX71" s="62">
        <f t="shared" si="68"/>
        <v>1236.5738583259999</v>
      </c>
      <c r="CY71" s="62">
        <f ca="1">AVERAGE(OFFSET($CX$3,0,0,'Données projet'!$E$13+1,1))-AVERAGE(OFFSET($H$3,0,0,'Données projet'!$E$13+1,1))</f>
        <v>463.3255103386889</v>
      </c>
      <c r="CZ71" s="62">
        <f t="shared" si="96"/>
        <v>474.73210558736127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2.3547105150126515</v>
      </c>
      <c r="DG71" s="23">
        <f>EXP(-LN(2)/25)*DG70+(1-EXP(-LN(2)/25))/(LN(2)/25)*Calculateur!DB71*Calculateur!DD71*VLOOKUP('Données projet'!$B$13,Paramètres!$A$1:$I$89,3,0)*0.475*44/12</f>
        <v>12.086206001048096</v>
      </c>
      <c r="DH71" s="23">
        <f>EXP(-LN(2)/2)*DH70+(1-EXP(-LN(2)/2))/(LN(2)/2)*DB71*DE71*VLOOKUP('Données projet'!$B$13,Paramètres!$A$1:$I$89,3,0)*0.475*44/12</f>
        <v>8.3195563259588838E-5</v>
      </c>
      <c r="DI71" s="24">
        <f t="shared" si="69"/>
        <v>14.440999711624007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15.5</v>
      </c>
      <c r="DO71" s="13">
        <f>IF('Données projet'!$A$166&gt;35,DO70+DN71-DW70,IF(A71&lt;'Données projet'!$A$166,$DL$205^A71,IF(A71='Données projet'!$A$166,'Données projet'!$B$166,DO70+DN71-DW70)))</f>
        <v>415.39999999999986</v>
      </c>
      <c r="DP71" s="18">
        <f>DO71*VLOOKUP('Données projet'!$B$14,Paramètres!$A$1:$I$89,3,0)*VLOOKUP('Données projet'!$B$14,Paramètres!$A$1:$I$89,5,0)</f>
        <v>194.40719999999996</v>
      </c>
      <c r="DQ71" s="14">
        <f t="shared" si="97"/>
        <v>48.513018020179601</v>
      </c>
      <c r="DR71" s="22">
        <f t="shared" si="70"/>
        <v>423.08604638514606</v>
      </c>
      <c r="DS71" s="62">
        <f t="shared" si="71"/>
        <v>716.41937971847938</v>
      </c>
      <c r="DT71" s="62">
        <f ca="1">AVERAGE(OFFSET($DS$3,0,0,'Données projet'!$E$14+1,1))-AVERAGE(OFFSET($H$3,0,0,'Données projet'!$E$14+1,1))</f>
        <v>215.23235148064941</v>
      </c>
      <c r="DU71" s="62">
        <f t="shared" si="98"/>
        <v>184.07239726900434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1.4768861354408536</v>
      </c>
      <c r="EB71" s="23">
        <f>EXP(-LN(2)/25)*EB70+(1-EXP(-LN(2)/25))/(LN(2)/25)*Calculateur!DW71*Calculateur!DY71*VLOOKUP('Données projet'!$B$14,Paramètres!$A$1:$I$89,3,0)*0.475*44/12</f>
        <v>2.739089788493358</v>
      </c>
      <c r="EC71" s="23">
        <f>EXP(-LN(2)/2)*EC70+(1-EXP(-LN(2)/2))/(LN(2)/2)*DW71*DZ71*VLOOKUP('Données projet'!$B$14,Paramètres!$A$1:$I$89,3,0)*0.475*44/12</f>
        <v>1.8753388367263778E-5</v>
      </c>
      <c r="ED71" s="24">
        <f t="shared" si="72"/>
        <v>4.2159946773225787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430.69015114398906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17.100000000000001</v>
      </c>
      <c r="N72" s="14">
        <f>IF('Données projet'!$A$36&gt;35,N71+M72-V71,IF(A72&lt;'Données projet'!$A$36,$K$205^A72,IF(A72='Données projet'!$A$36,'Données projet'!$B$36,N71+M72-V71)))</f>
        <v>787.90000000000089</v>
      </c>
      <c r="O72" s="14">
        <f>N72*VLOOKUP('Données projet'!$B$9,Paramètres!$A$1:$I$89,3,0)*VLOOKUP('Données projet'!$B$9,Paramètres!$A$1:$I$89,5,0)</f>
        <v>440.43610000000047</v>
      </c>
      <c r="P72" s="14">
        <f t="shared" si="87"/>
        <v>99.92795567302565</v>
      </c>
      <c r="Q72" s="22">
        <f t="shared" si="54"/>
        <v>941.13406363052036</v>
      </c>
      <c r="R72" s="62">
        <f t="shared" si="55"/>
        <v>1234.4673969638536</v>
      </c>
      <c r="S72" s="62">
        <f ca="1">AVERAGE(OFFSET($R$3,0,0,'Données projet'!$E$9+1,1))-AVERAGE(OFFSET($H$3,0,0,'Données projet'!$E$9+1,1))</f>
        <v>460.40450534123659</v>
      </c>
      <c r="T72" s="62">
        <f t="shared" si="88"/>
        <v>467.77477728479198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5.8025667700808468</v>
      </c>
      <c r="AA72" s="23">
        <f>EXP(-LN(2)/25)*AA71+(1-EXP(-LN(2)/25))/(LN(2)/25)*Calculateur!V72*Calculateur!X72*VLOOKUP('Données projet'!$B$9,Paramètres!$A$1:$I$89,3,0)*0.475*44/12</f>
        <v>15.013234910121252</v>
      </c>
      <c r="AB72" s="23">
        <f>EXP(-LN(2)/2)*AB71+(1-EXP(-LN(2)/2))/(LN(2)/2)*V72*Y72*VLOOKUP('Données projet'!$B$9,Paramètres!$A$1:$I$89,3,0)*0.475*44/12</f>
        <v>5.4249949963100027E-5</v>
      </c>
      <c r="AC72" s="24">
        <f t="shared" si="57"/>
        <v>20.815855930152061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8.5</v>
      </c>
      <c r="AI72" s="14">
        <f>IF('Données projet'!$A$62&gt;35,AI71+AH72-AQ71,IF(A72&lt;'Données projet'!$A$62,$AF$205^A72,IF(A72='Données projet'!$A$62,'Données projet'!$B$62,AI71+AH72-AQ71)))</f>
        <v>321.5</v>
      </c>
      <c r="AJ72" s="14">
        <f>AI72*VLOOKUP('Données projet'!$B$10,Paramètres!$A$1:$I$89,3,0)*VLOOKUP('Données projet'!$B$10,Paramètres!$A$1:$I$89,5,0)</f>
        <v>290.89320000000004</v>
      </c>
      <c r="AK72" s="14">
        <f t="shared" si="89"/>
        <v>69.263916768293996</v>
      </c>
      <c r="AL72" s="22">
        <f t="shared" si="58"/>
        <v>627.27364503811202</v>
      </c>
      <c r="AM72" s="62">
        <f t="shared" si="59"/>
        <v>920.60697837144539</v>
      </c>
      <c r="AN72" s="62">
        <f ca="1">AVERAGE(OFFSET($AM$3,0,0,'Données projet'!$E$10+1,1))-AVERAGE(OFFSET($H$3,0,0,'Données projet'!$E$10+1,1))</f>
        <v>321.03881567735544</v>
      </c>
      <c r="AO72" s="62">
        <f t="shared" si="90"/>
        <v>234.87694492493506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1.1125582567427745</v>
      </c>
      <c r="AV72" s="23">
        <f>EXP(-LN(2)/25)*AV71+(1-EXP(-LN(2)/25))/(LN(2)/25)*Calculateur!AQ72*Calculateur!AS72*VLOOKUP('Données projet'!$B$10,Paramètres!$A$1:$I$89,3,0)*0.475*44/12</f>
        <v>4.5973664759199657</v>
      </c>
      <c r="AW72" s="23">
        <f>EXP(-LN(2)/2)*AW71+(1-EXP(-LN(2)/2))/(LN(2)/2)*AQ72*AT72*VLOOKUP('Données projet'!$B$10,Paramètres!$A$1:$I$89,3,0)*0.475*44/12</f>
        <v>2.9320833319564832E-5</v>
      </c>
      <c r="AX72" s="23">
        <f t="shared" si="60"/>
        <v>5.7099540534960598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7.8</v>
      </c>
      <c r="BD72" s="13">
        <f>IF('Données projet'!$A$88&gt;35,BD71+BC72-BL71,IF(A72&lt;'Données projet'!$A$88,$BA$205^A72,IF(A72='Données projet'!$A$88,'Données projet'!$B$88,BD71+BC72-BL71)))</f>
        <v>419.2</v>
      </c>
      <c r="BE72" s="14">
        <f>BD72*VLOOKUP('Données projet'!$B$11,Paramètres!$A$1:$I$89,3,0)*VLOOKUP('Données projet'!$B$11,Paramètres!$A$1:$I$89,5,0)</f>
        <v>261.58080000000001</v>
      </c>
      <c r="BF72" s="14">
        <f t="shared" si="91"/>
        <v>63.05922166723839</v>
      </c>
      <c r="BG72" s="22">
        <f t="shared" si="61"/>
        <v>565.4147044037735</v>
      </c>
      <c r="BH72" s="62">
        <f t="shared" si="62"/>
        <v>858.74803773710687</v>
      </c>
      <c r="BI72" s="62">
        <f ca="1">AVERAGE(OFFSET($BH$3,0,0,'Données projet'!$E$11+1,1))-AVERAGE(OFFSET($H$3,0,0,'Données projet'!$E$11+1,1))</f>
        <v>255.41017495879987</v>
      </c>
      <c r="BJ72" s="62">
        <f t="shared" si="92"/>
        <v>297.50513563712764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3.8542515389966212</v>
      </c>
      <c r="BQ72" s="23">
        <f>EXP(-LN(2)/25)*BQ71+(1-EXP(-LN(2)/25))/(LN(2)/25)*Calculateur!BL72*Calculateur!BN72*VLOOKUP('Données projet'!$B$11,Paramètres!$A$1:$I$89,3,0)*0.475*44/12</f>
        <v>9.452095785147355</v>
      </c>
      <c r="BR72" s="23">
        <f>EXP(-LN(2)/2)*BR71+(1-EXP(-LN(2)/2))/(LN(2)/2)*BL72*BO72*VLOOKUP('Données projet'!$B$11,Paramètres!$A$1:$I$89,3,0)*0.475*44/12</f>
        <v>3.2909865802649443E-5</v>
      </c>
      <c r="BS72" s="24">
        <f t="shared" si="63"/>
        <v>13.306380234009779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22</v>
      </c>
      <c r="BY72" s="13">
        <f>IF('Données projet'!$A$114&gt;35,BY71+BX72-CG71,IF(A72&lt;'Données projet'!$A$114,$BV$205^A72,IF(A72='Données projet'!$A$114,'Données projet'!$B$114,BY71+BX72-CG71)))</f>
        <v>872.00000000000011</v>
      </c>
      <c r="BZ72" s="14">
        <f>BY72*VLOOKUP('Données projet'!$B$12,Paramètres!$A$1:$I$89,3,0)*VLOOKUP('Données projet'!$B$12,Paramètres!$A$1:$I$89,5,0)</f>
        <v>419.43200000000007</v>
      </c>
      <c r="CA72" s="14">
        <f t="shared" si="93"/>
        <v>95.70526286608137</v>
      </c>
      <c r="CB72" s="22">
        <f t="shared" si="64"/>
        <v>897.19739949175846</v>
      </c>
      <c r="CC72" s="62">
        <f t="shared" si="65"/>
        <v>1190.5307328250917</v>
      </c>
      <c r="CD72" s="62">
        <f ca="1">AVERAGE(OFFSET($CC$3,0,0,'Données projet'!$E$12+1,1))-AVERAGE(OFFSET($H$3,0,0,'Données projet'!$E$12+1,1))</f>
        <v>409.97612835032567</v>
      </c>
      <c r="CE72" s="62">
        <f t="shared" si="94"/>
        <v>411.87876448092288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14.122537704022484</v>
      </c>
      <c r="CL72" s="23">
        <f>EXP(-LN(2)/25)*CL71+(1-EXP(-LN(2)/25))/(LN(2)/25)*Calculateur!CG72*Calculateur!CI72*VLOOKUP('Données projet'!$B$12,Paramètres!$A$1:$I$89,3,0)*0.475*44/12</f>
        <v>17.666365435887908</v>
      </c>
      <c r="CM72" s="23">
        <f>EXP(-LN(2)/2)*CM71+(1-EXP(-LN(2)/2))/(LN(2)/2)*CG72*CJ72*VLOOKUP('Données projet'!$B$12,Paramètres!$A$1:$I$89,3,0)*0.475*44/12</f>
        <v>1.3126160795510623E-3</v>
      </c>
      <c r="CN72" s="24">
        <f t="shared" si="66"/>
        <v>31.790215755989944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15.9</v>
      </c>
      <c r="CT72" s="13">
        <f>IF('Données projet'!$A$140&gt;35,CT71+CS72-DB71,IF(A72&lt;'Données projet'!$A$140,$CQ$205^A72,IF(A72='Données projet'!$A$140,'Données projet'!$B$140,CT71+CS72-DB71)))</f>
        <v>754.0999999999998</v>
      </c>
      <c r="CU72" s="18">
        <f>CT72*VLOOKUP('Données projet'!$B$13,Paramètres!$A$1:$I$89,3,0)*VLOOKUP('Données projet'!$B$13,Paramètres!$A$1:$I$89,5,0)</f>
        <v>450.95179999999988</v>
      </c>
      <c r="CV72" s="14">
        <f t="shared" si="95"/>
        <v>102.0331849085332</v>
      </c>
      <c r="CW72" s="22">
        <f t="shared" si="67"/>
        <v>963.11551538236188</v>
      </c>
      <c r="CX72" s="62">
        <f t="shared" si="68"/>
        <v>1256.4488487156952</v>
      </c>
      <c r="CY72" s="62">
        <f ca="1">AVERAGE(OFFSET($CX$3,0,0,'Données projet'!$E$13+1,1))-AVERAGE(OFFSET($H$3,0,0,'Données projet'!$E$13+1,1))</f>
        <v>463.3255103386889</v>
      </c>
      <c r="CZ72" s="62">
        <f t="shared" si="96"/>
        <v>474.73210558736127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2.3085360780448516</v>
      </c>
      <c r="DG72" s="23">
        <f>EXP(-LN(2)/25)*DG71+(1-EXP(-LN(2)/25))/(LN(2)/25)*Calculateur!DB72*Calculateur!DD72*VLOOKUP('Données projet'!$B$13,Paramètres!$A$1:$I$89,3,0)*0.475*44/12</f>
        <v>11.755708062363485</v>
      </c>
      <c r="DH72" s="23">
        <f>EXP(-LN(2)/2)*DH71+(1-EXP(-LN(2)/2))/(LN(2)/2)*DB72*DE72*VLOOKUP('Données projet'!$B$13,Paramètres!$A$1:$I$89,3,0)*0.475*44/12</f>
        <v>5.8828146945489657E-5</v>
      </c>
      <c r="DI72" s="24">
        <f t="shared" si="69"/>
        <v>14.064302968555284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15.5</v>
      </c>
      <c r="DO72" s="13">
        <f>IF('Données projet'!$A$166&gt;35,DO71+DN72-DW71,IF(A72&lt;'Données projet'!$A$166,$DL$205^A72,IF(A72='Données projet'!$A$166,'Données projet'!$B$166,DO71+DN72-DW71)))</f>
        <v>430.89999999999986</v>
      </c>
      <c r="DP72" s="18">
        <f>DO72*VLOOKUP('Données projet'!$B$14,Paramètres!$A$1:$I$89,3,0)*VLOOKUP('Données projet'!$B$14,Paramètres!$A$1:$I$89,5,0)</f>
        <v>201.66119999999992</v>
      </c>
      <c r="DQ72" s="14">
        <f t="shared" si="97"/>
        <v>50.109073265229782</v>
      </c>
      <c r="DR72" s="22">
        <f t="shared" si="70"/>
        <v>438.49989260360843</v>
      </c>
      <c r="DS72" s="62">
        <f t="shared" si="71"/>
        <v>731.83322593694174</v>
      </c>
      <c r="DT72" s="62">
        <f ca="1">AVERAGE(OFFSET($DS$3,0,0,'Données projet'!$E$14+1,1))-AVERAGE(OFFSET($H$3,0,0,'Données projet'!$E$14+1,1))</f>
        <v>215.23235148064941</v>
      </c>
      <c r="DU72" s="62">
        <f t="shared" si="98"/>
        <v>184.07239726900434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1.4479252991364533</v>
      </c>
      <c r="EB72" s="23">
        <f>EXP(-LN(2)/25)*EB71+(1-EXP(-LN(2)/25))/(LN(2)/25)*Calculateur!DW72*Calculateur!DY72*VLOOKUP('Données projet'!$B$14,Paramètres!$A$1:$I$89,3,0)*0.475*44/12</f>
        <v>2.6641892341845357</v>
      </c>
      <c r="EC72" s="23">
        <f>EXP(-LN(2)/2)*EC71+(1-EXP(-LN(2)/2))/(LN(2)/2)*DW72*DZ72*VLOOKUP('Données projet'!$B$14,Paramètres!$A$1:$I$89,3,0)*0.475*44/12</f>
        <v>1.3260648084717135E-5</v>
      </c>
      <c r="ED72" s="24">
        <f t="shared" si="72"/>
        <v>4.1121277939690737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432.62905454958332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805</v>
      </c>
      <c r="L73" s="13">
        <f>VLOOKUP(A73,'Données projet'!$A$35:$I$55,9,0)</f>
        <v>17.100000000000001</v>
      </c>
      <c r="M73" s="13">
        <f t="array" ref="M73">INDEX(L:L,MIN(IF(ISNUMBER(L73:L269),ROW(L73:L269),"")))</f>
        <v>17.100000000000001</v>
      </c>
      <c r="N73" s="14">
        <f>IF('Données projet'!$A$36&gt;35,N72+M73-V72,IF(A73&lt;'Données projet'!$A$36,$K$205^A73,IF(A73='Données projet'!$A$36,'Données projet'!$B$36,N72+M73-V72)))</f>
        <v>805.00000000000091</v>
      </c>
      <c r="O73" s="14">
        <f>N73*VLOOKUP('Données projet'!$B$9,Paramètres!$A$1:$I$89,3,0)*VLOOKUP('Données projet'!$B$9,Paramètres!$A$1:$I$89,5,0)</f>
        <v>449.99500000000052</v>
      </c>
      <c r="P73" s="14">
        <f t="shared" si="87"/>
        <v>101.84187306350728</v>
      </c>
      <c r="Q73" s="22">
        <f t="shared" si="54"/>
        <v>961.11588725227614</v>
      </c>
      <c r="R73" s="62">
        <f t="shared" si="55"/>
        <v>1254.4492205856095</v>
      </c>
      <c r="S73" s="62">
        <f ca="1">AVERAGE(OFFSET($R$3,0,0,'Données projet'!$E$9+1,1))-AVERAGE(OFFSET($H$3,0,0,'Données projet'!$E$9+1,1))</f>
        <v>460.40450534123659</v>
      </c>
      <c r="T73" s="62">
        <f t="shared" si="88"/>
        <v>467.77477728479198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86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5.6887819749358224</v>
      </c>
      <c r="AA73" s="23">
        <f>EXP(-LN(2)/25)*AA72+(1-EXP(-LN(2)/25))/(LN(2)/25)*Calculateur!V73*Calculateur!X73*VLOOKUP('Données projet'!$B$9,Paramètres!$A$1:$I$89,3,0)*0.475*44/12</f>
        <v>14.602697211992275</v>
      </c>
      <c r="AB73" s="23">
        <f>EXP(-LN(2)/2)*AB72+(1-EXP(-LN(2)/2))/(LN(2)/2)*V73*Y73*VLOOKUP('Données projet'!$B$9,Paramètres!$A$1:$I$89,3,0)*0.475*44/12</f>
        <v>3.8360507497938922E-5</v>
      </c>
      <c r="AC73" s="24">
        <f t="shared" si="57"/>
        <v>20.291517547435596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330</v>
      </c>
      <c r="AG73" s="13">
        <f>VLOOKUP(A73,'Données projet'!$A$61:$I$81,9,0)</f>
        <v>8.5</v>
      </c>
      <c r="AH73" s="13">
        <f t="array" ref="AH73">INDEX(AG:AG,MIN(IF(ISNUMBER(AG73:AG269),ROW(AG73:AG269),"")))</f>
        <v>8.5</v>
      </c>
      <c r="AI73" s="14">
        <f>IF('Données projet'!$A$62&gt;35,AI72+AH73-AQ72,IF(A73&lt;'Données projet'!$A$62,$AF$205^A73,IF(A73='Données projet'!$A$62,'Données projet'!$B$62,AI72+AH73-AQ72)))</f>
        <v>330</v>
      </c>
      <c r="AJ73" s="14">
        <f>AI73*VLOOKUP('Données projet'!$B$10,Paramètres!$A$1:$I$89,3,0)*VLOOKUP('Données projet'!$B$10,Paramètres!$A$1:$I$89,5,0)</f>
        <v>298.58399999999995</v>
      </c>
      <c r="AK73" s="14">
        <f t="shared" si="89"/>
        <v>70.879533797607607</v>
      </c>
      <c r="AL73" s="22">
        <f t="shared" si="58"/>
        <v>643.48232136416652</v>
      </c>
      <c r="AM73" s="62">
        <f t="shared" si="59"/>
        <v>936.81565469749989</v>
      </c>
      <c r="AN73" s="62">
        <f ca="1">AVERAGE(OFFSET($AM$3,0,0,'Données projet'!$E$10+1,1))-AVERAGE(OFFSET($H$3,0,0,'Données projet'!$E$10+1,1))</f>
        <v>321.03881567735544</v>
      </c>
      <c r="AO73" s="62">
        <f t="shared" si="90"/>
        <v>234.87694492493506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56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1.0907416679215798</v>
      </c>
      <c r="AV73" s="23">
        <f>EXP(-LN(2)/25)*AV72+(1-EXP(-LN(2)/25))/(LN(2)/25)*Calculateur!AQ73*Calculateur!AS73*VLOOKUP('Données projet'!$B$10,Paramètres!$A$1:$I$89,3,0)*0.475*44/12</f>
        <v>4.4716512478709385</v>
      </c>
      <c r="AW73" s="23">
        <f>EXP(-LN(2)/2)*AW72+(1-EXP(-LN(2)/2))/(LN(2)/2)*AQ73*AT73*VLOOKUP('Données projet'!$B$10,Paramètres!$A$1:$I$89,3,0)*0.475*44/12</f>
        <v>2.0732960070304761E-5</v>
      </c>
      <c r="AX73" s="23">
        <f t="shared" si="60"/>
        <v>5.5624136487525888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427</v>
      </c>
      <c r="BB73" s="13">
        <f>VLOOKUP(A73,'Données projet'!$A$87:$I$107,9,0)</f>
        <v>7.8</v>
      </c>
      <c r="BC73" s="13">
        <f t="array" ref="BC73">INDEX(BB:BB,MIN(IF(ISNUMBER(BB73:BB269),ROW(BB73:BB269),"")))</f>
        <v>7.8</v>
      </c>
      <c r="BD73" s="13">
        <f>IF('Données projet'!$A$88&gt;35,BD72+BC73-BL72,IF(A73&lt;'Données projet'!$A$88,$BA$205^A73,IF(A73='Données projet'!$A$88,'Données projet'!$B$88,BD72+BC73-BL72)))</f>
        <v>427</v>
      </c>
      <c r="BE73" s="14">
        <f>BD73*VLOOKUP('Données projet'!$B$11,Paramètres!$A$1:$I$89,3,0)*VLOOKUP('Données projet'!$B$11,Paramètres!$A$1:$I$89,5,0)</f>
        <v>266.44799999999998</v>
      </c>
      <c r="BF73" s="14">
        <f t="shared" si="91"/>
        <v>64.094865228054687</v>
      </c>
      <c r="BG73" s="22">
        <f t="shared" si="61"/>
        <v>575.69549027219523</v>
      </c>
      <c r="BH73" s="62">
        <f t="shared" si="62"/>
        <v>869.02882360552849</v>
      </c>
      <c r="BI73" s="62">
        <f ca="1">AVERAGE(OFFSET($BH$3,0,0,'Données projet'!$E$11+1,1))-AVERAGE(OFFSET($H$3,0,0,'Données projet'!$E$11+1,1))</f>
        <v>255.41017495879987</v>
      </c>
      <c r="BJ73" s="62">
        <f t="shared" si="92"/>
        <v>297.50513563712764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45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3.778672017178208</v>
      </c>
      <c r="BQ73" s="23">
        <f>EXP(-LN(2)/25)*BQ72+(1-EXP(-LN(2)/25))/(LN(2)/25)*Calculateur!BL73*Calculateur!BN73*VLOOKUP('Données projet'!$B$11,Paramètres!$A$1:$I$89,3,0)*0.475*44/12</f>
        <v>9.1936277288383863</v>
      </c>
      <c r="BR73" s="23">
        <f>EXP(-LN(2)/2)*BR72+(1-EXP(-LN(2)/2))/(LN(2)/2)*BL73*BO73*VLOOKUP('Données projet'!$B$11,Paramètres!$A$1:$I$89,3,0)*0.475*44/12</f>
        <v>2.3270789276992683E-5</v>
      </c>
      <c r="BS73" s="24">
        <f t="shared" si="63"/>
        <v>12.972323016805872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894</v>
      </c>
      <c r="BW73" s="13">
        <f>VLOOKUP(A73,'Données projet'!$A$113:$I$133,9,0)</f>
        <v>22</v>
      </c>
      <c r="BX73" s="13">
        <f t="array" ref="BX73">INDEX(BW:BW,MIN(IF(ISNUMBER(BW73:BW269),ROW(BW73:BW269),"")))</f>
        <v>22</v>
      </c>
      <c r="BY73" s="13">
        <f>IF('Données projet'!$A$114&gt;35,BY72+BX73-CG72,IF(A73&lt;'Données projet'!$A$114,$BV$205^A73,IF(A73='Données projet'!$A$114,'Données projet'!$B$114,BY72+BX73-CG72)))</f>
        <v>894.00000000000011</v>
      </c>
      <c r="BZ73" s="14">
        <f>BY73*VLOOKUP('Données projet'!$B$12,Paramètres!$A$1:$I$89,3,0)*VLOOKUP('Données projet'!$B$12,Paramètres!$A$1:$I$89,5,0)</f>
        <v>430.01400000000007</v>
      </c>
      <c r="CA73" s="14">
        <f t="shared" si="93"/>
        <v>97.835684071568764</v>
      </c>
      <c r="CB73" s="22">
        <f t="shared" si="64"/>
        <v>919.33819975798235</v>
      </c>
      <c r="CC73" s="62">
        <f t="shared" si="65"/>
        <v>1212.6715330913157</v>
      </c>
      <c r="CD73" s="62">
        <f ca="1">AVERAGE(OFFSET($CC$3,0,0,'Données projet'!$E$12+1,1))-AVERAGE(OFFSET($H$3,0,0,'Données projet'!$E$12+1,1))</f>
        <v>409.97612835032567</v>
      </c>
      <c r="CE73" s="62">
        <f t="shared" si="94"/>
        <v>411.87876448092288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122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13.845603353544051</v>
      </c>
      <c r="CL73" s="23">
        <f>EXP(-LN(2)/25)*CL72+(1-EXP(-LN(2)/25))/(LN(2)/25)*Calculateur!CG73*Calculateur!CI73*VLOOKUP('Données projet'!$B$12,Paramètres!$A$1:$I$89,3,0)*0.475*44/12</f>
        <v>17.183277744009771</v>
      </c>
      <c r="CM73" s="23">
        <f>EXP(-LN(2)/2)*CM72+(1-EXP(-LN(2)/2))/(LN(2)/2)*CG73*CJ73*VLOOKUP('Données projet'!$B$12,Paramètres!$A$1:$I$89,3,0)*0.475*44/12</f>
        <v>9.2815973094505688E-4</v>
      </c>
      <c r="CN73" s="24">
        <f t="shared" si="66"/>
        <v>31.029809257284768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770</v>
      </c>
      <c r="CR73" s="13">
        <f>VLOOKUP(A73,'Données projet'!$A$139:$I$159,9,0)</f>
        <v>15.9</v>
      </c>
      <c r="CS73" s="13">
        <f t="array" ref="CS73">INDEX(CR:CR,MIN(IF(ISNUMBER(CR73:CR269),ROW(CR73:CR269),"")))</f>
        <v>15.9</v>
      </c>
      <c r="CT73" s="13">
        <f>IF('Données projet'!$A$140&gt;35,CT72+CS73-DB72,IF(A73&lt;'Données projet'!$A$140,$CQ$205^A73,IF(A73='Données projet'!$A$140,'Données projet'!$B$140,CT72+CS73-DB72)))</f>
        <v>769.99999999999977</v>
      </c>
      <c r="CU73" s="18">
        <f>CT73*VLOOKUP('Données projet'!$B$13,Paramètres!$A$1:$I$89,3,0)*VLOOKUP('Données projet'!$B$13,Paramètres!$A$1:$I$89,5,0)</f>
        <v>460.45999999999992</v>
      </c>
      <c r="CV73" s="14">
        <f t="shared" si="95"/>
        <v>103.93179686143648</v>
      </c>
      <c r="CW73" s="22">
        <f t="shared" si="67"/>
        <v>982.98237953366845</v>
      </c>
      <c r="CX73" s="62">
        <f t="shared" si="68"/>
        <v>1276.3157128670018</v>
      </c>
      <c r="CY73" s="62">
        <f ca="1">AVERAGE(OFFSET($CX$3,0,0,'Données projet'!$E$13+1,1))-AVERAGE(OFFSET($H$3,0,0,'Données projet'!$E$13+1,1))</f>
        <v>463.3255103386889</v>
      </c>
      <c r="CZ73" s="62">
        <f t="shared" si="96"/>
        <v>474.73210558736127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71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2.2632670936223644</v>
      </c>
      <c r="DG73" s="23">
        <f>EXP(-LN(2)/25)*DG72+(1-EXP(-LN(2)/25))/(LN(2)/25)*Calculateur!DB73*Calculateur!DD73*VLOOKUP('Données projet'!$B$13,Paramètres!$A$1:$I$89,3,0)*0.475*44/12</f>
        <v>11.434247607192336</v>
      </c>
      <c r="DH73" s="23">
        <f>EXP(-LN(2)/2)*DH72+(1-EXP(-LN(2)/2))/(LN(2)/2)*DB73*DE73*VLOOKUP('Données projet'!$B$13,Paramètres!$A$1:$I$89,3,0)*0.475*44/12</f>
        <v>4.1597781629794419E-5</v>
      </c>
      <c r="DI73" s="24">
        <f t="shared" si="69"/>
        <v>13.69755629859633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446.4</v>
      </c>
      <c r="DM73" s="13">
        <f>VLOOKUP(A73,'Données projet'!$A$165:$I$185,9,0)</f>
        <v>15.5</v>
      </c>
      <c r="DN73" s="13">
        <f t="array" ref="DN73">INDEX(DM:DM,MIN(IF(ISNUMBER(DM73:DM269),ROW(DM73:DM269),"")))</f>
        <v>15.5</v>
      </c>
      <c r="DO73" s="13">
        <f>IF('Données projet'!$A$166&gt;35,DO72+DN73-DW72,IF(A73&lt;'Données projet'!$A$166,$DL$205^A73,IF(A73='Données projet'!$A$166,'Données projet'!$B$166,DO72+DN73-DW72)))</f>
        <v>446.39999999999986</v>
      </c>
      <c r="DP73" s="18">
        <f>DO73*VLOOKUP('Données projet'!$B$14,Paramètres!$A$1:$I$89,3,0)*VLOOKUP('Données projet'!$B$14,Paramètres!$A$1:$I$89,5,0)</f>
        <v>208.91519999999994</v>
      </c>
      <c r="DQ73" s="14">
        <f t="shared" si="97"/>
        <v>51.698458198123326</v>
      </c>
      <c r="DR73" s="22">
        <f t="shared" si="70"/>
        <v>453.90212136173136</v>
      </c>
      <c r="DS73" s="62">
        <f t="shared" si="71"/>
        <v>747.23545469506462</v>
      </c>
      <c r="DT73" s="62">
        <f ca="1">AVERAGE(OFFSET($DS$3,0,0,'Données projet'!$E$14+1,1))-AVERAGE(OFFSET($H$3,0,0,'Données projet'!$E$14+1,1))</f>
        <v>215.23235148064941</v>
      </c>
      <c r="DU73" s="62">
        <f t="shared" si="98"/>
        <v>184.07239726900434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83.4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1.4195323671676163</v>
      </c>
      <c r="EB73" s="23">
        <f>EXP(-LN(2)/25)*EB72+(1-EXP(-LN(2)/25))/(LN(2)/25)*Calculateur!DW73*Calculateur!DY73*VLOOKUP('Données projet'!$B$14,Paramètres!$A$1:$I$89,3,0)*0.475*44/12</f>
        <v>2.5913368394721368</v>
      </c>
      <c r="EC73" s="23">
        <f>EXP(-LN(2)/2)*EC72+(1-EXP(-LN(2)/2))/(LN(2)/2)*DW73*DZ73*VLOOKUP('Données projet'!$B$14,Paramètres!$A$1:$I$89,3,0)*0.475*44/12</f>
        <v>9.3766941836318892E-6</v>
      </c>
      <c r="ED73" s="24">
        <f t="shared" si="72"/>
        <v>4.0108785833339367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434.56730960190009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14.1</v>
      </c>
      <c r="N74" s="14">
        <f>IF('Données projet'!$A$36&gt;35,N73+M74-V73,IF(A74&lt;'Données projet'!$A$36,$K$205^A74,IF(A74='Données projet'!$A$36,'Données projet'!$B$36,N73+M74-V73)))</f>
        <v>733.10000000000093</v>
      </c>
      <c r="O74" s="14">
        <f>N74*VLOOKUP('Données projet'!$B$9,Paramètres!$A$1:$I$89,3,0)*VLOOKUP('Données projet'!$B$9,Paramètres!$A$1:$I$89,5,0)</f>
        <v>409.80290000000053</v>
      </c>
      <c r="P74" s="14">
        <f t="shared" si="87"/>
        <v>93.761243623087253</v>
      </c>
      <c r="Q74" s="22">
        <f t="shared" si="54"/>
        <v>877.04088347687787</v>
      </c>
      <c r="R74" s="62">
        <f t="shared" si="55"/>
        <v>1170.3742168102112</v>
      </c>
      <c r="S74" s="62">
        <f ca="1">AVERAGE(OFFSET($R$3,0,0,'Données projet'!$E$9+1,1))-AVERAGE(OFFSET($H$3,0,0,'Données projet'!$E$9+1,1))</f>
        <v>460.40450534123659</v>
      </c>
      <c r="T74" s="62">
        <f t="shared" si="88"/>
        <v>467.77477728479198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5.5772284302217203</v>
      </c>
      <c r="AA74" s="23">
        <f>EXP(-LN(2)/25)*AA73+(1-EXP(-LN(2)/25))/(LN(2)/25)*Calculateur!V74*Calculateur!X74*VLOOKUP('Données projet'!$B$9,Paramètres!$A$1:$I$89,3,0)*0.475*44/12</f>
        <v>14.203385688807876</v>
      </c>
      <c r="AB74" s="23">
        <f>EXP(-LN(2)/2)*AB73+(1-EXP(-LN(2)/2))/(LN(2)/2)*V74*Y74*VLOOKUP('Données projet'!$B$9,Paramètres!$A$1:$I$89,3,0)*0.475*44/12</f>
        <v>2.7124974981550013E-5</v>
      </c>
      <c r="AC74" s="24">
        <f t="shared" si="57"/>
        <v>19.780641244004578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7.4</v>
      </c>
      <c r="AI74" s="14">
        <f>IF('Données projet'!$A$62&gt;35,AI73+AH74-AQ73,IF(A74&lt;'Données projet'!$A$62,$AF$205^A74,IF(A74='Données projet'!$A$62,'Données projet'!$B$62,AI73+AH74-AQ73)))</f>
        <v>281.39999999999998</v>
      </c>
      <c r="AJ74" s="14">
        <f>AI74*VLOOKUP('Données projet'!$B$10,Paramètres!$A$1:$I$89,3,0)*VLOOKUP('Données projet'!$B$10,Paramètres!$A$1:$I$89,5,0)</f>
        <v>254.61071999999999</v>
      </c>
      <c r="AK74" s="14">
        <f t="shared" si="89"/>
        <v>61.572204587965679</v>
      </c>
      <c r="AL74" s="22">
        <f t="shared" si="58"/>
        <v>550.68526032404009</v>
      </c>
      <c r="AM74" s="62">
        <f t="shared" si="59"/>
        <v>844.01859365737346</v>
      </c>
      <c r="AN74" s="62">
        <f ca="1">AVERAGE(OFFSET($AM$3,0,0,'Données projet'!$E$10+1,1))-AVERAGE(OFFSET($H$3,0,0,'Données projet'!$E$10+1,1))</f>
        <v>321.03881567735544</v>
      </c>
      <c r="AO74" s="62">
        <f t="shared" si="90"/>
        <v>234.87694492493506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1.0693528891003634</v>
      </c>
      <c r="AV74" s="23">
        <f>EXP(-LN(2)/25)*AV73+(1-EXP(-LN(2)/25))/(LN(2)/25)*Calculateur!AQ74*Calculateur!AS74*VLOOKUP('Données projet'!$B$10,Paramètres!$A$1:$I$89,3,0)*0.475*44/12</f>
        <v>4.3493737093439888</v>
      </c>
      <c r="AW74" s="23">
        <f>EXP(-LN(2)/2)*AW73+(1-EXP(-LN(2)/2))/(LN(2)/2)*AQ74*AT74*VLOOKUP('Données projet'!$B$10,Paramètres!$A$1:$I$89,3,0)*0.475*44/12</f>
        <v>1.4660416659782416E-5</v>
      </c>
      <c r="AX74" s="23">
        <f t="shared" si="60"/>
        <v>5.4187412588610124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</v>
      </c>
      <c r="BD74" s="13">
        <f>IF('Données projet'!$A$88&gt;35,BD73+BC74-BL73,IF(A74&lt;'Données projet'!$A$88,$BA$205^A74,IF(A74='Données projet'!$A$88,'Données projet'!$B$88,BD73+BC74-BL73)))</f>
        <v>388</v>
      </c>
      <c r="BE74" s="14">
        <f>BD74*VLOOKUP('Données projet'!$B$11,Paramètres!$A$1:$I$89,3,0)*VLOOKUP('Données projet'!$B$11,Paramètres!$A$1:$I$89,5,0)</f>
        <v>242.11199999999999</v>
      </c>
      <c r="BF74" s="14">
        <f t="shared" si="91"/>
        <v>58.893705600066006</v>
      </c>
      <c r="BG74" s="22">
        <f t="shared" si="61"/>
        <v>524.25160392011492</v>
      </c>
      <c r="BH74" s="62">
        <f t="shared" si="62"/>
        <v>817.58493725344829</v>
      </c>
      <c r="BI74" s="62">
        <f ca="1">AVERAGE(OFFSET($BH$3,0,0,'Données projet'!$E$11+1,1))-AVERAGE(OFFSET($H$3,0,0,'Données projet'!$E$11+1,1))</f>
        <v>255.41017495879987</v>
      </c>
      <c r="BJ74" s="62">
        <f t="shared" si="92"/>
        <v>297.50513563712764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3.7045745636836975</v>
      </c>
      <c r="BQ74" s="23">
        <f>EXP(-LN(2)/25)*BQ73+(1-EXP(-LN(2)/25))/(LN(2)/25)*Calculateur!BL74*Calculateur!BN74*VLOOKUP('Données projet'!$B$11,Paramètres!$A$1:$I$89,3,0)*0.475*44/12</f>
        <v>8.9422274951214309</v>
      </c>
      <c r="BR74" s="23">
        <f>EXP(-LN(2)/2)*BR73+(1-EXP(-LN(2)/2))/(LN(2)/2)*BL74*BO74*VLOOKUP('Données projet'!$B$11,Paramètres!$A$1:$I$89,3,0)*0.475*44/12</f>
        <v>1.6454932901324722E-5</v>
      </c>
      <c r="BS74" s="24">
        <f t="shared" si="63"/>
        <v>12.64681851373803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19.5</v>
      </c>
      <c r="BY74" s="13">
        <f>IF('Données projet'!$A$114&gt;35,BY73+BX74-CG73,IF(A74&lt;'Données projet'!$A$114,$BV$205^A74,IF(A74='Données projet'!$A$114,'Données projet'!$B$114,BY73+BX74-CG73)))</f>
        <v>791.50000000000011</v>
      </c>
      <c r="BZ74" s="14">
        <f>BY74*VLOOKUP('Données projet'!$B$12,Paramètres!$A$1:$I$89,3,0)*VLOOKUP('Données projet'!$B$12,Paramètres!$A$1:$I$89,5,0)</f>
        <v>380.71150000000006</v>
      </c>
      <c r="CA74" s="14">
        <f t="shared" si="93"/>
        <v>87.855041161401488</v>
      </c>
      <c r="CB74" s="22">
        <f t="shared" si="64"/>
        <v>816.08672585610759</v>
      </c>
      <c r="CC74" s="62">
        <f t="shared" si="65"/>
        <v>1109.420059189441</v>
      </c>
      <c r="CD74" s="62">
        <f ca="1">AVERAGE(OFFSET($CC$3,0,0,'Données projet'!$E$12+1,1))-AVERAGE(OFFSET($H$3,0,0,'Données projet'!$E$12+1,1))</f>
        <v>409.97612835032567</v>
      </c>
      <c r="CE74" s="62">
        <f t="shared" si="94"/>
        <v>411.87876448092288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13.574099516765225</v>
      </c>
      <c r="CL74" s="23">
        <f>EXP(-LN(2)/25)*CL73+(1-EXP(-LN(2)/25))/(LN(2)/25)*Calculateur!CG74*Calculateur!CI74*VLOOKUP('Données projet'!$B$12,Paramètres!$A$1:$I$89,3,0)*0.475*44/12</f>
        <v>16.71340011047052</v>
      </c>
      <c r="CM74" s="23">
        <f>EXP(-LN(2)/2)*CM73+(1-EXP(-LN(2)/2))/(LN(2)/2)*CG74*CJ74*VLOOKUP('Données projet'!$B$12,Paramètres!$A$1:$I$89,3,0)*0.475*44/12</f>
        <v>6.5630803977553115E-4</v>
      </c>
      <c r="CN74" s="24">
        <f t="shared" si="66"/>
        <v>30.288155935275523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12.9</v>
      </c>
      <c r="CT74" s="13">
        <f>IF('Données projet'!$A$140&gt;35,CT73+CS74-DB73,IF(A74&lt;'Données projet'!$A$140,$CQ$205^A74,IF(A74='Données projet'!$A$140,'Données projet'!$B$140,CT73+CS74-DB73)))</f>
        <v>711.89999999999975</v>
      </c>
      <c r="CU74" s="18">
        <f>CT74*VLOOKUP('Données projet'!$B$13,Paramètres!$A$1:$I$89,3,0)*VLOOKUP('Données projet'!$B$13,Paramètres!$A$1:$I$89,5,0)</f>
        <v>425.71619999999984</v>
      </c>
      <c r="CV74" s="14">
        <f t="shared" si="95"/>
        <v>96.971173930769481</v>
      </c>
      <c r="CW74" s="22">
        <f t="shared" si="67"/>
        <v>910.34717626275653</v>
      </c>
      <c r="CX74" s="62">
        <f t="shared" si="68"/>
        <v>1203.6805095960899</v>
      </c>
      <c r="CY74" s="62">
        <f ca="1">AVERAGE(OFFSET($CX$3,0,0,'Données projet'!$E$13+1,1))-AVERAGE(OFFSET($H$3,0,0,'Données projet'!$E$13+1,1))</f>
        <v>463.3255103386889</v>
      </c>
      <c r="CZ74" s="62">
        <f t="shared" si="96"/>
        <v>474.73210558736127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2.2188858063730481</v>
      </c>
      <c r="DG74" s="23">
        <f>EXP(-LN(2)/25)*DG73+(1-EXP(-LN(2)/25))/(LN(2)/25)*Calculateur!DB74*Calculateur!DD74*VLOOKUP('Données projet'!$B$13,Paramètres!$A$1:$I$89,3,0)*0.475*44/12</f>
        <v>11.121577505072713</v>
      </c>
      <c r="DH74" s="23">
        <f>EXP(-LN(2)/2)*DH73+(1-EXP(-LN(2)/2))/(LN(2)/2)*DB74*DE74*VLOOKUP('Données projet'!$B$13,Paramètres!$A$1:$I$89,3,0)*0.475*44/12</f>
        <v>2.9414073472744829E-5</v>
      </c>
      <c r="DI74" s="24">
        <f t="shared" si="69"/>
        <v>13.340492725519233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17</v>
      </c>
      <c r="DO74" s="13">
        <f>IF('Données projet'!$A$166&gt;35,DO73+DN74-DW73,IF(A74&lt;'Données projet'!$A$166,$DL$205^A74,IF(A74='Données projet'!$A$166,'Données projet'!$B$166,DO73+DN74-DW73)))</f>
        <v>379.99999999999989</v>
      </c>
      <c r="DP74" s="18">
        <f>DO74*VLOOKUP('Données projet'!$B$14,Paramètres!$A$1:$I$89,3,0)*VLOOKUP('Données projet'!$B$14,Paramètres!$A$1:$I$89,5,0)</f>
        <v>177.83999999999995</v>
      </c>
      <c r="DQ74" s="14">
        <f t="shared" si="97"/>
        <v>44.841288830609102</v>
      </c>
      <c r="DR74" s="22">
        <f t="shared" si="70"/>
        <v>387.83657804664409</v>
      </c>
      <c r="DS74" s="62">
        <f t="shared" si="71"/>
        <v>681.16991137997741</v>
      </c>
      <c r="DT74" s="62">
        <f ca="1">AVERAGE(OFFSET($DS$3,0,0,'Données projet'!$E$14+1,1))-AVERAGE(OFFSET($H$3,0,0,'Données projet'!$E$14+1,1))</f>
        <v>215.23235148064941</v>
      </c>
      <c r="DU74" s="62">
        <f t="shared" si="98"/>
        <v>184.07239726900434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1.3916962032767097</v>
      </c>
      <c r="EB74" s="23">
        <f>EXP(-LN(2)/25)*EB73+(1-EXP(-LN(2)/25))/(LN(2)/25)*Calculateur!DW74*Calculateur!DY74*VLOOKUP('Données projet'!$B$14,Paramètres!$A$1:$I$89,3,0)*0.475*44/12</f>
        <v>2.5204765973242895</v>
      </c>
      <c r="EC74" s="23">
        <f>EXP(-LN(2)/2)*EC73+(1-EXP(-LN(2)/2))/(LN(2)/2)*DW74*DZ74*VLOOKUP('Données projet'!$B$14,Paramètres!$A$1:$I$89,3,0)*0.475*44/12</f>
        <v>6.6303240423585673E-6</v>
      </c>
      <c r="ED74" s="24">
        <f t="shared" si="72"/>
        <v>3.9121794309250415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436.50492648793568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14.1</v>
      </c>
      <c r="N75" s="14">
        <f>IF('Données projet'!$A$36&gt;35,N74+M75-V74,IF(A75&lt;'Données projet'!$A$36,$K$205^A75,IF(A75='Données projet'!$A$36,'Données projet'!$B$36,N74+M75-V74)))</f>
        <v>747.20000000000095</v>
      </c>
      <c r="O75" s="14">
        <f>N75*VLOOKUP('Données projet'!$B$9,Paramètres!$A$1:$I$89,3,0)*VLOOKUP('Données projet'!$B$9,Paramètres!$A$1:$I$89,5,0)</f>
        <v>417.68480000000051</v>
      </c>
      <c r="P75" s="14">
        <f t="shared" si="87"/>
        <v>95.352909821524264</v>
      </c>
      <c r="Q75" s="22">
        <f t="shared" si="54"/>
        <v>893.54067793915567</v>
      </c>
      <c r="R75" s="62">
        <f t="shared" si="55"/>
        <v>1186.874011272489</v>
      </c>
      <c r="S75" s="62">
        <f ca="1">AVERAGE(OFFSET($R$3,0,0,'Données projet'!$E$9+1,1))-AVERAGE(OFFSET($H$3,0,0,'Données projet'!$E$9+1,1))</f>
        <v>460.40450534123659</v>
      </c>
      <c r="T75" s="62">
        <f t="shared" si="88"/>
        <v>467.77477728479198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5.4678623824785175</v>
      </c>
      <c r="AA75" s="23">
        <f>EXP(-LN(2)/25)*AA74+(1-EXP(-LN(2)/25))/(LN(2)/25)*Calculateur!V75*Calculateur!X75*VLOOKUP('Données projet'!$B$9,Paramètres!$A$1:$I$89,3,0)*0.475*44/12</f>
        <v>13.814993360223832</v>
      </c>
      <c r="AB75" s="23">
        <f>EXP(-LN(2)/2)*AB74+(1-EXP(-LN(2)/2))/(LN(2)/2)*V75*Y75*VLOOKUP('Données projet'!$B$9,Paramètres!$A$1:$I$89,3,0)*0.475*44/12</f>
        <v>1.9180253748969461E-5</v>
      </c>
      <c r="AC75" s="24">
        <f t="shared" si="57"/>
        <v>19.282874922956097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7.4</v>
      </c>
      <c r="AI75" s="14">
        <f>IF('Données projet'!$A$62&gt;35,AI74+AH75-AQ74,IF(A75&lt;'Données projet'!$A$62,$AF$205^A75,IF(A75='Données projet'!$A$62,'Données projet'!$B$62,AI74+AH75-AQ74)))</f>
        <v>288.79999999999995</v>
      </c>
      <c r="AJ75" s="14">
        <f>AI75*VLOOKUP('Données projet'!$B$10,Paramètres!$A$1:$I$89,3,0)*VLOOKUP('Données projet'!$B$10,Paramètres!$A$1:$I$89,5,0)</f>
        <v>261.30623999999995</v>
      </c>
      <c r="AK75" s="14">
        <f t="shared" si="89"/>
        <v>63.000734275359598</v>
      </c>
      <c r="AL75" s="22">
        <f t="shared" si="58"/>
        <v>564.83464686291791</v>
      </c>
      <c r="AM75" s="62">
        <f t="shared" si="59"/>
        <v>858.16798019625116</v>
      </c>
      <c r="AN75" s="62">
        <f ca="1">AVERAGE(OFFSET($AM$3,0,0,'Données projet'!$E$10+1,1))-AVERAGE(OFFSET($H$3,0,0,'Données projet'!$E$10+1,1))</f>
        <v>321.03881567735544</v>
      </c>
      <c r="AO75" s="62">
        <f t="shared" si="90"/>
        <v>234.87694492493506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1.0483835311859642</v>
      </c>
      <c r="AV75" s="23">
        <f>EXP(-LN(2)/25)*AV74+(1-EXP(-LN(2)/25))/(LN(2)/25)*Calculateur!AQ75*Calculateur!AS75*VLOOKUP('Données projet'!$B$10,Paramètres!$A$1:$I$89,3,0)*0.475*44/12</f>
        <v>4.2304398565383545</v>
      </c>
      <c r="AW75" s="23">
        <f>EXP(-LN(2)/2)*AW74+(1-EXP(-LN(2)/2))/(LN(2)/2)*AQ75*AT75*VLOOKUP('Données projet'!$B$10,Paramètres!$A$1:$I$89,3,0)*0.475*44/12</f>
        <v>1.0366480035152381E-5</v>
      </c>
      <c r="AX75" s="23">
        <f t="shared" si="60"/>
        <v>5.2788337542043537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</v>
      </c>
      <c r="BD75" s="13">
        <f>IF('Données projet'!$A$88&gt;35,BD74+BC75-BL74,IF(A75&lt;'Données projet'!$A$88,$BA$205^A75,IF(A75='Données projet'!$A$88,'Données projet'!$B$88,BD74+BC75-BL74)))</f>
        <v>394</v>
      </c>
      <c r="BE75" s="14">
        <f>BD75*VLOOKUP('Données projet'!$B$11,Paramètres!$A$1:$I$89,3,0)*VLOOKUP('Données projet'!$B$11,Paramètres!$A$1:$I$89,5,0)</f>
        <v>245.85600000000002</v>
      </c>
      <c r="BF75" s="14">
        <f t="shared" si="91"/>
        <v>59.697704223314012</v>
      </c>
      <c r="BG75" s="22">
        <f t="shared" si="61"/>
        <v>532.17270152227195</v>
      </c>
      <c r="BH75" s="62">
        <f t="shared" si="62"/>
        <v>825.50603485560532</v>
      </c>
      <c r="BI75" s="62">
        <f ca="1">AVERAGE(OFFSET($BH$3,0,0,'Données projet'!$E$11+1,1))-AVERAGE(OFFSET($H$3,0,0,'Données projet'!$E$11+1,1))</f>
        <v>255.41017495879987</v>
      </c>
      <c r="BJ75" s="62">
        <f t="shared" si="92"/>
        <v>297.50513563712764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3.6319301160572302</v>
      </c>
      <c r="BQ75" s="23">
        <f>EXP(-LN(2)/25)*BQ74+(1-EXP(-LN(2)/25))/(LN(2)/25)*Calculateur!BL75*Calculateur!BN75*VLOOKUP('Données projet'!$B$11,Paramètres!$A$1:$I$89,3,0)*0.475*44/12</f>
        <v>8.6977018140160283</v>
      </c>
      <c r="BR75" s="23">
        <f>EXP(-LN(2)/2)*BR74+(1-EXP(-LN(2)/2))/(LN(2)/2)*BL75*BO75*VLOOKUP('Données projet'!$B$11,Paramètres!$A$1:$I$89,3,0)*0.475*44/12</f>
        <v>1.1635394638496342E-5</v>
      </c>
      <c r="BS75" s="24">
        <f t="shared" si="63"/>
        <v>12.329643565467897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19.5</v>
      </c>
      <c r="BY75" s="13">
        <f>IF('Données projet'!$A$114&gt;35,BY74+BX75-CG74,IF(A75&lt;'Données projet'!$A$114,$BV$205^A75,IF(A75='Données projet'!$A$114,'Données projet'!$B$114,BY74+BX75-CG74)))</f>
        <v>811.00000000000011</v>
      </c>
      <c r="BZ75" s="14">
        <f>BY75*VLOOKUP('Données projet'!$B$12,Paramètres!$A$1:$I$89,3,0)*VLOOKUP('Données projet'!$B$12,Paramètres!$A$1:$I$89,5,0)</f>
        <v>390.09100000000007</v>
      </c>
      <c r="CA75" s="14">
        <f t="shared" si="93"/>
        <v>89.764844136715396</v>
      </c>
      <c r="CB75" s="22">
        <f t="shared" si="64"/>
        <v>835.74892853811264</v>
      </c>
      <c r="CC75" s="62">
        <f t="shared" si="65"/>
        <v>1129.082261871446</v>
      </c>
      <c r="CD75" s="62">
        <f ca="1">AVERAGE(OFFSET($CC$3,0,0,'Données projet'!$E$12+1,1))-AVERAGE(OFFSET($H$3,0,0,'Données projet'!$E$12+1,1))</f>
        <v>409.97612835032567</v>
      </c>
      <c r="CE75" s="62">
        <f t="shared" si="94"/>
        <v>411.87876448092288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13.307919704624643</v>
      </c>
      <c r="CL75" s="23">
        <f>EXP(-LN(2)/25)*CL74+(1-EXP(-LN(2)/25))/(LN(2)/25)*Calculateur!CG75*Calculateur!CI75*VLOOKUP('Données projet'!$B$12,Paramètres!$A$1:$I$89,3,0)*0.475*44/12</f>
        <v>16.256371305530191</v>
      </c>
      <c r="CM75" s="23">
        <f>EXP(-LN(2)/2)*CM74+(1-EXP(-LN(2)/2))/(LN(2)/2)*CG75*CJ75*VLOOKUP('Données projet'!$B$12,Paramètres!$A$1:$I$89,3,0)*0.475*44/12</f>
        <v>4.6407986547252844E-4</v>
      </c>
      <c r="CN75" s="24">
        <f t="shared" si="66"/>
        <v>29.564755090020306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12.9</v>
      </c>
      <c r="CT75" s="13">
        <f>IF('Données projet'!$A$140&gt;35,CT74+CS75-DB74,IF(A75&lt;'Données projet'!$A$140,$CQ$205^A75,IF(A75='Données projet'!$A$140,'Données projet'!$B$140,CT74+CS75-DB74)))</f>
        <v>724.79999999999973</v>
      </c>
      <c r="CU75" s="18">
        <f>CT75*VLOOKUP('Données projet'!$B$13,Paramètres!$A$1:$I$89,3,0)*VLOOKUP('Données projet'!$B$13,Paramètres!$A$1:$I$89,5,0)</f>
        <v>433.43039999999991</v>
      </c>
      <c r="CV75" s="14">
        <f t="shared" si="95"/>
        <v>98.522181385829711</v>
      </c>
      <c r="CW75" s="22">
        <f t="shared" si="67"/>
        <v>926.48407924698665</v>
      </c>
      <c r="CX75" s="62">
        <f t="shared" si="68"/>
        <v>1219.81741258032</v>
      </c>
      <c r="CY75" s="62">
        <f ca="1">AVERAGE(OFFSET($CX$3,0,0,'Données projet'!$E$13+1,1))-AVERAGE(OFFSET($H$3,0,0,'Données projet'!$E$13+1,1))</f>
        <v>463.3255103386889</v>
      </c>
      <c r="CZ75" s="62">
        <f t="shared" si="96"/>
        <v>474.73210558736127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2.1753748090967786</v>
      </c>
      <c r="DG75" s="23">
        <f>EXP(-LN(2)/25)*DG74+(1-EXP(-LN(2)/25))/(LN(2)/25)*Calculateur!DB75*Calculateur!DD75*VLOOKUP('Données projet'!$B$13,Paramètres!$A$1:$I$89,3,0)*0.475*44/12</f>
        <v>10.817457383338157</v>
      </c>
      <c r="DH75" s="23">
        <f>EXP(-LN(2)/2)*DH74+(1-EXP(-LN(2)/2))/(LN(2)/2)*DB75*DE75*VLOOKUP('Données projet'!$B$13,Paramètres!$A$1:$I$89,3,0)*0.475*44/12</f>
        <v>2.0798890814897209E-5</v>
      </c>
      <c r="DI75" s="24">
        <f t="shared" si="69"/>
        <v>12.99285299132575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17</v>
      </c>
      <c r="DO75" s="13">
        <f>IF('Données projet'!$A$166&gt;35,DO74+DN75-DW74,IF(A75&lt;'Données projet'!$A$166,$DL$205^A75,IF(A75='Données projet'!$A$166,'Données projet'!$B$166,DO74+DN75-DW74)))</f>
        <v>396.99999999999989</v>
      </c>
      <c r="DP75" s="18">
        <f>DO75*VLOOKUP('Données projet'!$B$14,Paramètres!$A$1:$I$89,3,0)*VLOOKUP('Données projet'!$B$14,Paramètres!$A$1:$I$89,5,0)</f>
        <v>185.79599999999996</v>
      </c>
      <c r="DQ75" s="14">
        <f t="shared" si="97"/>
        <v>46.60930127448345</v>
      </c>
      <c r="DR75" s="22">
        <f t="shared" si="70"/>
        <v>404.77256638639187</v>
      </c>
      <c r="DS75" s="62">
        <f t="shared" si="71"/>
        <v>698.10589971972513</v>
      </c>
      <c r="DT75" s="62">
        <f ca="1">AVERAGE(OFFSET($DS$3,0,0,'Données projet'!$E$14+1,1))-AVERAGE(OFFSET($H$3,0,0,'Données projet'!$E$14+1,1))</f>
        <v>215.23235148064941</v>
      </c>
      <c r="DU75" s="62">
        <f t="shared" si="98"/>
        <v>184.07239726900434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1.3644058895813205</v>
      </c>
      <c r="EB75" s="23">
        <f>EXP(-LN(2)/25)*EB74+(1-EXP(-LN(2)/25))/(LN(2)/25)*Calculateur!DW75*Calculateur!DY75*VLOOKUP('Données projet'!$B$14,Paramètres!$A$1:$I$89,3,0)*0.475*44/12</f>
        <v>2.4515540322243532</v>
      </c>
      <c r="EC75" s="23">
        <f>EXP(-LN(2)/2)*EC74+(1-EXP(-LN(2)/2))/(LN(2)/2)*DW75*DZ75*VLOOKUP('Données projet'!$B$14,Paramètres!$A$1:$I$89,3,0)*0.475*44/12</f>
        <v>4.6883470918159446E-6</v>
      </c>
      <c r="ED75" s="24">
        <f t="shared" si="72"/>
        <v>3.8159646101527658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438.44191509545817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14.1</v>
      </c>
      <c r="N76" s="14">
        <f>IF('Données projet'!$A$36&gt;35,N75+M76-V75,IF(A76&lt;'Données projet'!$A$36,$K$205^A76,IF(A76='Données projet'!$A$36,'Données projet'!$B$36,N75+M76-V75)))</f>
        <v>761.30000000000098</v>
      </c>
      <c r="O76" s="14">
        <f>N76*VLOOKUP('Données projet'!$B$9,Paramètres!$A$1:$I$89,3,0)*VLOOKUP('Données projet'!$B$9,Paramètres!$A$1:$I$89,5,0)</f>
        <v>425.56670000000059</v>
      </c>
      <c r="P76" s="14">
        <f t="shared" si="87"/>
        <v>96.941083510506715</v>
      </c>
      <c r="Q76" s="22">
        <f t="shared" si="54"/>
        <v>910.03438961413349</v>
      </c>
      <c r="R76" s="62">
        <f t="shared" si="55"/>
        <v>1203.3677229474667</v>
      </c>
      <c r="S76" s="62">
        <f ca="1">AVERAGE(OFFSET($R$3,0,0,'Données projet'!$E$9+1,1))-AVERAGE(OFFSET($H$3,0,0,'Données projet'!$E$9+1,1))</f>
        <v>460.40450534123659</v>
      </c>
      <c r="T76" s="62">
        <f t="shared" si="88"/>
        <v>467.77477728479198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5.3606409362248568</v>
      </c>
      <c r="AA76" s="23">
        <f>EXP(-LN(2)/25)*AA75+(1-EXP(-LN(2)/25))/(LN(2)/25)*Calculateur!V76*Calculateur!X76*VLOOKUP('Données projet'!$B$9,Paramètres!$A$1:$I$89,3,0)*0.475*44/12</f>
        <v>13.437221640289586</v>
      </c>
      <c r="AB76" s="23">
        <f>EXP(-LN(2)/2)*AB75+(1-EXP(-LN(2)/2))/(LN(2)/2)*V76*Y76*VLOOKUP('Données projet'!$B$9,Paramètres!$A$1:$I$89,3,0)*0.475*44/12</f>
        <v>1.3562487490775007E-5</v>
      </c>
      <c r="AC76" s="24">
        <f t="shared" si="57"/>
        <v>18.797876139001936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7.4</v>
      </c>
      <c r="AI76" s="14">
        <f>IF('Données projet'!$A$62&gt;35,AI75+AH76-AQ75,IF(A76&lt;'Données projet'!$A$62,$AF$205^A76,IF(A76='Données projet'!$A$62,'Données projet'!$B$62,AI75+AH76-AQ75)))</f>
        <v>296.19999999999993</v>
      </c>
      <c r="AJ76" s="14">
        <f>AI76*VLOOKUP('Données projet'!$B$10,Paramètres!$A$1:$I$89,3,0)*VLOOKUP('Données projet'!$B$10,Paramètres!$A$1:$I$89,5,0)</f>
        <v>268.00175999999993</v>
      </c>
      <c r="AK76" s="14">
        <f t="shared" si="89"/>
        <v>64.425009159185578</v>
      </c>
      <c r="AL76" s="22">
        <f t="shared" si="58"/>
        <v>578.97662295224802</v>
      </c>
      <c r="AM76" s="62">
        <f t="shared" si="59"/>
        <v>872.30995628558139</v>
      </c>
      <c r="AN76" s="62">
        <f ca="1">AVERAGE(OFFSET($AM$3,0,0,'Données projet'!$E$10+1,1))-AVERAGE(OFFSET($H$3,0,0,'Données projet'!$E$10+1,1))</f>
        <v>321.03881567735544</v>
      </c>
      <c r="AO76" s="62">
        <f t="shared" si="90"/>
        <v>234.87694492493506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1.0278253695902209</v>
      </c>
      <c r="AV76" s="23">
        <f>EXP(-LN(2)/25)*AV75+(1-EXP(-LN(2)/25))/(LN(2)/25)*Calculateur!AQ76*Calculateur!AS76*VLOOKUP('Données projet'!$B$10,Paramètres!$A$1:$I$89,3,0)*0.475*44/12</f>
        <v>4.1147582561921503</v>
      </c>
      <c r="AW76" s="23">
        <f>EXP(-LN(2)/2)*AW75+(1-EXP(-LN(2)/2))/(LN(2)/2)*AQ76*AT76*VLOOKUP('Données projet'!$B$10,Paramètres!$A$1:$I$89,3,0)*0.475*44/12</f>
        <v>7.330208329891208E-6</v>
      </c>
      <c r="AX76" s="23">
        <f t="shared" si="60"/>
        <v>5.142590955990701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</v>
      </c>
      <c r="BD76" s="13">
        <f>IF('Données projet'!$A$88&gt;35,BD75+BC76-BL75,IF(A76&lt;'Données projet'!$A$88,$BA$205^A76,IF(A76='Données projet'!$A$88,'Données projet'!$B$88,BD75+BC76-BL75)))</f>
        <v>400</v>
      </c>
      <c r="BE76" s="14">
        <f>BD76*VLOOKUP('Données projet'!$B$11,Paramètres!$A$1:$I$89,3,0)*VLOOKUP('Données projet'!$B$11,Paramètres!$A$1:$I$89,5,0)</f>
        <v>249.60000000000002</v>
      </c>
      <c r="BF76" s="14">
        <f t="shared" si="91"/>
        <v>60.500278891753695</v>
      </c>
      <c r="BG76" s="22">
        <f t="shared" si="61"/>
        <v>540.0913190698044</v>
      </c>
      <c r="BH76" s="62">
        <f t="shared" si="62"/>
        <v>833.42465240313777</v>
      </c>
      <c r="BI76" s="62">
        <f ca="1">AVERAGE(OFFSET($BH$3,0,0,'Données projet'!$E$11+1,1))-AVERAGE(OFFSET($H$3,0,0,'Données projet'!$E$11+1,1))</f>
        <v>255.41017495879987</v>
      </c>
      <c r="BJ76" s="62">
        <f t="shared" si="92"/>
        <v>297.50513563712764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3.5607101817399802</v>
      </c>
      <c r="BQ76" s="23">
        <f>EXP(-LN(2)/25)*BQ75+(1-EXP(-LN(2)/25))/(LN(2)/25)*Calculateur!BL76*Calculateur!BN76*VLOOKUP('Données projet'!$B$11,Paramètres!$A$1:$I$89,3,0)*0.475*44/12</f>
        <v>8.4598627005195013</v>
      </c>
      <c r="BR76" s="23">
        <f>EXP(-LN(2)/2)*BR75+(1-EXP(-LN(2)/2))/(LN(2)/2)*BL76*BO76*VLOOKUP('Données projet'!$B$11,Paramètres!$A$1:$I$89,3,0)*0.475*44/12</f>
        <v>8.2274664506623608E-6</v>
      </c>
      <c r="BS76" s="24">
        <f t="shared" si="63"/>
        <v>12.020581109725931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19.5</v>
      </c>
      <c r="BY76" s="13">
        <f>IF('Données projet'!$A$114&gt;35,BY75+BX76-CG75,IF(A76&lt;'Données projet'!$A$114,$BV$205^A76,IF(A76='Données projet'!$A$114,'Données projet'!$B$114,BY75+BX76-CG75)))</f>
        <v>830.50000000000011</v>
      </c>
      <c r="BZ76" s="14">
        <f>BY76*VLOOKUP('Données projet'!$B$12,Paramètres!$A$1:$I$89,3,0)*VLOOKUP('Données projet'!$B$12,Paramètres!$A$1:$I$89,5,0)</f>
        <v>399.47050000000007</v>
      </c>
      <c r="CA76" s="14">
        <f t="shared" si="93"/>
        <v>91.669308947822955</v>
      </c>
      <c r="CB76" s="22">
        <f t="shared" si="64"/>
        <v>855.40183391745848</v>
      </c>
      <c r="CC76" s="62">
        <f t="shared" si="65"/>
        <v>1148.7351672507918</v>
      </c>
      <c r="CD76" s="62">
        <f ca="1">AVERAGE(OFFSET($CC$3,0,0,'Données projet'!$E$12+1,1))-AVERAGE(OFFSET($H$3,0,0,'Données projet'!$E$12+1,1))</f>
        <v>409.97612835032567</v>
      </c>
      <c r="CE76" s="62">
        <f t="shared" si="94"/>
        <v>411.87876448092288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13.046959516246483</v>
      </c>
      <c r="CL76" s="23">
        <f>EXP(-LN(2)/25)*CL75+(1-EXP(-LN(2)/25))/(LN(2)/25)*Calculateur!CG76*Calculateur!CI76*VLOOKUP('Données projet'!$B$12,Paramètres!$A$1:$I$89,3,0)*0.475*44/12</f>
        <v>15.811839977295055</v>
      </c>
      <c r="CM76" s="23">
        <f>EXP(-LN(2)/2)*CM75+(1-EXP(-LN(2)/2))/(LN(2)/2)*CG76*CJ76*VLOOKUP('Données projet'!$B$12,Paramètres!$A$1:$I$89,3,0)*0.475*44/12</f>
        <v>3.2815401988776558E-4</v>
      </c>
      <c r="CN76" s="24">
        <f t="shared" si="66"/>
        <v>28.859127647561426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12.9</v>
      </c>
      <c r="CT76" s="13">
        <f>IF('Données projet'!$A$140&gt;35,CT75+CS76-DB75,IF(A76&lt;'Données projet'!$A$140,$CQ$205^A76,IF(A76='Données projet'!$A$140,'Données projet'!$B$140,CT75+CS76-DB75)))</f>
        <v>737.6999999999997</v>
      </c>
      <c r="CU76" s="18">
        <f>CT76*VLOOKUP('Données projet'!$B$13,Paramètres!$A$1:$I$89,3,0)*VLOOKUP('Données projet'!$B$13,Paramètres!$A$1:$I$89,5,0)</f>
        <v>441.14459999999985</v>
      </c>
      <c r="CV76" s="14">
        <f t="shared" si="95"/>
        <v>100.06997878312359</v>
      </c>
      <c r="CW76" s="22">
        <f t="shared" si="67"/>
        <v>942.61539138060652</v>
      </c>
      <c r="CX76" s="62">
        <f t="shared" si="68"/>
        <v>1235.9487247139398</v>
      </c>
      <c r="CY76" s="62">
        <f ca="1">AVERAGE(OFFSET($CX$3,0,0,'Données projet'!$E$13+1,1))-AVERAGE(OFFSET($H$3,0,0,'Données projet'!$E$13+1,1))</f>
        <v>463.3255103386889</v>
      </c>
      <c r="CZ76" s="62">
        <f t="shared" si="96"/>
        <v>474.73210558736127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2.132717035938009</v>
      </c>
      <c r="DG76" s="23">
        <f>EXP(-LN(2)/25)*DG75+(1-EXP(-LN(2)/25))/(LN(2)/25)*Calculateur!DB76*Calculateur!DD76*VLOOKUP('Données projet'!$B$13,Paramètres!$A$1:$I$89,3,0)*0.475*44/12</f>
        <v>10.521653442325414</v>
      </c>
      <c r="DH76" s="23">
        <f>EXP(-LN(2)/2)*DH75+(1-EXP(-LN(2)/2))/(LN(2)/2)*DB76*DE76*VLOOKUP('Données projet'!$B$13,Paramètres!$A$1:$I$89,3,0)*0.475*44/12</f>
        <v>1.4707036736372414E-5</v>
      </c>
      <c r="DI76" s="24">
        <f t="shared" si="69"/>
        <v>12.654385185300161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17</v>
      </c>
      <c r="DO76" s="13">
        <f>IF('Données projet'!$A$166&gt;35,DO75+DN76-DW75,IF(A76&lt;'Données projet'!$A$166,$DL$205^A76,IF(A76='Données projet'!$A$166,'Données projet'!$B$166,DO75+DN76-DW75)))</f>
        <v>413.99999999999989</v>
      </c>
      <c r="DP76" s="18">
        <f>DO76*VLOOKUP('Données projet'!$B$14,Paramètres!$A$1:$I$89,3,0)*VLOOKUP('Données projet'!$B$14,Paramètres!$A$1:$I$89,5,0)</f>
        <v>193.75199999999995</v>
      </c>
      <c r="DQ76" s="14">
        <f t="shared" si="97"/>
        <v>48.36852035537607</v>
      </c>
      <c r="DR76" s="22">
        <f t="shared" si="70"/>
        <v>421.69323961894656</v>
      </c>
      <c r="DS76" s="62">
        <f t="shared" si="71"/>
        <v>715.02657295227982</v>
      </c>
      <c r="DT76" s="62">
        <f ca="1">AVERAGE(OFFSET($DS$3,0,0,'Données projet'!$E$14+1,1))-AVERAGE(OFFSET($H$3,0,0,'Données projet'!$E$14+1,1))</f>
        <v>215.23235148064941</v>
      </c>
      <c r="DU76" s="62">
        <f t="shared" si="98"/>
        <v>184.07239726900434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1.33765072229205</v>
      </c>
      <c r="EB76" s="23">
        <f>EXP(-LN(2)/25)*EB75+(1-EXP(-LN(2)/25))/(LN(2)/25)*Calculateur!DW76*Calculateur!DY76*VLOOKUP('Données projet'!$B$14,Paramètres!$A$1:$I$89,3,0)*0.475*44/12</f>
        <v>2.3845161582915546</v>
      </c>
      <c r="EC76" s="23">
        <f>EXP(-LN(2)/2)*EC75+(1-EXP(-LN(2)/2))/(LN(2)/2)*DW76*DZ76*VLOOKUP('Données projet'!$B$14,Paramètres!$A$1:$I$89,3,0)*0.475*44/12</f>
        <v>3.3151620211792836E-6</v>
      </c>
      <c r="ED76" s="24">
        <f t="shared" si="72"/>
        <v>3.7221701957456261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440.37828502577372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14.1</v>
      </c>
      <c r="N77" s="14">
        <f>IF('Données projet'!$A$36&gt;35,N76+M77-V76,IF(A77&lt;'Données projet'!$A$36,$K$205^A77,IF(A77='Données projet'!$A$36,'Données projet'!$B$36,N76+M77-V76)))</f>
        <v>775.400000000001</v>
      </c>
      <c r="O77" s="14">
        <f>N77*VLOOKUP('Données projet'!$B$9,Paramètres!$A$1:$I$89,3,0)*VLOOKUP('Données projet'!$B$9,Paramètres!$A$1:$I$89,5,0)</f>
        <v>433.44860000000057</v>
      </c>
      <c r="P77" s="14">
        <f t="shared" si="87"/>
        <v>98.525836834451923</v>
      </c>
      <c r="Q77" s="22">
        <f t="shared" si="54"/>
        <v>926.5221441533381</v>
      </c>
      <c r="R77" s="62">
        <f t="shared" si="55"/>
        <v>1219.8554774866714</v>
      </c>
      <c r="S77" s="62">
        <f ca="1">AVERAGE(OFFSET($R$3,0,0,'Données projet'!$E$9+1,1))-AVERAGE(OFFSET($H$3,0,0,'Données projet'!$E$9+1,1))</f>
        <v>460.40450534123659</v>
      </c>
      <c r="T77" s="62">
        <f t="shared" si="88"/>
        <v>467.77477728479198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5.2555220371336056</v>
      </c>
      <c r="AA77" s="23">
        <f>EXP(-LN(2)/25)*AA76+(1-EXP(-LN(2)/25))/(LN(2)/25)*Calculateur!V77*Calculateur!X77*VLOOKUP('Données projet'!$B$9,Paramètres!$A$1:$I$89,3,0)*0.475*44/12</f>
        <v>13.069780107903092</v>
      </c>
      <c r="AB77" s="23">
        <f>EXP(-LN(2)/2)*AB76+(1-EXP(-LN(2)/2))/(LN(2)/2)*V77*Y77*VLOOKUP('Données projet'!$B$9,Paramètres!$A$1:$I$89,3,0)*0.475*44/12</f>
        <v>9.5901268744847304E-6</v>
      </c>
      <c r="AC77" s="24">
        <f t="shared" si="57"/>
        <v>18.325311735163574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7.4</v>
      </c>
      <c r="AI77" s="14">
        <f>IF('Données projet'!$A$62&gt;35,AI76+AH77-AQ76,IF(A77&lt;'Données projet'!$A$62,$AF$205^A77,IF(A77='Données projet'!$A$62,'Données projet'!$B$62,AI76+AH77-AQ76)))</f>
        <v>303.59999999999991</v>
      </c>
      <c r="AJ77" s="14">
        <f>AI77*VLOOKUP('Données projet'!$B$10,Paramètres!$A$1:$I$89,3,0)*VLOOKUP('Données projet'!$B$10,Paramètres!$A$1:$I$89,5,0)</f>
        <v>274.69727999999992</v>
      </c>
      <c r="AK77" s="14">
        <f t="shared" si="89"/>
        <v>65.845147763387502</v>
      </c>
      <c r="AL77" s="22">
        <f t="shared" si="58"/>
        <v>593.11139502123308</v>
      </c>
      <c r="AM77" s="62">
        <f t="shared" si="59"/>
        <v>886.44472835456645</v>
      </c>
      <c r="AN77" s="62">
        <f ca="1">AVERAGE(OFFSET($AM$3,0,0,'Données projet'!$E$10+1,1))-AVERAGE(OFFSET($H$3,0,0,'Données projet'!$E$10+1,1))</f>
        <v>321.03881567735544</v>
      </c>
      <c r="AO77" s="62">
        <f t="shared" si="90"/>
        <v>234.87694492493506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1.0076703410041297</v>
      </c>
      <c r="AV77" s="23">
        <f>EXP(-LN(2)/25)*AV76+(1-EXP(-LN(2)/25))/(LN(2)/25)*Calculateur!AQ77*Calculateur!AS77*VLOOKUP('Données projet'!$B$10,Paramètres!$A$1:$I$89,3,0)*0.475*44/12</f>
        <v>4.002239975290844</v>
      </c>
      <c r="AW77" s="23">
        <f>EXP(-LN(2)/2)*AW76+(1-EXP(-LN(2)/2))/(LN(2)/2)*AQ77*AT77*VLOOKUP('Données projet'!$B$10,Paramètres!$A$1:$I$89,3,0)*0.475*44/12</f>
        <v>5.1832400175761903E-6</v>
      </c>
      <c r="AX77" s="23">
        <f t="shared" si="60"/>
        <v>5.0099154995349915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</v>
      </c>
      <c r="BD77" s="13">
        <f>IF('Données projet'!$A$88&gt;35,BD76+BC77-BL76,IF(A77&lt;'Données projet'!$A$88,$BA$205^A77,IF(A77='Données projet'!$A$88,'Données projet'!$B$88,BD76+BC77-BL76)))</f>
        <v>406</v>
      </c>
      <c r="BE77" s="14">
        <f>BD77*VLOOKUP('Données projet'!$B$11,Paramètres!$A$1:$I$89,3,0)*VLOOKUP('Données projet'!$B$11,Paramètres!$A$1:$I$89,5,0)</f>
        <v>253.34399999999999</v>
      </c>
      <c r="BF77" s="14">
        <f t="shared" si="91"/>
        <v>61.301453431926305</v>
      </c>
      <c r="BG77" s="22">
        <f t="shared" si="61"/>
        <v>548.00749806060492</v>
      </c>
      <c r="BH77" s="62">
        <f t="shared" si="62"/>
        <v>841.34083139393829</v>
      </c>
      <c r="BI77" s="62">
        <f ca="1">AVERAGE(OFFSET($BH$3,0,0,'Données projet'!$E$11+1,1))-AVERAGE(OFFSET($H$3,0,0,'Données projet'!$E$11+1,1))</f>
        <v>255.41017495879987</v>
      </c>
      <c r="BJ77" s="62">
        <f t="shared" si="92"/>
        <v>297.50513563712764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3.4908868268948208</v>
      </c>
      <c r="BQ77" s="23">
        <f>EXP(-LN(2)/25)*BQ76+(1-EXP(-LN(2)/25))/(LN(2)/25)*Calculateur!BL77*Calculateur!BN77*VLOOKUP('Données projet'!$B$11,Paramètres!$A$1:$I$89,3,0)*0.475*44/12</f>
        <v>8.2285273100889516</v>
      </c>
      <c r="BR77" s="23">
        <f>EXP(-LN(2)/2)*BR76+(1-EXP(-LN(2)/2))/(LN(2)/2)*BL77*BO77*VLOOKUP('Données projet'!$B$11,Paramètres!$A$1:$I$89,3,0)*0.475*44/12</f>
        <v>5.8176973192481708E-6</v>
      </c>
      <c r="BS77" s="24">
        <f t="shared" si="63"/>
        <v>11.719419954681092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19.5</v>
      </c>
      <c r="BY77" s="13">
        <f>IF('Données projet'!$A$114&gt;35,BY76+BX77-CG76,IF(A77&lt;'Données projet'!$A$114,$BV$205^A77,IF(A77='Données projet'!$A$114,'Données projet'!$B$114,BY76+BX77-CG76)))</f>
        <v>850.00000000000011</v>
      </c>
      <c r="BZ77" s="14">
        <f>BY77*VLOOKUP('Données projet'!$B$12,Paramètres!$A$1:$I$89,3,0)*VLOOKUP('Données projet'!$B$12,Paramètres!$A$1:$I$89,5,0)</f>
        <v>408.85000000000008</v>
      </c>
      <c r="CA77" s="14">
        <f t="shared" si="93"/>
        <v>93.568575358321141</v>
      </c>
      <c r="CB77" s="22">
        <f t="shared" si="64"/>
        <v>875.0456854157427</v>
      </c>
      <c r="CC77" s="62">
        <f t="shared" si="65"/>
        <v>1168.3790187490761</v>
      </c>
      <c r="CD77" s="62">
        <f ca="1">AVERAGE(OFFSET($CC$3,0,0,'Données projet'!$E$12+1,1))-AVERAGE(OFFSET($H$3,0,0,'Données projet'!$E$12+1,1))</f>
        <v>409.97612835032567</v>
      </c>
      <c r="CE77" s="62">
        <f t="shared" si="94"/>
        <v>411.87876448092288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12.791116597992421</v>
      </c>
      <c r="CL77" s="23">
        <f>EXP(-LN(2)/25)*CL76+(1-EXP(-LN(2)/25))/(LN(2)/25)*Calculateur!CG77*Calculateur!CI77*VLOOKUP('Données projet'!$B$12,Paramètres!$A$1:$I$89,3,0)*0.475*44/12</f>
        <v>15.379464381607395</v>
      </c>
      <c r="CM77" s="23">
        <f>EXP(-LN(2)/2)*CM76+(1-EXP(-LN(2)/2))/(LN(2)/2)*CG77*CJ77*VLOOKUP('Données projet'!$B$12,Paramètres!$A$1:$I$89,3,0)*0.475*44/12</f>
        <v>2.3203993273626422E-4</v>
      </c>
      <c r="CN77" s="24">
        <f t="shared" si="66"/>
        <v>28.170813019532552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12.9</v>
      </c>
      <c r="CT77" s="13">
        <f>IF('Données projet'!$A$140&gt;35,CT76+CS77-DB76,IF(A77&lt;'Données projet'!$A$140,$CQ$205^A77,IF(A77='Données projet'!$A$140,'Données projet'!$B$140,CT76+CS77-DB76)))</f>
        <v>750.59999999999968</v>
      </c>
      <c r="CU77" s="18">
        <f>CT77*VLOOKUP('Données projet'!$B$13,Paramètres!$A$1:$I$89,3,0)*VLOOKUP('Données projet'!$B$13,Paramètres!$A$1:$I$89,5,0)</f>
        <v>448.85879999999986</v>
      </c>
      <c r="CV77" s="14">
        <f t="shared" si="95"/>
        <v>101.6146287328818</v>
      </c>
      <c r="CW77" s="22">
        <f t="shared" si="67"/>
        <v>958.74122170976887</v>
      </c>
      <c r="CX77" s="62">
        <f t="shared" si="68"/>
        <v>1252.0745550431022</v>
      </c>
      <c r="CY77" s="62">
        <f ca="1">AVERAGE(OFFSET($CX$3,0,0,'Données projet'!$E$13+1,1))-AVERAGE(OFFSET($H$3,0,0,'Données projet'!$E$13+1,1))</f>
        <v>463.3255103386889</v>
      </c>
      <c r="CZ77" s="62">
        <f t="shared" si="96"/>
        <v>474.73210558736127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2.0908957556922103</v>
      </c>
      <c r="DG77" s="23">
        <f>EXP(-LN(2)/25)*DG76+(1-EXP(-LN(2)/25))/(LN(2)/25)*Calculateur!DB77*Calculateur!DD77*VLOOKUP('Données projet'!$B$13,Paramètres!$A$1:$I$89,3,0)*0.475*44/12</f>
        <v>10.233938275635319</v>
      </c>
      <c r="DH77" s="23">
        <f>EXP(-LN(2)/2)*DH76+(1-EXP(-LN(2)/2))/(LN(2)/2)*DB77*DE77*VLOOKUP('Données projet'!$B$13,Paramètres!$A$1:$I$89,3,0)*0.475*44/12</f>
        <v>1.0399445407448605E-5</v>
      </c>
      <c r="DI77" s="24">
        <f t="shared" si="69"/>
        <v>12.324844430772938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17</v>
      </c>
      <c r="DO77" s="13">
        <f>IF('Données projet'!$A$166&gt;35,DO76+DN77-DW76,IF(A77&lt;'Données projet'!$A$166,$DL$205^A77,IF(A77='Données projet'!$A$166,'Données projet'!$B$166,DO76+DN77-DW76)))</f>
        <v>430.99999999999989</v>
      </c>
      <c r="DP77" s="18">
        <f>DO77*VLOOKUP('Données projet'!$B$14,Paramètres!$A$1:$I$89,3,0)*VLOOKUP('Données projet'!$B$14,Paramètres!$A$1:$I$89,5,0)</f>
        <v>201.70799999999994</v>
      </c>
      <c r="DQ77" s="14">
        <f t="shared" si="97"/>
        <v>50.119348451854243</v>
      </c>
      <c r="DR77" s="22">
        <f t="shared" si="70"/>
        <v>438.59929855364607</v>
      </c>
      <c r="DS77" s="62">
        <f t="shared" si="71"/>
        <v>731.93263188697938</v>
      </c>
      <c r="DT77" s="62">
        <f ca="1">AVERAGE(OFFSET($DS$3,0,0,'Données projet'!$E$14+1,1))-AVERAGE(OFFSET($H$3,0,0,'Données projet'!$E$14+1,1))</f>
        <v>215.23235148064941</v>
      </c>
      <c r="DU77" s="62">
        <f t="shared" si="98"/>
        <v>184.07239726900434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1.3114202075142813</v>
      </c>
      <c r="EB77" s="23">
        <f>EXP(-LN(2)/25)*EB76+(1-EXP(-LN(2)/25))/(LN(2)/25)*Calculateur!DW77*Calculateur!DY77*VLOOKUP('Données projet'!$B$14,Paramètres!$A$1:$I$89,3,0)*0.475*44/12</f>
        <v>2.319311438546817</v>
      </c>
      <c r="EC77" s="23">
        <f>EXP(-LN(2)/2)*EC76+(1-EXP(-LN(2)/2))/(LN(2)/2)*DW77*DZ77*VLOOKUP('Données projet'!$B$14,Paramètres!$A$1:$I$89,3,0)*0.475*44/12</f>
        <v>2.3441735459079723E-6</v>
      </c>
      <c r="ED77" s="24">
        <f t="shared" si="72"/>
        <v>3.6307339902346443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442.31404560578176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14.1</v>
      </c>
      <c r="N78" s="14">
        <f>IF('Données projet'!$A$36&gt;35,N77+M78-V77,IF(A78&lt;'Données projet'!$A$36,$K$205^A78,IF(A78='Données projet'!$A$36,'Données projet'!$B$36,N77+M78-V77)))</f>
        <v>789.50000000000102</v>
      </c>
      <c r="O78" s="14">
        <f>N78*VLOOKUP('Données projet'!$B$9,Paramètres!$A$1:$I$89,3,0)*VLOOKUP('Données projet'!$B$9,Paramètres!$A$1:$I$89,5,0)</f>
        <v>441.33050000000054</v>
      </c>
      <c r="P78" s="14">
        <f t="shared" si="87"/>
        <v>100.10723916378069</v>
      </c>
      <c r="Q78" s="22">
        <f t="shared" si="54"/>
        <v>943.0040623769188</v>
      </c>
      <c r="R78" s="62">
        <f t="shared" si="55"/>
        <v>1236.3373957102522</v>
      </c>
      <c r="S78" s="62">
        <f ca="1">AVERAGE(OFFSET($R$3,0,0,'Données projet'!$E$9+1,1))-AVERAGE(OFFSET($H$3,0,0,'Données projet'!$E$9+1,1))</f>
        <v>460.40450534123659</v>
      </c>
      <c r="T78" s="62">
        <f t="shared" si="88"/>
        <v>467.77477728479198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5.152464455537336</v>
      </c>
      <c r="AA78" s="23">
        <f>EXP(-LN(2)/25)*AA77+(1-EXP(-LN(2)/25))/(LN(2)/25)*Calculateur!V78*Calculateur!X78*VLOOKUP('Données projet'!$B$9,Paramètres!$A$1:$I$89,3,0)*0.475*44/12</f>
        <v>12.712386283542617</v>
      </c>
      <c r="AB78" s="23">
        <f>EXP(-LN(2)/2)*AB77+(1-EXP(-LN(2)/2))/(LN(2)/2)*V78*Y78*VLOOKUP('Données projet'!$B$9,Paramètres!$A$1:$I$89,3,0)*0.475*44/12</f>
        <v>6.7812437453875033E-6</v>
      </c>
      <c r="AC78" s="24">
        <f t="shared" si="57"/>
        <v>17.864857520323699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7.4</v>
      </c>
      <c r="AI78" s="14">
        <f>IF('Données projet'!$A$62&gt;35,AI77+AH78-AQ77,IF(A78&lt;'Données projet'!$A$62,$AF$205^A78,IF(A78='Données projet'!$A$62,'Données projet'!$B$62,AI77+AH78-AQ77)))</f>
        <v>310.99999999999989</v>
      </c>
      <c r="AJ78" s="14">
        <f>AI78*VLOOKUP('Données projet'!$B$10,Paramètres!$A$1:$I$89,3,0)*VLOOKUP('Données projet'!$B$10,Paramètres!$A$1:$I$89,5,0)</f>
        <v>281.39279999999985</v>
      </c>
      <c r="AK78" s="14">
        <f t="shared" si="89"/>
        <v>67.261262504634658</v>
      </c>
      <c r="AL78" s="22">
        <f t="shared" si="58"/>
        <v>607.23915886223847</v>
      </c>
      <c r="AM78" s="62">
        <f t="shared" si="59"/>
        <v>900.57249219557184</v>
      </c>
      <c r="AN78" s="62">
        <f ca="1">AVERAGE(OFFSET($AM$3,0,0,'Données projet'!$E$10+1,1))-AVERAGE(OFFSET($H$3,0,0,'Données projet'!$E$10+1,1))</f>
        <v>321.03881567735544</v>
      </c>
      <c r="AO78" s="62">
        <f t="shared" si="90"/>
        <v>234.87694492493506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0.98791054023525815</v>
      </c>
      <c r="AV78" s="23">
        <f>EXP(-LN(2)/25)*AV77+(1-EXP(-LN(2)/25))/(LN(2)/25)*Calculateur!AQ78*Calculateur!AS78*VLOOKUP('Données projet'!$B$10,Paramètres!$A$1:$I$89,3,0)*0.475*44/12</f>
        <v>3.8927985126978628</v>
      </c>
      <c r="AW78" s="23">
        <f>EXP(-LN(2)/2)*AW77+(1-EXP(-LN(2)/2))/(LN(2)/2)*AQ78*AT78*VLOOKUP('Données projet'!$B$10,Paramètres!$A$1:$I$89,3,0)*0.475*44/12</f>
        <v>3.665104164945604E-6</v>
      </c>
      <c r="AX78" s="23">
        <f t="shared" si="60"/>
        <v>4.8807127180372856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6</v>
      </c>
      <c r="BD78" s="13">
        <f>IF('Données projet'!$A$88&gt;35,BD77+BC78-BL77,IF(A78&lt;'Données projet'!$A$88,$BA$205^A78,IF(A78='Données projet'!$A$88,'Données projet'!$B$88,BD77+BC78-BL77)))</f>
        <v>412</v>
      </c>
      <c r="BE78" s="14">
        <f>BD78*VLOOKUP('Données projet'!$B$11,Paramètres!$A$1:$I$89,3,0)*VLOOKUP('Données projet'!$B$11,Paramètres!$A$1:$I$89,5,0)</f>
        <v>257.08800000000002</v>
      </c>
      <c r="BF78" s="14">
        <f t="shared" si="91"/>
        <v>62.101250925713771</v>
      </c>
      <c r="BG78" s="22">
        <f t="shared" si="61"/>
        <v>555.92127869561818</v>
      </c>
      <c r="BH78" s="62">
        <f t="shared" si="62"/>
        <v>849.25461202895144</v>
      </c>
      <c r="BI78" s="62">
        <f ca="1">AVERAGE(OFFSET($BH$3,0,0,'Données projet'!$E$11+1,1))-AVERAGE(OFFSET($H$3,0,0,'Données projet'!$E$11+1,1))</f>
        <v>255.41017495879987</v>
      </c>
      <c r="BJ78" s="62">
        <f t="shared" si="92"/>
        <v>297.50513563712764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3.4224326654501338</v>
      </c>
      <c r="BQ78" s="23">
        <f>EXP(-LN(2)/25)*BQ77+(1-EXP(-LN(2)/25))/(LN(2)/25)*Calculateur!BL78*Calculateur!BN78*VLOOKUP('Données projet'!$B$11,Paramètres!$A$1:$I$89,3,0)*0.475*44/12</f>
        <v>8.0035177980751246</v>
      </c>
      <c r="BR78" s="23">
        <f>EXP(-LN(2)/2)*BR77+(1-EXP(-LN(2)/2))/(LN(2)/2)*BL78*BO78*VLOOKUP('Données projet'!$B$11,Paramètres!$A$1:$I$89,3,0)*0.475*44/12</f>
        <v>4.1137332253311804E-6</v>
      </c>
      <c r="BS78" s="24">
        <f t="shared" si="63"/>
        <v>11.425954577258484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19.5</v>
      </c>
      <c r="BY78" s="13">
        <f>IF('Données projet'!$A$114&gt;35,BY77+BX78-CG77,IF(A78&lt;'Données projet'!$A$114,$BV$205^A78,IF(A78='Données projet'!$A$114,'Données projet'!$B$114,BY77+BX78-CG77)))</f>
        <v>869.50000000000011</v>
      </c>
      <c r="BZ78" s="14">
        <f>BY78*VLOOKUP('Données projet'!$B$12,Paramètres!$A$1:$I$89,3,0)*VLOOKUP('Données projet'!$B$12,Paramètres!$A$1:$I$89,5,0)</f>
        <v>418.22950000000003</v>
      </c>
      <c r="CA78" s="14">
        <f t="shared" si="93"/>
        <v>95.462776353169275</v>
      </c>
      <c r="CB78" s="22">
        <f t="shared" si="64"/>
        <v>894.68071464843649</v>
      </c>
      <c r="CC78" s="62">
        <f t="shared" si="65"/>
        <v>1188.0140479817699</v>
      </c>
      <c r="CD78" s="62">
        <f ca="1">AVERAGE(OFFSET($CC$3,0,0,'Données projet'!$E$12+1,1))-AVERAGE(OFFSET($H$3,0,0,'Données projet'!$E$12+1,1))</f>
        <v>409.97612835032567</v>
      </c>
      <c r="CE78" s="62">
        <f t="shared" si="94"/>
        <v>411.87876448092288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12.540290603316549</v>
      </c>
      <c r="CL78" s="23">
        <f>EXP(-LN(2)/25)*CL77+(1-EXP(-LN(2)/25))/(LN(2)/25)*Calculateur!CG78*Calculateur!CI78*VLOOKUP('Données projet'!$B$12,Paramètres!$A$1:$I$89,3,0)*0.475*44/12</f>
        <v>14.958912119321459</v>
      </c>
      <c r="CM78" s="23">
        <f>EXP(-LN(2)/2)*CM77+(1-EXP(-LN(2)/2))/(LN(2)/2)*CG78*CJ78*VLOOKUP('Données projet'!$B$12,Paramètres!$A$1:$I$89,3,0)*0.475*44/12</f>
        <v>1.6407700994388279E-4</v>
      </c>
      <c r="CN78" s="24">
        <f t="shared" si="66"/>
        <v>27.499366799647955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12.9</v>
      </c>
      <c r="CT78" s="13">
        <f>IF('Données projet'!$A$140&gt;35,CT77+CS78-DB77,IF(A78&lt;'Données projet'!$A$140,$CQ$205^A78,IF(A78='Données projet'!$A$140,'Données projet'!$B$140,CT77+CS78-DB77)))</f>
        <v>763.49999999999966</v>
      </c>
      <c r="CU78" s="18">
        <f>CT78*VLOOKUP('Données projet'!$B$13,Paramètres!$A$1:$I$89,3,0)*VLOOKUP('Données projet'!$B$13,Paramètres!$A$1:$I$89,5,0)</f>
        <v>456.57299999999987</v>
      </c>
      <c r="CV78" s="14">
        <f t="shared" si="95"/>
        <v>103.15619156995548</v>
      </c>
      <c r="CW78" s="22">
        <f t="shared" si="67"/>
        <v>974.86167531767205</v>
      </c>
      <c r="CX78" s="62">
        <f t="shared" si="68"/>
        <v>1268.1950086510053</v>
      </c>
      <c r="CY78" s="62">
        <f ca="1">AVERAGE(OFFSET($CX$3,0,0,'Données projet'!$E$13+1,1))-AVERAGE(OFFSET($H$3,0,0,'Données projet'!$E$13+1,1))</f>
        <v>463.3255103386889</v>
      </c>
      <c r="CZ78" s="62">
        <f t="shared" si="96"/>
        <v>474.73210558736127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2.0498945652435694</v>
      </c>
      <c r="DG78" s="23">
        <f>EXP(-LN(2)/25)*DG77+(1-EXP(-LN(2)/25))/(LN(2)/25)*Calculateur!DB78*Calculateur!DD78*VLOOKUP('Données projet'!$B$13,Paramètres!$A$1:$I$89,3,0)*0.475*44/12</f>
        <v>9.954090695308647</v>
      </c>
      <c r="DH78" s="23">
        <f>EXP(-LN(2)/2)*DH77+(1-EXP(-LN(2)/2))/(LN(2)/2)*DB78*DE78*VLOOKUP('Données projet'!$B$13,Paramètres!$A$1:$I$89,3,0)*0.475*44/12</f>
        <v>7.3535183681862072E-6</v>
      </c>
      <c r="DI78" s="24">
        <f t="shared" si="69"/>
        <v>12.003992614070585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17</v>
      </c>
      <c r="DO78" s="13">
        <f>IF('Données projet'!$A$166&gt;35,DO77+DN78-DW77,IF(A78&lt;'Données projet'!$A$166,$DL$205^A78,IF(A78='Données projet'!$A$166,'Données projet'!$B$166,DO77+DN78-DW77)))</f>
        <v>447.99999999999989</v>
      </c>
      <c r="DP78" s="18">
        <f>DO78*VLOOKUP('Données projet'!$B$14,Paramètres!$A$1:$I$89,3,0)*VLOOKUP('Données projet'!$B$14,Paramètres!$A$1:$I$89,5,0)</f>
        <v>209.66399999999993</v>
      </c>
      <c r="DQ78" s="14">
        <f t="shared" si="97"/>
        <v>51.862154403304487</v>
      </c>
      <c r="DR78" s="22">
        <f t="shared" si="70"/>
        <v>455.49138558575515</v>
      </c>
      <c r="DS78" s="62">
        <f t="shared" si="71"/>
        <v>748.82471891908847</v>
      </c>
      <c r="DT78" s="62">
        <f ca="1">AVERAGE(OFFSET($DS$3,0,0,'Données projet'!$E$14+1,1))-AVERAGE(OFFSET($H$3,0,0,'Données projet'!$E$14+1,1))</f>
        <v>215.23235148064941</v>
      </c>
      <c r="DU78" s="62">
        <f t="shared" si="98"/>
        <v>184.07239726900434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1.2857040571322707</v>
      </c>
      <c r="EB78" s="23">
        <f>EXP(-LN(2)/25)*EB77+(1-EXP(-LN(2)/25))/(LN(2)/25)*Calculateur!DW78*Calculateur!DY78*VLOOKUP('Données projet'!$B$14,Paramètres!$A$1:$I$89,3,0)*0.475*44/12</f>
        <v>2.2558897452924667</v>
      </c>
      <c r="EC78" s="23">
        <f>EXP(-LN(2)/2)*EC77+(1-EXP(-LN(2)/2))/(LN(2)/2)*DW78*DZ78*VLOOKUP('Données projet'!$B$14,Paramètres!$A$1:$I$89,3,0)*0.475*44/12</f>
        <v>1.6575810105896418E-6</v>
      </c>
      <c r="ED78" s="24">
        <f t="shared" si="72"/>
        <v>3.5415954600057478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444.24920589937017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14.1</v>
      </c>
      <c r="N79" s="14">
        <f>IF('Données projet'!$A$36&gt;35,N78+M79-V78,IF(A79&lt;'Données projet'!$A$36,$K$205^A79,IF(A79='Données projet'!$A$36,'Données projet'!$B$36,N78+M79-V78)))</f>
        <v>803.60000000000105</v>
      </c>
      <c r="O79" s="14">
        <f>N79*VLOOKUP('Données projet'!$B$9,Paramètres!$A$1:$I$89,3,0)*VLOOKUP('Données projet'!$B$9,Paramètres!$A$1:$I$89,5,0)</f>
        <v>449.21240000000063</v>
      </c>
      <c r="P79" s="14">
        <f t="shared" si="87"/>
        <v>101.6853572491821</v>
      </c>
      <c r="Q79" s="22">
        <f t="shared" si="54"/>
        <v>959.4802605423265</v>
      </c>
      <c r="R79" s="62">
        <f t="shared" si="55"/>
        <v>1252.8135938756598</v>
      </c>
      <c r="S79" s="62">
        <f ca="1">AVERAGE(OFFSET($R$3,0,0,'Données projet'!$E$9+1,1))-AVERAGE(OFFSET($H$3,0,0,'Données projet'!$E$9+1,1))</f>
        <v>460.40450534123659</v>
      </c>
      <c r="T79" s="62">
        <f t="shared" si="88"/>
        <v>467.77477728479198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5.0514277702572512</v>
      </c>
      <c r="AA79" s="23">
        <f>EXP(-LN(2)/25)*AA78+(1-EXP(-LN(2)/25))/(LN(2)/25)*Calculateur!V79*Calculateur!X79*VLOOKUP('Données projet'!$B$9,Paramètres!$A$1:$I$89,3,0)*0.475*44/12</f>
        <v>12.364765412103804</v>
      </c>
      <c r="AB79" s="23">
        <f>EXP(-LN(2)/2)*AB78+(1-EXP(-LN(2)/2))/(LN(2)/2)*V79*Y79*VLOOKUP('Données projet'!$B$9,Paramètres!$A$1:$I$89,3,0)*0.475*44/12</f>
        <v>4.7950634372423652E-6</v>
      </c>
      <c r="AC79" s="24">
        <f t="shared" si="57"/>
        <v>17.416197977424492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7.4</v>
      </c>
      <c r="AI79" s="14">
        <f>IF('Données projet'!$A$62&gt;35,AI78+AH79-AQ78,IF(A79&lt;'Données projet'!$A$62,$AF$205^A79,IF(A79='Données projet'!$A$62,'Données projet'!$B$62,AI78+AH79-AQ78)))</f>
        <v>318.39999999999986</v>
      </c>
      <c r="AJ79" s="14">
        <f>AI79*VLOOKUP('Données projet'!$B$10,Paramètres!$A$1:$I$89,3,0)*VLOOKUP('Données projet'!$B$10,Paramètres!$A$1:$I$89,5,0)</f>
        <v>288.0883199999999</v>
      </c>
      <c r="AK79" s="14">
        <f t="shared" si="89"/>
        <v>68.673460144735557</v>
      </c>
      <c r="AL79" s="22">
        <f t="shared" si="58"/>
        <v>621.36010041874761</v>
      </c>
      <c r="AM79" s="62">
        <f t="shared" si="59"/>
        <v>914.69343375208086</v>
      </c>
      <c r="AN79" s="62">
        <f ca="1">AVERAGE(OFFSET($AM$3,0,0,'Données projet'!$E$10+1,1))-AVERAGE(OFFSET($H$3,0,0,'Données projet'!$E$10+1,1))</f>
        <v>321.03881567735544</v>
      </c>
      <c r="AO79" s="62">
        <f t="shared" si="90"/>
        <v>234.87694492493506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0.9685382171071758</v>
      </c>
      <c r="AV79" s="23">
        <f>EXP(-LN(2)/25)*AV78+(1-EXP(-LN(2)/25))/(LN(2)/25)*Calculateur!AQ79*Calculateur!AS79*VLOOKUP('Données projet'!$B$10,Paramètres!$A$1:$I$89,3,0)*0.475*44/12</f>
        <v>3.786349732654763</v>
      </c>
      <c r="AW79" s="23">
        <f>EXP(-LN(2)/2)*AW78+(1-EXP(-LN(2)/2))/(LN(2)/2)*AQ79*AT79*VLOOKUP('Données projet'!$B$10,Paramètres!$A$1:$I$89,3,0)*0.475*44/12</f>
        <v>2.5916200087880952E-6</v>
      </c>
      <c r="AX79" s="23">
        <f t="shared" si="60"/>
        <v>4.7548905413819469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418</v>
      </c>
      <c r="BE79" s="14">
        <f>BD79*VLOOKUP('Données projet'!$B$11,Paramètres!$A$1:$I$89,3,0)*VLOOKUP('Données projet'!$B$11,Paramètres!$A$1:$I$89,5,0)</f>
        <v>260.83199999999999</v>
      </c>
      <c r="BF79" s="14">
        <f t="shared" si="91"/>
        <v>62.899693744110721</v>
      </c>
      <c r="BG79" s="22">
        <f t="shared" si="61"/>
        <v>563.83269993765953</v>
      </c>
      <c r="BH79" s="62">
        <f t="shared" si="62"/>
        <v>857.16603327099278</v>
      </c>
      <c r="BI79" s="62">
        <f ca="1">AVERAGE(OFFSET($BH$3,0,0,'Données projet'!$E$11+1,1))-AVERAGE(OFFSET($H$3,0,0,'Données projet'!$E$11+1,1))</f>
        <v>255.41017495879987</v>
      </c>
      <c r="BJ79" s="62">
        <f t="shared" si="92"/>
        <v>297.50513563712764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3.3553208483584611</v>
      </c>
      <c r="BQ79" s="23">
        <f>EXP(-LN(2)/25)*BQ78+(1-EXP(-LN(2)/25))/(LN(2)/25)*Calculateur!BL79*Calculateur!BN79*VLOOKUP('Données projet'!$B$11,Paramètres!$A$1:$I$89,3,0)*0.475*44/12</f>
        <v>7.7846611830000514</v>
      </c>
      <c r="BR79" s="23">
        <f>EXP(-LN(2)/2)*BR78+(1-EXP(-LN(2)/2))/(LN(2)/2)*BL79*BO79*VLOOKUP('Données projet'!$B$11,Paramètres!$A$1:$I$89,3,0)*0.475*44/12</f>
        <v>2.9088486596240854E-6</v>
      </c>
      <c r="BS79" s="24">
        <f t="shared" si="63"/>
        <v>11.139984940207171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19.5</v>
      </c>
      <c r="BY79" s="13">
        <f>IF('Données projet'!$A$114&gt;35,BY78+BX79-CG78,IF(A79&lt;'Données projet'!$A$114,$BV$205^A79,IF(A79='Données projet'!$A$114,'Données projet'!$B$114,BY78+BX79-CG78)))</f>
        <v>889.00000000000011</v>
      </c>
      <c r="BZ79" s="14">
        <f>BY79*VLOOKUP('Données projet'!$B$12,Paramètres!$A$1:$I$89,3,0)*VLOOKUP('Données projet'!$B$12,Paramètres!$A$1:$I$89,5,0)</f>
        <v>427.60900000000009</v>
      </c>
      <c r="CA79" s="14">
        <f t="shared" si="93"/>
        <v>97.352038611993692</v>
      </c>
      <c r="CB79" s="22">
        <f t="shared" si="64"/>
        <v>914.30714224922247</v>
      </c>
      <c r="CC79" s="62">
        <f t="shared" si="65"/>
        <v>1207.6404755825558</v>
      </c>
      <c r="CD79" s="62">
        <f ca="1">AVERAGE(OFFSET($CC$3,0,0,'Données projet'!$E$12+1,1))-AVERAGE(OFFSET($H$3,0,0,'Données projet'!$E$12+1,1))</f>
        <v>409.97612835032567</v>
      </c>
      <c r="CE79" s="62">
        <f t="shared" si="94"/>
        <v>411.87876448092288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12.294383153407521</v>
      </c>
      <c r="CL79" s="23">
        <f>EXP(-LN(2)/25)*CL78+(1-EXP(-LN(2)/25))/(LN(2)/25)*Calculateur!CG79*Calculateur!CI79*VLOOKUP('Données projet'!$B$12,Paramètres!$A$1:$I$89,3,0)*0.475*44/12</f>
        <v>14.549859880763615</v>
      </c>
      <c r="CM79" s="23">
        <f>EXP(-LN(2)/2)*CM78+(1-EXP(-LN(2)/2))/(LN(2)/2)*CG79*CJ79*VLOOKUP('Données projet'!$B$12,Paramètres!$A$1:$I$89,3,0)*0.475*44/12</f>
        <v>1.1601996636813211E-4</v>
      </c>
      <c r="CN79" s="24">
        <f t="shared" si="66"/>
        <v>26.844359054137502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12.9</v>
      </c>
      <c r="CT79" s="13">
        <f>IF('Données projet'!$A$140&gt;35,CT78+CS79-DB78,IF(A79&lt;'Données projet'!$A$140,$CQ$205^A79,IF(A79='Données projet'!$A$140,'Données projet'!$B$140,CT78+CS79-DB78)))</f>
        <v>776.39999999999964</v>
      </c>
      <c r="CU79" s="18">
        <f>CT79*VLOOKUP('Données projet'!$B$13,Paramètres!$A$1:$I$89,3,0)*VLOOKUP('Données projet'!$B$13,Paramètres!$A$1:$I$89,5,0)</f>
        <v>464.28719999999981</v>
      </c>
      <c r="CV79" s="14">
        <f t="shared" si="95"/>
        <v>104.69472547352977</v>
      </c>
      <c r="CW79" s="22">
        <f t="shared" si="67"/>
        <v>990.97685353306395</v>
      </c>
      <c r="CX79" s="62">
        <f t="shared" si="68"/>
        <v>1284.3101868663973</v>
      </c>
      <c r="CY79" s="62">
        <f ca="1">AVERAGE(OFFSET($CX$3,0,0,'Données projet'!$E$13+1,1))-AVERAGE(OFFSET($H$3,0,0,'Données projet'!$E$13+1,1))</f>
        <v>463.3255103386889</v>
      </c>
      <c r="CZ79" s="62">
        <f t="shared" si="96"/>
        <v>474.73210558736127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2.0096973831313698</v>
      </c>
      <c r="DG79" s="23">
        <f>EXP(-LN(2)/25)*DG78+(1-EXP(-LN(2)/25))/(LN(2)/25)*Calculateur!DB79*Calculateur!DD79*VLOOKUP('Données projet'!$B$13,Paramètres!$A$1:$I$89,3,0)*0.475*44/12</f>
        <v>9.681895561782552</v>
      </c>
      <c r="DH79" s="23">
        <f>EXP(-LN(2)/2)*DH78+(1-EXP(-LN(2)/2))/(LN(2)/2)*DB79*DE79*VLOOKUP('Données projet'!$B$13,Paramètres!$A$1:$I$89,3,0)*0.475*44/12</f>
        <v>5.1997227037243024E-6</v>
      </c>
      <c r="DI79" s="24">
        <f t="shared" si="69"/>
        <v>11.691598144636625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17</v>
      </c>
      <c r="DO79" s="13">
        <f>IF('Données projet'!$A$166&gt;35,DO78+DN79-DW78,IF(A79&lt;'Données projet'!$A$166,$DL$205^A79,IF(A79='Données projet'!$A$166,'Données projet'!$B$166,DO78+DN79-DW78)))</f>
        <v>464.99999999999989</v>
      </c>
      <c r="DP79" s="18">
        <f>DO79*VLOOKUP('Données projet'!$B$14,Paramètres!$A$1:$I$89,3,0)*VLOOKUP('Données projet'!$B$14,Paramètres!$A$1:$I$89,5,0)</f>
        <v>217.61999999999995</v>
      </c>
      <c r="DQ79" s="14">
        <f t="shared" si="97"/>
        <v>53.597277471320098</v>
      </c>
      <c r="DR79" s="22">
        <f t="shared" si="70"/>
        <v>472.37009159588234</v>
      </c>
      <c r="DS79" s="62">
        <f t="shared" si="71"/>
        <v>765.70342492921566</v>
      </c>
      <c r="DT79" s="62">
        <f ca="1">AVERAGE(OFFSET($DS$3,0,0,'Données projet'!$E$14+1,1))-AVERAGE(OFFSET($H$3,0,0,'Données projet'!$E$14+1,1))</f>
        <v>215.23235148064941</v>
      </c>
      <c r="DU79" s="62">
        <f t="shared" si="98"/>
        <v>184.07239726900434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1.2604921847739481</v>
      </c>
      <c r="EB79" s="23">
        <f>EXP(-LN(2)/25)*EB78+(1-EXP(-LN(2)/25))/(LN(2)/25)*Calculateur!DW79*Calculateur!DY79*VLOOKUP('Données projet'!$B$14,Paramètres!$A$1:$I$89,3,0)*0.475*44/12</f>
        <v>2.1942023215753585</v>
      </c>
      <c r="EC79" s="23">
        <f>EXP(-LN(2)/2)*EC78+(1-EXP(-LN(2)/2))/(LN(2)/2)*DW79*DZ79*VLOOKUP('Données projet'!$B$14,Paramètres!$A$1:$I$89,3,0)*0.475*44/12</f>
        <v>1.1720867729539862E-6</v>
      </c>
      <c r="ED79" s="24">
        <f t="shared" si="72"/>
        <v>3.4546956784360794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446.18377471819281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14.1</v>
      </c>
      <c r="N80" s="14">
        <f>IF('Données projet'!$A$36&gt;35,N79+M80-V79,IF(A80&lt;'Données projet'!$A$36,$K$205^A80,IF(A80='Données projet'!$A$36,'Données projet'!$B$36,N79+M80-V79)))</f>
        <v>817.70000000000107</v>
      </c>
      <c r="O80" s="14">
        <f>N80*VLOOKUP('Données projet'!$B$9,Paramètres!$A$1:$I$89,3,0)*VLOOKUP('Données projet'!$B$9,Paramètres!$A$1:$I$89,5,0)</f>
        <v>457.0943000000006</v>
      </c>
      <c r="P80" s="14">
        <f t="shared" si="87"/>
        <v>103.26025536474427</v>
      </c>
      <c r="Q80" s="22">
        <f t="shared" si="54"/>
        <v>975.95085059359735</v>
      </c>
      <c r="R80" s="62">
        <f t="shared" si="55"/>
        <v>1269.2841839269306</v>
      </c>
      <c r="S80" s="62">
        <f ca="1">AVERAGE(OFFSET($R$3,0,0,'Données projet'!$E$9+1,1))-AVERAGE(OFFSET($H$3,0,0,'Données projet'!$E$9+1,1))</f>
        <v>460.40450534123659</v>
      </c>
      <c r="T80" s="62">
        <f t="shared" si="88"/>
        <v>467.77477728479198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4.9523723527492161</v>
      </c>
      <c r="AA80" s="23">
        <f>EXP(-LN(2)/25)*AA79+(1-EXP(-LN(2)/25))/(LN(2)/25)*Calculateur!V80*Calculateur!X80*VLOOKUP('Données projet'!$B$9,Paramètres!$A$1:$I$89,3,0)*0.475*44/12</f>
        <v>12.026650251675072</v>
      </c>
      <c r="AB80" s="23">
        <f>EXP(-LN(2)/2)*AB79+(1-EXP(-LN(2)/2))/(LN(2)/2)*V80*Y80*VLOOKUP('Données projet'!$B$9,Paramètres!$A$1:$I$89,3,0)*0.475*44/12</f>
        <v>3.3906218726937517E-6</v>
      </c>
      <c r="AC80" s="24">
        <f t="shared" si="57"/>
        <v>16.979025995046161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7.4</v>
      </c>
      <c r="AI80" s="14">
        <f>IF('Données projet'!$A$62&gt;35,AI79+AH80-AQ79,IF(A80&lt;'Données projet'!$A$62,$AF$205^A80,IF(A80='Données projet'!$A$62,'Données projet'!$B$62,AI79+AH80-AQ79)))</f>
        <v>325.79999999999984</v>
      </c>
      <c r="AJ80" s="14">
        <f>AI80*VLOOKUP('Données projet'!$B$10,Paramètres!$A$1:$I$89,3,0)*VLOOKUP('Données projet'!$B$10,Paramètres!$A$1:$I$89,5,0)</f>
        <v>294.78383999999983</v>
      </c>
      <c r="AK80" s="14">
        <f t="shared" si="89"/>
        <v>70.081842199807596</v>
      </c>
      <c r="AL80" s="22">
        <f t="shared" si="58"/>
        <v>635.47439649799799</v>
      </c>
      <c r="AM80" s="62">
        <f t="shared" si="59"/>
        <v>928.80772983133124</v>
      </c>
      <c r="AN80" s="62">
        <f ca="1">AVERAGE(OFFSET($AM$3,0,0,'Données projet'!$E$10+1,1))-AVERAGE(OFFSET($H$3,0,0,'Données projet'!$E$10+1,1))</f>
        <v>321.03881567735544</v>
      </c>
      <c r="AO80" s="62">
        <f t="shared" si="90"/>
        <v>234.87694492493506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0.94954577341968482</v>
      </c>
      <c r="AV80" s="23">
        <f>EXP(-LN(2)/25)*AV79+(1-EXP(-LN(2)/25))/(LN(2)/25)*Calculateur!AQ80*Calculateur!AS80*VLOOKUP('Données projet'!$B$10,Paramètres!$A$1:$I$89,3,0)*0.475*44/12</f>
        <v>3.6828118000998398</v>
      </c>
      <c r="AW80" s="23">
        <f>EXP(-LN(2)/2)*AW79+(1-EXP(-LN(2)/2))/(LN(2)/2)*AQ80*AT80*VLOOKUP('Données projet'!$B$10,Paramètres!$A$1:$I$89,3,0)*0.475*44/12</f>
        <v>1.832552082472802E-6</v>
      </c>
      <c r="AX80" s="23">
        <f t="shared" si="60"/>
        <v>4.6323594060716067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424</v>
      </c>
      <c r="BE80" s="14">
        <f>BD80*VLOOKUP('Données projet'!$B$11,Paramètres!$A$1:$I$89,3,0)*VLOOKUP('Données projet'!$B$11,Paramètres!$A$1:$I$89,5,0)</f>
        <v>264.57599999999996</v>
      </c>
      <c r="BF80" s="14">
        <f t="shared" si="91"/>
        <v>63.696803579002321</v>
      </c>
      <c r="BG80" s="22">
        <f t="shared" si="61"/>
        <v>571.74179956676232</v>
      </c>
      <c r="BH80" s="62">
        <f t="shared" si="62"/>
        <v>865.0751329000957</v>
      </c>
      <c r="BI80" s="62">
        <f ca="1">AVERAGE(OFFSET($BH$3,0,0,'Données projet'!$E$11+1,1))-AVERAGE(OFFSET($H$3,0,0,'Données projet'!$E$11+1,1))</f>
        <v>255.41017495879987</v>
      </c>
      <c r="BJ80" s="62">
        <f t="shared" si="92"/>
        <v>297.50513563712764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3.2895250530657898</v>
      </c>
      <c r="BQ80" s="23">
        <f>EXP(-LN(2)/25)*BQ79+(1-EXP(-LN(2)/25))/(LN(2)/25)*Calculateur!BL80*Calculateur!BN80*VLOOKUP('Données projet'!$B$11,Paramètres!$A$1:$I$89,3,0)*0.475*44/12</f>
        <v>7.5717892135733758</v>
      </c>
      <c r="BR80" s="23">
        <f>EXP(-LN(2)/2)*BR79+(1-EXP(-LN(2)/2))/(LN(2)/2)*BL80*BO80*VLOOKUP('Données projet'!$B$11,Paramètres!$A$1:$I$89,3,0)*0.475*44/12</f>
        <v>2.0568666126655902E-6</v>
      </c>
      <c r="BS80" s="24">
        <f t="shared" si="63"/>
        <v>10.861316323505779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19.5</v>
      </c>
      <c r="BY80" s="13">
        <f>IF('Données projet'!$A$114&gt;35,BY79+BX80-CG79,IF(A80&lt;'Données projet'!$A$114,$BV$205^A80,IF(A80='Données projet'!$A$114,'Données projet'!$B$114,BY79+BX80-CG79)))</f>
        <v>908.50000000000011</v>
      </c>
      <c r="BZ80" s="14">
        <f>BY80*VLOOKUP('Données projet'!$B$12,Paramètres!$A$1:$I$89,3,0)*VLOOKUP('Données projet'!$B$12,Paramètres!$A$1:$I$89,5,0)</f>
        <v>436.98850000000004</v>
      </c>
      <c r="CA80" s="14">
        <f t="shared" si="93"/>
        <v>99.236482939692763</v>
      </c>
      <c r="CB80" s="22">
        <f t="shared" si="64"/>
        <v>933.9251786199651</v>
      </c>
      <c r="CC80" s="62">
        <f t="shared" si="65"/>
        <v>1227.2585119532985</v>
      </c>
      <c r="CD80" s="62">
        <f ca="1">AVERAGE(OFFSET($CC$3,0,0,'Données projet'!$E$12+1,1))-AVERAGE(OFFSET($H$3,0,0,'Données projet'!$E$12+1,1))</f>
        <v>409.97612835032567</v>
      </c>
      <c r="CE80" s="62">
        <f t="shared" si="94"/>
        <v>411.87876448092288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12.053297798602475</v>
      </c>
      <c r="CL80" s="23">
        <f>EXP(-LN(2)/25)*CL79+(1-EXP(-LN(2)/25))/(LN(2)/25)*Calculateur!CG80*Calculateur!CI80*VLOOKUP('Données projet'!$B$12,Paramètres!$A$1:$I$89,3,0)*0.475*44/12</f>
        <v>14.151993197180257</v>
      </c>
      <c r="CM80" s="23">
        <f>EXP(-LN(2)/2)*CM79+(1-EXP(-LN(2)/2))/(LN(2)/2)*CG80*CJ80*VLOOKUP('Données projet'!$B$12,Paramètres!$A$1:$I$89,3,0)*0.475*44/12</f>
        <v>8.2038504971941394E-5</v>
      </c>
      <c r="CN80" s="24">
        <f t="shared" si="66"/>
        <v>26.205373034287703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12.9</v>
      </c>
      <c r="CT80" s="13">
        <f>IF('Données projet'!$A$140&gt;35,CT79+CS80-DB79,IF(A80&lt;'Données projet'!$A$140,$CQ$205^A80,IF(A80='Données projet'!$A$140,'Données projet'!$B$140,CT79+CS80-DB79)))</f>
        <v>789.29999999999961</v>
      </c>
      <c r="CU80" s="18">
        <f>CT80*VLOOKUP('Données projet'!$B$13,Paramètres!$A$1:$I$89,3,0)*VLOOKUP('Données projet'!$B$13,Paramètres!$A$1:$I$89,5,0)</f>
        <v>472.00139999999982</v>
      </c>
      <c r="CV80" s="14">
        <f t="shared" si="95"/>
        <v>106.23028657865581</v>
      </c>
      <c r="CW80" s="22">
        <f t="shared" si="67"/>
        <v>1007.0868541244918</v>
      </c>
      <c r="CX80" s="62">
        <f t="shared" si="68"/>
        <v>1300.420187457825</v>
      </c>
      <c r="CY80" s="62">
        <f ca="1">AVERAGE(OFFSET($CX$3,0,0,'Données projet'!$E$13+1,1))-AVERAGE(OFFSET($H$3,0,0,'Données projet'!$E$13+1,1))</f>
        <v>463.3255103386889</v>
      </c>
      <c r="CZ80" s="62">
        <f t="shared" si="96"/>
        <v>474.73210558736127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1.9702884432425303</v>
      </c>
      <c r="DG80" s="23">
        <f>EXP(-LN(2)/25)*DG79+(1-EXP(-LN(2)/25))/(LN(2)/25)*Calculateur!DB80*Calculateur!DD80*VLOOKUP('Données projet'!$B$13,Paramètres!$A$1:$I$89,3,0)*0.475*44/12</f>
        <v>9.4171436184968496</v>
      </c>
      <c r="DH80" s="23">
        <f>EXP(-LN(2)/2)*DH79+(1-EXP(-LN(2)/2))/(LN(2)/2)*DB80*DE80*VLOOKUP('Données projet'!$B$13,Paramètres!$A$1:$I$89,3,0)*0.475*44/12</f>
        <v>3.6767591840931036E-6</v>
      </c>
      <c r="DI80" s="24">
        <f t="shared" si="69"/>
        <v>11.387435738498564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17</v>
      </c>
      <c r="DO80" s="13">
        <f>IF('Données projet'!$A$166&gt;35,DO79+DN80-DW79,IF(A80&lt;'Données projet'!$A$166,$DL$205^A80,IF(A80='Données projet'!$A$166,'Données projet'!$B$166,DO79+DN80-DW79)))</f>
        <v>481.99999999999989</v>
      </c>
      <c r="DP80" s="18">
        <f>DO80*VLOOKUP('Données projet'!$B$14,Paramètres!$A$1:$I$89,3,0)*VLOOKUP('Données projet'!$B$14,Paramètres!$A$1:$I$89,5,0)</f>
        <v>225.57599999999994</v>
      </c>
      <c r="DQ80" s="14">
        <f t="shared" si="97"/>
        <v>55.325030705505945</v>
      </c>
      <c r="DR80" s="22">
        <f t="shared" si="70"/>
        <v>489.23596181208933</v>
      </c>
      <c r="DS80" s="62">
        <f t="shared" si="71"/>
        <v>782.56929514542264</v>
      </c>
      <c r="DT80" s="62">
        <f ca="1">AVERAGE(OFFSET($DS$3,0,0,'Données projet'!$E$14+1,1))-AVERAGE(OFFSET($H$3,0,0,'Données projet'!$E$14+1,1))</f>
        <v>215.23235148064941</v>
      </c>
      <c r="DU80" s="62">
        <f t="shared" si="98"/>
        <v>184.07239726900434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1.2357747018548486</v>
      </c>
      <c r="EB80" s="23">
        <f>EXP(-LN(2)/25)*EB79+(1-EXP(-LN(2)/25))/(LN(2)/25)*Calculateur!DW80*Calculateur!DY80*VLOOKUP('Données projet'!$B$14,Paramètres!$A$1:$I$89,3,0)*0.475*44/12</f>
        <v>2.134201743703795</v>
      </c>
      <c r="EC80" s="23">
        <f>EXP(-LN(2)/2)*EC79+(1-EXP(-LN(2)/2))/(LN(2)/2)*DW80*DZ80*VLOOKUP('Données projet'!$B$14,Paramètres!$A$1:$I$89,3,0)*0.475*44/12</f>
        <v>8.2879050529482091E-7</v>
      </c>
      <c r="ED80" s="24">
        <f t="shared" si="72"/>
        <v>3.3699772743491487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448.11776063187176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14.1</v>
      </c>
      <c r="N81" s="14">
        <f>IF('Données projet'!$A$36&gt;35,N80+M81-V80,IF(A81&lt;'Données projet'!$A$36,$K$205^A81,IF(A81='Données projet'!$A$36,'Données projet'!$B$36,N80+M81-V80)))</f>
        <v>831.80000000000109</v>
      </c>
      <c r="O81" s="14">
        <f>N81*VLOOKUP('Données projet'!$B$9,Paramètres!$A$1:$I$89,3,0)*VLOOKUP('Données projet'!$B$9,Paramètres!$A$1:$I$89,5,0)</f>
        <v>464.97620000000063</v>
      </c>
      <c r="P81" s="14">
        <f t="shared" si="87"/>
        <v>104.83199544093466</v>
      </c>
      <c r="Q81" s="22">
        <f t="shared" si="54"/>
        <v>992.41594039296217</v>
      </c>
      <c r="R81" s="62">
        <f t="shared" si="55"/>
        <v>1285.7492737262955</v>
      </c>
      <c r="S81" s="62">
        <f ca="1">AVERAGE(OFFSET($R$3,0,0,'Données projet'!$E$9+1,1))-AVERAGE(OFFSET($H$3,0,0,'Données projet'!$E$9+1,1))</f>
        <v>460.40450534123659</v>
      </c>
      <c r="T81" s="62">
        <f t="shared" si="88"/>
        <v>467.77477728479198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4.855259351560675</v>
      </c>
      <c r="AA81" s="23">
        <f>EXP(-LN(2)/25)*AA80+(1-EXP(-LN(2)/25))/(LN(2)/25)*Calculateur!V81*Calculateur!X81*VLOOKUP('Données projet'!$B$9,Paramètres!$A$1:$I$89,3,0)*0.475*44/12</f>
        <v>11.697780868088968</v>
      </c>
      <c r="AB81" s="23">
        <f>EXP(-LN(2)/2)*AB80+(1-EXP(-LN(2)/2))/(LN(2)/2)*V81*Y81*VLOOKUP('Données projet'!$B$9,Paramètres!$A$1:$I$89,3,0)*0.475*44/12</f>
        <v>2.3975317186211826E-6</v>
      </c>
      <c r="AC81" s="24">
        <f t="shared" si="57"/>
        <v>16.553042617181362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7.4</v>
      </c>
      <c r="AI81" s="14">
        <f>IF('Données projet'!$A$62&gt;35,AI80+AH81-AQ80,IF(A81&lt;'Données projet'!$A$62,$AF$205^A81,IF(A81='Données projet'!$A$62,'Données projet'!$B$62,AI80+AH81-AQ80)))</f>
        <v>333.19999999999982</v>
      </c>
      <c r="AJ81" s="14">
        <f>AI81*VLOOKUP('Données projet'!$B$10,Paramètres!$A$1:$I$89,3,0)*VLOOKUP('Données projet'!$B$10,Paramètres!$A$1:$I$89,5,0)</f>
        <v>301.47935999999982</v>
      </c>
      <c r="AK81" s="14">
        <f t="shared" si="89"/>
        <v>71.486505311225272</v>
      </c>
      <c r="AL81" s="22">
        <f t="shared" si="58"/>
        <v>649.58221541705041</v>
      </c>
      <c r="AM81" s="62">
        <f t="shared" si="59"/>
        <v>942.91554875038378</v>
      </c>
      <c r="AN81" s="62">
        <f ca="1">AVERAGE(OFFSET($AM$3,0,0,'Données projet'!$E$10+1,1))-AVERAGE(OFFSET($H$3,0,0,'Données projet'!$E$10+1,1))</f>
        <v>321.03881567735544</v>
      </c>
      <c r="AO81" s="62">
        <f t="shared" si="90"/>
        <v>234.87694492493506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0.93092575996865867</v>
      </c>
      <c r="AV81" s="23">
        <f>EXP(-LN(2)/25)*AV80+(1-EXP(-LN(2)/25))/(LN(2)/25)*Calculateur!AQ81*Calculateur!AS81*VLOOKUP('Données projet'!$B$10,Paramètres!$A$1:$I$89,3,0)*0.475*44/12</f>
        <v>3.5821051177554541</v>
      </c>
      <c r="AW81" s="23">
        <f>EXP(-LN(2)/2)*AW80+(1-EXP(-LN(2)/2))/(LN(2)/2)*AQ81*AT81*VLOOKUP('Données projet'!$B$10,Paramètres!$A$1:$I$89,3,0)*0.475*44/12</f>
        <v>1.2958100043940476E-6</v>
      </c>
      <c r="AX81" s="23">
        <f t="shared" si="60"/>
        <v>4.5130321735341168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430</v>
      </c>
      <c r="BE81" s="14">
        <f>BD81*VLOOKUP('Données projet'!$B$11,Paramètres!$A$1:$I$89,3,0)*VLOOKUP('Données projet'!$B$11,Paramètres!$A$1:$I$89,5,0)</f>
        <v>268.32</v>
      </c>
      <c r="BF81" s="14">
        <f t="shared" si="91"/>
        <v>64.492601473092478</v>
      </c>
      <c r="BG81" s="22">
        <f t="shared" si="61"/>
        <v>579.64861423230275</v>
      </c>
      <c r="BH81" s="62">
        <f t="shared" si="62"/>
        <v>872.98194756563612</v>
      </c>
      <c r="BI81" s="62">
        <f ca="1">AVERAGE(OFFSET($BH$3,0,0,'Données projet'!$E$11+1,1))-AVERAGE(OFFSET($H$3,0,0,'Données projet'!$E$11+1,1))</f>
        <v>255.41017495879987</v>
      </c>
      <c r="BJ81" s="62">
        <f t="shared" si="92"/>
        <v>297.50513563712764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3.2250194731873352</v>
      </c>
      <c r="BQ81" s="23">
        <f>EXP(-LN(2)/25)*BQ80+(1-EXP(-LN(2)/25))/(LN(2)/25)*Calculateur!BL81*Calculateur!BN81*VLOOKUP('Données projet'!$B$11,Paramètres!$A$1:$I$89,3,0)*0.475*44/12</f>
        <v>7.3647382393451224</v>
      </c>
      <c r="BR81" s="23">
        <f>EXP(-LN(2)/2)*BR80+(1-EXP(-LN(2)/2))/(LN(2)/2)*BL81*BO81*VLOOKUP('Données projet'!$B$11,Paramètres!$A$1:$I$89,3,0)*0.475*44/12</f>
        <v>1.4544243298120427E-6</v>
      </c>
      <c r="BS81" s="24">
        <f t="shared" si="63"/>
        <v>10.589759166956787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19.5</v>
      </c>
      <c r="BY81" s="13">
        <f>IF('Données projet'!$A$114&gt;35,BY80+BX81-CG80,IF(A81&lt;'Données projet'!$A$114,$BV$205^A81,IF(A81='Données projet'!$A$114,'Données projet'!$B$114,BY80+BX81-CG80)))</f>
        <v>928.00000000000011</v>
      </c>
      <c r="BZ81" s="14">
        <f>BY81*VLOOKUP('Données projet'!$B$12,Paramètres!$A$1:$I$89,3,0)*VLOOKUP('Données projet'!$B$12,Paramètres!$A$1:$I$89,5,0)</f>
        <v>446.36800000000005</v>
      </c>
      <c r="CA81" s="14">
        <f t="shared" si="93"/>
        <v>101.11622465902977</v>
      </c>
      <c r="CB81" s="22">
        <f t="shared" si="64"/>
        <v>953.53502461447681</v>
      </c>
      <c r="CC81" s="62">
        <f t="shared" si="65"/>
        <v>1246.8683579478102</v>
      </c>
      <c r="CD81" s="62">
        <f ca="1">AVERAGE(OFFSET($CC$3,0,0,'Données projet'!$E$12+1,1))-AVERAGE(OFFSET($H$3,0,0,'Données projet'!$E$12+1,1))</f>
        <v>409.97612835032567</v>
      </c>
      <c r="CE81" s="62">
        <f t="shared" si="94"/>
        <v>411.87876448092288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11.81693998055761</v>
      </c>
      <c r="CL81" s="23">
        <f>EXP(-LN(2)/25)*CL80+(1-EXP(-LN(2)/25))/(LN(2)/25)*Calculateur!CG81*Calculateur!CI81*VLOOKUP('Données projet'!$B$12,Paramètres!$A$1:$I$89,3,0)*0.475*44/12</f>
        <v>13.765006198982386</v>
      </c>
      <c r="CM81" s="23">
        <f>EXP(-LN(2)/2)*CM80+(1-EXP(-LN(2)/2))/(LN(2)/2)*CG81*CJ81*VLOOKUP('Données projet'!$B$12,Paramètres!$A$1:$I$89,3,0)*0.475*44/12</f>
        <v>5.8009983184066055E-5</v>
      </c>
      <c r="CN81" s="24">
        <f t="shared" si="66"/>
        <v>25.582004189523182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12.9</v>
      </c>
      <c r="CT81" s="13">
        <f>IF('Données projet'!$A$140&gt;35,CT80+CS81-DB80,IF(A81&lt;'Données projet'!$A$140,$CQ$205^A81,IF(A81='Données projet'!$A$140,'Données projet'!$B$140,CT80+CS81-DB80)))</f>
        <v>802.19999999999959</v>
      </c>
      <c r="CU81" s="18">
        <f>CT81*VLOOKUP('Données projet'!$B$13,Paramètres!$A$1:$I$89,3,0)*VLOOKUP('Données projet'!$B$13,Paramètres!$A$1:$I$89,5,0)</f>
        <v>479.71559999999977</v>
      </c>
      <c r="CV81" s="14">
        <f t="shared" si="95"/>
        <v>107.76292908028387</v>
      </c>
      <c r="CW81" s="22">
        <f t="shared" si="67"/>
        <v>1023.1917714814939</v>
      </c>
      <c r="CX81" s="62">
        <f t="shared" si="68"/>
        <v>1316.5251048148273</v>
      </c>
      <c r="CY81" s="62">
        <f ca="1">AVERAGE(OFFSET($CX$3,0,0,'Données projet'!$E$13+1,1))-AVERAGE(OFFSET($H$3,0,0,'Données projet'!$E$13+1,1))</f>
        <v>463.3255103386889</v>
      </c>
      <c r="CZ81" s="62">
        <f t="shared" si="96"/>
        <v>474.73210558736127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1.9316522886278309</v>
      </c>
      <c r="DG81" s="23">
        <f>EXP(-LN(2)/25)*DG80+(1-EXP(-LN(2)/25))/(LN(2)/25)*Calculateur!DB81*Calculateur!DD81*VLOOKUP('Données projet'!$B$13,Paramètres!$A$1:$I$89,3,0)*0.475*44/12</f>
        <v>9.1596313310229931</v>
      </c>
      <c r="DH81" s="23">
        <f>EXP(-LN(2)/2)*DH80+(1-EXP(-LN(2)/2))/(LN(2)/2)*DB81*DE81*VLOOKUP('Données projet'!$B$13,Paramètres!$A$1:$I$89,3,0)*0.475*44/12</f>
        <v>2.5998613518621512E-6</v>
      </c>
      <c r="DI81" s="24">
        <f t="shared" si="69"/>
        <v>11.091286219512176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17</v>
      </c>
      <c r="DO81" s="13">
        <f>IF('Données projet'!$A$166&gt;35,DO80+DN81-DW80,IF(A81&lt;'Données projet'!$A$166,$DL$205^A81,IF(A81='Données projet'!$A$166,'Données projet'!$B$166,DO80+DN81-DW80)))</f>
        <v>498.99999999999989</v>
      </c>
      <c r="DP81" s="18">
        <f>DO81*VLOOKUP('Données projet'!$B$14,Paramètres!$A$1:$I$89,3,0)*VLOOKUP('Données projet'!$B$14,Paramètres!$A$1:$I$89,5,0)</f>
        <v>233.53199999999995</v>
      </c>
      <c r="DQ81" s="14">
        <f t="shared" si="97"/>
        <v>57.04570382109808</v>
      </c>
      <c r="DR81" s="22">
        <f t="shared" si="70"/>
        <v>506.08950082174573</v>
      </c>
      <c r="DS81" s="62">
        <f t="shared" si="71"/>
        <v>799.42283415507904</v>
      </c>
      <c r="DT81" s="62">
        <f ca="1">AVERAGE(OFFSET($DS$3,0,0,'Données projet'!$E$14+1,1))-AVERAGE(OFFSET($H$3,0,0,'Données projet'!$E$14+1,1))</f>
        <v>215.23235148064941</v>
      </c>
      <c r="DU81" s="62">
        <f t="shared" si="98"/>
        <v>184.07239726900434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1.2115419136996166</v>
      </c>
      <c r="EB81" s="23">
        <f>EXP(-LN(2)/25)*EB80+(1-EXP(-LN(2)/25))/(LN(2)/25)*Calculateur!DW81*Calculateur!DY81*VLOOKUP('Données projet'!$B$14,Paramètres!$A$1:$I$89,3,0)*0.475*44/12</f>
        <v>2.0758418847894227</v>
      </c>
      <c r="EC81" s="23">
        <f>EXP(-LN(2)/2)*EC80+(1-EXP(-LN(2)/2))/(LN(2)/2)*DW81*DZ81*VLOOKUP('Données projet'!$B$14,Paramètres!$A$1:$I$89,3,0)*0.475*44/12</f>
        <v>5.8604338647699308E-7</v>
      </c>
      <c r="ED81" s="24">
        <f t="shared" si="72"/>
        <v>3.2873843845324258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450.05117197766094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14.1</v>
      </c>
      <c r="N82" s="14">
        <f>IF('Données projet'!$A$36&gt;35,N81+M82-V81,IF(A82&lt;'Données projet'!$A$36,$K$205^A82,IF(A82='Données projet'!$A$36,'Données projet'!$B$36,N81+M82-V81)))</f>
        <v>845.90000000000111</v>
      </c>
      <c r="O82" s="14">
        <f>N82*VLOOKUP('Données projet'!$B$9,Paramètres!$A$1:$I$89,3,0)*VLOOKUP('Données projet'!$B$9,Paramètres!$A$1:$I$89,5,0)</f>
        <v>472.85810000000066</v>
      </c>
      <c r="P82" s="14">
        <f t="shared" si="87"/>
        <v>106.40063718830692</v>
      </c>
      <c r="Q82" s="22">
        <f t="shared" si="54"/>
        <v>1008.8756339363023</v>
      </c>
      <c r="R82" s="62">
        <f t="shared" si="55"/>
        <v>1302.2089672696357</v>
      </c>
      <c r="S82" s="62">
        <f ca="1">AVERAGE(OFFSET($R$3,0,0,'Données projet'!$E$9+1,1))-AVERAGE(OFFSET($H$3,0,0,'Données projet'!$E$9+1,1))</f>
        <v>460.40450534123659</v>
      </c>
      <c r="T82" s="62">
        <f t="shared" si="88"/>
        <v>467.77477728479198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4.7600506770923587</v>
      </c>
      <c r="AA82" s="23">
        <f>EXP(-LN(2)/25)*AA81+(1-EXP(-LN(2)/25))/(LN(2)/25)*Calculateur!V82*Calculateur!X82*VLOOKUP('Données projet'!$B$9,Paramètres!$A$1:$I$89,3,0)*0.475*44/12</f>
        <v>11.377904435091514</v>
      </c>
      <c r="AB82" s="23">
        <f>EXP(-LN(2)/2)*AB81+(1-EXP(-LN(2)/2))/(LN(2)/2)*V82*Y82*VLOOKUP('Données projet'!$B$9,Paramètres!$A$1:$I$89,3,0)*0.475*44/12</f>
        <v>1.6953109363468758E-6</v>
      </c>
      <c r="AC82" s="24">
        <f t="shared" si="57"/>
        <v>16.13795680749481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7.4</v>
      </c>
      <c r="AI82" s="14">
        <f>IF('Données projet'!$A$62&gt;35,AI81+AH82-AQ81,IF(A82&lt;'Données projet'!$A$62,$AF$205^A82,IF(A82='Données projet'!$A$62,'Données projet'!$B$62,AI81+AH82-AQ81)))</f>
        <v>340.5999999999998</v>
      </c>
      <c r="AJ82" s="14">
        <f>AI82*VLOOKUP('Données projet'!$B$10,Paramètres!$A$1:$I$89,3,0)*VLOOKUP('Données projet'!$B$10,Paramètres!$A$1:$I$89,5,0)</f>
        <v>308.1748799999998</v>
      </c>
      <c r="AK82" s="14">
        <f t="shared" si="89"/>
        <v>72.887541582684676</v>
      </c>
      <c r="AL82" s="22">
        <f t="shared" si="58"/>
        <v>663.6837175898421</v>
      </c>
      <c r="AM82" s="62">
        <f t="shared" si="59"/>
        <v>957.01705092317547</v>
      </c>
      <c r="AN82" s="62">
        <f ca="1">AVERAGE(OFFSET($AM$3,0,0,'Données projet'!$E$10+1,1))-AVERAGE(OFFSET($H$3,0,0,'Données projet'!$E$10+1,1))</f>
        <v>321.03881567735544</v>
      </c>
      <c r="AO82" s="62">
        <f t="shared" si="90"/>
        <v>234.87694492493506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0.91267087362432042</v>
      </c>
      <c r="AV82" s="23">
        <f>EXP(-LN(2)/25)*AV81+(1-EXP(-LN(2)/25))/(LN(2)/25)*Calculateur!AQ82*Calculateur!AS82*VLOOKUP('Données projet'!$B$10,Paramètres!$A$1:$I$89,3,0)*0.475*44/12</f>
        <v>3.4841522649357102</v>
      </c>
      <c r="AW82" s="23">
        <f>EXP(-LN(2)/2)*AW81+(1-EXP(-LN(2)/2))/(LN(2)/2)*AQ82*AT82*VLOOKUP('Données projet'!$B$10,Paramètres!$A$1:$I$89,3,0)*0.475*44/12</f>
        <v>9.16276041236401E-7</v>
      </c>
      <c r="AX82" s="23">
        <f t="shared" si="60"/>
        <v>4.3968240548360713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436</v>
      </c>
      <c r="BE82" s="14">
        <f>BD82*VLOOKUP('Données projet'!$B$11,Paramètres!$A$1:$I$89,3,0)*VLOOKUP('Données projet'!$B$11,Paramètres!$A$1:$I$89,5,0)</f>
        <v>272.06400000000002</v>
      </c>
      <c r="BF82" s="14">
        <f t="shared" si="91"/>
        <v>65.28710784811372</v>
      </c>
      <c r="BG82" s="22">
        <f t="shared" si="61"/>
        <v>587.55317950213146</v>
      </c>
      <c r="BH82" s="62">
        <f t="shared" si="62"/>
        <v>880.88651283546483</v>
      </c>
      <c r="BI82" s="62">
        <f ca="1">AVERAGE(OFFSET($BH$3,0,0,'Données projet'!$E$11+1,1))-AVERAGE(OFFSET($H$3,0,0,'Données projet'!$E$11+1,1))</f>
        <v>255.41017495879987</v>
      </c>
      <c r="BJ82" s="62">
        <f t="shared" si="92"/>
        <v>297.50513563712764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3.1617788083857783</v>
      </c>
      <c r="BQ82" s="23">
        <f>EXP(-LN(2)/25)*BQ81+(1-EXP(-LN(2)/25))/(LN(2)/25)*Calculateur!BL82*Calculateur!BN82*VLOOKUP('Données projet'!$B$11,Paramètres!$A$1:$I$89,3,0)*0.475*44/12</f>
        <v>7.1633490848954784</v>
      </c>
      <c r="BR82" s="23">
        <f>EXP(-LN(2)/2)*BR81+(1-EXP(-LN(2)/2))/(LN(2)/2)*BL82*BO82*VLOOKUP('Données projet'!$B$11,Paramètres!$A$1:$I$89,3,0)*0.475*44/12</f>
        <v>1.0284333063327951E-6</v>
      </c>
      <c r="BS82" s="24">
        <f t="shared" si="63"/>
        <v>10.325128921714564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19.5</v>
      </c>
      <c r="BY82" s="13">
        <f>IF('Données projet'!$A$114&gt;35,BY81+BX82-CG81,IF(A82&lt;'Données projet'!$A$114,$BV$205^A82,IF(A82='Données projet'!$A$114,'Données projet'!$B$114,BY81+BX82-CG81)))</f>
        <v>947.50000000000011</v>
      </c>
      <c r="BZ82" s="14">
        <f>BY82*VLOOKUP('Données projet'!$B$12,Paramètres!$A$1:$I$89,3,0)*VLOOKUP('Données projet'!$B$12,Paramètres!$A$1:$I$89,5,0)</f>
        <v>455.74750000000006</v>
      </c>
      <c r="CA82" s="14">
        <f t="shared" si="93"/>
        <v>102.99137396929552</v>
      </c>
      <c r="CB82" s="22">
        <f t="shared" si="64"/>
        <v>973.13687216318976</v>
      </c>
      <c r="CC82" s="62">
        <f t="shared" si="65"/>
        <v>1266.470205496523</v>
      </c>
      <c r="CD82" s="62">
        <f ca="1">AVERAGE(OFFSET($CC$3,0,0,'Données projet'!$E$12+1,1))-AVERAGE(OFFSET($H$3,0,0,'Données projet'!$E$12+1,1))</f>
        <v>409.97612835032567</v>
      </c>
      <c r="CE82" s="62">
        <f t="shared" si="94"/>
        <v>411.87876448092288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11.58521699516057</v>
      </c>
      <c r="CL82" s="23">
        <f>EXP(-LN(2)/25)*CL81+(1-EXP(-LN(2)/25))/(LN(2)/25)*Calculateur!CG82*Calculateur!CI82*VLOOKUP('Données projet'!$B$12,Paramètres!$A$1:$I$89,3,0)*0.475*44/12</f>
        <v>13.388601380600997</v>
      </c>
      <c r="CM82" s="23">
        <f>EXP(-LN(2)/2)*CM81+(1-EXP(-LN(2)/2))/(LN(2)/2)*CG82*CJ82*VLOOKUP('Données projet'!$B$12,Paramètres!$A$1:$I$89,3,0)*0.475*44/12</f>
        <v>4.1019252485970697E-5</v>
      </c>
      <c r="CN82" s="24">
        <f t="shared" si="66"/>
        <v>24.973859395014053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12.9</v>
      </c>
      <c r="CT82" s="13">
        <f>IF('Données projet'!$A$140&gt;35,CT81+CS82-DB81,IF(A82&lt;'Données projet'!$A$140,$CQ$205^A82,IF(A82='Données projet'!$A$140,'Données projet'!$B$140,CT81+CS82-DB81)))</f>
        <v>815.09999999999957</v>
      </c>
      <c r="CU82" s="18">
        <f>CT82*VLOOKUP('Données projet'!$B$13,Paramètres!$A$1:$I$89,3,0)*VLOOKUP('Données projet'!$B$13,Paramètres!$A$1:$I$89,5,0)</f>
        <v>487.42979999999977</v>
      </c>
      <c r="CV82" s="14">
        <f t="shared" si="95"/>
        <v>109.29270533041627</v>
      </c>
      <c r="CW82" s="22">
        <f t="shared" si="67"/>
        <v>1039.291696783808</v>
      </c>
      <c r="CX82" s="62">
        <f t="shared" si="68"/>
        <v>1332.6250301171413</v>
      </c>
      <c r="CY82" s="62">
        <f ca="1">AVERAGE(OFFSET($CX$3,0,0,'Données projet'!$E$13+1,1))-AVERAGE(OFFSET($H$3,0,0,'Données projet'!$E$13+1,1))</f>
        <v>463.3255103386889</v>
      </c>
      <c r="CZ82" s="62">
        <f t="shared" si="96"/>
        <v>474.73210558736127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1.8937737654393985</v>
      </c>
      <c r="DG82" s="23">
        <f>EXP(-LN(2)/25)*DG81+(1-EXP(-LN(2)/25))/(LN(2)/25)*Calculateur!DB82*Calculateur!DD82*VLOOKUP('Données projet'!$B$13,Paramètres!$A$1:$I$89,3,0)*0.475*44/12</f>
        <v>8.9091607305920917</v>
      </c>
      <c r="DH82" s="23">
        <f>EXP(-LN(2)/2)*DH81+(1-EXP(-LN(2)/2))/(LN(2)/2)*DB82*DE82*VLOOKUP('Données projet'!$B$13,Paramètres!$A$1:$I$89,3,0)*0.475*44/12</f>
        <v>1.8383795920465518E-6</v>
      </c>
      <c r="DI82" s="24">
        <f t="shared" si="69"/>
        <v>10.802936334411083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17</v>
      </c>
      <c r="DO82" s="13">
        <f>IF('Données projet'!$A$166&gt;35,DO81+DN82-DW81,IF(A82&lt;'Données projet'!$A$166,$DL$205^A82,IF(A82='Données projet'!$A$166,'Données projet'!$B$166,DO81+DN82-DW81)))</f>
        <v>515.99999999999989</v>
      </c>
      <c r="DP82" s="18">
        <f>DO82*VLOOKUP('Données projet'!$B$14,Paramètres!$A$1:$I$89,3,0)*VLOOKUP('Données projet'!$B$14,Paramètres!$A$1:$I$89,5,0)</f>
        <v>241.48799999999997</v>
      </c>
      <c r="DQ82" s="14">
        <f t="shared" si="97"/>
        <v>58.759565673424916</v>
      </c>
      <c r="DR82" s="22">
        <f t="shared" si="70"/>
        <v>522.93117688121504</v>
      </c>
      <c r="DS82" s="62">
        <f t="shared" si="71"/>
        <v>816.26451021454841</v>
      </c>
      <c r="DT82" s="62">
        <f ca="1">AVERAGE(OFFSET($DS$3,0,0,'Données projet'!$E$14+1,1))-AVERAGE(OFFSET($H$3,0,0,'Données projet'!$E$14+1,1))</f>
        <v>215.23235148064941</v>
      </c>
      <c r="DU82" s="62">
        <f t="shared" si="98"/>
        <v>184.07239726900434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1.1877843157395676</v>
      </c>
      <c r="EB82" s="23">
        <f>EXP(-LN(2)/25)*EB81+(1-EXP(-LN(2)/25))/(LN(2)/25)*Calculateur!DW82*Calculateur!DY82*VLOOKUP('Données projet'!$B$14,Paramètres!$A$1:$I$89,3,0)*0.475*44/12</f>
        <v>2.0190778792860757</v>
      </c>
      <c r="EC82" s="23">
        <f>EXP(-LN(2)/2)*EC81+(1-EXP(-LN(2)/2))/(LN(2)/2)*DW82*DZ82*VLOOKUP('Données projet'!$B$14,Paramètres!$A$1:$I$89,3,0)*0.475*44/12</f>
        <v>4.1439525264741046E-7</v>
      </c>
      <c r="ED82" s="24">
        <f t="shared" si="72"/>
        <v>3.2068626094208961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451.98401686960722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860</v>
      </c>
      <c r="L83" s="13">
        <f>VLOOKUP(A83,'Données projet'!$A$35:$I$55,9,0)</f>
        <v>14.1</v>
      </c>
      <c r="M83" s="13">
        <f t="array" ref="M83">INDEX(L:L,MIN(IF(ISNUMBER(L83:L279),ROW(L83:L279),"")))</f>
        <v>14.1</v>
      </c>
      <c r="N83" s="14">
        <f>IF('Données projet'!$A$36&gt;35,N82+M83-V82,IF(A83&lt;'Données projet'!$A$36,$K$205^A83,IF(A83='Données projet'!$A$36,'Données projet'!$B$36,N82+M83-V82)))</f>
        <v>860.00000000000114</v>
      </c>
      <c r="O83" s="14">
        <f>N83*VLOOKUP('Données projet'!$B$9,Paramètres!$A$1:$I$89,3,0)*VLOOKUP('Données projet'!$B$9,Paramètres!$A$1:$I$89,5,0)</f>
        <v>480.74000000000063</v>
      </c>
      <c r="P83" s="14">
        <f t="shared" si="87"/>
        <v>107.96623821272577</v>
      </c>
      <c r="Q83" s="22">
        <f t="shared" si="54"/>
        <v>1025.3300315538318</v>
      </c>
      <c r="R83" s="62">
        <f t="shared" si="55"/>
        <v>1318.663364887165</v>
      </c>
      <c r="S83" s="62">
        <f ca="1">AVERAGE(OFFSET($R$3,0,0,'Données projet'!$E$9+1,1))-AVERAGE(OFFSET($H$3,0,0,'Données projet'!$E$9+1,1))</f>
        <v>460.40450534123659</v>
      </c>
      <c r="T83" s="62">
        <f t="shared" si="88"/>
        <v>467.77477728479198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860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4.6667089866588096</v>
      </c>
      <c r="AA83" s="23">
        <f>EXP(-LN(2)/25)*AA82+(1-EXP(-LN(2)/25))/(LN(2)/25)*Calculateur!V83*Calculateur!X83*VLOOKUP('Données projet'!$B$9,Paramètres!$A$1:$I$89,3,0)*0.475*44/12</f>
        <v>11.066775039975948</v>
      </c>
      <c r="AB83" s="23">
        <f>EXP(-LN(2)/2)*AB82+(1-EXP(-LN(2)/2))/(LN(2)/2)*V83*Y83*VLOOKUP('Données projet'!$B$9,Paramètres!$A$1:$I$89,3,0)*0.475*44/12</f>
        <v>1.1987658593105913E-6</v>
      </c>
      <c r="AC83" s="24">
        <f t="shared" si="57"/>
        <v>15.733485225400617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348</v>
      </c>
      <c r="AG83" s="13">
        <f>VLOOKUP(A83,'Données projet'!$A$61:$I$81,9,0)</f>
        <v>7.4</v>
      </c>
      <c r="AH83" s="13">
        <f t="array" ref="AH83">INDEX(AG:AG,MIN(IF(ISNUMBER(AG83:AG279),ROW(AG83:AG279),"")))</f>
        <v>7.4</v>
      </c>
      <c r="AI83" s="14">
        <f>IF('Données projet'!$A$62&gt;35,AI82+AH83-AQ82,IF(A83&lt;'Données projet'!$A$62,$AF$205^A83,IF(A83='Données projet'!$A$62,'Données projet'!$B$62,AI82+AH83-AQ82)))</f>
        <v>347.99999999999977</v>
      </c>
      <c r="AJ83" s="14">
        <f>AI83*VLOOKUP('Données projet'!$B$10,Paramètres!$A$1:$I$89,3,0)*VLOOKUP('Données projet'!$B$10,Paramètres!$A$1:$I$89,5,0)</f>
        <v>314.87039999999979</v>
      </c>
      <c r="AK83" s="14">
        <f t="shared" si="89"/>
        <v>74.285038887149881</v>
      </c>
      <c r="AL83" s="22">
        <f t="shared" si="58"/>
        <v>677.7790560617857</v>
      </c>
      <c r="AM83" s="62">
        <f t="shared" si="59"/>
        <v>971.11238939511895</v>
      </c>
      <c r="AN83" s="62">
        <f ca="1">AVERAGE(OFFSET($AM$3,0,0,'Données projet'!$E$10+1,1))-AVERAGE(OFFSET($H$3,0,0,'Données projet'!$E$10+1,1))</f>
        <v>321.03881567735544</v>
      </c>
      <c r="AO83" s="62">
        <f t="shared" si="90"/>
        <v>234.87694492493506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56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0.8947739544668134</v>
      </c>
      <c r="AV83" s="23">
        <f>EXP(-LN(2)/25)*AV82+(1-EXP(-LN(2)/25))/(LN(2)/25)*Calculateur!AQ83*Calculateur!AS83*VLOOKUP('Données projet'!$B$10,Paramètres!$A$1:$I$89,3,0)*0.475*44/12</f>
        <v>3.3888779380274388</v>
      </c>
      <c r="AW83" s="23">
        <f>EXP(-LN(2)/2)*AW82+(1-EXP(-LN(2)/2))/(LN(2)/2)*AQ83*AT83*VLOOKUP('Données projet'!$B$10,Paramètres!$A$1:$I$89,3,0)*0.475*44/12</f>
        <v>6.4790500219702379E-7</v>
      </c>
      <c r="AX83" s="23">
        <f t="shared" si="60"/>
        <v>4.2836525403992542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442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442</v>
      </c>
      <c r="BE83" s="14">
        <f>BD83*VLOOKUP('Données projet'!$B$11,Paramètres!$A$1:$I$89,3,0)*VLOOKUP('Données projet'!$B$11,Paramètres!$A$1:$I$89,5,0)</f>
        <v>275.80799999999999</v>
      </c>
      <c r="BF83" s="14">
        <f t="shared" si="91"/>
        <v>66.08034253144065</v>
      </c>
      <c r="BG83" s="22">
        <f t="shared" si="61"/>
        <v>595.45552990892566</v>
      </c>
      <c r="BH83" s="62">
        <f t="shared" si="62"/>
        <v>888.78886324225891</v>
      </c>
      <c r="BI83" s="62">
        <f ca="1">AVERAGE(OFFSET($BH$3,0,0,'Données projet'!$E$11+1,1))-AVERAGE(OFFSET($H$3,0,0,'Données projet'!$E$11+1,1))</f>
        <v>255.41017495879987</v>
      </c>
      <c r="BJ83" s="62">
        <f t="shared" si="92"/>
        <v>297.50513563712764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442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3.0997782544479833</v>
      </c>
      <c r="BQ83" s="23">
        <f>EXP(-LN(2)/25)*BQ82+(1-EXP(-LN(2)/25))/(LN(2)/25)*Calculateur!BL83*Calculateur!BN83*VLOOKUP('Données projet'!$B$11,Paramètres!$A$1:$I$89,3,0)*0.475*44/12</f>
        <v>6.9674669274648551</v>
      </c>
      <c r="BR83" s="23">
        <f>EXP(-LN(2)/2)*BR82+(1-EXP(-LN(2)/2))/(LN(2)/2)*BL83*BO83*VLOOKUP('Données projet'!$B$11,Paramètres!$A$1:$I$89,3,0)*0.475*44/12</f>
        <v>7.2721216490602135E-7</v>
      </c>
      <c r="BS83" s="24">
        <f t="shared" si="63"/>
        <v>10.067245909125003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967</v>
      </c>
      <c r="BW83" s="13">
        <f>VLOOKUP(A83,'Données projet'!$A$113:$I$133,9,0)</f>
        <v>19.5</v>
      </c>
      <c r="BX83" s="13">
        <f t="array" ref="BX83">INDEX(BW:BW,MIN(IF(ISNUMBER(BW83:BW279),ROW(BW83:BW279),"")))</f>
        <v>19.5</v>
      </c>
      <c r="BY83" s="13">
        <f>IF('Données projet'!$A$114&gt;35,BY82+BX83-CG82,IF(A83&lt;'Données projet'!$A$114,$BV$205^A83,IF(A83='Données projet'!$A$114,'Données projet'!$B$114,BY82+BX83-CG82)))</f>
        <v>967.00000000000011</v>
      </c>
      <c r="BZ83" s="14">
        <f>BY83*VLOOKUP('Données projet'!$B$12,Paramètres!$A$1:$I$89,3,0)*VLOOKUP('Données projet'!$B$12,Paramètres!$A$1:$I$89,5,0)</f>
        <v>465.12700000000007</v>
      </c>
      <c r="CA83" s="14">
        <f t="shared" si="93"/>
        <v>104.86203627461241</v>
      </c>
      <c r="CB83" s="22">
        <f t="shared" si="64"/>
        <v>992.73090484495003</v>
      </c>
      <c r="CC83" s="62">
        <f t="shared" si="65"/>
        <v>1286.0642381782834</v>
      </c>
      <c r="CD83" s="62">
        <f ca="1">AVERAGE(OFFSET($CC$3,0,0,'Données projet'!$E$12+1,1))-AVERAGE(OFFSET($H$3,0,0,'Données projet'!$E$12+1,1))</f>
        <v>409.97612835032567</v>
      </c>
      <c r="CE83" s="62">
        <f t="shared" si="94"/>
        <v>411.87876448092288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967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11.358037956170101</v>
      </c>
      <c r="CL83" s="23">
        <f>EXP(-LN(2)/25)*CL82+(1-EXP(-LN(2)/25))/(LN(2)/25)*Calculateur!CG83*Calculateur!CI83*VLOOKUP('Données projet'!$B$12,Paramètres!$A$1:$I$89,3,0)*0.475*44/12</f>
        <v>13.022489371772517</v>
      </c>
      <c r="CM83" s="23">
        <f>EXP(-LN(2)/2)*CM82+(1-EXP(-LN(2)/2))/(LN(2)/2)*CG83*CJ83*VLOOKUP('Données projet'!$B$12,Paramètres!$A$1:$I$89,3,0)*0.475*44/12</f>
        <v>2.9004991592033028E-5</v>
      </c>
      <c r="CN83" s="24">
        <f t="shared" si="66"/>
        <v>24.380556332934209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828</v>
      </c>
      <c r="CR83" s="13">
        <f>VLOOKUP(A83,'Données projet'!$A$139:$I$159,9,0)</f>
        <v>12.9</v>
      </c>
      <c r="CS83" s="13">
        <f t="array" ref="CS83">INDEX(CR:CR,MIN(IF(ISNUMBER(CR83:CR279),ROW(CR83:CR279),"")))</f>
        <v>12.9</v>
      </c>
      <c r="CT83" s="13">
        <f>IF('Données projet'!$A$140&gt;35,CT82+CS83-DB82,IF(A83&lt;'Données projet'!$A$140,$CQ$205^A83,IF(A83='Données projet'!$A$140,'Données projet'!$B$140,CT82+CS83-DB82)))</f>
        <v>827.99999999999955</v>
      </c>
      <c r="CU83" s="18">
        <f>CT83*VLOOKUP('Données projet'!$B$13,Paramètres!$A$1:$I$89,3,0)*VLOOKUP('Données projet'!$B$13,Paramètres!$A$1:$I$89,5,0)</f>
        <v>495.14399999999978</v>
      </c>
      <c r="CV83" s="14">
        <f t="shared" si="95"/>
        <v>110.81966592893397</v>
      </c>
      <c r="CW83" s="22">
        <f t="shared" si="67"/>
        <v>1055.3867181595597</v>
      </c>
      <c r="CX83" s="62">
        <f t="shared" si="68"/>
        <v>1348.7200514928929</v>
      </c>
      <c r="CY83" s="62">
        <f ca="1">AVERAGE(OFFSET($CX$3,0,0,'Données projet'!$E$13+1,1))-AVERAGE(OFFSET($H$3,0,0,'Données projet'!$E$13+1,1))</f>
        <v>463.3255103386889</v>
      </c>
      <c r="CZ83" s="62">
        <f t="shared" si="96"/>
        <v>474.73210558736127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828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1.8566380169870733</v>
      </c>
      <c r="DG83" s="23">
        <f>EXP(-LN(2)/25)*DG82+(1-EXP(-LN(2)/25))/(LN(2)/25)*Calculateur!DB83*Calculateur!DD83*VLOOKUP('Données projet'!$B$13,Paramètres!$A$1:$I$89,3,0)*0.475*44/12</f>
        <v>8.6655392619016496</v>
      </c>
      <c r="DH83" s="23">
        <f>EXP(-LN(2)/2)*DH82+(1-EXP(-LN(2)/2))/(LN(2)/2)*DB83*DE83*VLOOKUP('Données projet'!$B$13,Paramètres!$A$1:$I$89,3,0)*0.475*44/12</f>
        <v>1.2999306759310756E-6</v>
      </c>
      <c r="DI83" s="24">
        <f t="shared" si="69"/>
        <v>10.522178578819398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533</v>
      </c>
      <c r="DM83" s="13">
        <f>VLOOKUP(A83,'Données projet'!$A$165:$I$185,9,0)</f>
        <v>17</v>
      </c>
      <c r="DN83" s="13">
        <f t="array" ref="DN83">INDEX(DM:DM,MIN(IF(ISNUMBER(DM83:DM279),ROW(DM83:DM279),"")))</f>
        <v>17</v>
      </c>
      <c r="DO83" s="13">
        <f>IF('Données projet'!$A$166&gt;35,DO82+DN83-DW82,IF(A83&lt;'Données projet'!$A$166,$DL$205^A83,IF(A83='Données projet'!$A$166,'Données projet'!$B$166,DO82+DN83-DW82)))</f>
        <v>532.99999999999989</v>
      </c>
      <c r="DP83" s="18">
        <f>DO83*VLOOKUP('Données projet'!$B$14,Paramètres!$A$1:$I$89,3,0)*VLOOKUP('Données projet'!$B$14,Paramètres!$A$1:$I$89,5,0)</f>
        <v>249.44399999999993</v>
      </c>
      <c r="DQ83" s="14">
        <f t="shared" si="97"/>
        <v>60.466866397117599</v>
      </c>
      <c r="DR83" s="22">
        <f t="shared" si="70"/>
        <v>539.76142564164627</v>
      </c>
      <c r="DS83" s="62">
        <f t="shared" si="71"/>
        <v>833.09475897497964</v>
      </c>
      <c r="DT83" s="62">
        <f ca="1">AVERAGE(OFFSET($DS$3,0,0,'Données projet'!$E$14+1,1))-AVERAGE(OFFSET($H$3,0,0,'Données projet'!$E$14+1,1))</f>
        <v>215.23235148064941</v>
      </c>
      <c r="DU83" s="62">
        <f t="shared" si="98"/>
        <v>184.07239726900434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83.4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1.1644925897848111</v>
      </c>
      <c r="EB83" s="23">
        <f>EXP(-LN(2)/25)*EB82+(1-EXP(-LN(2)/25))/(LN(2)/25)*Calculateur!DW83*Calculateur!DY83*VLOOKUP('Données projet'!$B$14,Paramètres!$A$1:$I$89,3,0)*0.475*44/12</f>
        <v>1.963866088498307</v>
      </c>
      <c r="EC83" s="23">
        <f>EXP(-LN(2)/2)*EC82+(1-EXP(-LN(2)/2))/(LN(2)/2)*DW83*DZ83*VLOOKUP('Données projet'!$B$14,Paramètres!$A$1:$I$89,3,0)*0.475*44/12</f>
        <v>2.9302169323849654E-7</v>
      </c>
      <c r="ED83" s="24">
        <f t="shared" si="72"/>
        <v>3.1283589713048112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453.91630320723971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1.1368683772161603E-12</v>
      </c>
      <c r="O84" s="14">
        <f>N84*VLOOKUP('Données projet'!$B$9,Paramètres!$A$1:$I$89,3,0)*VLOOKUP('Données projet'!$B$9,Paramètres!$A$1:$I$89,5,0)</f>
        <v>6.3550942286383359E-13</v>
      </c>
      <c r="P84" s="14">
        <f t="shared" si="87"/>
        <v>7.6982260417614606E-12</v>
      </c>
      <c r="Q84" s="22">
        <f t="shared" si="54"/>
        <v>1.4514589267555721E-11</v>
      </c>
      <c r="R84" s="62">
        <f t="shared" si="55"/>
        <v>293.33333333334781</v>
      </c>
      <c r="S84" s="62">
        <f ca="1">AVERAGE(OFFSET($R$3,0,0,'Données projet'!$E$9+1,1))-AVERAGE(OFFSET($H$3,0,0,'Données projet'!$E$9+1,1))</f>
        <v>460.40450534123659</v>
      </c>
      <c r="T84" s="62">
        <f t="shared" si="88"/>
        <v>467.77477728479198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4.5751976698418524</v>
      </c>
      <c r="AA84" s="23">
        <f>EXP(-LN(2)/25)*AA83+(1-EXP(-LN(2)/25))/(LN(2)/25)*Calculateur!V84*Calculateur!X84*VLOOKUP('Données projet'!$B$9,Paramètres!$A$1:$I$89,3,0)*0.475*44/12</f>
        <v>10.764153494531399</v>
      </c>
      <c r="AB84" s="23">
        <f>EXP(-LN(2)/2)*AB83+(1-EXP(-LN(2)/2))/(LN(2)/2)*V84*Y84*VLOOKUP('Données projet'!$B$9,Paramètres!$A$1:$I$89,3,0)*0.475*44/12</f>
        <v>8.4765546817343792E-7</v>
      </c>
      <c r="AC84" s="24">
        <f t="shared" si="57"/>
        <v>15.339352012028719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6.6</v>
      </c>
      <c r="AI84" s="14">
        <f>IF('Données projet'!$A$62&gt;35,AI83+AH84-AQ83,IF(A84&lt;'Données projet'!$A$62,$AF$205^A84,IF(A84='Données projet'!$A$62,'Données projet'!$B$62,AI83+AH84-AQ83)))</f>
        <v>298.5999999999998</v>
      </c>
      <c r="AJ84" s="14">
        <f>AI84*VLOOKUP('Données projet'!$B$10,Paramètres!$A$1:$I$89,3,0)*VLOOKUP('Données projet'!$B$10,Paramètres!$A$1:$I$89,5,0)</f>
        <v>270.17327999999981</v>
      </c>
      <c r="AK84" s="14">
        <f t="shared" si="89"/>
        <v>64.886042303882988</v>
      </c>
      <c r="AL84" s="22">
        <f t="shared" si="58"/>
        <v>583.56165301259591</v>
      </c>
      <c r="AM84" s="62">
        <f t="shared" si="59"/>
        <v>876.89498634592928</v>
      </c>
      <c r="AN84" s="62">
        <f ca="1">AVERAGE(OFFSET($AM$3,0,0,'Données projet'!$E$10+1,1))-AVERAGE(OFFSET($H$3,0,0,'Données projet'!$E$10+1,1))</f>
        <v>321.03881567735544</v>
      </c>
      <c r="AO84" s="62">
        <f t="shared" si="90"/>
        <v>234.87694492493506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0.87722798297794224</v>
      </c>
      <c r="AV84" s="23">
        <f>EXP(-LN(2)/25)*AV83+(1-EXP(-LN(2)/25))/(LN(2)/25)*Calculateur!AQ84*Calculateur!AS84*VLOOKUP('Données projet'!$B$10,Paramètres!$A$1:$I$89,3,0)*0.475*44/12</f>
        <v>3.2962088925987332</v>
      </c>
      <c r="AW84" s="23">
        <f>EXP(-LN(2)/2)*AW83+(1-EXP(-LN(2)/2))/(LN(2)/2)*AQ84*AT84*VLOOKUP('Données projet'!$B$10,Paramètres!$A$1:$I$89,3,0)*0.475*44/12</f>
        <v>4.581380206182005E-7</v>
      </c>
      <c r="AX84" s="23">
        <f t="shared" si="60"/>
        <v>4.1734373337146966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255.41017495879987</v>
      </c>
      <c r="BJ84" s="62">
        <f t="shared" si="92"/>
        <v>297.50513563712764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3.0389934935563048</v>
      </c>
      <c r="BQ84" s="23">
        <f>EXP(-LN(2)/25)*BQ83+(1-EXP(-LN(2)/25))/(LN(2)/25)*Calculateur!BL84*Calculateur!BN84*VLOOKUP('Données projet'!$B$11,Paramètres!$A$1:$I$89,3,0)*0.475*44/12</f>
        <v>6.7769411779301674</v>
      </c>
      <c r="BR84" s="23">
        <f>EXP(-LN(2)/2)*BR83+(1-EXP(-LN(2)/2))/(LN(2)/2)*BL84*BO84*VLOOKUP('Données projet'!$B$11,Paramètres!$A$1:$I$89,3,0)*0.475*44/12</f>
        <v>5.1421665316639755E-7</v>
      </c>
      <c r="BS84" s="24">
        <f t="shared" si="63"/>
        <v>9.8159351857031254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1.1368683772161603E-13</v>
      </c>
      <c r="BZ84" s="14">
        <f>BY84*VLOOKUP('Données projet'!$B$12,Paramètres!$A$1:$I$89,3,0)*VLOOKUP('Données projet'!$B$12,Paramètres!$A$1:$I$89,5,0)</f>
        <v>5.4683368944097308E-14</v>
      </c>
      <c r="CA84" s="14">
        <f t="shared" si="93"/>
        <v>8.8129432816788268E-13</v>
      </c>
      <c r="CB84" s="22">
        <f t="shared" si="64"/>
        <v>1.6301611558033651E-12</v>
      </c>
      <c r="CC84" s="62">
        <f t="shared" si="65"/>
        <v>293.33333333333496</v>
      </c>
      <c r="CD84" s="62">
        <f ca="1">AVERAGE(OFFSET($CC$3,0,0,'Données projet'!$E$12+1,1))-AVERAGE(OFFSET($H$3,0,0,'Données projet'!$E$12+1,1))</f>
        <v>409.97612835032567</v>
      </c>
      <c r="CE84" s="62">
        <f t="shared" si="94"/>
        <v>411.87876448092288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11.135313759568703</v>
      </c>
      <c r="CL84" s="23">
        <f>EXP(-LN(2)/25)*CL83+(1-EXP(-LN(2)/25))/(LN(2)/25)*Calculateur!CG84*Calculateur!CI84*VLOOKUP('Données projet'!$B$12,Paramètres!$A$1:$I$89,3,0)*0.475*44/12</f>
        <v>12.666388715078444</v>
      </c>
      <c r="CM84" s="23">
        <f>EXP(-LN(2)/2)*CM83+(1-EXP(-LN(2)/2))/(LN(2)/2)*CG84*CJ84*VLOOKUP('Données projet'!$B$12,Paramètres!$A$1:$I$89,3,0)*0.475*44/12</f>
        <v>2.0509626242985349E-5</v>
      </c>
      <c r="CN84" s="24">
        <f t="shared" si="66"/>
        <v>23.80172298427339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-4.5474735088646412E-13</v>
      </c>
      <c r="CU84" s="18">
        <f>CT84*VLOOKUP('Données projet'!$B$13,Paramètres!$A$1:$I$89,3,0)*VLOOKUP('Données projet'!$B$13,Paramètres!$A$1:$I$89,5,0)</f>
        <v>-2.7193891583010558E-13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463.3255103386889</v>
      </c>
      <c r="CZ84" s="62">
        <f t="shared" si="96"/>
        <v>474.73210558736127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1.8202304779113283</v>
      </c>
      <c r="DG84" s="23">
        <f>EXP(-LN(2)/25)*DG83+(1-EXP(-LN(2)/25))/(LN(2)/25)*Calculateur!DB84*Calculateur!DD84*VLOOKUP('Données projet'!$B$13,Paramètres!$A$1:$I$89,3,0)*0.475*44/12</f>
        <v>8.428579635084045</v>
      </c>
      <c r="DH84" s="23">
        <f>EXP(-LN(2)/2)*DH83+(1-EXP(-LN(2)/2))/(LN(2)/2)*DB84*DE84*VLOOKUP('Données projet'!$B$13,Paramètres!$A$1:$I$89,3,0)*0.475*44/12</f>
        <v>9.191897960232759E-7</v>
      </c>
      <c r="DI84" s="24">
        <f t="shared" si="69"/>
        <v>10.24881103218517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17.5</v>
      </c>
      <c r="DO84" s="13">
        <f>IF('Données projet'!$A$166&gt;35,DO83+DN84-DW83,IF(A84&lt;'Données projet'!$A$166,$DL$205^A84,IF(A84='Données projet'!$A$166,'Données projet'!$B$166,DO83+DN84-DW83)))</f>
        <v>467.09999999999991</v>
      </c>
      <c r="DP84" s="18">
        <f>DO84*VLOOKUP('Données projet'!$B$14,Paramètres!$A$1:$I$89,3,0)*VLOOKUP('Données projet'!$B$14,Paramètres!$A$1:$I$89,5,0)</f>
        <v>218.60279999999995</v>
      </c>
      <c r="DQ84" s="14">
        <f t="shared" si="97"/>
        <v>53.811098692658383</v>
      </c>
      <c r="DR84" s="22">
        <f t="shared" si="70"/>
        <v>474.45420688971325</v>
      </c>
      <c r="DS84" s="62">
        <f t="shared" si="71"/>
        <v>767.78754022304656</v>
      </c>
      <c r="DT84" s="62">
        <f ca="1">AVERAGE(OFFSET($DS$3,0,0,'Données projet'!$E$14+1,1))-AVERAGE(OFFSET($H$3,0,0,'Données projet'!$E$14+1,1))</f>
        <v>215.23235148064941</v>
      </c>
      <c r="DU84" s="62">
        <f t="shared" si="98"/>
        <v>184.07239726900434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1.1416576003694774</v>
      </c>
      <c r="EB84" s="23">
        <f>EXP(-LN(2)/25)*EB83+(1-EXP(-LN(2)/25))/(LN(2)/25)*Calculateur!DW84*Calculateur!DY84*VLOOKUP('Données projet'!$B$14,Paramètres!$A$1:$I$89,3,0)*0.475*44/12</f>
        <v>1.9101640670330917</v>
      </c>
      <c r="EC84" s="23">
        <f>EXP(-LN(2)/2)*EC83+(1-EXP(-LN(2)/2))/(LN(2)/2)*DW84*DZ84*VLOOKUP('Données projet'!$B$14,Paramètres!$A$1:$I$89,3,0)*0.475*44/12</f>
        <v>2.0719762632370523E-7</v>
      </c>
      <c r="ED84" s="24">
        <f t="shared" si="72"/>
        <v>3.0518218746001953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455.84803868381812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1.1368683772161603E-12</v>
      </c>
      <c r="O85" s="14">
        <f>N85*VLOOKUP('Données projet'!$B$9,Paramètres!$A$1:$I$89,3,0)*VLOOKUP('Données projet'!$B$9,Paramètres!$A$1:$I$89,5,0)</f>
        <v>6.3550942286383359E-13</v>
      </c>
      <c r="P85" s="14">
        <f t="shared" si="87"/>
        <v>7.6982260417614606E-12</v>
      </c>
      <c r="Q85" s="22">
        <f t="shared" si="54"/>
        <v>1.4514589267555721E-11</v>
      </c>
      <c r="R85" s="62">
        <f t="shared" si="55"/>
        <v>293.33333333334781</v>
      </c>
      <c r="S85" s="62">
        <f ca="1">AVERAGE(OFFSET($R$3,0,0,'Données projet'!$E$9+1,1))-AVERAGE(OFFSET($H$3,0,0,'Données projet'!$E$9+1,1))</f>
        <v>460.40450534123659</v>
      </c>
      <c r="T85" s="62">
        <f t="shared" si="88"/>
        <v>467.77477728479198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4.485480834131284</v>
      </c>
      <c r="AA85" s="23">
        <f>EXP(-LN(2)/25)*AA84+(1-EXP(-LN(2)/25))/(LN(2)/25)*Calculateur!V85*Calculateur!X85*VLOOKUP('Données projet'!$B$9,Paramètres!$A$1:$I$89,3,0)*0.475*44/12</f>
        <v>10.469807151161207</v>
      </c>
      <c r="AB85" s="23">
        <f>EXP(-LN(2)/2)*AB84+(1-EXP(-LN(2)/2))/(LN(2)/2)*V85*Y85*VLOOKUP('Données projet'!$B$9,Paramètres!$A$1:$I$89,3,0)*0.475*44/12</f>
        <v>5.9938292965529565E-7</v>
      </c>
      <c r="AC85" s="24">
        <f t="shared" si="57"/>
        <v>14.95528858467542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6.6</v>
      </c>
      <c r="AI85" s="14">
        <f>IF('Données projet'!$A$62&gt;35,AI84+AH85-AQ84,IF(A85&lt;'Données projet'!$A$62,$AF$205^A85,IF(A85='Données projet'!$A$62,'Données projet'!$B$62,AI84+AH85-AQ84)))</f>
        <v>305.19999999999982</v>
      </c>
      <c r="AJ85" s="14">
        <f>AI85*VLOOKUP('Données projet'!$B$10,Paramètres!$A$1:$I$89,3,0)*VLOOKUP('Données projet'!$B$10,Paramètres!$A$1:$I$89,5,0)</f>
        <v>276.1449599999998</v>
      </c>
      <c r="AK85" s="14">
        <f t="shared" si="89"/>
        <v>66.151671938851194</v>
      </c>
      <c r="AL85" s="22">
        <f t="shared" si="58"/>
        <v>596.16663396016543</v>
      </c>
      <c r="AM85" s="62">
        <f t="shared" si="59"/>
        <v>889.49996729349868</v>
      </c>
      <c r="AN85" s="62">
        <f ca="1">AVERAGE(OFFSET($AM$3,0,0,'Données projet'!$E$10+1,1))-AVERAGE(OFFSET($H$3,0,0,'Données projet'!$E$10+1,1))</f>
        <v>321.03881567735544</v>
      </c>
      <c r="AO85" s="62">
        <f t="shared" si="90"/>
        <v>234.87694492493506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0.86002607728798197</v>
      </c>
      <c r="AV85" s="23">
        <f>EXP(-LN(2)/25)*AV84+(1-EXP(-LN(2)/25))/(LN(2)/25)*Calculateur!AQ85*Calculateur!AS85*VLOOKUP('Données projet'!$B$10,Paramètres!$A$1:$I$89,3,0)*0.475*44/12</f>
        <v>3.2060738870905285</v>
      </c>
      <c r="AW85" s="23">
        <f>EXP(-LN(2)/2)*AW84+(1-EXP(-LN(2)/2))/(LN(2)/2)*AQ85*AT85*VLOOKUP('Données projet'!$B$10,Paramètres!$A$1:$I$89,3,0)*0.475*44/12</f>
        <v>3.239525010985119E-7</v>
      </c>
      <c r="AX85" s="23">
        <f t="shared" si="60"/>
        <v>4.066100288331012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255.41017495879987</v>
      </c>
      <c r="BJ85" s="62">
        <f t="shared" si="92"/>
        <v>297.50513563712764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2.9794006847506687</v>
      </c>
      <c r="BQ85" s="23">
        <f>EXP(-LN(2)/25)*BQ84+(1-EXP(-LN(2)/25))/(LN(2)/25)*Calculateur!BL85*Calculateur!BN85*VLOOKUP('Données projet'!$B$11,Paramètres!$A$1:$I$89,3,0)*0.475*44/12</f>
        <v>6.591625365035819</v>
      </c>
      <c r="BR85" s="23">
        <f>EXP(-LN(2)/2)*BR84+(1-EXP(-LN(2)/2))/(LN(2)/2)*BL85*BO85*VLOOKUP('Données projet'!$B$11,Paramètres!$A$1:$I$89,3,0)*0.475*44/12</f>
        <v>3.6360608245301068E-7</v>
      </c>
      <c r="BS85" s="24">
        <f t="shared" si="63"/>
        <v>9.5710264133925698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1.1368683772161603E-13</v>
      </c>
      <c r="BZ85" s="14">
        <f>BY85*VLOOKUP('Données projet'!$B$12,Paramètres!$A$1:$I$89,3,0)*VLOOKUP('Données projet'!$B$12,Paramètres!$A$1:$I$89,5,0)</f>
        <v>5.4683368944097308E-14</v>
      </c>
      <c r="CA85" s="14">
        <f t="shared" si="93"/>
        <v>8.8129432816788268E-13</v>
      </c>
      <c r="CB85" s="22">
        <f t="shared" si="64"/>
        <v>1.6301611558033651E-12</v>
      </c>
      <c r="CC85" s="62">
        <f t="shared" si="65"/>
        <v>293.33333333333496</v>
      </c>
      <c r="CD85" s="62">
        <f ca="1">AVERAGE(OFFSET($CC$3,0,0,'Données projet'!$E$12+1,1))-AVERAGE(OFFSET($H$3,0,0,'Données projet'!$E$12+1,1))</f>
        <v>409.97612835032567</v>
      </c>
      <c r="CE85" s="62">
        <f t="shared" si="94"/>
        <v>411.87876448092288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10.916957048614313</v>
      </c>
      <c r="CL85" s="23">
        <f>EXP(-LN(2)/25)*CL84+(1-EXP(-LN(2)/25))/(LN(2)/25)*Calculateur!CG85*Calculateur!CI85*VLOOKUP('Données projet'!$B$12,Paramètres!$A$1:$I$89,3,0)*0.475*44/12</f>
        <v>12.320025649568191</v>
      </c>
      <c r="CM85" s="23">
        <f>EXP(-LN(2)/2)*CM84+(1-EXP(-LN(2)/2))/(LN(2)/2)*CG85*CJ85*VLOOKUP('Données projet'!$B$12,Paramètres!$A$1:$I$89,3,0)*0.475*44/12</f>
        <v>1.4502495796016514E-5</v>
      </c>
      <c r="CN85" s="24">
        <f t="shared" si="66"/>
        <v>23.236997200678296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-4.5474735088646412E-13</v>
      </c>
      <c r="CU85" s="18">
        <f>CT85*VLOOKUP('Données projet'!$B$13,Paramètres!$A$1:$I$89,3,0)*VLOOKUP('Données projet'!$B$13,Paramètres!$A$1:$I$89,5,0)</f>
        <v>-2.7193891583010558E-13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463.3255103386889</v>
      </c>
      <c r="CZ85" s="62">
        <f t="shared" si="96"/>
        <v>474.73210558736127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1.7845368684704526</v>
      </c>
      <c r="DG85" s="23">
        <f>EXP(-LN(2)/25)*DG84+(1-EXP(-LN(2)/25))/(LN(2)/25)*Calculateur!DB85*Calculateur!DD85*VLOOKUP('Données projet'!$B$13,Paramètres!$A$1:$I$89,3,0)*0.475*44/12</f>
        <v>8.1980996817229332</v>
      </c>
      <c r="DH85" s="23">
        <f>EXP(-LN(2)/2)*DH84+(1-EXP(-LN(2)/2))/(LN(2)/2)*DB85*DE85*VLOOKUP('Données projet'!$B$13,Paramètres!$A$1:$I$89,3,0)*0.475*44/12</f>
        <v>6.499653379655378E-7</v>
      </c>
      <c r="DI85" s="24">
        <f t="shared" si="69"/>
        <v>9.9826372001587238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17.5</v>
      </c>
      <c r="DO85" s="13">
        <f>IF('Données projet'!$A$166&gt;35,DO84+DN85-DW84,IF(A85&lt;'Données projet'!$A$166,$DL$205^A85,IF(A85='Données projet'!$A$166,'Données projet'!$B$166,DO84+DN85-DW84)))</f>
        <v>484.59999999999991</v>
      </c>
      <c r="DP85" s="18">
        <f>DO85*VLOOKUP('Données projet'!$B$14,Paramètres!$A$1:$I$89,3,0)*VLOOKUP('Données projet'!$B$14,Paramètres!$A$1:$I$89,5,0)</f>
        <v>226.79279999999994</v>
      </c>
      <c r="DQ85" s="14">
        <f t="shared" si="97"/>
        <v>55.588644170072158</v>
      </c>
      <c r="DR85" s="22">
        <f t="shared" si="70"/>
        <v>491.8143485962089</v>
      </c>
      <c r="DS85" s="62">
        <f t="shared" si="71"/>
        <v>785.14768192954216</v>
      </c>
      <c r="DT85" s="62">
        <f ca="1">AVERAGE(OFFSET($DS$3,0,0,'Données projet'!$E$14+1,1))-AVERAGE(OFFSET($H$3,0,0,'Données projet'!$E$14+1,1))</f>
        <v>215.23235148064941</v>
      </c>
      <c r="DU85" s="62">
        <f t="shared" si="98"/>
        <v>184.07239726900434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1.1192703911686102</v>
      </c>
      <c r="EB85" s="23">
        <f>EXP(-LN(2)/25)*EB84+(1-EXP(-LN(2)/25))/(LN(2)/25)*Calculateur!DW85*Calculateur!DY85*VLOOKUP('Données projet'!$B$14,Paramètres!$A$1:$I$89,3,0)*0.475*44/12</f>
        <v>1.8579305301689093</v>
      </c>
      <c r="EC85" s="23">
        <f>EXP(-LN(2)/2)*EC84+(1-EXP(-LN(2)/2))/(LN(2)/2)*DW85*DZ85*VLOOKUP('Données projet'!$B$14,Paramètres!$A$1:$I$89,3,0)*0.475*44/12</f>
        <v>1.4651084661924827E-7</v>
      </c>
      <c r="ED85" s="24">
        <f t="shared" si="72"/>
        <v>2.977201067848366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457.77923079416723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1.1368683772161603E-12</v>
      </c>
      <c r="O86" s="14">
        <f>N86*VLOOKUP('Données projet'!$B$9,Paramètres!$A$1:$I$89,3,0)*VLOOKUP('Données projet'!$B$9,Paramètres!$A$1:$I$89,5,0)</f>
        <v>6.3550942286383359E-13</v>
      </c>
      <c r="P86" s="14">
        <f t="shared" si="87"/>
        <v>7.6982260417614606E-12</v>
      </c>
      <c r="Q86" s="22">
        <f t="shared" si="54"/>
        <v>1.4514589267555721E-11</v>
      </c>
      <c r="R86" s="62">
        <f t="shared" si="55"/>
        <v>293.33333333334781</v>
      </c>
      <c r="S86" s="62">
        <f ca="1">AVERAGE(OFFSET($R$3,0,0,'Données projet'!$E$9+1,1))-AVERAGE(OFFSET($H$3,0,0,'Données projet'!$E$9+1,1))</f>
        <v>460.40450534123659</v>
      </c>
      <c r="T86" s="62">
        <f t="shared" si="88"/>
        <v>467.77477728479198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4.3975232908471336</v>
      </c>
      <c r="AA86" s="23">
        <f>EXP(-LN(2)/25)*AA85+(1-EXP(-LN(2)/25))/(LN(2)/25)*Calculateur!V86*Calculateur!X86*VLOOKUP('Données projet'!$B$9,Paramètres!$A$1:$I$89,3,0)*0.475*44/12</f>
        <v>10.183509724029475</v>
      </c>
      <c r="AB86" s="23">
        <f>EXP(-LN(2)/2)*AB85+(1-EXP(-LN(2)/2))/(LN(2)/2)*V86*Y86*VLOOKUP('Données projet'!$B$9,Paramètres!$A$1:$I$89,3,0)*0.475*44/12</f>
        <v>4.2382773408671896E-7</v>
      </c>
      <c r="AC86" s="24">
        <f t="shared" si="57"/>
        <v>14.581033438704344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6.6</v>
      </c>
      <c r="AI86" s="14">
        <f>IF('Données projet'!$A$62&gt;35,AI85+AH86-AQ85,IF(A86&lt;'Données projet'!$A$62,$AF$205^A86,IF(A86='Données projet'!$A$62,'Données projet'!$B$62,AI85+AH86-AQ85)))</f>
        <v>311.79999999999984</v>
      </c>
      <c r="AJ86" s="14">
        <f>AI86*VLOOKUP('Données projet'!$B$10,Paramètres!$A$1:$I$89,3,0)*VLOOKUP('Données projet'!$B$10,Paramètres!$A$1:$I$89,5,0)</f>
        <v>282.11663999999985</v>
      </c>
      <c r="AK86" s="14">
        <f t="shared" si="89"/>
        <v>67.414119514142243</v>
      </c>
      <c r="AL86" s="22">
        <f t="shared" si="58"/>
        <v>608.76607282046416</v>
      </c>
      <c r="AM86" s="62">
        <f t="shared" si="59"/>
        <v>902.09940615379742</v>
      </c>
      <c r="AN86" s="62">
        <f ca="1">AVERAGE(OFFSET($AM$3,0,0,'Données projet'!$E$10+1,1))-AVERAGE(OFFSET($H$3,0,0,'Données projet'!$E$10+1,1))</f>
        <v>321.03881567735544</v>
      </c>
      <c r="AO86" s="62">
        <f t="shared" si="90"/>
        <v>234.87694492493506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0.84316149047647537</v>
      </c>
      <c r="AV86" s="23">
        <f>EXP(-LN(2)/25)*AV85+(1-EXP(-LN(2)/25))/(LN(2)/25)*Calculateur!AQ86*Calculateur!AS86*VLOOKUP('Données projet'!$B$10,Paramètres!$A$1:$I$89,3,0)*0.475*44/12</f>
        <v>3.1184036280479397</v>
      </c>
      <c r="AW86" s="23">
        <f>EXP(-LN(2)/2)*AW85+(1-EXP(-LN(2)/2))/(LN(2)/2)*AQ86*AT86*VLOOKUP('Données projet'!$B$10,Paramètres!$A$1:$I$89,3,0)*0.475*44/12</f>
        <v>2.2906901030910025E-7</v>
      </c>
      <c r="AX86" s="23">
        <f t="shared" si="60"/>
        <v>3.9615653475934254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255.41017495879987</v>
      </c>
      <c r="BJ86" s="62">
        <f t="shared" si="92"/>
        <v>297.50513563712764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2.9209764545776866</v>
      </c>
      <c r="BQ86" s="23">
        <f>EXP(-LN(2)/25)*BQ85+(1-EXP(-LN(2)/25))/(LN(2)/25)*Calculateur!BL86*Calculateur!BN86*VLOOKUP('Données projet'!$B$11,Paramètres!$A$1:$I$89,3,0)*0.475*44/12</f>
        <v>6.4113770227904023</v>
      </c>
      <c r="BR86" s="23">
        <f>EXP(-LN(2)/2)*BR85+(1-EXP(-LN(2)/2))/(LN(2)/2)*BL86*BO86*VLOOKUP('Données projet'!$B$11,Paramètres!$A$1:$I$89,3,0)*0.475*44/12</f>
        <v>2.5710832658319877E-7</v>
      </c>
      <c r="BS86" s="24">
        <f t="shared" si="63"/>
        <v>9.3323537344764151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1.1368683772161603E-13</v>
      </c>
      <c r="BZ86" s="14">
        <f>BY86*VLOOKUP('Données projet'!$B$12,Paramètres!$A$1:$I$89,3,0)*VLOOKUP('Données projet'!$B$12,Paramètres!$A$1:$I$89,5,0)</f>
        <v>5.4683368944097308E-14</v>
      </c>
      <c r="CA86" s="14">
        <f t="shared" si="93"/>
        <v>8.8129432816788268E-13</v>
      </c>
      <c r="CB86" s="22">
        <f t="shared" si="64"/>
        <v>1.6301611558033651E-12</v>
      </c>
      <c r="CC86" s="62">
        <f t="shared" si="65"/>
        <v>293.33333333333496</v>
      </c>
      <c r="CD86" s="62">
        <f ca="1">AVERAGE(OFFSET($CC$3,0,0,'Données projet'!$E$12+1,1))-AVERAGE(OFFSET($H$3,0,0,'Données projet'!$E$12+1,1))</f>
        <v>409.97612835032567</v>
      </c>
      <c r="CE86" s="62">
        <f t="shared" si="94"/>
        <v>411.87876448092288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10.702882179577294</v>
      </c>
      <c r="CL86" s="23">
        <f>EXP(-LN(2)/25)*CL85+(1-EXP(-LN(2)/25))/(LN(2)/25)*Calculateur!CG86*Calculateur!CI86*VLOOKUP('Données projet'!$B$12,Paramètres!$A$1:$I$89,3,0)*0.475*44/12</f>
        <v>11.983133900298757</v>
      </c>
      <c r="CM86" s="23">
        <f>EXP(-LN(2)/2)*CM85+(1-EXP(-LN(2)/2))/(LN(2)/2)*CG86*CJ86*VLOOKUP('Données projet'!$B$12,Paramètres!$A$1:$I$89,3,0)*0.475*44/12</f>
        <v>1.0254813121492674E-5</v>
      </c>
      <c r="CN86" s="24">
        <f t="shared" si="66"/>
        <v>22.686026334689174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-4.5474735088646412E-13</v>
      </c>
      <c r="CU86" s="18">
        <f>CT86*VLOOKUP('Données projet'!$B$13,Paramètres!$A$1:$I$89,3,0)*VLOOKUP('Données projet'!$B$13,Paramètres!$A$1:$I$89,5,0)</f>
        <v>-2.7193891583010558E-13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463.3255103386889</v>
      </c>
      <c r="CZ86" s="62">
        <f t="shared" si="96"/>
        <v>474.73210558736127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1.7495431889397604</v>
      </c>
      <c r="DG86" s="23">
        <f>EXP(-LN(2)/25)*DG85+(1-EXP(-LN(2)/25))/(LN(2)/25)*Calculateur!DB86*Calculateur!DD86*VLOOKUP('Données projet'!$B$13,Paramètres!$A$1:$I$89,3,0)*0.475*44/12</f>
        <v>7.973922214806894</v>
      </c>
      <c r="DH86" s="23">
        <f>EXP(-LN(2)/2)*DH85+(1-EXP(-LN(2)/2))/(LN(2)/2)*DB86*DE86*VLOOKUP('Données projet'!$B$13,Paramètres!$A$1:$I$89,3,0)*0.475*44/12</f>
        <v>4.5959489801163795E-7</v>
      </c>
      <c r="DI86" s="24">
        <f t="shared" si="69"/>
        <v>9.7234658633415521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17.5</v>
      </c>
      <c r="DO86" s="13">
        <f>IF('Données projet'!$A$166&gt;35,DO85+DN86-DW85,IF(A86&lt;'Données projet'!$A$166,$DL$205^A86,IF(A86='Données projet'!$A$166,'Données projet'!$B$166,DO85+DN86-DW85)))</f>
        <v>502.09999999999991</v>
      </c>
      <c r="DP86" s="18">
        <f>DO86*VLOOKUP('Données projet'!$B$14,Paramètres!$A$1:$I$89,3,0)*VLOOKUP('Données projet'!$B$14,Paramètres!$A$1:$I$89,5,0)</f>
        <v>234.98279999999997</v>
      </c>
      <c r="DQ86" s="14">
        <f t="shared" si="97"/>
        <v>57.358731763746825</v>
      </c>
      <c r="DR86" s="22">
        <f t="shared" si="70"/>
        <v>509.16150115519235</v>
      </c>
      <c r="DS86" s="62">
        <f t="shared" si="71"/>
        <v>802.49483448852561</v>
      </c>
      <c r="DT86" s="62">
        <f ca="1">AVERAGE(OFFSET($DS$3,0,0,'Données projet'!$E$14+1,1))-AVERAGE(OFFSET($H$3,0,0,'Données projet'!$E$14+1,1))</f>
        <v>215.23235148064941</v>
      </c>
      <c r="DU86" s="62">
        <f t="shared" si="98"/>
        <v>184.07239726900434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1.0973221814853225</v>
      </c>
      <c r="EB86" s="23">
        <f>EXP(-LN(2)/25)*EB85+(1-EXP(-LN(2)/25))/(LN(2)/25)*Calculateur!DW86*Calculateur!DY86*VLOOKUP('Données projet'!$B$14,Paramètres!$A$1:$I$89,3,0)*0.475*44/12</f>
        <v>1.8071253221171202</v>
      </c>
      <c r="EC86" s="23">
        <f>EXP(-LN(2)/2)*EC85+(1-EXP(-LN(2)/2))/(LN(2)/2)*DW86*DZ86*VLOOKUP('Données projet'!$B$14,Paramètres!$A$1:$I$89,3,0)*0.475*44/12</f>
        <v>1.0359881316185261E-7</v>
      </c>
      <c r="ED86" s="24">
        <f t="shared" si="72"/>
        <v>2.9044476072012557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459.70988684212313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1.1368683772161603E-12</v>
      </c>
      <c r="O87" s="14">
        <f>N87*VLOOKUP('Données projet'!$B$9,Paramètres!$A$1:$I$89,3,0)*VLOOKUP('Données projet'!$B$9,Paramètres!$A$1:$I$89,5,0)</f>
        <v>6.3550942286383359E-13</v>
      </c>
      <c r="P87" s="14">
        <f t="shared" si="87"/>
        <v>7.6982260417614606E-12</v>
      </c>
      <c r="Q87" s="22">
        <f t="shared" si="54"/>
        <v>1.4514589267555721E-11</v>
      </c>
      <c r="R87" s="62">
        <f t="shared" si="55"/>
        <v>293.33333333334781</v>
      </c>
      <c r="S87" s="62">
        <f ca="1">AVERAGE(OFFSET($R$3,0,0,'Données projet'!$E$9+1,1))-AVERAGE(OFFSET($H$3,0,0,'Données projet'!$E$9+1,1))</f>
        <v>460.40450534123659</v>
      </c>
      <c r="T87" s="62">
        <f t="shared" si="88"/>
        <v>467.77477728479198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4.3112905413379812</v>
      </c>
      <c r="AA87" s="23">
        <f>EXP(-LN(2)/25)*AA86+(1-EXP(-LN(2)/25))/(LN(2)/25)*Calculateur!V87*Calculateur!X87*VLOOKUP('Données projet'!$B$9,Paramètres!$A$1:$I$89,3,0)*0.475*44/12</f>
        <v>9.9050411150983884</v>
      </c>
      <c r="AB87" s="23">
        <f>EXP(-LN(2)/2)*AB86+(1-EXP(-LN(2)/2))/(LN(2)/2)*V87*Y87*VLOOKUP('Données projet'!$B$9,Paramètres!$A$1:$I$89,3,0)*0.475*44/12</f>
        <v>2.9969146482764783E-7</v>
      </c>
      <c r="AC87" s="24">
        <f t="shared" si="57"/>
        <v>14.216331956127835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6.6</v>
      </c>
      <c r="AI87" s="14">
        <f>IF('Données projet'!$A$62&gt;35,AI86+AH87-AQ86,IF(A87&lt;'Données projet'!$A$62,$AF$205^A87,IF(A87='Données projet'!$A$62,'Données projet'!$B$62,AI86+AH87-AQ86)))</f>
        <v>318.39999999999986</v>
      </c>
      <c r="AJ87" s="14">
        <f>AI87*VLOOKUP('Données projet'!$B$10,Paramètres!$A$1:$I$89,3,0)*VLOOKUP('Données projet'!$B$10,Paramètres!$A$1:$I$89,5,0)</f>
        <v>288.0883199999999</v>
      </c>
      <c r="AK87" s="14">
        <f t="shared" si="89"/>
        <v>68.673460144735557</v>
      </c>
      <c r="AL87" s="22">
        <f t="shared" si="58"/>
        <v>621.36010041874761</v>
      </c>
      <c r="AM87" s="62">
        <f t="shared" si="59"/>
        <v>914.69343375208086</v>
      </c>
      <c r="AN87" s="62">
        <f ca="1">AVERAGE(OFFSET($AM$3,0,0,'Données projet'!$E$10+1,1))-AVERAGE(OFFSET($H$3,0,0,'Données projet'!$E$10+1,1))</f>
        <v>321.03881567735544</v>
      </c>
      <c r="AO87" s="62">
        <f t="shared" si="90"/>
        <v>234.87694492493506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0.82662760792596013</v>
      </c>
      <c r="AV87" s="23">
        <f>EXP(-LN(2)/25)*AV86+(1-EXP(-LN(2)/25))/(LN(2)/25)*Calculateur!AQ87*Calculateur!AS87*VLOOKUP('Données projet'!$B$10,Paramètres!$A$1:$I$89,3,0)*0.475*44/12</f>
        <v>3.0331307168492492</v>
      </c>
      <c r="AW87" s="23">
        <f>EXP(-LN(2)/2)*AW86+(1-EXP(-LN(2)/2))/(LN(2)/2)*AQ87*AT87*VLOOKUP('Données projet'!$B$10,Paramètres!$A$1:$I$89,3,0)*0.475*44/12</f>
        <v>1.6197625054925595E-7</v>
      </c>
      <c r="AX87" s="23">
        <f t="shared" si="60"/>
        <v>3.8597584867514598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255.41017495879987</v>
      </c>
      <c r="BJ87" s="62">
        <f t="shared" si="92"/>
        <v>297.50513563712764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2.8636978879231352</v>
      </c>
      <c r="BQ87" s="23">
        <f>EXP(-LN(2)/25)*BQ86+(1-EXP(-LN(2)/25))/(LN(2)/25)*Calculateur!BL87*Calculateur!BN87*VLOOKUP('Données projet'!$B$11,Paramètres!$A$1:$I$89,3,0)*0.475*44/12</f>
        <v>6.2360575809425347</v>
      </c>
      <c r="BR87" s="23">
        <f>EXP(-LN(2)/2)*BR86+(1-EXP(-LN(2)/2))/(LN(2)/2)*BL87*BO87*VLOOKUP('Données projet'!$B$11,Paramètres!$A$1:$I$89,3,0)*0.475*44/12</f>
        <v>1.8180304122650534E-7</v>
      </c>
      <c r="BS87" s="24">
        <f t="shared" si="63"/>
        <v>9.0997556506687118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1.1368683772161603E-13</v>
      </c>
      <c r="BZ87" s="14">
        <f>BY87*VLOOKUP('Données projet'!$B$12,Paramètres!$A$1:$I$89,3,0)*VLOOKUP('Données projet'!$B$12,Paramètres!$A$1:$I$89,5,0)</f>
        <v>5.4683368944097308E-14</v>
      </c>
      <c r="CA87" s="14">
        <f t="shared" si="93"/>
        <v>8.8129432816788268E-13</v>
      </c>
      <c r="CB87" s="22">
        <f t="shared" si="64"/>
        <v>1.6301611558033651E-12</v>
      </c>
      <c r="CC87" s="62">
        <f t="shared" si="65"/>
        <v>293.33333333333496</v>
      </c>
      <c r="CD87" s="62">
        <f ca="1">AVERAGE(OFFSET($CC$3,0,0,'Données projet'!$E$12+1,1))-AVERAGE(OFFSET($H$3,0,0,'Données projet'!$E$12+1,1))</f>
        <v>409.97612835032567</v>
      </c>
      <c r="CE87" s="62">
        <f t="shared" si="94"/>
        <v>411.87876448092288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10.493005188149315</v>
      </c>
      <c r="CL87" s="23">
        <f>EXP(-LN(2)/25)*CL86+(1-EXP(-LN(2)/25))/(LN(2)/25)*Calculateur!CG87*Calculateur!CI87*VLOOKUP('Données projet'!$B$12,Paramètres!$A$1:$I$89,3,0)*0.475*44/12</f>
        <v>11.655454473629463</v>
      </c>
      <c r="CM87" s="23">
        <f>EXP(-LN(2)/2)*CM86+(1-EXP(-LN(2)/2))/(LN(2)/2)*CG87*CJ87*VLOOKUP('Données projet'!$B$12,Paramètres!$A$1:$I$89,3,0)*0.475*44/12</f>
        <v>7.2512478980082569E-6</v>
      </c>
      <c r="CN87" s="24">
        <f t="shared" si="66"/>
        <v>22.148466913026677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-4.5474735088646412E-13</v>
      </c>
      <c r="CU87" s="18">
        <f>CT87*VLOOKUP('Données projet'!$B$13,Paramètres!$A$1:$I$89,3,0)*VLOOKUP('Données projet'!$B$13,Paramètres!$A$1:$I$89,5,0)</f>
        <v>-2.7193891583010558E-13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463.3255103386889</v>
      </c>
      <c r="CZ87" s="62">
        <f t="shared" si="96"/>
        <v>474.73210558736127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1.715235714120628</v>
      </c>
      <c r="DG87" s="23">
        <f>EXP(-LN(2)/25)*DG86+(1-EXP(-LN(2)/25))/(LN(2)/25)*Calculateur!DB87*Calculateur!DD87*VLOOKUP('Données projet'!$B$13,Paramètres!$A$1:$I$89,3,0)*0.475*44/12</f>
        <v>7.7558748925126553</v>
      </c>
      <c r="DH87" s="23">
        <f>EXP(-LN(2)/2)*DH86+(1-EXP(-LN(2)/2))/(LN(2)/2)*DB87*DE87*VLOOKUP('Données projet'!$B$13,Paramètres!$A$1:$I$89,3,0)*0.475*44/12</f>
        <v>3.249826689827689E-7</v>
      </c>
      <c r="DI87" s="24">
        <f t="shared" si="69"/>
        <v>9.4711109316159519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17.5</v>
      </c>
      <c r="DO87" s="13">
        <f>IF('Données projet'!$A$166&gt;35,DO86+DN87-DW86,IF(A87&lt;'Données projet'!$A$166,$DL$205^A87,IF(A87='Données projet'!$A$166,'Données projet'!$B$166,DO86+DN87-DW86)))</f>
        <v>519.59999999999991</v>
      </c>
      <c r="DP87" s="18">
        <f>DO87*VLOOKUP('Données projet'!$B$14,Paramètres!$A$1:$I$89,3,0)*VLOOKUP('Données projet'!$B$14,Paramètres!$A$1:$I$89,5,0)</f>
        <v>243.17279999999994</v>
      </c>
      <c r="DQ87" s="14">
        <f t="shared" si="97"/>
        <v>59.121651195612671</v>
      </c>
      <c r="DR87" s="22">
        <f t="shared" si="70"/>
        <v>526.49616916569187</v>
      </c>
      <c r="DS87" s="62">
        <f t="shared" si="71"/>
        <v>819.82950249902524</v>
      </c>
      <c r="DT87" s="62">
        <f ca="1">AVERAGE(OFFSET($DS$3,0,0,'Données projet'!$E$14+1,1))-AVERAGE(OFFSET($H$3,0,0,'Données projet'!$E$14+1,1))</f>
        <v>215.23235148064941</v>
      </c>
      <c r="DU87" s="62">
        <f t="shared" si="98"/>
        <v>184.07239726900434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1.0758043628068381</v>
      </c>
      <c r="EB87" s="23">
        <f>EXP(-LN(2)/25)*EB86+(1-EXP(-LN(2)/25))/(LN(2)/25)*Calculateur!DW87*Calculateur!DY87*VLOOKUP('Données projet'!$B$14,Paramètres!$A$1:$I$89,3,0)*0.475*44/12</f>
        <v>1.7577093851512371</v>
      </c>
      <c r="EC87" s="23">
        <f>EXP(-LN(2)/2)*EC86+(1-EXP(-LN(2)/2))/(LN(2)/2)*DW87*DZ87*VLOOKUP('Données projet'!$B$14,Paramètres!$A$1:$I$89,3,0)*0.475*44/12</f>
        <v>7.3255423309624135E-8</v>
      </c>
      <c r="ED87" s="24">
        <f t="shared" si="72"/>
        <v>2.8335138212134985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461.64001394761442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1.1368683772161603E-12</v>
      </c>
      <c r="O88" s="14">
        <f>N88*VLOOKUP('Données projet'!$B$9,Paramètres!$A$1:$I$89,3,0)*VLOOKUP('Données projet'!$B$9,Paramètres!$A$1:$I$89,5,0)</f>
        <v>6.3550942286383359E-13</v>
      </c>
      <c r="P88" s="14">
        <f t="shared" si="87"/>
        <v>7.6982260417614606E-12</v>
      </c>
      <c r="Q88" s="22">
        <f t="shared" si="54"/>
        <v>1.4514589267555721E-11</v>
      </c>
      <c r="R88" s="62">
        <f t="shared" si="55"/>
        <v>293.33333333334781</v>
      </c>
      <c r="S88" s="62">
        <f ca="1">AVERAGE(OFFSET($R$3,0,0,'Données projet'!$E$9+1,1))-AVERAGE(OFFSET($H$3,0,0,'Données projet'!$E$9+1,1))</f>
        <v>460.40450534123659</v>
      </c>
      <c r="T88" s="62">
        <f t="shared" si="88"/>
        <v>467.77477728479198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4.226748763449919</v>
      </c>
      <c r="AA88" s="23">
        <f>EXP(-LN(2)/25)*AA87+(1-EXP(-LN(2)/25))/(LN(2)/25)*Calculateur!V88*Calculateur!X88*VLOOKUP('Données projet'!$B$9,Paramètres!$A$1:$I$89,3,0)*0.475*44/12</f>
        <v>9.6341872449225487</v>
      </c>
      <c r="AB88" s="23">
        <f>EXP(-LN(2)/2)*AB87+(1-EXP(-LN(2)/2))/(LN(2)/2)*V88*Y88*VLOOKUP('Données projet'!$B$9,Paramètres!$A$1:$I$89,3,0)*0.475*44/12</f>
        <v>2.1191386704335948E-7</v>
      </c>
      <c r="AC88" s="24">
        <f t="shared" si="57"/>
        <v>13.860936220286336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6.6</v>
      </c>
      <c r="AI88" s="14">
        <f>IF('Données projet'!$A$62&gt;35,AI87+AH88-AQ87,IF(A88&lt;'Données projet'!$A$62,$AF$205^A88,IF(A88='Données projet'!$A$62,'Données projet'!$B$62,AI87+AH88-AQ87)))</f>
        <v>324.99999999999989</v>
      </c>
      <c r="AJ88" s="14">
        <f>AI88*VLOOKUP('Données projet'!$B$10,Paramètres!$A$1:$I$89,3,0)*VLOOKUP('Données projet'!$B$10,Paramètres!$A$1:$I$89,5,0)</f>
        <v>294.05999999999989</v>
      </c>
      <c r="AK88" s="14">
        <f t="shared" si="89"/>
        <v>69.929765653573313</v>
      </c>
      <c r="AL88" s="22">
        <f t="shared" si="58"/>
        <v>633.94884184663999</v>
      </c>
      <c r="AM88" s="62">
        <f t="shared" si="59"/>
        <v>927.28217517997336</v>
      </c>
      <c r="AN88" s="62">
        <f ca="1">AVERAGE(OFFSET($AM$3,0,0,'Données projet'!$E$10+1,1))-AVERAGE(OFFSET($H$3,0,0,'Données projet'!$E$10+1,1))</f>
        <v>321.03881567735544</v>
      </c>
      <c r="AO88" s="62">
        <f t="shared" si="90"/>
        <v>234.87694492493506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0.81041794472758799</v>
      </c>
      <c r="AV88" s="23">
        <f>EXP(-LN(2)/25)*AV87+(1-EXP(-LN(2)/25))/(LN(2)/25)*Calculateur!AQ88*Calculateur!AS88*VLOOKUP('Données projet'!$B$10,Paramètres!$A$1:$I$89,3,0)*0.475*44/12</f>
        <v>2.9501895978915944</v>
      </c>
      <c r="AW88" s="23">
        <f>EXP(-LN(2)/2)*AW87+(1-EXP(-LN(2)/2))/(LN(2)/2)*AQ88*AT88*VLOOKUP('Données projet'!$B$10,Paramètres!$A$1:$I$89,3,0)*0.475*44/12</f>
        <v>1.1453450515455013E-7</v>
      </c>
      <c r="AX88" s="23">
        <f t="shared" si="60"/>
        <v>3.7606076571536873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255.41017495879987</v>
      </c>
      <c r="BJ88" s="62">
        <f t="shared" si="92"/>
        <v>297.50513563712764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2.8075425190242034</v>
      </c>
      <c r="BQ88" s="23">
        <f>EXP(-LN(2)/25)*BQ87+(1-EXP(-LN(2)/25))/(LN(2)/25)*Calculateur!BL88*Calculateur!BN88*VLOOKUP('Données projet'!$B$11,Paramètres!$A$1:$I$89,3,0)*0.475*44/12</f>
        <v>6.065532258451646</v>
      </c>
      <c r="BR88" s="23">
        <f>EXP(-LN(2)/2)*BR87+(1-EXP(-LN(2)/2))/(LN(2)/2)*BL88*BO88*VLOOKUP('Données projet'!$B$11,Paramètres!$A$1:$I$89,3,0)*0.475*44/12</f>
        <v>1.2855416329159939E-7</v>
      </c>
      <c r="BS88" s="24">
        <f t="shared" si="63"/>
        <v>8.8730749060300127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1.1368683772161603E-13</v>
      </c>
      <c r="BZ88" s="14">
        <f>BY88*VLOOKUP('Données projet'!$B$12,Paramètres!$A$1:$I$89,3,0)*VLOOKUP('Données projet'!$B$12,Paramètres!$A$1:$I$89,5,0)</f>
        <v>5.4683368944097308E-14</v>
      </c>
      <c r="CA88" s="14">
        <f t="shared" si="93"/>
        <v>8.8129432816788268E-13</v>
      </c>
      <c r="CB88" s="22">
        <f t="shared" si="64"/>
        <v>1.6301611558033651E-12</v>
      </c>
      <c r="CC88" s="62">
        <f t="shared" si="65"/>
        <v>293.33333333333496</v>
      </c>
      <c r="CD88" s="62">
        <f ca="1">AVERAGE(OFFSET($CC$3,0,0,'Données projet'!$E$12+1,1))-AVERAGE(OFFSET($H$3,0,0,'Données projet'!$E$12+1,1))</f>
        <v>409.97612835032567</v>
      </c>
      <c r="CE88" s="62">
        <f t="shared" si="94"/>
        <v>411.87876448092288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10.287243756510914</v>
      </c>
      <c r="CL88" s="23">
        <f>EXP(-LN(2)/25)*CL87+(1-EXP(-LN(2)/25))/(LN(2)/25)*Calculateur!CG88*Calculateur!CI88*VLOOKUP('Données projet'!$B$12,Paramètres!$A$1:$I$89,3,0)*0.475*44/12</f>
        <v>11.336735458114354</v>
      </c>
      <c r="CM88" s="23">
        <f>EXP(-LN(2)/2)*CM87+(1-EXP(-LN(2)/2))/(LN(2)/2)*CG88*CJ88*VLOOKUP('Données projet'!$B$12,Paramètres!$A$1:$I$89,3,0)*0.475*44/12</f>
        <v>5.1274065607463371E-6</v>
      </c>
      <c r="CN88" s="24">
        <f t="shared" si="66"/>
        <v>21.623984342031829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-4.5474735088646412E-13</v>
      </c>
      <c r="CU88" s="18">
        <f>CT88*VLOOKUP('Données projet'!$B$13,Paramètres!$A$1:$I$89,3,0)*VLOOKUP('Données projet'!$B$13,Paramètres!$A$1:$I$89,5,0)</f>
        <v>-2.7193891583010558E-13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463.3255103386889</v>
      </c>
      <c r="CZ88" s="62">
        <f t="shared" si="96"/>
        <v>474.73210558736127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1.6816009879572054</v>
      </c>
      <c r="DG88" s="23">
        <f>EXP(-LN(2)/25)*DG87+(1-EXP(-LN(2)/25))/(LN(2)/25)*Calculateur!DB88*Calculateur!DD88*VLOOKUP('Données projet'!$B$13,Paramètres!$A$1:$I$89,3,0)*0.475*44/12</f>
        <v>7.5437900857131623</v>
      </c>
      <c r="DH88" s="23">
        <f>EXP(-LN(2)/2)*DH87+(1-EXP(-LN(2)/2))/(LN(2)/2)*DB88*DE88*VLOOKUP('Données projet'!$B$13,Paramètres!$A$1:$I$89,3,0)*0.475*44/12</f>
        <v>2.2979744900581897E-7</v>
      </c>
      <c r="DI88" s="24">
        <f t="shared" si="69"/>
        <v>9.2253913034678163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17.5</v>
      </c>
      <c r="DO88" s="13">
        <f>IF('Données projet'!$A$166&gt;35,DO87+DN88-DW87,IF(A88&lt;'Données projet'!$A$166,$DL$205^A88,IF(A88='Données projet'!$A$166,'Données projet'!$B$166,DO87+DN88-DW87)))</f>
        <v>537.09999999999991</v>
      </c>
      <c r="DP88" s="18">
        <f>DO88*VLOOKUP('Données projet'!$B$14,Paramètres!$A$1:$I$89,3,0)*VLOOKUP('Données projet'!$B$14,Paramètres!$A$1:$I$89,5,0)</f>
        <v>251.36279999999996</v>
      </c>
      <c r="DQ88" s="14">
        <f t="shared" si="97"/>
        <v>60.877671564837158</v>
      </c>
      <c r="DR88" s="22">
        <f t="shared" si="70"/>
        <v>543.81882130875795</v>
      </c>
      <c r="DS88" s="62">
        <f t="shared" si="71"/>
        <v>837.15215464209132</v>
      </c>
      <c r="DT88" s="62">
        <f ca="1">AVERAGE(OFFSET($DS$3,0,0,'Données projet'!$E$14+1,1))-AVERAGE(OFFSET($H$3,0,0,'Données projet'!$E$14+1,1))</f>
        <v>215.23235148064941</v>
      </c>
      <c r="DU88" s="62">
        <f t="shared" si="98"/>
        <v>184.07239726900434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1.0547084954280654</v>
      </c>
      <c r="EB88" s="23">
        <f>EXP(-LN(2)/25)*EB87+(1-EXP(-LN(2)/25))/(LN(2)/25)*Calculateur!DW88*Calculateur!DY88*VLOOKUP('Données projet'!$B$14,Paramètres!$A$1:$I$89,3,0)*0.475*44/12</f>
        <v>1.7096447295803572</v>
      </c>
      <c r="EC88" s="23">
        <f>EXP(-LN(2)/2)*EC87+(1-EXP(-LN(2)/2))/(LN(2)/2)*DW88*DZ88*VLOOKUP('Données projet'!$B$14,Paramètres!$A$1:$I$89,3,0)*0.475*44/12</f>
        <v>5.1799406580926307E-8</v>
      </c>
      <c r="ED88" s="24">
        <f t="shared" si="72"/>
        <v>2.7643532768078289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463.56961905340103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1.1368683772161603E-12</v>
      </c>
      <c r="O89" s="14">
        <f>N89*VLOOKUP('Données projet'!$B$9,Paramètres!$A$1:$I$89,3,0)*VLOOKUP('Données projet'!$B$9,Paramètres!$A$1:$I$89,5,0)</f>
        <v>6.3550942286383359E-13</v>
      </c>
      <c r="P89" s="14">
        <f t="shared" si="87"/>
        <v>7.6982260417614606E-12</v>
      </c>
      <c r="Q89" s="22">
        <f t="shared" si="54"/>
        <v>1.4514589267555721E-11</v>
      </c>
      <c r="R89" s="62">
        <f t="shared" si="55"/>
        <v>293.33333333334781</v>
      </c>
      <c r="S89" s="62">
        <f ca="1">AVERAGE(OFFSET($R$3,0,0,'Données projet'!$E$9+1,1))-AVERAGE(OFFSET($H$3,0,0,'Données projet'!$E$9+1,1))</f>
        <v>460.40450534123659</v>
      </c>
      <c r="T89" s="62">
        <f t="shared" si="88"/>
        <v>467.77477728479198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4.1438647982608492</v>
      </c>
      <c r="AA89" s="23">
        <f>EXP(-LN(2)/25)*AA88+(1-EXP(-LN(2)/25))/(LN(2)/25)*Calculateur!V89*Calculateur!X89*VLOOKUP('Données projet'!$B$9,Paramètres!$A$1:$I$89,3,0)*0.475*44/12</f>
        <v>9.3707398880702542</v>
      </c>
      <c r="AB89" s="23">
        <f>EXP(-LN(2)/2)*AB88+(1-EXP(-LN(2)/2))/(LN(2)/2)*V89*Y89*VLOOKUP('Données projet'!$B$9,Paramètres!$A$1:$I$89,3,0)*0.475*44/12</f>
        <v>1.4984573241382391E-7</v>
      </c>
      <c r="AC89" s="24">
        <f t="shared" si="57"/>
        <v>13.514604836176836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6.6</v>
      </c>
      <c r="AI89" s="14">
        <f>IF('Données projet'!$A$62&gt;35,AI88+AH89-AQ88,IF(A89&lt;'Données projet'!$A$62,$AF$205^A89,IF(A89='Données projet'!$A$62,'Données projet'!$B$62,AI88+AH89-AQ88)))</f>
        <v>331.59999999999991</v>
      </c>
      <c r="AJ89" s="14">
        <f>AI89*VLOOKUP('Données projet'!$B$10,Paramètres!$A$1:$I$89,3,0)*VLOOKUP('Données projet'!$B$10,Paramètres!$A$1:$I$89,5,0)</f>
        <v>300.03167999999994</v>
      </c>
      <c r="AK89" s="14">
        <f t="shared" si="89"/>
        <v>71.183104779714938</v>
      </c>
      <c r="AL89" s="22">
        <f t="shared" si="58"/>
        <v>646.53241682467001</v>
      </c>
      <c r="AM89" s="62">
        <f t="shared" si="59"/>
        <v>939.86575015800327</v>
      </c>
      <c r="AN89" s="62">
        <f ca="1">AVERAGE(OFFSET($AM$3,0,0,'Données projet'!$E$10+1,1))-AVERAGE(OFFSET($H$3,0,0,'Données projet'!$E$10+1,1))</f>
        <v>321.03881567735544</v>
      </c>
      <c r="AO89" s="62">
        <f t="shared" si="90"/>
        <v>234.87694492493506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0.7945261431376176</v>
      </c>
      <c r="AV89" s="23">
        <f>EXP(-LN(2)/25)*AV88+(1-EXP(-LN(2)/25))/(LN(2)/25)*Calculateur!AQ89*Calculateur!AS89*VLOOKUP('Données projet'!$B$10,Paramètres!$A$1:$I$89,3,0)*0.475*44/12</f>
        <v>2.8695165081935206</v>
      </c>
      <c r="AW89" s="23">
        <f>EXP(-LN(2)/2)*AW88+(1-EXP(-LN(2)/2))/(LN(2)/2)*AQ89*AT89*VLOOKUP('Données projet'!$B$10,Paramètres!$A$1:$I$89,3,0)*0.475*44/12</f>
        <v>8.0988125274627974E-8</v>
      </c>
      <c r="AX89" s="23">
        <f t="shared" si="60"/>
        <v>3.6640427323192633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255.41017495879987</v>
      </c>
      <c r="BJ89" s="62">
        <f t="shared" si="92"/>
        <v>297.50513563712764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2.7524883226579866</v>
      </c>
      <c r="BQ89" s="23">
        <f>EXP(-LN(2)/25)*BQ88+(1-EXP(-LN(2)/25))/(LN(2)/25)*Calculateur!BL89*Calculateur!BN89*VLOOKUP('Données projet'!$B$11,Paramètres!$A$1:$I$89,3,0)*0.475*44/12</f>
        <v>5.8996699598718072</v>
      </c>
      <c r="BR89" s="23">
        <f>EXP(-LN(2)/2)*BR88+(1-EXP(-LN(2)/2))/(LN(2)/2)*BL89*BO89*VLOOKUP('Données projet'!$B$11,Paramètres!$A$1:$I$89,3,0)*0.475*44/12</f>
        <v>9.0901520613252669E-8</v>
      </c>
      <c r="BS89" s="24">
        <f t="shared" si="63"/>
        <v>8.6521583734313143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1.1368683772161603E-13</v>
      </c>
      <c r="BZ89" s="14">
        <f>BY89*VLOOKUP('Données projet'!$B$12,Paramètres!$A$1:$I$89,3,0)*VLOOKUP('Données projet'!$B$12,Paramètres!$A$1:$I$89,5,0)</f>
        <v>5.4683368944097308E-14</v>
      </c>
      <c r="CA89" s="14">
        <f t="shared" si="93"/>
        <v>8.8129432816788268E-13</v>
      </c>
      <c r="CB89" s="22">
        <f t="shared" si="64"/>
        <v>1.6301611558033651E-12</v>
      </c>
      <c r="CC89" s="62">
        <f t="shared" si="65"/>
        <v>293.33333333333496</v>
      </c>
      <c r="CD89" s="62">
        <f ca="1">AVERAGE(OFFSET($CC$3,0,0,'Données projet'!$E$12+1,1))-AVERAGE(OFFSET($H$3,0,0,'Données projet'!$E$12+1,1))</f>
        <v>409.97612835032567</v>
      </c>
      <c r="CE89" s="62">
        <f t="shared" si="94"/>
        <v>411.87876448092288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10.085517181044862</v>
      </c>
      <c r="CL89" s="23">
        <f>EXP(-LN(2)/25)*CL88+(1-EXP(-LN(2)/25))/(LN(2)/25)*Calculateur!CG89*Calculateur!CI89*VLOOKUP('Données projet'!$B$12,Paramètres!$A$1:$I$89,3,0)*0.475*44/12</f>
        <v>11.026731830839211</v>
      </c>
      <c r="CM89" s="23">
        <f>EXP(-LN(2)/2)*CM88+(1-EXP(-LN(2)/2))/(LN(2)/2)*CG89*CJ89*VLOOKUP('Données projet'!$B$12,Paramètres!$A$1:$I$89,3,0)*0.475*44/12</f>
        <v>3.6256239490041285E-6</v>
      </c>
      <c r="CN89" s="24">
        <f t="shared" si="66"/>
        <v>21.112252637508025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-4.5474735088646412E-13</v>
      </c>
      <c r="CU89" s="18">
        <f>CT89*VLOOKUP('Données projet'!$B$13,Paramètres!$A$1:$I$89,3,0)*VLOOKUP('Données projet'!$B$13,Paramètres!$A$1:$I$89,5,0)</f>
        <v>-2.7193891583010558E-13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463.3255103386889</v>
      </c>
      <c r="CZ89" s="62">
        <f t="shared" si="96"/>
        <v>474.73210558736127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1.6486258182586901</v>
      </c>
      <c r="DG89" s="23">
        <f>EXP(-LN(2)/25)*DG88+(1-EXP(-LN(2)/25))/(LN(2)/25)*Calculateur!DB89*Calculateur!DD89*VLOOKUP('Données projet'!$B$13,Paramètres!$A$1:$I$89,3,0)*0.475*44/12</f>
        <v>7.3375047491086569</v>
      </c>
      <c r="DH89" s="23">
        <f>EXP(-LN(2)/2)*DH88+(1-EXP(-LN(2)/2))/(LN(2)/2)*DB89*DE89*VLOOKUP('Données projet'!$B$13,Paramètres!$A$1:$I$89,3,0)*0.475*44/12</f>
        <v>1.6249133449138445E-7</v>
      </c>
      <c r="DI89" s="24">
        <f t="shared" si="69"/>
        <v>8.9861307298586812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17.5</v>
      </c>
      <c r="DO89" s="13">
        <f>IF('Données projet'!$A$166&gt;35,DO88+DN89-DW88,IF(A89&lt;'Données projet'!$A$166,$DL$205^A89,IF(A89='Données projet'!$A$166,'Données projet'!$B$166,DO88+DN89-DW88)))</f>
        <v>554.59999999999991</v>
      </c>
      <c r="DP89" s="18">
        <f>DO89*VLOOKUP('Données projet'!$B$14,Paramètres!$A$1:$I$89,3,0)*VLOOKUP('Données projet'!$B$14,Paramètres!$A$1:$I$89,5,0)</f>
        <v>259.55279999999993</v>
      </c>
      <c r="DQ89" s="14">
        <f t="shared" si="97"/>
        <v>62.627043439399927</v>
      </c>
      <c r="DR89" s="22">
        <f t="shared" si="70"/>
        <v>561.12989399028811</v>
      </c>
      <c r="DS89" s="62">
        <f t="shared" si="71"/>
        <v>854.46322732362137</v>
      </c>
      <c r="DT89" s="62">
        <f ca="1">AVERAGE(OFFSET($DS$3,0,0,'Données projet'!$E$14+1,1))-AVERAGE(OFFSET($H$3,0,0,'Données projet'!$E$14+1,1))</f>
        <v>215.23235148064941</v>
      </c>
      <c r="DU89" s="62">
        <f t="shared" si="98"/>
        <v>184.07239726900434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1.0340263051413818</v>
      </c>
      <c r="EB89" s="23">
        <f>EXP(-LN(2)/25)*EB88+(1-EXP(-LN(2)/25))/(LN(2)/25)*Calculateur!DW89*Calculateur!DY89*VLOOKUP('Données projet'!$B$14,Paramètres!$A$1:$I$89,3,0)*0.475*44/12</f>
        <v>1.6628944045436733</v>
      </c>
      <c r="EC89" s="23">
        <f>EXP(-LN(2)/2)*EC88+(1-EXP(-LN(2)/2))/(LN(2)/2)*DW89*DZ89*VLOOKUP('Données projet'!$B$14,Paramètres!$A$1:$I$89,3,0)*0.475*44/12</f>
        <v>3.6627711654812067E-8</v>
      </c>
      <c r="ED89" s="24">
        <f t="shared" si="72"/>
        <v>2.6969207463127667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465.49870893149051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1.1368683772161603E-12</v>
      </c>
      <c r="O90" s="14">
        <f>N90*VLOOKUP('Données projet'!$B$9,Paramètres!$A$1:$I$89,3,0)*VLOOKUP('Données projet'!$B$9,Paramètres!$A$1:$I$89,5,0)</f>
        <v>6.3550942286383359E-13</v>
      </c>
      <c r="P90" s="14">
        <f t="shared" si="87"/>
        <v>7.6982260417614606E-12</v>
      </c>
      <c r="Q90" s="22">
        <f t="shared" si="54"/>
        <v>1.4514589267555721E-11</v>
      </c>
      <c r="R90" s="62">
        <f t="shared" si="55"/>
        <v>293.33333333334781</v>
      </c>
      <c r="S90" s="62">
        <f ca="1">AVERAGE(OFFSET($R$3,0,0,'Données projet'!$E$9+1,1))-AVERAGE(OFFSET($H$3,0,0,'Données projet'!$E$9+1,1))</f>
        <v>460.40450534123659</v>
      </c>
      <c r="T90" s="62">
        <f t="shared" si="88"/>
        <v>467.77477728479198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4.0626061370749103</v>
      </c>
      <c r="AA90" s="23">
        <f>EXP(-LN(2)/25)*AA89+(1-EXP(-LN(2)/25))/(LN(2)/25)*Calculateur!V90*Calculateur!X90*VLOOKUP('Données projet'!$B$9,Paramètres!$A$1:$I$89,3,0)*0.475*44/12</f>
        <v>9.1144965130451787</v>
      </c>
      <c r="AB90" s="23">
        <f>EXP(-LN(2)/2)*AB89+(1-EXP(-LN(2)/2))/(LN(2)/2)*V90*Y90*VLOOKUP('Données projet'!$B$9,Paramètres!$A$1:$I$89,3,0)*0.475*44/12</f>
        <v>1.0595693352167974E-7</v>
      </c>
      <c r="AC90" s="24">
        <f t="shared" si="57"/>
        <v>13.177102756077023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6.6</v>
      </c>
      <c r="AI90" s="14">
        <f>IF('Données projet'!$A$62&gt;35,AI89+AH90-AQ89,IF(A90&lt;'Données projet'!$A$62,$AF$205^A90,IF(A90='Données projet'!$A$62,'Données projet'!$B$62,AI89+AH90-AQ89)))</f>
        <v>338.19999999999993</v>
      </c>
      <c r="AJ90" s="14">
        <f>AI90*VLOOKUP('Données projet'!$B$10,Paramètres!$A$1:$I$89,3,0)*VLOOKUP('Données projet'!$B$10,Paramètres!$A$1:$I$89,5,0)</f>
        <v>306.00335999999993</v>
      </c>
      <c r="AK90" s="14">
        <f t="shared" si="89"/>
        <v>72.433543369450447</v>
      </c>
      <c r="AL90" s="22">
        <f t="shared" si="58"/>
        <v>659.11094003512596</v>
      </c>
      <c r="AM90" s="62">
        <f t="shared" si="59"/>
        <v>952.44427336845933</v>
      </c>
      <c r="AN90" s="62">
        <f ca="1">AVERAGE(OFFSET($AM$3,0,0,'Données projet'!$E$10+1,1))-AVERAGE(OFFSET($H$3,0,0,'Données projet'!$E$10+1,1))</f>
        <v>321.03881567735544</v>
      </c>
      <c r="AO90" s="62">
        <f t="shared" si="90"/>
        <v>234.87694492493506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0.77894597008378463</v>
      </c>
      <c r="AV90" s="23">
        <f>EXP(-LN(2)/25)*AV89+(1-EXP(-LN(2)/25))/(LN(2)/25)*Calculateur!AQ90*Calculateur!AS90*VLOOKUP('Données projet'!$B$10,Paramètres!$A$1:$I$89,3,0)*0.475*44/12</f>
        <v>2.7910494283756537</v>
      </c>
      <c r="AW90" s="23">
        <f>EXP(-LN(2)/2)*AW89+(1-EXP(-LN(2)/2))/(LN(2)/2)*AQ90*AT90*VLOOKUP('Données projet'!$B$10,Paramètres!$A$1:$I$89,3,0)*0.475*44/12</f>
        <v>5.7267252577275063E-8</v>
      </c>
      <c r="AX90" s="23">
        <f t="shared" si="60"/>
        <v>3.5699954557266911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255.41017495879987</v>
      </c>
      <c r="BJ90" s="62">
        <f t="shared" si="92"/>
        <v>297.50513563712764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2.6985137055027675</v>
      </c>
      <c r="BQ90" s="23">
        <f>EXP(-LN(2)/25)*BQ89+(1-EXP(-LN(2)/25))/(LN(2)/25)*Calculateur!BL90*Calculateur!BN90*VLOOKUP('Données projet'!$B$11,Paramètres!$A$1:$I$89,3,0)*0.475*44/12</f>
        <v>5.7383431745689535</v>
      </c>
      <c r="BR90" s="23">
        <f>EXP(-LN(2)/2)*BR89+(1-EXP(-LN(2)/2))/(LN(2)/2)*BL90*BO90*VLOOKUP('Données projet'!$B$11,Paramètres!$A$1:$I$89,3,0)*0.475*44/12</f>
        <v>6.4277081645799693E-8</v>
      </c>
      <c r="BS90" s="24">
        <f t="shared" si="63"/>
        <v>8.4368569443488024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1.1368683772161603E-13</v>
      </c>
      <c r="BZ90" s="14">
        <f>BY90*VLOOKUP('Données projet'!$B$12,Paramètres!$A$1:$I$89,3,0)*VLOOKUP('Données projet'!$B$12,Paramètres!$A$1:$I$89,5,0)</f>
        <v>5.4683368944097308E-14</v>
      </c>
      <c r="CA90" s="14">
        <f t="shared" si="93"/>
        <v>8.8129432816788268E-13</v>
      </c>
      <c r="CB90" s="22">
        <f t="shared" si="64"/>
        <v>1.6301611558033651E-12</v>
      </c>
      <c r="CC90" s="62">
        <f t="shared" si="65"/>
        <v>293.33333333333496</v>
      </c>
      <c r="CD90" s="62">
        <f ca="1">AVERAGE(OFFSET($CC$3,0,0,'Données projet'!$E$12+1,1))-AVERAGE(OFFSET($H$3,0,0,'Données projet'!$E$12+1,1))</f>
        <v>409.97612835032567</v>
      </c>
      <c r="CE90" s="62">
        <f t="shared" si="94"/>
        <v>411.87876448092288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9.8877463406826376</v>
      </c>
      <c r="CL90" s="23">
        <f>EXP(-LN(2)/25)*CL89+(1-EXP(-LN(2)/25))/(LN(2)/25)*Calculateur!CG90*Calculateur!CI90*VLOOKUP('Données projet'!$B$12,Paramètres!$A$1:$I$89,3,0)*0.475*44/12</f>
        <v>10.725205269054287</v>
      </c>
      <c r="CM90" s="23">
        <f>EXP(-LN(2)/2)*CM89+(1-EXP(-LN(2)/2))/(LN(2)/2)*CG90*CJ90*VLOOKUP('Données projet'!$B$12,Paramètres!$A$1:$I$89,3,0)*0.475*44/12</f>
        <v>2.5637032803731686E-6</v>
      </c>
      <c r="CN90" s="24">
        <f t="shared" si="66"/>
        <v>20.612954173440205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-4.5474735088646412E-13</v>
      </c>
      <c r="CU90" s="18">
        <f>CT90*VLOOKUP('Données projet'!$B$13,Paramètres!$A$1:$I$89,3,0)*VLOOKUP('Données projet'!$B$13,Paramètres!$A$1:$I$89,5,0)</f>
        <v>-2.7193891583010558E-13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463.3255103386889</v>
      </c>
      <c r="CZ90" s="62">
        <f t="shared" si="96"/>
        <v>474.73210558736127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1.6162972715250954</v>
      </c>
      <c r="DG90" s="23">
        <f>EXP(-LN(2)/25)*DG89+(1-EXP(-LN(2)/25))/(LN(2)/25)*Calculateur!DB90*Calculateur!DD90*VLOOKUP('Données projet'!$B$13,Paramètres!$A$1:$I$89,3,0)*0.475*44/12</f>
        <v>7.136860295881676</v>
      </c>
      <c r="DH90" s="23">
        <f>EXP(-LN(2)/2)*DH89+(1-EXP(-LN(2)/2))/(LN(2)/2)*DB90*DE90*VLOOKUP('Données projet'!$B$13,Paramètres!$A$1:$I$89,3,0)*0.475*44/12</f>
        <v>1.1489872450290949E-7</v>
      </c>
      <c r="DI90" s="24">
        <f t="shared" si="69"/>
        <v>8.7531576823054973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17.5</v>
      </c>
      <c r="DO90" s="13">
        <f>IF('Données projet'!$A$166&gt;35,DO89+DN90-DW89,IF(A90&lt;'Données projet'!$A$166,$DL$205^A90,IF(A90='Données projet'!$A$166,'Données projet'!$B$166,DO89+DN90-DW89)))</f>
        <v>572.09999999999991</v>
      </c>
      <c r="DP90" s="18">
        <f>DO90*VLOOKUP('Données projet'!$B$14,Paramètres!$A$1:$I$89,3,0)*VLOOKUP('Données projet'!$B$14,Paramètres!$A$1:$I$89,5,0)</f>
        <v>267.74279999999993</v>
      </c>
      <c r="DQ90" s="14">
        <f t="shared" si="97"/>
        <v>64.370000676259949</v>
      </c>
      <c r="DR90" s="22">
        <f t="shared" si="70"/>
        <v>578.42979451115264</v>
      </c>
      <c r="DS90" s="62">
        <f t="shared" si="71"/>
        <v>871.76312784448601</v>
      </c>
      <c r="DT90" s="62">
        <f ca="1">AVERAGE(OFFSET($DS$3,0,0,'Données projet'!$E$14+1,1))-AVERAGE(OFFSET($H$3,0,0,'Données projet'!$E$14+1,1))</f>
        <v>215.23235148064941</v>
      </c>
      <c r="DU90" s="62">
        <f t="shared" si="98"/>
        <v>184.07239726900434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1.0137496799913297</v>
      </c>
      <c r="EB90" s="23">
        <f>EXP(-LN(2)/25)*EB89+(1-EXP(-LN(2)/25))/(LN(2)/25)*Calculateur!DW90*Calculateur!DY90*VLOOKUP('Données projet'!$B$14,Paramètres!$A$1:$I$89,3,0)*0.475*44/12</f>
        <v>1.6174224696036104</v>
      </c>
      <c r="EC90" s="23">
        <f>EXP(-LN(2)/2)*EC89+(1-EXP(-LN(2)/2))/(LN(2)/2)*DW90*DZ90*VLOOKUP('Données projet'!$B$14,Paramètres!$A$1:$I$89,3,0)*0.475*44/12</f>
        <v>2.5899703290463154E-8</v>
      </c>
      <c r="ED90" s="24">
        <f t="shared" si="72"/>
        <v>2.6311721754946436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467.42729018925121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1.1368683772161603E-12</v>
      </c>
      <c r="O91" s="14">
        <f>N91*VLOOKUP('Données projet'!$B$9,Paramètres!$A$1:$I$89,3,0)*VLOOKUP('Données projet'!$B$9,Paramètres!$A$1:$I$89,5,0)</f>
        <v>6.3550942286383359E-13</v>
      </c>
      <c r="P91" s="14">
        <f t="shared" si="87"/>
        <v>7.6982260417614606E-12</v>
      </c>
      <c r="Q91" s="22">
        <f t="shared" si="54"/>
        <v>1.4514589267555721E-11</v>
      </c>
      <c r="R91" s="62">
        <f t="shared" si="55"/>
        <v>293.33333333334781</v>
      </c>
      <c r="S91" s="62">
        <f ca="1">AVERAGE(OFFSET($R$3,0,0,'Données projet'!$E$9+1,1))-AVERAGE(OFFSET($H$3,0,0,'Données projet'!$E$9+1,1))</f>
        <v>460.40450534123659</v>
      </c>
      <c r="T91" s="62">
        <f t="shared" si="88"/>
        <v>467.77477728479198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3.9829409086719383</v>
      </c>
      <c r="AA91" s="23">
        <f>EXP(-LN(2)/25)*AA90+(1-EXP(-LN(2)/25))/(LN(2)/25)*Calculateur!V91*Calculateur!X91*VLOOKUP('Données projet'!$B$9,Paramètres!$A$1:$I$89,3,0)*0.475*44/12</f>
        <v>8.8652601265854187</v>
      </c>
      <c r="AB91" s="23">
        <f>EXP(-LN(2)/2)*AB90+(1-EXP(-LN(2)/2))/(LN(2)/2)*V91*Y91*VLOOKUP('Données projet'!$B$9,Paramètres!$A$1:$I$89,3,0)*0.475*44/12</f>
        <v>7.4922866206911957E-8</v>
      </c>
      <c r="AC91" s="24">
        <f t="shared" si="57"/>
        <v>12.848201110180224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6.6</v>
      </c>
      <c r="AI91" s="14">
        <f>IF('Données projet'!$A$62&gt;35,AI90+AH91-AQ90,IF(A91&lt;'Données projet'!$A$62,$AF$205^A91,IF(A91='Données projet'!$A$62,'Données projet'!$B$62,AI90+AH91-AQ90)))</f>
        <v>344.79999999999995</v>
      </c>
      <c r="AJ91" s="14">
        <f>AI91*VLOOKUP('Données projet'!$B$10,Paramètres!$A$1:$I$89,3,0)*VLOOKUP('Données projet'!$B$10,Paramètres!$A$1:$I$89,5,0)</f>
        <v>311.97503999999992</v>
      </c>
      <c r="AK91" s="14">
        <f t="shared" si="89"/>
        <v>73.681144552074599</v>
      </c>
      <c r="AL91" s="22">
        <f t="shared" si="58"/>
        <v>671.68452142819649</v>
      </c>
      <c r="AM91" s="62">
        <f t="shared" si="59"/>
        <v>965.01785476152986</v>
      </c>
      <c r="AN91" s="62">
        <f ca="1">AVERAGE(OFFSET($AM$3,0,0,'Données projet'!$E$10+1,1))-AVERAGE(OFFSET($H$3,0,0,'Données projet'!$E$10+1,1))</f>
        <v>321.03881567735544</v>
      </c>
      <c r="AO91" s="62">
        <f t="shared" si="90"/>
        <v>234.87694492493506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0.76367131472057015</v>
      </c>
      <c r="AV91" s="23">
        <f>EXP(-LN(2)/25)*AV90+(1-EXP(-LN(2)/25))/(LN(2)/25)*Calculateur!AQ91*Calculateur!AS91*VLOOKUP('Données projet'!$B$10,Paramètres!$A$1:$I$89,3,0)*0.475*44/12</f>
        <v>2.7147280349818113</v>
      </c>
      <c r="AW91" s="23">
        <f>EXP(-LN(2)/2)*AW90+(1-EXP(-LN(2)/2))/(LN(2)/2)*AQ91*AT91*VLOOKUP('Données projet'!$B$10,Paramètres!$A$1:$I$89,3,0)*0.475*44/12</f>
        <v>4.0494062637313987E-8</v>
      </c>
      <c r="AX91" s="23">
        <f t="shared" si="60"/>
        <v>3.4783993901964441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255.41017495879987</v>
      </c>
      <c r="BJ91" s="62">
        <f t="shared" si="92"/>
        <v>297.50513563712764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2.6455974976686965</v>
      </c>
      <c r="BQ91" s="23">
        <f>EXP(-LN(2)/25)*BQ90+(1-EXP(-LN(2)/25))/(LN(2)/25)*Calculateur!BL91*Calculateur!BN91*VLOOKUP('Données projet'!$B$11,Paramètres!$A$1:$I$89,3,0)*0.475*44/12</f>
        <v>5.5814278786940132</v>
      </c>
      <c r="BR91" s="23">
        <f>EXP(-LN(2)/2)*BR90+(1-EXP(-LN(2)/2))/(LN(2)/2)*BL91*BO91*VLOOKUP('Données projet'!$B$11,Paramètres!$A$1:$I$89,3,0)*0.475*44/12</f>
        <v>4.5450760306626335E-8</v>
      </c>
      <c r="BS91" s="24">
        <f t="shared" si="63"/>
        <v>8.2270254218134689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1.1368683772161603E-13</v>
      </c>
      <c r="BZ91" s="14">
        <f>BY91*VLOOKUP('Données projet'!$B$12,Paramètres!$A$1:$I$89,3,0)*VLOOKUP('Données projet'!$B$12,Paramètres!$A$1:$I$89,5,0)</f>
        <v>5.4683368944097308E-14</v>
      </c>
      <c r="CA91" s="14">
        <f t="shared" si="93"/>
        <v>8.8129432816788268E-13</v>
      </c>
      <c r="CB91" s="22">
        <f t="shared" si="64"/>
        <v>1.6301611558033651E-12</v>
      </c>
      <c r="CC91" s="62">
        <f t="shared" si="65"/>
        <v>293.33333333333496</v>
      </c>
      <c r="CD91" s="62">
        <f ca="1">AVERAGE(OFFSET($CC$3,0,0,'Données projet'!$E$12+1,1))-AVERAGE(OFFSET($H$3,0,0,'Données projet'!$E$12+1,1))</f>
        <v>409.97612835032567</v>
      </c>
      <c r="CE91" s="62">
        <f t="shared" si="94"/>
        <v>411.87876448092288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9.6938536658716146</v>
      </c>
      <c r="CL91" s="23">
        <f>EXP(-LN(2)/25)*CL90+(1-EXP(-LN(2)/25))/(LN(2)/25)*Calculateur!CG91*Calculateur!CI91*VLOOKUP('Données projet'!$B$12,Paramètres!$A$1:$I$89,3,0)*0.475*44/12</f>
        <v>10.431923966957966</v>
      </c>
      <c r="CM91" s="23">
        <f>EXP(-LN(2)/2)*CM90+(1-EXP(-LN(2)/2))/(LN(2)/2)*CG91*CJ91*VLOOKUP('Données projet'!$B$12,Paramètres!$A$1:$I$89,3,0)*0.475*44/12</f>
        <v>1.8128119745020642E-6</v>
      </c>
      <c r="CN91" s="24">
        <f t="shared" si="66"/>
        <v>20.125779445641555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-4.5474735088646412E-13</v>
      </c>
      <c r="CU91" s="18">
        <f>CT91*VLOOKUP('Données projet'!$B$13,Paramètres!$A$1:$I$89,3,0)*VLOOKUP('Données projet'!$B$13,Paramètres!$A$1:$I$89,5,0)</f>
        <v>-2.7193891583010558E-13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463.3255103386889</v>
      </c>
      <c r="CZ91" s="62">
        <f t="shared" si="96"/>
        <v>474.73210558736127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1.5846026678744798</v>
      </c>
      <c r="DG91" s="23">
        <f>EXP(-LN(2)/25)*DG90+(1-EXP(-LN(2)/25))/(LN(2)/25)*Calculateur!DB91*Calculateur!DD91*VLOOKUP('Données projet'!$B$13,Paramètres!$A$1:$I$89,3,0)*0.475*44/12</f>
        <v>6.9417024757796204</v>
      </c>
      <c r="DH91" s="23">
        <f>EXP(-LN(2)/2)*DH90+(1-EXP(-LN(2)/2))/(LN(2)/2)*DB91*DE91*VLOOKUP('Données projet'!$B$13,Paramètres!$A$1:$I$89,3,0)*0.475*44/12</f>
        <v>8.1245667245692224E-8</v>
      </c>
      <c r="DI91" s="24">
        <f t="shared" si="69"/>
        <v>8.5263052248997688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17.5</v>
      </c>
      <c r="DO91" s="13">
        <f>IF('Données projet'!$A$166&gt;35,DO90+DN91-DW90,IF(A91&lt;'Données projet'!$A$166,$DL$205^A91,IF(A91='Données projet'!$A$166,'Données projet'!$B$166,DO90+DN91-DW90)))</f>
        <v>589.59999999999991</v>
      </c>
      <c r="DP91" s="18">
        <f>DO91*VLOOKUP('Données projet'!$B$14,Paramètres!$A$1:$I$89,3,0)*VLOOKUP('Données projet'!$B$14,Paramètres!$A$1:$I$89,5,0)</f>
        <v>275.93279999999999</v>
      </c>
      <c r="DQ91" s="14">
        <f t="shared" si="97"/>
        <v>66.106762012556132</v>
      </c>
      <c r="DR91" s="22">
        <f t="shared" si="70"/>
        <v>595.7189038385352</v>
      </c>
      <c r="DS91" s="62">
        <f t="shared" si="71"/>
        <v>889.05223717186846</v>
      </c>
      <c r="DT91" s="62">
        <f ca="1">AVERAGE(OFFSET($DS$3,0,0,'Données projet'!$E$14+1,1))-AVERAGE(OFFSET($H$3,0,0,'Données projet'!$E$14+1,1))</f>
        <v>215.23235148064941</v>
      </c>
      <c r="DU91" s="62">
        <f t="shared" si="98"/>
        <v>184.07239726900434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0.99387066709294991</v>
      </c>
      <c r="EB91" s="23">
        <f>EXP(-LN(2)/25)*EB90+(1-EXP(-LN(2)/25))/(LN(2)/25)*Calculateur!DW91*Calculateur!DY91*VLOOKUP('Données projet'!$B$14,Paramètres!$A$1:$I$89,3,0)*0.475*44/12</f>
        <v>1.5731939671157487</v>
      </c>
      <c r="EC91" s="23">
        <f>EXP(-LN(2)/2)*EC90+(1-EXP(-LN(2)/2))/(LN(2)/2)*DW91*DZ91*VLOOKUP('Données projet'!$B$14,Paramètres!$A$1:$I$89,3,0)*0.475*44/12</f>
        <v>1.8313855827406034E-8</v>
      </c>
      <c r="ED91" s="24">
        <f t="shared" si="72"/>
        <v>2.5670646525225544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469.35536927523879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1.1368683772161603E-12</v>
      </c>
      <c r="O92" s="14">
        <f>N92*VLOOKUP('Données projet'!$B$9,Paramètres!$A$1:$I$89,3,0)*VLOOKUP('Données projet'!$B$9,Paramètres!$A$1:$I$89,5,0)</f>
        <v>6.3550942286383359E-13</v>
      </c>
      <c r="P92" s="14">
        <f t="shared" si="87"/>
        <v>7.6982260417614606E-12</v>
      </c>
      <c r="Q92" s="22">
        <f t="shared" si="54"/>
        <v>1.4514589267555721E-11</v>
      </c>
      <c r="R92" s="62">
        <f t="shared" si="55"/>
        <v>293.33333333334781</v>
      </c>
      <c r="S92" s="62">
        <f ca="1">AVERAGE(OFFSET($R$3,0,0,'Données projet'!$E$9+1,1))-AVERAGE(OFFSET($H$3,0,0,'Données projet'!$E$9+1,1))</f>
        <v>460.40450534123659</v>
      </c>
      <c r="T92" s="62">
        <f t="shared" si="88"/>
        <v>467.77477728479198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3.904837866806957</v>
      </c>
      <c r="AA92" s="23">
        <f>EXP(-LN(2)/25)*AA91+(1-EXP(-LN(2)/25))/(LN(2)/25)*Calculateur!V92*Calculateur!X92*VLOOKUP('Données projet'!$B$9,Paramètres!$A$1:$I$89,3,0)*0.475*44/12</f>
        <v>8.6228391222201726</v>
      </c>
      <c r="AB92" s="23">
        <f>EXP(-LN(2)/2)*AB91+(1-EXP(-LN(2)/2))/(LN(2)/2)*V92*Y92*VLOOKUP('Données projet'!$B$9,Paramètres!$A$1:$I$89,3,0)*0.475*44/12</f>
        <v>5.297846676083987E-8</v>
      </c>
      <c r="AC92" s="24">
        <f t="shared" si="57"/>
        <v>12.527677042005596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6.6</v>
      </c>
      <c r="AI92" s="14">
        <f>IF('Données projet'!$A$62&gt;35,AI91+AH92-AQ91,IF(A92&lt;'Données projet'!$A$62,$AF$205^A92,IF(A92='Données projet'!$A$62,'Données projet'!$B$62,AI91+AH92-AQ91)))</f>
        <v>351.4</v>
      </c>
      <c r="AJ92" s="14">
        <f>AI92*VLOOKUP('Données projet'!$B$10,Paramètres!$A$1:$I$89,3,0)*VLOOKUP('Données projet'!$B$10,Paramètres!$A$1:$I$89,5,0)</f>
        <v>317.94671999999997</v>
      </c>
      <c r="AK92" s="14">
        <f t="shared" si="89"/>
        <v>74.925968901822259</v>
      </c>
      <c r="AL92" s="22">
        <f t="shared" si="58"/>
        <v>684.253266504007</v>
      </c>
      <c r="AM92" s="62">
        <f t="shared" si="59"/>
        <v>977.58659983734037</v>
      </c>
      <c r="AN92" s="62">
        <f ca="1">AVERAGE(OFFSET($AM$3,0,0,'Données projet'!$E$10+1,1))-AVERAGE(OFFSET($H$3,0,0,'Données projet'!$E$10+1,1))</f>
        <v>321.03881567735544</v>
      </c>
      <c r="AO92" s="62">
        <f t="shared" si="90"/>
        <v>234.87694492493506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0.74869618603240851</v>
      </c>
      <c r="AV92" s="23">
        <f>EXP(-LN(2)/25)*AV91+(1-EXP(-LN(2)/25))/(LN(2)/25)*Calculateur!AQ92*Calculateur!AS92*VLOOKUP('Données projet'!$B$10,Paramètres!$A$1:$I$89,3,0)*0.475*44/12</f>
        <v>2.6404936541038908</v>
      </c>
      <c r="AW92" s="23">
        <f>EXP(-LN(2)/2)*AW91+(1-EXP(-LN(2)/2))/(LN(2)/2)*AQ92*AT92*VLOOKUP('Données projet'!$B$10,Paramètres!$A$1:$I$89,3,0)*0.475*44/12</f>
        <v>2.8633626288637531E-8</v>
      </c>
      <c r="AX92" s="23">
        <f t="shared" si="60"/>
        <v>3.3891898687699253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255.41017495879987</v>
      </c>
      <c r="BJ92" s="62">
        <f t="shared" si="92"/>
        <v>297.50513563712764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2.5937189443945519</v>
      </c>
      <c r="BQ92" s="23">
        <f>EXP(-LN(2)/25)*BQ91+(1-EXP(-LN(2)/25))/(LN(2)/25)*Calculateur!BL92*Calculateur!BN92*VLOOKUP('Données projet'!$B$11,Paramètres!$A$1:$I$89,3,0)*0.475*44/12</f>
        <v>5.4288034398365896</v>
      </c>
      <c r="BR92" s="23">
        <f>EXP(-LN(2)/2)*BR91+(1-EXP(-LN(2)/2))/(LN(2)/2)*BL92*BO92*VLOOKUP('Données projet'!$B$11,Paramètres!$A$1:$I$89,3,0)*0.475*44/12</f>
        <v>3.2138540822899847E-8</v>
      </c>
      <c r="BS92" s="24">
        <f t="shared" si="63"/>
        <v>8.0225224163696822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1.1368683772161603E-13</v>
      </c>
      <c r="BZ92" s="14">
        <f>BY92*VLOOKUP('Données projet'!$B$12,Paramètres!$A$1:$I$89,3,0)*VLOOKUP('Données projet'!$B$12,Paramètres!$A$1:$I$89,5,0)</f>
        <v>5.4683368944097308E-14</v>
      </c>
      <c r="CA92" s="14">
        <f t="shared" si="93"/>
        <v>8.8129432816788268E-13</v>
      </c>
      <c r="CB92" s="22">
        <f t="shared" si="64"/>
        <v>1.6301611558033651E-12</v>
      </c>
      <c r="CC92" s="62">
        <f t="shared" si="65"/>
        <v>293.33333333333496</v>
      </c>
      <c r="CD92" s="62">
        <f ca="1">AVERAGE(OFFSET($CC$3,0,0,'Données projet'!$E$12+1,1))-AVERAGE(OFFSET($H$3,0,0,'Données projet'!$E$12+1,1))</f>
        <v>409.97612835032567</v>
      </c>
      <c r="CE92" s="62">
        <f t="shared" si="94"/>
        <v>411.87876448092288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9.5037631081507818</v>
      </c>
      <c r="CL92" s="23">
        <f>EXP(-LN(2)/25)*CL91+(1-EXP(-LN(2)/25))/(LN(2)/25)*Calculateur!CG92*Calculateur!CI92*VLOOKUP('Données projet'!$B$12,Paramètres!$A$1:$I$89,3,0)*0.475*44/12</f>
        <v>10.146662457490461</v>
      </c>
      <c r="CM92" s="23">
        <f>EXP(-LN(2)/2)*CM91+(1-EXP(-LN(2)/2))/(LN(2)/2)*CG92*CJ92*VLOOKUP('Données projet'!$B$12,Paramètres!$A$1:$I$89,3,0)*0.475*44/12</f>
        <v>1.2818516401865843E-6</v>
      </c>
      <c r="CN92" s="24">
        <f t="shared" si="66"/>
        <v>19.650426847492884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-4.5474735088646412E-13</v>
      </c>
      <c r="CU92" s="18">
        <f>CT92*VLOOKUP('Données projet'!$B$13,Paramètres!$A$1:$I$89,3,0)*VLOOKUP('Données projet'!$B$13,Paramètres!$A$1:$I$89,5,0)</f>
        <v>-2.7193891583010558E-13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463.3255103386889</v>
      </c>
      <c r="CZ92" s="62">
        <f t="shared" si="96"/>
        <v>474.73210558736127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1.5535295760696535</v>
      </c>
      <c r="DG92" s="23">
        <f>EXP(-LN(2)/25)*DG91+(1-EXP(-LN(2)/25))/(LN(2)/25)*Calculateur!DB92*Calculateur!DD92*VLOOKUP('Données projet'!$B$13,Paramètres!$A$1:$I$89,3,0)*0.475*44/12</f>
        <v>6.751881256531159</v>
      </c>
      <c r="DH92" s="23">
        <f>EXP(-LN(2)/2)*DH91+(1-EXP(-LN(2)/2))/(LN(2)/2)*DB92*DE92*VLOOKUP('Données projet'!$B$13,Paramètres!$A$1:$I$89,3,0)*0.475*44/12</f>
        <v>5.7449362251454744E-8</v>
      </c>
      <c r="DI92" s="24">
        <f t="shared" si="69"/>
        <v>8.305410890050176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17.5</v>
      </c>
      <c r="DO92" s="13">
        <f>IF('Données projet'!$A$166&gt;35,DO91+DN92-DW91,IF(A92&lt;'Données projet'!$A$166,$DL$205^A92,IF(A92='Données projet'!$A$166,'Données projet'!$B$166,DO91+DN92-DW91)))</f>
        <v>607.09999999999991</v>
      </c>
      <c r="DP92" s="18">
        <f>DO92*VLOOKUP('Données projet'!$B$14,Paramètres!$A$1:$I$89,3,0)*VLOOKUP('Données projet'!$B$14,Paramètres!$A$1:$I$89,5,0)</f>
        <v>284.12279999999993</v>
      </c>
      <c r="DQ92" s="14">
        <f t="shared" si="97"/>
        <v>67.837532462585557</v>
      </c>
      <c r="DR92" s="22">
        <f t="shared" si="70"/>
        <v>612.99757903900297</v>
      </c>
      <c r="DS92" s="62">
        <f t="shared" si="71"/>
        <v>906.33091237233634</v>
      </c>
      <c r="DT92" s="62">
        <f ca="1">AVERAGE(OFFSET($DS$3,0,0,'Données projet'!$E$14+1,1))-AVERAGE(OFFSET($H$3,0,0,'Données projet'!$E$14+1,1))</f>
        <v>215.23235148064941</v>
      </c>
      <c r="DU92" s="62">
        <f t="shared" si="98"/>
        <v>184.07239726900434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0.9743814695125067</v>
      </c>
      <c r="EB92" s="23">
        <f>EXP(-LN(2)/25)*EB91+(1-EXP(-LN(2)/25))/(LN(2)/25)*Calculateur!DW92*Calculateur!DY92*VLOOKUP('Données projet'!$B$14,Paramètres!$A$1:$I$89,3,0)*0.475*44/12</f>
        <v>1.5301748953542933</v>
      </c>
      <c r="EC92" s="23">
        <f>EXP(-LN(2)/2)*EC91+(1-EXP(-LN(2)/2))/(LN(2)/2)*DW92*DZ92*VLOOKUP('Données projet'!$B$14,Paramètres!$A$1:$I$89,3,0)*0.475*44/12</f>
        <v>1.2949851645231577E-8</v>
      </c>
      <c r="ED92" s="24">
        <f t="shared" si="72"/>
        <v>2.5045563778166517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471.2829524847545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1.1368683772161603E-12</v>
      </c>
      <c r="O93" s="14">
        <f>N93*VLOOKUP('Données projet'!$B$9,Paramètres!$A$1:$I$89,3,0)*VLOOKUP('Données projet'!$B$9,Paramètres!$A$1:$I$89,5,0)</f>
        <v>6.3550942286383359E-13</v>
      </c>
      <c r="P93" s="14">
        <f t="shared" si="87"/>
        <v>7.6982260417614606E-12</v>
      </c>
      <c r="Q93" s="22">
        <f t="shared" si="54"/>
        <v>1.4514589267555721E-11</v>
      </c>
      <c r="R93" s="62">
        <f t="shared" si="55"/>
        <v>293.33333333334781</v>
      </c>
      <c r="S93" s="62">
        <f ca="1">AVERAGE(OFFSET($R$3,0,0,'Données projet'!$E$9+1,1))-AVERAGE(OFFSET($H$3,0,0,'Données projet'!$E$9+1,1))</f>
        <v>460.40450534123659</v>
      </c>
      <c r="T93" s="62">
        <f t="shared" si="88"/>
        <v>467.77477728479198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3.8282663779547965</v>
      </c>
      <c r="AA93" s="23">
        <f>EXP(-LN(2)/25)*AA92+(1-EXP(-LN(2)/25))/(LN(2)/25)*Calculateur!V93*Calculateur!X93*VLOOKUP('Données projet'!$B$9,Paramètres!$A$1:$I$89,3,0)*0.475*44/12</f>
        <v>8.3870471329676608</v>
      </c>
      <c r="AB93" s="23">
        <f>EXP(-LN(2)/2)*AB92+(1-EXP(-LN(2)/2))/(LN(2)/2)*V93*Y93*VLOOKUP('Données projet'!$B$9,Paramètres!$A$1:$I$89,3,0)*0.475*44/12</f>
        <v>3.7461433103455978E-8</v>
      </c>
      <c r="AC93" s="24">
        <f t="shared" si="57"/>
        <v>12.215313548383889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358</v>
      </c>
      <c r="AG93" s="13">
        <f>VLOOKUP(A93,'Données projet'!$A$61:$I$81,9,0)</f>
        <v>6.6</v>
      </c>
      <c r="AH93" s="13">
        <f t="array" ref="AH93">INDEX(AG:AG,MIN(IF(ISNUMBER(AG93:AG289),ROW(AG93:AG289),"")))</f>
        <v>6.6</v>
      </c>
      <c r="AI93" s="14">
        <f>IF('Données projet'!$A$62&gt;35,AI92+AH93-AQ92,IF(A93&lt;'Données projet'!$A$62,$AF$205^A93,IF(A93='Données projet'!$A$62,'Données projet'!$B$62,AI92+AH93-AQ92)))</f>
        <v>358</v>
      </c>
      <c r="AJ93" s="14">
        <f>AI93*VLOOKUP('Données projet'!$B$10,Paramètres!$A$1:$I$89,3,0)*VLOOKUP('Données projet'!$B$10,Paramètres!$A$1:$I$89,5,0)</f>
        <v>323.91839999999996</v>
      </c>
      <c r="AK93" s="14">
        <f t="shared" si="89"/>
        <v>76.168074587293091</v>
      </c>
      <c r="AL93" s="22">
        <f t="shared" si="58"/>
        <v>696.81727657286876</v>
      </c>
      <c r="AM93" s="62">
        <f t="shared" si="59"/>
        <v>990.15060990620213</v>
      </c>
      <c r="AN93" s="62">
        <f ca="1">AVERAGE(OFFSET($AM$3,0,0,'Données projet'!$E$10+1,1))-AVERAGE(OFFSET($H$3,0,0,'Données projet'!$E$10+1,1))</f>
        <v>321.03881567735544</v>
      </c>
      <c r="AO93" s="62">
        <f t="shared" si="90"/>
        <v>234.87694492493506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56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0.73401471048389511</v>
      </c>
      <c r="AV93" s="23">
        <f>EXP(-LN(2)/25)*AV92+(1-EXP(-LN(2)/25))/(LN(2)/25)*Calculateur!AQ93*Calculateur!AS93*VLOOKUP('Données projet'!$B$10,Paramètres!$A$1:$I$89,3,0)*0.475*44/12</f>
        <v>2.5682892162748936</v>
      </c>
      <c r="AW93" s="23">
        <f>EXP(-LN(2)/2)*AW92+(1-EXP(-LN(2)/2))/(LN(2)/2)*AQ93*AT93*VLOOKUP('Données projet'!$B$10,Paramètres!$A$1:$I$89,3,0)*0.475*44/12</f>
        <v>2.0247031318656994E-8</v>
      </c>
      <c r="AX93" s="23">
        <f t="shared" si="60"/>
        <v>3.3023039470058198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255.41017495879987</v>
      </c>
      <c r="BJ93" s="62">
        <f t="shared" si="92"/>
        <v>297.50513563712764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2.5428576979073201</v>
      </c>
      <c r="BQ93" s="23">
        <f>EXP(-LN(2)/25)*BQ92+(1-EXP(-LN(2)/25))/(LN(2)/25)*Calculateur!BL93*Calculateur!BN93*VLOOKUP('Données projet'!$B$11,Paramètres!$A$1:$I$89,3,0)*0.475*44/12</f>
        <v>5.2803525242858926</v>
      </c>
      <c r="BR93" s="23">
        <f>EXP(-LN(2)/2)*BR92+(1-EXP(-LN(2)/2))/(LN(2)/2)*BL93*BO93*VLOOKUP('Données projet'!$B$11,Paramètres!$A$1:$I$89,3,0)*0.475*44/12</f>
        <v>2.2725380153313167E-8</v>
      </c>
      <c r="BS93" s="24">
        <f t="shared" si="63"/>
        <v>7.8232102449185925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1.1368683772161603E-13</v>
      </c>
      <c r="BZ93" s="14">
        <f>BY93*VLOOKUP('Données projet'!$B$12,Paramètres!$A$1:$I$89,3,0)*VLOOKUP('Données projet'!$B$12,Paramètres!$A$1:$I$89,5,0)</f>
        <v>5.4683368944097308E-14</v>
      </c>
      <c r="CA93" s="14">
        <f t="shared" si="93"/>
        <v>8.8129432816788268E-13</v>
      </c>
      <c r="CB93" s="22">
        <f t="shared" si="64"/>
        <v>1.6301611558033651E-12</v>
      </c>
      <c r="CC93" s="62">
        <f t="shared" si="65"/>
        <v>293.33333333333496</v>
      </c>
      <c r="CD93" s="62">
        <f ca="1">AVERAGE(OFFSET($CC$3,0,0,'Données projet'!$E$12+1,1))-AVERAGE(OFFSET($H$3,0,0,'Données projet'!$E$12+1,1))</f>
        <v>409.97612835032567</v>
      </c>
      <c r="CE93" s="62">
        <f t="shared" si="94"/>
        <v>411.87876448092288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9.3174001103230619</v>
      </c>
      <c r="CL93" s="23">
        <f>EXP(-LN(2)/25)*CL92+(1-EXP(-LN(2)/25))/(LN(2)/25)*Calculateur!CG93*Calculateur!CI93*VLOOKUP('Données projet'!$B$12,Paramètres!$A$1:$I$89,3,0)*0.475*44/12</f>
        <v>9.8692014390005962</v>
      </c>
      <c r="CM93" s="23">
        <f>EXP(-LN(2)/2)*CM92+(1-EXP(-LN(2)/2))/(LN(2)/2)*CG93*CJ93*VLOOKUP('Données projet'!$B$12,Paramètres!$A$1:$I$89,3,0)*0.475*44/12</f>
        <v>9.0640598725103211E-7</v>
      </c>
      <c r="CN93" s="24">
        <f t="shared" si="66"/>
        <v>19.186602455729645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-4.5474735088646412E-13</v>
      </c>
      <c r="CU93" s="18">
        <f>CT93*VLOOKUP('Données projet'!$B$13,Paramètres!$A$1:$I$89,3,0)*VLOOKUP('Données projet'!$B$13,Paramètres!$A$1:$I$89,5,0)</f>
        <v>-2.7193891583010558E-13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463.3255103386889</v>
      </c>
      <c r="CZ93" s="62">
        <f t="shared" si="96"/>
        <v>474.73210558736127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1.5230658086424052</v>
      </c>
      <c r="DG93" s="23">
        <f>EXP(-LN(2)/25)*DG92+(1-EXP(-LN(2)/25))/(LN(2)/25)*Calculateur!DB93*Calculateur!DD93*VLOOKUP('Données projet'!$B$13,Paramètres!$A$1:$I$89,3,0)*0.475*44/12</f>
        <v>6.5672507085053109</v>
      </c>
      <c r="DH93" s="23">
        <f>EXP(-LN(2)/2)*DH92+(1-EXP(-LN(2)/2))/(LN(2)/2)*DB93*DE93*VLOOKUP('Données projet'!$B$13,Paramètres!$A$1:$I$89,3,0)*0.475*44/12</f>
        <v>4.0622833622846112E-8</v>
      </c>
      <c r="DI93" s="24">
        <f t="shared" si="69"/>
        <v>8.0903165577705494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624.6</v>
      </c>
      <c r="DM93" s="13">
        <f>VLOOKUP(A93,'Données projet'!$A$165:$I$185,9,0)</f>
        <v>17.5</v>
      </c>
      <c r="DN93" s="13">
        <f t="array" ref="DN93">INDEX(DM:DM,MIN(IF(ISNUMBER(DM93:DM289),ROW(DM93:DM289),"")))</f>
        <v>17.5</v>
      </c>
      <c r="DO93" s="13">
        <f>IF('Données projet'!$A$166&gt;35,DO92+DN93-DW92,IF(A93&lt;'Données projet'!$A$166,$DL$205^A93,IF(A93='Données projet'!$A$166,'Données projet'!$B$166,DO92+DN93-DW92)))</f>
        <v>624.59999999999991</v>
      </c>
      <c r="DP93" s="18">
        <f>DO93*VLOOKUP('Données projet'!$B$14,Paramètres!$A$1:$I$89,3,0)*VLOOKUP('Données projet'!$B$14,Paramètres!$A$1:$I$89,5,0)</f>
        <v>292.31279999999998</v>
      </c>
      <c r="DQ93" s="14">
        <f t="shared" si="97"/>
        <v>69.562504549179678</v>
      </c>
      <c r="DR93" s="22">
        <f t="shared" si="70"/>
        <v>630.26615542315449</v>
      </c>
      <c r="DS93" s="62">
        <f t="shared" si="71"/>
        <v>923.59948875648774</v>
      </c>
      <c r="DT93" s="62">
        <f ca="1">AVERAGE(OFFSET($DS$3,0,0,'Données projet'!$E$14+1,1))-AVERAGE(OFFSET($H$3,0,0,'Données projet'!$E$14+1,1))</f>
        <v>215.23235148064941</v>
      </c>
      <c r="DU93" s="62">
        <f t="shared" si="98"/>
        <v>184.07239726900434</v>
      </c>
      <c r="DV93" s="16">
        <f>IF(ISNA(VLOOKUP(A93,'Données projet'!$A$165:$I$185,3,0)),0,VLOOKUP(A93,'Données projet'!$A$165:$I$185,3,0))</f>
        <v>8</v>
      </c>
      <c r="DW93" s="16">
        <f>IF(ISNA(VLOOKUP(A93,'Données projet'!$A$165:$I$185,4,0)),0,VLOOKUP(A93,'Données projet'!$A$165:$I$185,4,0))</f>
        <v>83.4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0.95527444320937926</v>
      </c>
      <c r="EB93" s="23">
        <f>EXP(-LN(2)/25)*EB92+(1-EXP(-LN(2)/25))/(LN(2)/25)*Calculateur!DW93*Calculateur!DY93*VLOOKUP('Données projet'!$B$14,Paramètres!$A$1:$I$89,3,0)*0.475*44/12</f>
        <v>1.4883321823724296</v>
      </c>
      <c r="EC93" s="23">
        <f>EXP(-LN(2)/2)*EC92+(1-EXP(-LN(2)/2))/(LN(2)/2)*DW93*DZ93*VLOOKUP('Données projet'!$B$14,Paramètres!$A$1:$I$89,3,0)*0.475*44/12</f>
        <v>9.1569279137030168E-9</v>
      </c>
      <c r="ED93" s="24">
        <f t="shared" si="72"/>
        <v>2.4436066347387371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473.21004596514888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1.1368683772161603E-12</v>
      </c>
      <c r="O94" s="14">
        <f>N94*VLOOKUP('Données projet'!$B$9,Paramètres!$A$1:$I$89,3,0)*VLOOKUP('Données projet'!$B$9,Paramètres!$A$1:$I$89,5,0)</f>
        <v>6.3550942286383359E-13</v>
      </c>
      <c r="P94" s="14">
        <f t="shared" si="87"/>
        <v>7.6982260417614606E-12</v>
      </c>
      <c r="Q94" s="22">
        <f t="shared" si="54"/>
        <v>1.4514589267555721E-11</v>
      </c>
      <c r="R94" s="62">
        <f t="shared" si="55"/>
        <v>293.33333333334781</v>
      </c>
      <c r="S94" s="62">
        <f ca="1">AVERAGE(OFFSET($R$3,0,0,'Données projet'!$E$9+1,1))-AVERAGE(OFFSET($H$3,0,0,'Données projet'!$E$9+1,1))</f>
        <v>460.40450534123659</v>
      </c>
      <c r="T94" s="62">
        <f t="shared" si="88"/>
        <v>467.77477728479198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3.7531964092950303</v>
      </c>
      <c r="AA94" s="23">
        <f>EXP(-LN(2)/25)*AA93+(1-EXP(-LN(2)/25))/(LN(2)/25)*Calculateur!V94*Calculateur!X94*VLOOKUP('Données projet'!$B$9,Paramètres!$A$1:$I$89,3,0)*0.475*44/12</f>
        <v>8.1577028880610207</v>
      </c>
      <c r="AB94" s="23">
        <f>EXP(-LN(2)/2)*AB93+(1-EXP(-LN(2)/2))/(LN(2)/2)*V94*Y94*VLOOKUP('Données projet'!$B$9,Paramètres!$A$1:$I$89,3,0)*0.475*44/12</f>
        <v>2.6489233380419935E-8</v>
      </c>
      <c r="AC94" s="24">
        <f t="shared" si="57"/>
        <v>11.910899323845285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5.9</v>
      </c>
      <c r="AI94" s="14">
        <f>IF('Données projet'!$A$62&gt;35,AI93+AH94-AQ93,IF(A94&lt;'Données projet'!$A$62,$AF$205^A94,IF(A94='Données projet'!$A$62,'Données projet'!$B$62,AI93+AH94-AQ93)))</f>
        <v>307.89999999999998</v>
      </c>
      <c r="AJ94" s="14">
        <f>AI94*VLOOKUP('Données projet'!$B$10,Paramètres!$A$1:$I$89,3,0)*VLOOKUP('Données projet'!$B$10,Paramètres!$A$1:$I$89,5,0)</f>
        <v>278.58791999999994</v>
      </c>
      <c r="AK94" s="14">
        <f t="shared" si="89"/>
        <v>66.668508032294213</v>
      </c>
      <c r="AL94" s="22">
        <f t="shared" si="58"/>
        <v>601.32161215624558</v>
      </c>
      <c r="AM94" s="62">
        <f t="shared" si="59"/>
        <v>894.65494548957895</v>
      </c>
      <c r="AN94" s="62">
        <f ca="1">AVERAGE(OFFSET($AM$3,0,0,'Données projet'!$E$10+1,1))-AVERAGE(OFFSET($H$3,0,0,'Données projet'!$E$10+1,1))</f>
        <v>321.03881567735544</v>
      </c>
      <c r="AO94" s="62">
        <f t="shared" si="90"/>
        <v>234.87694492493506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0.71962112971607217</v>
      </c>
      <c r="AV94" s="23">
        <f>EXP(-LN(2)/25)*AV93+(1-EXP(-LN(2)/25))/(LN(2)/25)*Calculateur!AQ94*Calculateur!AS94*VLOOKUP('Données projet'!$B$10,Paramètres!$A$1:$I$89,3,0)*0.475*44/12</f>
        <v>2.4980592125953964</v>
      </c>
      <c r="AW94" s="23">
        <f>EXP(-LN(2)/2)*AW93+(1-EXP(-LN(2)/2))/(LN(2)/2)*AQ94*AT94*VLOOKUP('Données projet'!$B$10,Paramètres!$A$1:$I$89,3,0)*0.475*44/12</f>
        <v>1.4316813144318766E-8</v>
      </c>
      <c r="AX94" s="23">
        <f t="shared" si="60"/>
        <v>3.2176803566282817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255.41017495879987</v>
      </c>
      <c r="BJ94" s="62">
        <f t="shared" si="92"/>
        <v>297.50513563712764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2.4929938094414057</v>
      </c>
      <c r="BQ94" s="23">
        <f>EXP(-LN(2)/25)*BQ93+(1-EXP(-LN(2)/25))/(LN(2)/25)*Calculateur!BL94*Calculateur!BN94*VLOOKUP('Données projet'!$B$11,Paramètres!$A$1:$I$89,3,0)*0.475*44/12</f>
        <v>5.1359610068276238</v>
      </c>
      <c r="BR94" s="23">
        <f>EXP(-LN(2)/2)*BR93+(1-EXP(-LN(2)/2))/(LN(2)/2)*BL94*BO94*VLOOKUP('Données projet'!$B$11,Paramètres!$A$1:$I$89,3,0)*0.475*44/12</f>
        <v>1.6069270411449923E-8</v>
      </c>
      <c r="BS94" s="24">
        <f t="shared" si="63"/>
        <v>7.6289548323382999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1.1368683772161603E-13</v>
      </c>
      <c r="BZ94" s="14">
        <f>BY94*VLOOKUP('Données projet'!$B$12,Paramètres!$A$1:$I$89,3,0)*VLOOKUP('Données projet'!$B$12,Paramètres!$A$1:$I$89,5,0)</f>
        <v>5.4683368944097308E-14</v>
      </c>
      <c r="CA94" s="14">
        <f t="shared" si="93"/>
        <v>8.8129432816788268E-13</v>
      </c>
      <c r="CB94" s="22">
        <f t="shared" si="64"/>
        <v>1.6301611558033651E-12</v>
      </c>
      <c r="CC94" s="62">
        <f t="shared" si="65"/>
        <v>293.33333333333496</v>
      </c>
      <c r="CD94" s="62">
        <f ca="1">AVERAGE(OFFSET($CC$3,0,0,'Données projet'!$E$12+1,1))-AVERAGE(OFFSET($H$3,0,0,'Données projet'!$E$12+1,1))</f>
        <v>409.97612835032567</v>
      </c>
      <c r="CE94" s="62">
        <f t="shared" si="94"/>
        <v>411.87876448092288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9.1346915772125392</v>
      </c>
      <c r="CL94" s="23">
        <f>EXP(-LN(2)/25)*CL93+(1-EXP(-LN(2)/25))/(LN(2)/25)*Calculateur!CG94*Calculateur!CI94*VLOOKUP('Données projet'!$B$12,Paramètres!$A$1:$I$89,3,0)*0.475*44/12</f>
        <v>9.5993276066523769</v>
      </c>
      <c r="CM94" s="23">
        <f>EXP(-LN(2)/2)*CM93+(1-EXP(-LN(2)/2))/(LN(2)/2)*CG94*CJ94*VLOOKUP('Données projet'!$B$12,Paramètres!$A$1:$I$89,3,0)*0.475*44/12</f>
        <v>6.4092582009329214E-7</v>
      </c>
      <c r="CN94" s="24">
        <f t="shared" si="66"/>
        <v>18.734019824790735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-4.5474735088646412E-13</v>
      </c>
      <c r="CU94" s="18">
        <f>CT94*VLOOKUP('Données projet'!$B$13,Paramètres!$A$1:$I$89,3,0)*VLOOKUP('Données projet'!$B$13,Paramètres!$A$1:$I$89,5,0)</f>
        <v>-2.7193891583010558E-13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463.3255103386889</v>
      </c>
      <c r="CZ94" s="62">
        <f t="shared" si="96"/>
        <v>474.73210558736127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1.4931994171133418</v>
      </c>
      <c r="DG94" s="23">
        <f>EXP(-LN(2)/25)*DG93+(1-EXP(-LN(2)/25))/(LN(2)/25)*Calculateur!DB94*Calculateur!DD94*VLOOKUP('Données projet'!$B$13,Paramètres!$A$1:$I$89,3,0)*0.475*44/12</f>
        <v>6.3876688925245277</v>
      </c>
      <c r="DH94" s="23">
        <f>EXP(-LN(2)/2)*DH93+(1-EXP(-LN(2)/2))/(LN(2)/2)*DB94*DE94*VLOOKUP('Données projet'!$B$13,Paramètres!$A$1:$I$89,3,0)*0.475*44/12</f>
        <v>2.8724681125727372E-8</v>
      </c>
      <c r="DI94" s="24">
        <f t="shared" si="69"/>
        <v>7.8808683383625509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18.5</v>
      </c>
      <c r="DO94" s="13">
        <f>IF('Données projet'!$A$166&gt;35,DO93+DN94-DW93,IF(A94&lt;'Données projet'!$A$166,$DL$205^A94,IF(A94='Données projet'!$A$166,'Données projet'!$B$166,DO93+DN94-DW93)))</f>
        <v>559.69999999999993</v>
      </c>
      <c r="DP94" s="18">
        <f>DO94*VLOOKUP('Données projet'!$B$14,Paramètres!$A$1:$I$89,3,0)*VLOOKUP('Données projet'!$B$14,Paramètres!$A$1:$I$89,5,0)</f>
        <v>261.93959999999998</v>
      </c>
      <c r="DQ94" s="14">
        <f t="shared" si="97"/>
        <v>63.135643285567426</v>
      </c>
      <c r="DR94" s="22">
        <f t="shared" si="70"/>
        <v>566.1727153890298</v>
      </c>
      <c r="DS94" s="62">
        <f t="shared" si="71"/>
        <v>859.50604872236318</v>
      </c>
      <c r="DT94" s="62">
        <f ca="1">AVERAGE(OFFSET($DS$3,0,0,'Données projet'!$E$14+1,1))-AVERAGE(OFFSET($H$3,0,0,'Données projet'!$E$14+1,1))</f>
        <v>215.23235148064941</v>
      </c>
      <c r="DU94" s="62">
        <f t="shared" si="98"/>
        <v>184.07239726900434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0.93654209403792077</v>
      </c>
      <c r="EB94" s="23">
        <f>EXP(-LN(2)/25)*EB93+(1-EXP(-LN(2)/25))/(LN(2)/25)*Calculateur!DW94*Calculateur!DY94*VLOOKUP('Données projet'!$B$14,Paramètres!$A$1:$I$89,3,0)*0.475*44/12</f>
        <v>1.4476336605774676</v>
      </c>
      <c r="EC94" s="23">
        <f>EXP(-LN(2)/2)*EC93+(1-EXP(-LN(2)/2))/(LN(2)/2)*DW94*DZ94*VLOOKUP('Données projet'!$B$14,Paramètres!$A$1:$I$89,3,0)*0.475*44/12</f>
        <v>6.4749258226157884E-9</v>
      </c>
      <c r="ED94" s="24">
        <f t="shared" si="72"/>
        <v>2.3841757610903143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475.1366557208853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1.1368683772161603E-12</v>
      </c>
      <c r="O95" s="14">
        <f>N95*VLOOKUP('Données projet'!$B$9,Paramètres!$A$1:$I$89,3,0)*VLOOKUP('Données projet'!$B$9,Paramètres!$A$1:$I$89,5,0)</f>
        <v>6.3550942286383359E-13</v>
      </c>
      <c r="P95" s="14">
        <f t="shared" si="87"/>
        <v>7.6982260417614606E-12</v>
      </c>
      <c r="Q95" s="22">
        <f t="shared" si="54"/>
        <v>1.4514589267555721E-11</v>
      </c>
      <c r="R95" s="62">
        <f t="shared" si="55"/>
        <v>293.33333333334781</v>
      </c>
      <c r="S95" s="62">
        <f ca="1">AVERAGE(OFFSET($R$3,0,0,'Données projet'!$E$9+1,1))-AVERAGE(OFFSET($H$3,0,0,'Données projet'!$E$9+1,1))</f>
        <v>460.40450534123659</v>
      </c>
      <c r="T95" s="62">
        <f t="shared" si="88"/>
        <v>467.77477728479198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3.6795985169325225</v>
      </c>
      <c r="AA95" s="23">
        <f>EXP(-LN(2)/25)*AA94+(1-EXP(-LN(2)/25))/(LN(2)/25)*Calculateur!V95*Calculateur!X95*VLOOKUP('Données projet'!$B$9,Paramètres!$A$1:$I$89,3,0)*0.475*44/12</f>
        <v>7.9346300735920421</v>
      </c>
      <c r="AB95" s="23">
        <f>EXP(-LN(2)/2)*AB94+(1-EXP(-LN(2)/2))/(LN(2)/2)*V95*Y95*VLOOKUP('Données projet'!$B$9,Paramètres!$A$1:$I$89,3,0)*0.475*44/12</f>
        <v>1.8730716551727989E-8</v>
      </c>
      <c r="AC95" s="24">
        <f t="shared" si="57"/>
        <v>11.614228609255282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5.9</v>
      </c>
      <c r="AI95" s="14">
        <f>IF('Données projet'!$A$62&gt;35,AI94+AH95-AQ94,IF(A95&lt;'Données projet'!$A$62,$AF$205^A95,IF(A95='Données projet'!$A$62,'Données projet'!$B$62,AI94+AH95-AQ94)))</f>
        <v>313.79999999999995</v>
      </c>
      <c r="AJ95" s="14">
        <f>AI95*VLOOKUP('Données projet'!$B$10,Paramètres!$A$1:$I$89,3,0)*VLOOKUP('Données projet'!$B$10,Paramètres!$A$1:$I$89,5,0)</f>
        <v>283.92623999999995</v>
      </c>
      <c r="AK95" s="14">
        <f t="shared" si="89"/>
        <v>67.796062628528304</v>
      </c>
      <c r="AL95" s="22">
        <f t="shared" si="58"/>
        <v>612.58301041135337</v>
      </c>
      <c r="AM95" s="62">
        <f t="shared" si="59"/>
        <v>905.91634374468663</v>
      </c>
      <c r="AN95" s="62">
        <f ca="1">AVERAGE(OFFSET($AM$3,0,0,'Données projet'!$E$10+1,1))-AVERAGE(OFFSET($H$3,0,0,'Données projet'!$E$10+1,1))</f>
        <v>321.03881567735544</v>
      </c>
      <c r="AO95" s="62">
        <f t="shared" si="90"/>
        <v>234.87694492493506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0.70550979828788885</v>
      </c>
      <c r="AV95" s="23">
        <f>EXP(-LN(2)/25)*AV94+(1-EXP(-LN(2)/25))/(LN(2)/25)*Calculateur!AQ95*Calculateur!AS95*VLOOKUP('Données projet'!$B$10,Paramètres!$A$1:$I$89,3,0)*0.475*44/12</f>
        <v>2.4297496520597508</v>
      </c>
      <c r="AW95" s="23">
        <f>EXP(-LN(2)/2)*AW94+(1-EXP(-LN(2)/2))/(LN(2)/2)*AQ95*AT95*VLOOKUP('Données projet'!$B$10,Paramètres!$A$1:$I$89,3,0)*0.475*44/12</f>
        <v>1.0123515659328497E-8</v>
      </c>
      <c r="AX95" s="23">
        <f t="shared" si="60"/>
        <v>3.1352594604711554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255.41017495879987</v>
      </c>
      <c r="BJ95" s="62">
        <f t="shared" si="92"/>
        <v>297.50513563712764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2.4441077214143392</v>
      </c>
      <c r="BQ95" s="23">
        <f>EXP(-LN(2)/25)*BQ94+(1-EXP(-LN(2)/25))/(LN(2)/25)*Calculateur!BL95*Calculateur!BN95*VLOOKUP('Données projet'!$B$11,Paramètres!$A$1:$I$89,3,0)*0.475*44/12</f>
        <v>4.9955178830074711</v>
      </c>
      <c r="BR95" s="23">
        <f>EXP(-LN(2)/2)*BR94+(1-EXP(-LN(2)/2))/(LN(2)/2)*BL95*BO95*VLOOKUP('Données projet'!$B$11,Paramètres!$A$1:$I$89,3,0)*0.475*44/12</f>
        <v>1.1362690076656584E-8</v>
      </c>
      <c r="BS95" s="24">
        <f t="shared" si="63"/>
        <v>7.4396256157845002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1.1368683772161603E-13</v>
      </c>
      <c r="BZ95" s="14">
        <f>BY95*VLOOKUP('Données projet'!$B$12,Paramètres!$A$1:$I$89,3,0)*VLOOKUP('Données projet'!$B$12,Paramètres!$A$1:$I$89,5,0)</f>
        <v>5.4683368944097308E-14</v>
      </c>
      <c r="CA95" s="14">
        <f t="shared" si="93"/>
        <v>8.8129432816788268E-13</v>
      </c>
      <c r="CB95" s="22">
        <f t="shared" si="64"/>
        <v>1.6301611558033651E-12</v>
      </c>
      <c r="CC95" s="62">
        <f t="shared" si="65"/>
        <v>293.33333333333496</v>
      </c>
      <c r="CD95" s="62">
        <f ca="1">AVERAGE(OFFSET($CC$3,0,0,'Données projet'!$E$12+1,1))-AVERAGE(OFFSET($H$3,0,0,'Données projet'!$E$12+1,1))</f>
        <v>409.97612835032567</v>
      </c>
      <c r="CE95" s="62">
        <f t="shared" si="94"/>
        <v>411.87876448092288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8.9555658469951123</v>
      </c>
      <c r="CL95" s="23">
        <f>EXP(-LN(2)/25)*CL94+(1-EXP(-LN(2)/25))/(LN(2)/25)*Calculateur!CG95*Calculateur!CI95*VLOOKUP('Données projet'!$B$12,Paramètres!$A$1:$I$89,3,0)*0.475*44/12</f>
        <v>9.3368334884417692</v>
      </c>
      <c r="CM95" s="23">
        <f>EXP(-LN(2)/2)*CM94+(1-EXP(-LN(2)/2))/(LN(2)/2)*CG95*CJ95*VLOOKUP('Données projet'!$B$12,Paramètres!$A$1:$I$89,3,0)*0.475*44/12</f>
        <v>4.5320299362551606E-7</v>
      </c>
      <c r="CN95" s="24">
        <f t="shared" si="66"/>
        <v>18.292399788639877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-4.5474735088646412E-13</v>
      </c>
      <c r="CU95" s="18">
        <f>CT95*VLOOKUP('Données projet'!$B$13,Paramètres!$A$1:$I$89,3,0)*VLOOKUP('Données projet'!$B$13,Paramètres!$A$1:$I$89,5,0)</f>
        <v>-2.7193891583010558E-13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463.3255103386889</v>
      </c>
      <c r="CZ95" s="62">
        <f t="shared" si="96"/>
        <v>474.73210558736127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1.4639186873054633</v>
      </c>
      <c r="DG95" s="23">
        <f>EXP(-LN(2)/25)*DG94+(1-EXP(-LN(2)/25))/(LN(2)/25)*Calculateur!DB95*Calculateur!DD95*VLOOKUP('Données projet'!$B$13,Paramètres!$A$1:$I$89,3,0)*0.475*44/12</f>
        <v>6.2129977507455365</v>
      </c>
      <c r="DH95" s="23">
        <f>EXP(-LN(2)/2)*DH94+(1-EXP(-LN(2)/2))/(LN(2)/2)*DB95*DE95*VLOOKUP('Données projet'!$B$13,Paramètres!$A$1:$I$89,3,0)*0.475*44/12</f>
        <v>2.0311416811423056E-8</v>
      </c>
      <c r="DI95" s="24">
        <f t="shared" si="69"/>
        <v>7.6769164583624168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18.5</v>
      </c>
      <c r="DO95" s="13">
        <f>IF('Données projet'!$A$166&gt;35,DO94+DN95-DW94,IF(A95&lt;'Données projet'!$A$166,$DL$205^A95,IF(A95='Données projet'!$A$166,'Données projet'!$B$166,DO94+DN95-DW94)))</f>
        <v>578.19999999999993</v>
      </c>
      <c r="DP95" s="18">
        <f>DO95*VLOOKUP('Données projet'!$B$14,Paramètres!$A$1:$I$89,3,0)*VLOOKUP('Données projet'!$B$14,Paramètres!$A$1:$I$89,5,0)</f>
        <v>270.59759999999994</v>
      </c>
      <c r="DQ95" s="14">
        <f t="shared" si="97"/>
        <v>64.976078766498532</v>
      </c>
      <c r="DR95" s="22">
        <f t="shared" si="70"/>
        <v>584.45749051831808</v>
      </c>
      <c r="DS95" s="62">
        <f t="shared" si="71"/>
        <v>877.79082385165134</v>
      </c>
      <c r="DT95" s="62">
        <f ca="1">AVERAGE(OFFSET($DS$3,0,0,'Données projet'!$E$14+1,1))-AVERAGE(OFFSET($H$3,0,0,'Données projet'!$E$14+1,1))</f>
        <v>215.23235148064941</v>
      </c>
      <c r="DU95" s="62">
        <f t="shared" si="98"/>
        <v>184.07239726900434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0.91817707480810984</v>
      </c>
      <c r="EB95" s="23">
        <f>EXP(-LN(2)/25)*EB94+(1-EXP(-LN(2)/25))/(LN(2)/25)*Calculateur!DW95*Calculateur!DY95*VLOOKUP('Données projet'!$B$14,Paramètres!$A$1:$I$89,3,0)*0.475*44/12</f>
        <v>1.4080480420012311</v>
      </c>
      <c r="EC95" s="23">
        <f>EXP(-LN(2)/2)*EC94+(1-EXP(-LN(2)/2))/(LN(2)/2)*DW95*DZ95*VLOOKUP('Données projet'!$B$14,Paramètres!$A$1:$I$89,3,0)*0.475*44/12</f>
        <v>4.5784639568515084E-9</v>
      </c>
      <c r="ED95" s="24">
        <f t="shared" si="72"/>
        <v>2.3262251213878047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477.06278761837774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1.1368683772161603E-12</v>
      </c>
      <c r="O96" s="14">
        <f>N96*VLOOKUP('Données projet'!$B$9,Paramètres!$A$1:$I$89,3,0)*VLOOKUP('Données projet'!$B$9,Paramètres!$A$1:$I$89,5,0)</f>
        <v>6.3550942286383359E-13</v>
      </c>
      <c r="P96" s="14">
        <f t="shared" si="87"/>
        <v>7.6982260417614606E-12</v>
      </c>
      <c r="Q96" s="22">
        <f t="shared" si="54"/>
        <v>1.4514589267555721E-11</v>
      </c>
      <c r="R96" s="62">
        <f t="shared" si="55"/>
        <v>293.33333333334781</v>
      </c>
      <c r="S96" s="62">
        <f ca="1">AVERAGE(OFFSET($R$3,0,0,'Données projet'!$E$9+1,1))-AVERAGE(OFFSET($H$3,0,0,'Données projet'!$E$9+1,1))</f>
        <v>460.40450534123659</v>
      </c>
      <c r="T96" s="62">
        <f t="shared" si="88"/>
        <v>467.77477728479198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3.6074438343489614</v>
      </c>
      <c r="AA96" s="23">
        <f>EXP(-LN(2)/25)*AA95+(1-EXP(-LN(2)/25))/(LN(2)/25)*Calculateur!V96*Calculateur!X96*VLOOKUP('Données projet'!$B$9,Paramètres!$A$1:$I$89,3,0)*0.475*44/12</f>
        <v>7.7176571969656074</v>
      </c>
      <c r="AB96" s="23">
        <f>EXP(-LN(2)/2)*AB95+(1-EXP(-LN(2)/2))/(LN(2)/2)*V96*Y96*VLOOKUP('Données projet'!$B$9,Paramètres!$A$1:$I$89,3,0)*0.475*44/12</f>
        <v>1.3244616690209967E-8</v>
      </c>
      <c r="AC96" s="24">
        <f t="shared" si="57"/>
        <v>11.325101044559185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5.9</v>
      </c>
      <c r="AI96" s="14">
        <f>IF('Données projet'!$A$62&gt;35,AI95+AH96-AQ95,IF(A96&lt;'Données projet'!$A$62,$AF$205^A96,IF(A96='Données projet'!$A$62,'Données projet'!$B$62,AI95+AH96-AQ95)))</f>
        <v>319.69999999999993</v>
      </c>
      <c r="AJ96" s="14">
        <f>AI96*VLOOKUP('Données projet'!$B$10,Paramètres!$A$1:$I$89,3,0)*VLOOKUP('Données projet'!$B$10,Paramètres!$A$1:$I$89,5,0)</f>
        <v>289.26455999999996</v>
      </c>
      <c r="AK96" s="14">
        <f t="shared" si="89"/>
        <v>68.921152085057912</v>
      </c>
      <c r="AL96" s="22">
        <f t="shared" si="58"/>
        <v>623.84011521480909</v>
      </c>
      <c r="AM96" s="62">
        <f t="shared" si="59"/>
        <v>917.17344854814246</v>
      </c>
      <c r="AN96" s="62">
        <f ca="1">AVERAGE(OFFSET($AM$3,0,0,'Données projet'!$E$10+1,1))-AVERAGE(OFFSET($H$3,0,0,'Données projet'!$E$10+1,1))</f>
        <v>321.03881567735544</v>
      </c>
      <c r="AO96" s="62">
        <f t="shared" si="90"/>
        <v>234.87694492493506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0.69167518146194984</v>
      </c>
      <c r="AV96" s="23">
        <f>EXP(-LN(2)/25)*AV95+(1-EXP(-LN(2)/25))/(LN(2)/25)*Calculateur!AQ96*Calculateur!AS96*VLOOKUP('Données projet'!$B$10,Paramètres!$A$1:$I$89,3,0)*0.475*44/12</f>
        <v>2.363308020049196</v>
      </c>
      <c r="AW96" s="23">
        <f>EXP(-LN(2)/2)*AW95+(1-EXP(-LN(2)/2))/(LN(2)/2)*AQ96*AT96*VLOOKUP('Données projet'!$B$10,Paramètres!$A$1:$I$89,3,0)*0.475*44/12</f>
        <v>7.1584065721593828E-9</v>
      </c>
      <c r="AX96" s="23">
        <f t="shared" si="60"/>
        <v>3.0549832086695528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255.41017495879987</v>
      </c>
      <c r="BJ96" s="62">
        <f t="shared" si="92"/>
        <v>297.50513563712764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2.3961802597559139</v>
      </c>
      <c r="BQ96" s="23">
        <f>EXP(-LN(2)/25)*BQ95+(1-EXP(-LN(2)/25))/(LN(2)/25)*Calculateur!BL96*Calculateur!BN96*VLOOKUP('Données projet'!$B$11,Paramètres!$A$1:$I$89,3,0)*0.475*44/12</f>
        <v>4.8589151837937639</v>
      </c>
      <c r="BR96" s="23">
        <f>EXP(-LN(2)/2)*BR95+(1-EXP(-LN(2)/2))/(LN(2)/2)*BL96*BO96*VLOOKUP('Données projet'!$B$11,Paramètres!$A$1:$I$89,3,0)*0.475*44/12</f>
        <v>8.0346352057249617E-9</v>
      </c>
      <c r="BS96" s="24">
        <f t="shared" si="63"/>
        <v>7.2550954515843129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1.1368683772161603E-13</v>
      </c>
      <c r="BZ96" s="14">
        <f>BY96*VLOOKUP('Données projet'!$B$12,Paramètres!$A$1:$I$89,3,0)*VLOOKUP('Données projet'!$B$12,Paramètres!$A$1:$I$89,5,0)</f>
        <v>5.4683368944097308E-14</v>
      </c>
      <c r="CA96" s="14">
        <f t="shared" si="93"/>
        <v>8.8129432816788268E-13</v>
      </c>
      <c r="CB96" s="22">
        <f t="shared" si="64"/>
        <v>1.6301611558033651E-12</v>
      </c>
      <c r="CC96" s="62">
        <f t="shared" si="65"/>
        <v>293.33333333333496</v>
      </c>
      <c r="CD96" s="62">
        <f ca="1">AVERAGE(OFFSET($CC$3,0,0,'Données projet'!$E$12+1,1))-AVERAGE(OFFSET($H$3,0,0,'Données projet'!$E$12+1,1))</f>
        <v>409.97612835032567</v>
      </c>
      <c r="CE96" s="62">
        <f t="shared" si="94"/>
        <v>411.87876448092288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8.7799526630913416</v>
      </c>
      <c r="CL96" s="23">
        <f>EXP(-LN(2)/25)*CL95+(1-EXP(-LN(2)/25))/(LN(2)/25)*Calculateur!CG96*Calculateur!CI96*VLOOKUP('Données projet'!$B$12,Paramètres!$A$1:$I$89,3,0)*0.475*44/12</f>
        <v>9.0815172856975952</v>
      </c>
      <c r="CM96" s="23">
        <f>EXP(-LN(2)/2)*CM95+(1-EXP(-LN(2)/2))/(LN(2)/2)*CG96*CJ96*VLOOKUP('Données projet'!$B$12,Paramètres!$A$1:$I$89,3,0)*0.475*44/12</f>
        <v>3.2046291004664607E-7</v>
      </c>
      <c r="CN96" s="24">
        <f t="shared" si="66"/>
        <v>17.861470269251846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-4.5474735088646412E-13</v>
      </c>
      <c r="CU96" s="18">
        <f>CT96*VLOOKUP('Données projet'!$B$13,Paramètres!$A$1:$I$89,3,0)*VLOOKUP('Données projet'!$B$13,Paramètres!$A$1:$I$89,5,0)</f>
        <v>-2.7193891583010558E-13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463.3255103386889</v>
      </c>
      <c r="CZ96" s="62">
        <f t="shared" si="96"/>
        <v>474.73210558736127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1.4352121347496356</v>
      </c>
      <c r="DG96" s="23">
        <f>EXP(-LN(2)/25)*DG95+(1-EXP(-LN(2)/25))/(LN(2)/25)*Calculateur!DB96*Calculateur!DD96*VLOOKUP('Données projet'!$B$13,Paramètres!$A$1:$I$89,3,0)*0.475*44/12</f>
        <v>6.0431030005240478</v>
      </c>
      <c r="DH96" s="23">
        <f>EXP(-LN(2)/2)*DH95+(1-EXP(-LN(2)/2))/(LN(2)/2)*DB96*DE96*VLOOKUP('Données projet'!$B$13,Paramètres!$A$1:$I$89,3,0)*0.475*44/12</f>
        <v>1.4362340562863686E-8</v>
      </c>
      <c r="DI96" s="24">
        <f t="shared" si="69"/>
        <v>7.4783151496360238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18.5</v>
      </c>
      <c r="DO96" s="13">
        <f>IF('Données projet'!$A$166&gt;35,DO95+DN96-DW95,IF(A96&lt;'Données projet'!$A$166,$DL$205^A96,IF(A96='Données projet'!$A$166,'Données projet'!$B$166,DO95+DN96-DW95)))</f>
        <v>596.69999999999993</v>
      </c>
      <c r="DP96" s="18">
        <f>DO96*VLOOKUP('Données projet'!$B$14,Paramètres!$A$1:$I$89,3,0)*VLOOKUP('Données projet'!$B$14,Paramètres!$A$1:$I$89,5,0)</f>
        <v>279.25559999999996</v>
      </c>
      <c r="DQ96" s="14">
        <f t="shared" si="97"/>
        <v>66.809671397146161</v>
      </c>
      <c r="DR96" s="22">
        <f t="shared" si="70"/>
        <v>602.73034768336277</v>
      </c>
      <c r="DS96" s="62">
        <f t="shared" si="71"/>
        <v>896.06368101669614</v>
      </c>
      <c r="DT96" s="62">
        <f ca="1">AVERAGE(OFFSET($DS$3,0,0,'Données projet'!$E$14+1,1))-AVERAGE(OFFSET($H$3,0,0,'Données projet'!$E$14+1,1))</f>
        <v>215.23235148064941</v>
      </c>
      <c r="DU96" s="62">
        <f t="shared" si="98"/>
        <v>184.07239726900434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0.90017218240383978</v>
      </c>
      <c r="EB96" s="23">
        <f>EXP(-LN(2)/25)*EB95+(1-EXP(-LN(2)/25))/(LN(2)/25)*Calculateur!DW96*Calculateur!DY96*VLOOKUP('Données projet'!$B$14,Paramètres!$A$1:$I$89,3,0)*0.475*44/12</f>
        <v>1.369544894246679</v>
      </c>
      <c r="EC96" s="23">
        <f>EXP(-LN(2)/2)*EC95+(1-EXP(-LN(2)/2))/(LN(2)/2)*DW96*DZ96*VLOOKUP('Données projet'!$B$14,Paramètres!$A$1:$I$89,3,0)*0.475*44/12</f>
        <v>3.2374629113078942E-9</v>
      </c>
      <c r="ED96" s="24">
        <f t="shared" si="72"/>
        <v>2.2697170798879815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478.98844739061411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1.1368683772161603E-12</v>
      </c>
      <c r="O97" s="14">
        <f>N97*VLOOKUP('Données projet'!$B$9,Paramètres!$A$1:$I$89,3,0)*VLOOKUP('Données projet'!$B$9,Paramètres!$A$1:$I$89,5,0)</f>
        <v>6.3550942286383359E-13</v>
      </c>
      <c r="P97" s="14">
        <f t="shared" si="87"/>
        <v>7.6982260417614606E-12</v>
      </c>
      <c r="Q97" s="22">
        <f t="shared" si="54"/>
        <v>1.4514589267555721E-11</v>
      </c>
      <c r="R97" s="62">
        <f t="shared" si="55"/>
        <v>293.33333333334781</v>
      </c>
      <c r="S97" s="62">
        <f ca="1">AVERAGE(OFFSET($R$3,0,0,'Données projet'!$E$9+1,1))-AVERAGE(OFFSET($H$3,0,0,'Données projet'!$E$9+1,1))</f>
        <v>460.40450534123659</v>
      </c>
      <c r="T97" s="62">
        <f t="shared" si="88"/>
        <v>467.77477728479198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3.5367040610808536</v>
      </c>
      <c r="AA97" s="23">
        <f>EXP(-LN(2)/25)*AA96+(1-EXP(-LN(2)/25))/(LN(2)/25)*Calculateur!V97*Calculateur!X97*VLOOKUP('Données projet'!$B$9,Paramètres!$A$1:$I$89,3,0)*0.475*44/12</f>
        <v>7.5066174550606295</v>
      </c>
      <c r="AB97" s="23">
        <f>EXP(-LN(2)/2)*AB96+(1-EXP(-LN(2)/2))/(LN(2)/2)*V97*Y97*VLOOKUP('Données projet'!$B$9,Paramètres!$A$1:$I$89,3,0)*0.475*44/12</f>
        <v>9.3653582758639946E-9</v>
      </c>
      <c r="AC97" s="24">
        <f t="shared" si="57"/>
        <v>11.04332152550684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5.9</v>
      </c>
      <c r="AI97" s="14">
        <f>IF('Données projet'!$A$62&gt;35,AI96+AH97-AQ96,IF(A97&lt;'Données projet'!$A$62,$AF$205^A97,IF(A97='Données projet'!$A$62,'Données projet'!$B$62,AI96+AH97-AQ96)))</f>
        <v>325.59999999999991</v>
      </c>
      <c r="AJ97" s="14">
        <f>AI97*VLOOKUP('Données projet'!$B$10,Paramètres!$A$1:$I$89,3,0)*VLOOKUP('Données projet'!$B$10,Paramètres!$A$1:$I$89,5,0)</f>
        <v>294.60287999999991</v>
      </c>
      <c r="AK97" s="14">
        <f t="shared" si="89"/>
        <v>70.043827142305673</v>
      </c>
      <c r="AL97" s="22">
        <f t="shared" si="58"/>
        <v>635.09301493951546</v>
      </c>
      <c r="AM97" s="62">
        <f t="shared" si="59"/>
        <v>928.42634827284883</v>
      </c>
      <c r="AN97" s="62">
        <f ca="1">AVERAGE(OFFSET($AM$3,0,0,'Données projet'!$E$10+1,1))-AVERAGE(OFFSET($H$3,0,0,'Données projet'!$E$10+1,1))</f>
        <v>321.03881567735544</v>
      </c>
      <c r="AO97" s="62">
        <f t="shared" si="90"/>
        <v>234.87694492493506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0.67811185303368449</v>
      </c>
      <c r="AV97" s="23">
        <f>EXP(-LN(2)/25)*AV96+(1-EXP(-LN(2)/25))/(LN(2)/25)*Calculateur!AQ97*Calculateur!AS97*VLOOKUP('Données projet'!$B$10,Paramètres!$A$1:$I$89,3,0)*0.475*44/12</f>
        <v>2.2986832379599833</v>
      </c>
      <c r="AW97" s="23">
        <f>EXP(-LN(2)/2)*AW96+(1-EXP(-LN(2)/2))/(LN(2)/2)*AQ97*AT97*VLOOKUP('Données projet'!$B$10,Paramètres!$A$1:$I$89,3,0)*0.475*44/12</f>
        <v>5.0617578296642484E-9</v>
      </c>
      <c r="AX97" s="23">
        <f t="shared" si="60"/>
        <v>2.9767950960554255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255.41017495879987</v>
      </c>
      <c r="BJ97" s="62">
        <f t="shared" si="92"/>
        <v>297.50513563712764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2.3491926263877452</v>
      </c>
      <c r="BQ97" s="23">
        <f>EXP(-LN(2)/25)*BQ96+(1-EXP(-LN(2)/25))/(LN(2)/25)*Calculateur!BL97*Calculateur!BN97*VLOOKUP('Données projet'!$B$11,Paramètres!$A$1:$I$89,3,0)*0.475*44/12</f>
        <v>4.7260478925736793</v>
      </c>
      <c r="BR97" s="23">
        <f>EXP(-LN(2)/2)*BR96+(1-EXP(-LN(2)/2))/(LN(2)/2)*BL97*BO97*VLOOKUP('Données projet'!$B$11,Paramètres!$A$1:$I$89,3,0)*0.475*44/12</f>
        <v>5.6813450383282918E-9</v>
      </c>
      <c r="BS97" s="24">
        <f t="shared" si="63"/>
        <v>7.0752405246427692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1.1368683772161603E-13</v>
      </c>
      <c r="BZ97" s="14">
        <f>BY97*VLOOKUP('Données projet'!$B$12,Paramètres!$A$1:$I$89,3,0)*VLOOKUP('Données projet'!$B$12,Paramètres!$A$1:$I$89,5,0)</f>
        <v>5.4683368944097308E-14</v>
      </c>
      <c r="CA97" s="14">
        <f t="shared" si="93"/>
        <v>8.8129432816788268E-13</v>
      </c>
      <c r="CB97" s="22">
        <f t="shared" si="64"/>
        <v>1.6301611558033651E-12</v>
      </c>
      <c r="CC97" s="62">
        <f t="shared" si="65"/>
        <v>293.33333333333496</v>
      </c>
      <c r="CD97" s="62">
        <f ca="1">AVERAGE(OFFSET($CC$3,0,0,'Données projet'!$E$12+1,1))-AVERAGE(OFFSET($H$3,0,0,'Données projet'!$E$12+1,1))</f>
        <v>409.97612835032567</v>
      </c>
      <c r="CE97" s="62">
        <f t="shared" si="94"/>
        <v>411.87876448092288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8.6077831466104584</v>
      </c>
      <c r="CL97" s="23">
        <f>EXP(-LN(2)/25)*CL96+(1-EXP(-LN(2)/25))/(LN(2)/25)*Calculateur!CG97*Calculateur!CI97*VLOOKUP('Données projet'!$B$12,Paramètres!$A$1:$I$89,3,0)*0.475*44/12</f>
        <v>8.8331827179439557</v>
      </c>
      <c r="CM97" s="23">
        <f>EXP(-LN(2)/2)*CM96+(1-EXP(-LN(2)/2))/(LN(2)/2)*CG97*CJ97*VLOOKUP('Données projet'!$B$12,Paramètres!$A$1:$I$89,3,0)*0.475*44/12</f>
        <v>2.2660149681275803E-7</v>
      </c>
      <c r="CN97" s="24">
        <f t="shared" si="66"/>
        <v>17.440966091155911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-4.5474735088646412E-13</v>
      </c>
      <c r="CU97" s="18">
        <f>CT97*VLOOKUP('Données projet'!$B$13,Paramètres!$A$1:$I$89,3,0)*VLOOKUP('Données projet'!$B$13,Paramètres!$A$1:$I$89,5,0)</f>
        <v>-2.7193891583010558E-13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463.3255103386889</v>
      </c>
      <c r="CZ97" s="62">
        <f t="shared" si="96"/>
        <v>474.73210558736127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1.4070685001801595</v>
      </c>
      <c r="DG97" s="23">
        <f>EXP(-LN(2)/25)*DG96+(1-EXP(-LN(2)/25))/(LN(2)/25)*Calculateur!DB97*Calculateur!DD97*VLOOKUP('Données projet'!$B$13,Paramètres!$A$1:$I$89,3,0)*0.475*44/12</f>
        <v>5.8778540311817427</v>
      </c>
      <c r="DH97" s="23">
        <f>EXP(-LN(2)/2)*DH96+(1-EXP(-LN(2)/2))/(LN(2)/2)*DB97*DE97*VLOOKUP('Données projet'!$B$13,Paramètres!$A$1:$I$89,3,0)*0.475*44/12</f>
        <v>1.0155708405711528E-8</v>
      </c>
      <c r="DI97" s="24">
        <f t="shared" si="69"/>
        <v>7.2849225415176102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18.5</v>
      </c>
      <c r="DO97" s="13">
        <f>IF('Données projet'!$A$166&gt;35,DO96+DN97-DW96,IF(A97&lt;'Données projet'!$A$166,$DL$205^A97,IF(A97='Données projet'!$A$166,'Données projet'!$B$166,DO96+DN97-DW96)))</f>
        <v>615.19999999999993</v>
      </c>
      <c r="DP97" s="18">
        <f>DO97*VLOOKUP('Données projet'!$B$14,Paramètres!$A$1:$I$89,3,0)*VLOOKUP('Données projet'!$B$14,Paramètres!$A$1:$I$89,5,0)</f>
        <v>287.91359999999997</v>
      </c>
      <c r="DQ97" s="14">
        <f t="shared" si="97"/>
        <v>68.636657677063752</v>
      </c>
      <c r="DR97" s="22">
        <f t="shared" si="70"/>
        <v>620.99169878755254</v>
      </c>
      <c r="DS97" s="62">
        <f t="shared" si="71"/>
        <v>914.32503212088591</v>
      </c>
      <c r="DT97" s="62">
        <f ca="1">AVERAGE(OFFSET($DS$3,0,0,'Données projet'!$E$14+1,1))-AVERAGE(OFFSET($H$3,0,0,'Données projet'!$E$14+1,1))</f>
        <v>215.23235148064941</v>
      </c>
      <c r="DU97" s="62">
        <f t="shared" si="98"/>
        <v>184.07239726900434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0.88252035495771752</v>
      </c>
      <c r="EB97" s="23">
        <f>EXP(-LN(2)/25)*EB96+(1-EXP(-LN(2)/25))/(LN(2)/25)*Calculateur!DW97*Calculateur!DY97*VLOOKUP('Données projet'!$B$14,Paramètres!$A$1:$I$89,3,0)*0.475*44/12</f>
        <v>1.3320946170922678</v>
      </c>
      <c r="EC97" s="23">
        <f>EXP(-LN(2)/2)*EC96+(1-EXP(-LN(2)/2))/(LN(2)/2)*DW97*DZ97*VLOOKUP('Données projet'!$B$14,Paramètres!$A$1:$I$89,3,0)*0.475*44/12</f>
        <v>2.2892319784257542E-9</v>
      </c>
      <c r="ED97" s="24">
        <f t="shared" si="72"/>
        <v>2.2146149743392174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480.91364064157727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1.1368683772161603E-12</v>
      </c>
      <c r="O98" s="14">
        <f>N98*VLOOKUP('Données projet'!$B$9,Paramètres!$A$1:$I$89,3,0)*VLOOKUP('Données projet'!$B$9,Paramètres!$A$1:$I$89,5,0)</f>
        <v>6.3550942286383359E-13</v>
      </c>
      <c r="P98" s="14">
        <f t="shared" si="87"/>
        <v>7.6982260417614606E-12</v>
      </c>
      <c r="Q98" s="22">
        <f t="shared" si="54"/>
        <v>1.4514589267555721E-11</v>
      </c>
      <c r="R98" s="62">
        <f t="shared" si="55"/>
        <v>293.33333333334781</v>
      </c>
      <c r="S98" s="62">
        <f ca="1">AVERAGE(OFFSET($R$3,0,0,'Données projet'!$E$9+1,1))-AVERAGE(OFFSET($H$3,0,0,'Données projet'!$E$9+1,1))</f>
        <v>460.40450534123659</v>
      </c>
      <c r="T98" s="62">
        <f t="shared" si="88"/>
        <v>467.77477728479198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3.4673514516195318</v>
      </c>
      <c r="AA98" s="23">
        <f>EXP(-LN(2)/25)*AA97+(1-EXP(-LN(2)/25))/(LN(2)/25)*Calculateur!V98*Calculateur!X98*VLOOKUP('Données projet'!$B$9,Paramètres!$A$1:$I$89,3,0)*0.475*44/12</f>
        <v>7.3013486059961412</v>
      </c>
      <c r="AB98" s="23">
        <f>EXP(-LN(2)/2)*AB97+(1-EXP(-LN(2)/2))/(LN(2)/2)*V98*Y98*VLOOKUP('Données projet'!$B$9,Paramètres!$A$1:$I$89,3,0)*0.475*44/12</f>
        <v>6.6223083451049837E-9</v>
      </c>
      <c r="AC98" s="24">
        <f t="shared" si="57"/>
        <v>10.768700064237981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5.9</v>
      </c>
      <c r="AI98" s="14">
        <f>IF('Données projet'!$A$62&gt;35,AI97+AH98-AQ97,IF(A98&lt;'Données projet'!$A$62,$AF$205^A98,IF(A98='Données projet'!$A$62,'Données projet'!$B$62,AI97+AH98-AQ97)))</f>
        <v>331.49999999999989</v>
      </c>
      <c r="AJ98" s="14">
        <f>AI98*VLOOKUP('Données projet'!$B$10,Paramètres!$A$1:$I$89,3,0)*VLOOKUP('Données projet'!$B$10,Paramètres!$A$1:$I$89,5,0)</f>
        <v>299.94119999999987</v>
      </c>
      <c r="AK98" s="14">
        <f t="shared" si="89"/>
        <v>71.164136596531506</v>
      </c>
      <c r="AL98" s="22">
        <f t="shared" si="58"/>
        <v>646.3417945722922</v>
      </c>
      <c r="AM98" s="62">
        <f t="shared" si="59"/>
        <v>939.67512790562546</v>
      </c>
      <c r="AN98" s="62">
        <f ca="1">AVERAGE(OFFSET($AM$3,0,0,'Données projet'!$E$10+1,1))-AVERAGE(OFFSET($H$3,0,0,'Données projet'!$E$10+1,1))</f>
        <v>321.03881567735544</v>
      </c>
      <c r="AO98" s="62">
        <f t="shared" si="90"/>
        <v>234.87694492493506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0.66481449320308394</v>
      </c>
      <c r="AV98" s="23">
        <f>EXP(-LN(2)/25)*AV97+(1-EXP(-LN(2)/25))/(LN(2)/25)*Calculateur!AQ98*Calculateur!AS98*VLOOKUP('Données projet'!$B$10,Paramètres!$A$1:$I$89,3,0)*0.475*44/12</f>
        <v>2.2358256239354697</v>
      </c>
      <c r="AW98" s="23">
        <f>EXP(-LN(2)/2)*AW97+(1-EXP(-LN(2)/2))/(LN(2)/2)*AQ98*AT98*VLOOKUP('Données projet'!$B$10,Paramètres!$A$1:$I$89,3,0)*0.475*44/12</f>
        <v>3.5792032860796914E-9</v>
      </c>
      <c r="AX98" s="23">
        <f t="shared" si="60"/>
        <v>2.9006401207177568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255.41017495879987</v>
      </c>
      <c r="BJ98" s="62">
        <f t="shared" si="92"/>
        <v>297.50513563712764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2.3031263918503</v>
      </c>
      <c r="BQ98" s="23">
        <f>EXP(-LN(2)/25)*BQ97+(1-EXP(-LN(2)/25))/(LN(2)/25)*Calculateur!BL98*Calculateur!BN98*VLOOKUP('Données projet'!$B$11,Paramètres!$A$1:$I$89,3,0)*0.475*44/12</f>
        <v>4.5968138644191949</v>
      </c>
      <c r="BR98" s="23">
        <f>EXP(-LN(2)/2)*BR97+(1-EXP(-LN(2)/2))/(LN(2)/2)*BL98*BO98*VLOOKUP('Données projet'!$B$11,Paramètres!$A$1:$I$89,3,0)*0.475*44/12</f>
        <v>4.0173176028624808E-9</v>
      </c>
      <c r="BS98" s="24">
        <f t="shared" si="63"/>
        <v>6.8999402602868134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1.1368683772161603E-13</v>
      </c>
      <c r="BZ98" s="14">
        <f>BY98*VLOOKUP('Données projet'!$B$12,Paramètres!$A$1:$I$89,3,0)*VLOOKUP('Données projet'!$B$12,Paramètres!$A$1:$I$89,5,0)</f>
        <v>5.4683368944097308E-14</v>
      </c>
      <c r="CA98" s="14">
        <f t="shared" si="93"/>
        <v>8.8129432816788268E-13</v>
      </c>
      <c r="CB98" s="22">
        <f t="shared" si="64"/>
        <v>1.6301611558033651E-12</v>
      </c>
      <c r="CC98" s="62">
        <f t="shared" si="65"/>
        <v>293.33333333333496</v>
      </c>
      <c r="CD98" s="62">
        <f ca="1">AVERAGE(OFFSET($CC$3,0,0,'Données projet'!$E$12+1,1))-AVERAGE(OFFSET($H$3,0,0,'Données projet'!$E$12+1,1))</f>
        <v>409.97612835032567</v>
      </c>
      <c r="CE98" s="62">
        <f t="shared" si="94"/>
        <v>411.87876448092288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8.4389897693347304</v>
      </c>
      <c r="CL98" s="23">
        <f>EXP(-LN(2)/25)*CL97+(1-EXP(-LN(2)/25))/(LN(2)/25)*Calculateur!CG98*Calculateur!CI98*VLOOKUP('Données projet'!$B$12,Paramètres!$A$1:$I$89,3,0)*0.475*44/12</f>
        <v>8.5916388720048875</v>
      </c>
      <c r="CM98" s="23">
        <f>EXP(-LN(2)/2)*CM97+(1-EXP(-LN(2)/2))/(LN(2)/2)*CG98*CJ98*VLOOKUP('Données projet'!$B$12,Paramètres!$A$1:$I$89,3,0)*0.475*44/12</f>
        <v>1.6023145502332304E-7</v>
      </c>
      <c r="CN98" s="24">
        <f t="shared" si="66"/>
        <v>17.030628801571073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-4.5474735088646412E-13</v>
      </c>
      <c r="CU98" s="18">
        <f>CT98*VLOOKUP('Données projet'!$B$13,Paramètres!$A$1:$I$89,3,0)*VLOOKUP('Données projet'!$B$13,Paramètres!$A$1:$I$89,5,0)</f>
        <v>-2.7193891583010558E-13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463.3255103386889</v>
      </c>
      <c r="CZ98" s="62">
        <f t="shared" si="96"/>
        <v>474.73210558736127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1.3794767451186687</v>
      </c>
      <c r="DG98" s="23">
        <f>EXP(-LN(2)/25)*DG97+(1-EXP(-LN(2)/25))/(LN(2)/25)*Calculateur!DB98*Calculateur!DD98*VLOOKUP('Données projet'!$B$13,Paramètres!$A$1:$I$89,3,0)*0.475*44/12</f>
        <v>5.7171238035961682</v>
      </c>
      <c r="DH98" s="23">
        <f>EXP(-LN(2)/2)*DH97+(1-EXP(-LN(2)/2))/(LN(2)/2)*DB98*DE98*VLOOKUP('Données projet'!$B$13,Paramètres!$A$1:$I$89,3,0)*0.475*44/12</f>
        <v>7.181170281431843E-9</v>
      </c>
      <c r="DI98" s="24">
        <f t="shared" si="69"/>
        <v>7.096600555896007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18.5</v>
      </c>
      <c r="DO98" s="13">
        <f>IF('Données projet'!$A$166&gt;35,DO97+DN98-DW97,IF(A98&lt;'Données projet'!$A$166,$DL$205^A98,IF(A98='Données projet'!$A$166,'Données projet'!$B$166,DO97+DN98-DW97)))</f>
        <v>633.69999999999993</v>
      </c>
      <c r="DP98" s="18">
        <f>DO98*VLOOKUP('Données projet'!$B$14,Paramètres!$A$1:$I$89,3,0)*VLOOKUP('Données projet'!$B$14,Paramètres!$A$1:$I$89,5,0)</f>
        <v>296.57159999999999</v>
      </c>
      <c r="DQ98" s="14">
        <f t="shared" si="97"/>
        <v>70.457259073622822</v>
      </c>
      <c r="DR98" s="22">
        <f t="shared" si="70"/>
        <v>639.24192955322633</v>
      </c>
      <c r="DS98" s="62">
        <f t="shared" si="71"/>
        <v>932.57526288655959</v>
      </c>
      <c r="DT98" s="62">
        <f ca="1">AVERAGE(OFFSET($DS$3,0,0,'Données projet'!$E$14+1,1))-AVERAGE(OFFSET($H$3,0,0,'Données projet'!$E$14+1,1))</f>
        <v>215.23235148064941</v>
      </c>
      <c r="DU98" s="62">
        <f t="shared" si="98"/>
        <v>184.07239726900434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0.8652146690812621</v>
      </c>
      <c r="EB98" s="23">
        <f>EXP(-LN(2)/25)*EB97+(1-EXP(-LN(2)/25))/(LN(2)/25)*Calculateur!DW98*Calculateur!DY98*VLOOKUP('Données projet'!$B$14,Paramètres!$A$1:$I$89,3,0)*0.475*44/12</f>
        <v>1.2956684197360684</v>
      </c>
      <c r="EC98" s="23">
        <f>EXP(-LN(2)/2)*EC97+(1-EXP(-LN(2)/2))/(LN(2)/2)*DW98*DZ98*VLOOKUP('Données projet'!$B$14,Paramètres!$A$1:$I$89,3,0)*0.475*44/12</f>
        <v>1.6187314556539471E-9</v>
      </c>
      <c r="ED98" s="24">
        <f t="shared" si="72"/>
        <v>2.1608830904360619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482.83837285047491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1.1368683772161603E-12</v>
      </c>
      <c r="O99" s="14">
        <f>N99*VLOOKUP('Données projet'!$B$9,Paramètres!$A$1:$I$89,3,0)*VLOOKUP('Données projet'!$B$9,Paramètres!$A$1:$I$89,5,0)</f>
        <v>6.3550942286383359E-13</v>
      </c>
      <c r="P99" s="14">
        <f t="shared" si="87"/>
        <v>7.6982260417614606E-12</v>
      </c>
      <c r="Q99" s="22">
        <f t="shared" ref="Q99:Q130" si="107">(O99+P99)*0.475*44/12</f>
        <v>1.4514589267555721E-11</v>
      </c>
      <c r="R99" s="62">
        <f t="shared" si="55"/>
        <v>293.33333333334781</v>
      </c>
      <c r="S99" s="62">
        <f ca="1">AVERAGE(OFFSET($R$3,0,0,'Données projet'!$E$9+1,1))-AVERAGE(OFFSET($H$3,0,0,'Données projet'!$E$9+1,1))</f>
        <v>460.40450534123659</v>
      </c>
      <c r="T99" s="62">
        <f t="shared" si="88"/>
        <v>467.77477728479198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3.3993588045288319</v>
      </c>
      <c r="AA99" s="23">
        <f>EXP(-LN(2)/25)*AA98+(1-EXP(-LN(2)/25))/(LN(2)/25)*Calculateur!V99*Calculateur!X99*VLOOKUP('Données projet'!$B$9,Paramètres!$A$1:$I$89,3,0)*0.475*44/12</f>
        <v>7.1016928444039413</v>
      </c>
      <c r="AB99" s="23">
        <f>EXP(-LN(2)/2)*AB98+(1-EXP(-LN(2)/2))/(LN(2)/2)*V99*Y99*VLOOKUP('Données projet'!$B$9,Paramètres!$A$1:$I$89,3,0)*0.475*44/12</f>
        <v>4.6826791379319973E-9</v>
      </c>
      <c r="AC99" s="24">
        <f t="shared" si="57"/>
        <v>10.501051653615452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5.9</v>
      </c>
      <c r="AI99" s="14">
        <f>IF('Données projet'!$A$62&gt;35,AI98+AH99-AQ98,IF(A99&lt;'Données projet'!$A$62,$AF$205^A99,IF(A99='Données projet'!$A$62,'Données projet'!$B$62,AI98+AH99-AQ98)))</f>
        <v>337.39999999999986</v>
      </c>
      <c r="AJ99" s="14">
        <f>AI99*VLOOKUP('Données projet'!$B$10,Paramètres!$A$1:$I$89,3,0)*VLOOKUP('Données projet'!$B$10,Paramètres!$A$1:$I$89,5,0)</f>
        <v>305.27951999999982</v>
      </c>
      <c r="AK99" s="14">
        <f t="shared" si="89"/>
        <v>72.282127407576809</v>
      </c>
      <c r="AL99" s="22">
        <f t="shared" si="58"/>
        <v>657.58653590152937</v>
      </c>
      <c r="AM99" s="62">
        <f t="shared" si="59"/>
        <v>950.91986923486274</v>
      </c>
      <c r="AN99" s="62">
        <f ca="1">AVERAGE(OFFSET($AM$3,0,0,'Données projet'!$E$10+1,1))-AVERAGE(OFFSET($H$3,0,0,'Données projet'!$E$10+1,1))</f>
        <v>321.03881567735544</v>
      </c>
      <c r="AO99" s="62">
        <f t="shared" si="90"/>
        <v>234.87694492493506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0.65177788648817281</v>
      </c>
      <c r="AV99" s="23">
        <f>EXP(-LN(2)/25)*AV98+(1-EXP(-LN(2)/25))/(LN(2)/25)*Calculateur!AQ99*Calculateur!AS99*VLOOKUP('Données projet'!$B$10,Paramètres!$A$1:$I$89,3,0)*0.475*44/12</f>
        <v>2.1746868546719949</v>
      </c>
      <c r="AW99" s="23">
        <f>EXP(-LN(2)/2)*AW98+(1-EXP(-LN(2)/2))/(LN(2)/2)*AQ99*AT99*VLOOKUP('Données projet'!$B$10,Paramètres!$A$1:$I$89,3,0)*0.475*44/12</f>
        <v>2.5308789148321242E-9</v>
      </c>
      <c r="AX99" s="23">
        <f t="shared" si="60"/>
        <v>2.8264647436910466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255.41017495879987</v>
      </c>
      <c r="BJ99" s="62">
        <f t="shared" si="92"/>
        <v>297.50513563712764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2.2579634880745054</v>
      </c>
      <c r="BQ99" s="23">
        <f>EXP(-LN(2)/25)*BQ98+(1-EXP(-LN(2)/25))/(LN(2)/25)*Calculateur!BL99*Calculateur!BN99*VLOOKUP('Données projet'!$B$11,Paramètres!$A$1:$I$89,3,0)*0.475*44/12</f>
        <v>4.4711137475607172</v>
      </c>
      <c r="BR99" s="23">
        <f>EXP(-LN(2)/2)*BR98+(1-EXP(-LN(2)/2))/(LN(2)/2)*BL99*BO99*VLOOKUP('Données projet'!$B$11,Paramètres!$A$1:$I$89,3,0)*0.475*44/12</f>
        <v>2.8406725191641459E-9</v>
      </c>
      <c r="BS99" s="24">
        <f t="shared" si="63"/>
        <v>6.7290772384758952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1.1368683772161603E-13</v>
      </c>
      <c r="BZ99" s="14">
        <f>BY99*VLOOKUP('Données projet'!$B$12,Paramètres!$A$1:$I$89,3,0)*VLOOKUP('Données projet'!$B$12,Paramètres!$A$1:$I$89,5,0)</f>
        <v>5.4683368944097308E-14</v>
      </c>
      <c r="CA99" s="14">
        <f t="shared" si="93"/>
        <v>8.8129432816788268E-13</v>
      </c>
      <c r="CB99" s="22">
        <f t="shared" si="64"/>
        <v>1.6301611558033651E-12</v>
      </c>
      <c r="CC99" s="62">
        <f t="shared" si="65"/>
        <v>293.33333333333496</v>
      </c>
      <c r="CD99" s="62">
        <f ca="1">AVERAGE(OFFSET($CC$3,0,0,'Données projet'!$E$12+1,1))-AVERAGE(OFFSET($H$3,0,0,'Données projet'!$E$12+1,1))</f>
        <v>409.97612835032567</v>
      </c>
      <c r="CE99" s="62">
        <f t="shared" si="94"/>
        <v>411.87876448092288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8.2735063272335836</v>
      </c>
      <c r="CL99" s="23">
        <f>EXP(-LN(2)/25)*CL98+(1-EXP(-LN(2)/25))/(LN(2)/25)*Calculateur!CG99*Calculateur!CI99*VLOOKUP('Données projet'!$B$12,Paramètres!$A$1:$I$89,3,0)*0.475*44/12</f>
        <v>8.3567000552352617</v>
      </c>
      <c r="CM99" s="23">
        <f>EXP(-LN(2)/2)*CM98+(1-EXP(-LN(2)/2))/(LN(2)/2)*CG99*CJ99*VLOOKUP('Données projet'!$B$12,Paramètres!$A$1:$I$89,3,0)*0.475*44/12</f>
        <v>1.1330074840637901E-7</v>
      </c>
      <c r="CN99" s="24">
        <f t="shared" si="66"/>
        <v>16.630206495769595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-4.5474735088646412E-13</v>
      </c>
      <c r="CU99" s="18">
        <f>CT99*VLOOKUP('Données projet'!$B$13,Paramètres!$A$1:$I$89,3,0)*VLOOKUP('Données projet'!$B$13,Paramètres!$A$1:$I$89,5,0)</f>
        <v>-2.7193891583010558E-13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463.3255103386889</v>
      </c>
      <c r="CZ99" s="62">
        <f t="shared" si="96"/>
        <v>474.73210558736127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1.352426047544625</v>
      </c>
      <c r="DG99" s="23">
        <f>EXP(-LN(2)/25)*DG98+(1-EXP(-LN(2)/25))/(LN(2)/25)*Calculateur!DB99*Calculateur!DD99*VLOOKUP('Données projet'!$B$13,Paramètres!$A$1:$I$89,3,0)*0.475*44/12</f>
        <v>5.5607887525363564</v>
      </c>
      <c r="DH99" s="23">
        <f>EXP(-LN(2)/2)*DH98+(1-EXP(-LN(2)/2))/(LN(2)/2)*DB99*DE99*VLOOKUP('Données projet'!$B$13,Paramètres!$A$1:$I$89,3,0)*0.475*44/12</f>
        <v>5.077854202855764E-9</v>
      </c>
      <c r="DI99" s="24">
        <f t="shared" si="69"/>
        <v>6.9132148051588356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18.5</v>
      </c>
      <c r="DO99" s="13">
        <f>IF('Données projet'!$A$166&gt;35,DO98+DN99-DW98,IF(A99&lt;'Données projet'!$A$166,$DL$205^A99,IF(A99='Données projet'!$A$166,'Données projet'!$B$166,DO98+DN99-DW98)))</f>
        <v>652.19999999999993</v>
      </c>
      <c r="DP99" s="18">
        <f>DO99*VLOOKUP('Données projet'!$B$14,Paramètres!$A$1:$I$89,3,0)*VLOOKUP('Données projet'!$B$14,Paramètres!$A$1:$I$89,5,0)</f>
        <v>305.22959999999995</v>
      </c>
      <c r="DQ99" s="14">
        <f t="shared" si="97"/>
        <v>72.271683388093081</v>
      </c>
      <c r="DR99" s="22">
        <f t="shared" si="70"/>
        <v>657.48140190092874</v>
      </c>
      <c r="DS99" s="62">
        <f t="shared" si="71"/>
        <v>950.81473523426212</v>
      </c>
      <c r="DT99" s="62">
        <f ca="1">AVERAGE(OFFSET($DS$3,0,0,'Données projet'!$E$14+1,1))-AVERAGE(OFFSET($H$3,0,0,'Données projet'!$E$14+1,1))</f>
        <v>215.23235148064941</v>
      </c>
      <c r="DU99" s="62">
        <f t="shared" si="98"/>
        <v>184.07239726900434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0.84824833714941783</v>
      </c>
      <c r="EB99" s="23">
        <f>EXP(-LN(2)/25)*EB98+(1-EXP(-LN(2)/25))/(LN(2)/25)*Calculateur!DW99*Calculateur!DY99*VLOOKUP('Données projet'!$B$14,Paramètres!$A$1:$I$89,3,0)*0.475*44/12</f>
        <v>1.2602382986621448</v>
      </c>
      <c r="EC99" s="23">
        <f>EXP(-LN(2)/2)*EC98+(1-EXP(-LN(2)/2))/(LN(2)/2)*DW99*DZ99*VLOOKUP('Données projet'!$B$14,Paramètres!$A$1:$I$89,3,0)*0.475*44/12</f>
        <v>1.1446159892128771E-9</v>
      </c>
      <c r="ED99" s="24">
        <f t="shared" si="72"/>
        <v>2.1084866369561786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484.76264937578765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1.1368683772161603E-12</v>
      </c>
      <c r="O100" s="14">
        <f>N100*VLOOKUP('Données projet'!$B$9,Paramètres!$A$1:$I$89,3,0)*VLOOKUP('Données projet'!$B$9,Paramètres!$A$1:$I$89,5,0)</f>
        <v>6.3550942286383359E-13</v>
      </c>
      <c r="P100" s="14">
        <f t="shared" si="87"/>
        <v>7.6982260417614606E-12</v>
      </c>
      <c r="Q100" s="22">
        <f t="shared" si="107"/>
        <v>1.4514589267555721E-11</v>
      </c>
      <c r="R100" s="62">
        <f t="shared" si="55"/>
        <v>293.33333333334781</v>
      </c>
      <c r="S100" s="62">
        <f ca="1">AVERAGE(OFFSET($R$3,0,0,'Données projet'!$E$9+1,1))-AVERAGE(OFFSET($H$3,0,0,'Données projet'!$E$9+1,1))</f>
        <v>460.40450534123659</v>
      </c>
      <c r="T100" s="62">
        <f t="shared" si="88"/>
        <v>467.77477728479198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3.3326994517761608</v>
      </c>
      <c r="AA100" s="23">
        <f>EXP(-LN(2)/25)*AA99+(1-EXP(-LN(2)/25))/(LN(2)/25)*Calculateur!V100*Calculateur!X100*VLOOKUP('Données projet'!$B$9,Paramètres!$A$1:$I$89,3,0)*0.475*44/12</f>
        <v>6.9074966801119198</v>
      </c>
      <c r="AB100" s="23">
        <f>EXP(-LN(2)/2)*AB99+(1-EXP(-LN(2)/2))/(LN(2)/2)*V100*Y100*VLOOKUP('Données projet'!$B$9,Paramètres!$A$1:$I$89,3,0)*0.475*44/12</f>
        <v>3.3111541725524919E-9</v>
      </c>
      <c r="AC100" s="24">
        <f t="shared" si="57"/>
        <v>10.240196135199234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5.9</v>
      </c>
      <c r="AI100" s="14">
        <f>IF('Données projet'!$A$62&gt;35,AI99+AH100-AQ99,IF(A100&lt;'Données projet'!$A$62,$AF$205^A100,IF(A100='Données projet'!$A$62,'Données projet'!$B$62,AI99+AH100-AQ99)))</f>
        <v>343.29999999999984</v>
      </c>
      <c r="AJ100" s="14">
        <f>AI100*VLOOKUP('Données projet'!$B$10,Paramètres!$A$1:$I$89,3,0)*VLOOKUP('Données projet'!$B$10,Paramètres!$A$1:$I$89,5,0)</f>
        <v>310.61783999999983</v>
      </c>
      <c r="AK100" s="14">
        <f t="shared" si="89"/>
        <v>73.397844798859666</v>
      </c>
      <c r="AL100" s="22">
        <f t="shared" si="58"/>
        <v>668.82731769134693</v>
      </c>
      <c r="AM100" s="62">
        <f t="shared" si="59"/>
        <v>962.16065102468019</v>
      </c>
      <c r="AN100" s="62">
        <f ca="1">AVERAGE(OFFSET($AM$3,0,0,'Données projet'!$E$10+1,1))-AVERAGE(OFFSET($H$3,0,0,'Données projet'!$E$10+1,1))</f>
        <v>321.03881567735544</v>
      </c>
      <c r="AO100" s="62">
        <f t="shared" si="90"/>
        <v>234.87694492493506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0.6389969196793962</v>
      </c>
      <c r="AV100" s="23">
        <f>EXP(-LN(2)/25)*AV99+(1-EXP(-LN(2)/25))/(LN(2)/25)*Calculateur!AQ100*Calculateur!AS100*VLOOKUP('Données projet'!$B$10,Paramètres!$A$1:$I$89,3,0)*0.475*44/12</f>
        <v>2.1152199282691777</v>
      </c>
      <c r="AW100" s="23">
        <f>EXP(-LN(2)/2)*AW99+(1-EXP(-LN(2)/2))/(LN(2)/2)*AQ100*AT100*VLOOKUP('Données projet'!$B$10,Paramètres!$A$1:$I$89,3,0)*0.475*44/12</f>
        <v>1.7896016430398457E-9</v>
      </c>
      <c r="AX100" s="23">
        <f t="shared" si="60"/>
        <v>2.7542168497381758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255.41017495879987</v>
      </c>
      <c r="BJ100" s="62">
        <f t="shared" si="92"/>
        <v>297.50513563712764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2.2136862012951029</v>
      </c>
      <c r="BQ100" s="23">
        <f>EXP(-LN(2)/25)*BQ99+(1-EXP(-LN(2)/25))/(LN(2)/25)*Calculateur!BL100*Calculateur!BN100*VLOOKUP('Données projet'!$B$11,Paramètres!$A$1:$I$89,3,0)*0.475*44/12</f>
        <v>4.3488509070080159</v>
      </c>
      <c r="BR100" s="23">
        <f>EXP(-LN(2)/2)*BR99+(1-EXP(-LN(2)/2))/(LN(2)/2)*BL100*BO100*VLOOKUP('Données projet'!$B$11,Paramètres!$A$1:$I$89,3,0)*0.475*44/12</f>
        <v>2.0086588014312404E-9</v>
      </c>
      <c r="BS100" s="24">
        <f t="shared" si="63"/>
        <v>6.5625371103117773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1.1368683772161603E-13</v>
      </c>
      <c r="BZ100" s="14">
        <f>BY100*VLOOKUP('Données projet'!$B$12,Paramètres!$A$1:$I$89,3,0)*VLOOKUP('Données projet'!$B$12,Paramètres!$A$1:$I$89,5,0)</f>
        <v>5.4683368944097308E-14</v>
      </c>
      <c r="CA100" s="14">
        <f t="shared" si="93"/>
        <v>8.8129432816788268E-13</v>
      </c>
      <c r="CB100" s="22">
        <f t="shared" si="64"/>
        <v>1.6301611558033651E-12</v>
      </c>
      <c r="CC100" s="62">
        <f t="shared" si="65"/>
        <v>293.33333333333496</v>
      </c>
      <c r="CD100" s="62">
        <f ca="1">AVERAGE(OFFSET($CC$3,0,0,'Données projet'!$E$12+1,1))-AVERAGE(OFFSET($H$3,0,0,'Données projet'!$E$12+1,1))</f>
        <v>409.97612835032567</v>
      </c>
      <c r="CE100" s="62">
        <f t="shared" si="94"/>
        <v>411.87876448092288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8.1112679144971072</v>
      </c>
      <c r="CL100" s="23">
        <f>EXP(-LN(2)/25)*CL99+(1-EXP(-LN(2)/25))/(LN(2)/25)*Calculateur!CG100*Calculateur!CI100*VLOOKUP('Données projet'!$B$12,Paramètres!$A$1:$I$89,3,0)*0.475*44/12</f>
        <v>8.1281856527650973</v>
      </c>
      <c r="CM100" s="23">
        <f>EXP(-LN(2)/2)*CM99+(1-EXP(-LN(2)/2))/(LN(2)/2)*CG100*CJ100*VLOOKUP('Données projet'!$B$12,Paramètres!$A$1:$I$89,3,0)*0.475*44/12</f>
        <v>8.0115727511661518E-8</v>
      </c>
      <c r="CN100" s="24">
        <f t="shared" si="66"/>
        <v>16.239453647377932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-4.5474735088646412E-13</v>
      </c>
      <c r="CU100" s="18">
        <f>CT100*VLOOKUP('Données projet'!$B$13,Paramètres!$A$1:$I$89,3,0)*VLOOKUP('Données projet'!$B$13,Paramètres!$A$1:$I$89,5,0)</f>
        <v>-2.7193891583010558E-13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463.3255103386889</v>
      </c>
      <c r="CZ100" s="62">
        <f t="shared" si="96"/>
        <v>474.73210558736127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1.325905797650712</v>
      </c>
      <c r="DG100" s="23">
        <f>EXP(-LN(2)/25)*DG99+(1-EXP(-LN(2)/25))/(LN(2)/25)*Calculateur!DB100*Calculateur!DD100*VLOOKUP('Données projet'!$B$13,Paramètres!$A$1:$I$89,3,0)*0.475*44/12</f>
        <v>5.4087286916690784</v>
      </c>
      <c r="DH100" s="23">
        <f>EXP(-LN(2)/2)*DH99+(1-EXP(-LN(2)/2))/(LN(2)/2)*DB100*DE100*VLOOKUP('Données projet'!$B$13,Paramètres!$A$1:$I$89,3,0)*0.475*44/12</f>
        <v>3.5905851407159215E-9</v>
      </c>
      <c r="DI100" s="24">
        <f t="shared" si="69"/>
        <v>6.7346344929103754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18.5</v>
      </c>
      <c r="DO100" s="13">
        <f>IF('Données projet'!$A$166&gt;35,DO99+DN100-DW99,IF(A100&lt;'Données projet'!$A$166,$DL$205^A100,IF(A100='Données projet'!$A$166,'Données projet'!$B$166,DO99+DN100-DW99)))</f>
        <v>670.69999999999993</v>
      </c>
      <c r="DP100" s="18">
        <f>DO100*VLOOKUP('Données projet'!$B$14,Paramètres!$A$1:$I$89,3,0)*VLOOKUP('Données projet'!$B$14,Paramètres!$A$1:$I$89,5,0)</f>
        <v>313.88759999999996</v>
      </c>
      <c r="DQ100" s="14">
        <f t="shared" si="97"/>
        <v>74.080125962367049</v>
      </c>
      <c r="DR100" s="22">
        <f t="shared" si="70"/>
        <v>675.71045605112249</v>
      </c>
      <c r="DS100" s="62">
        <f t="shared" si="71"/>
        <v>969.04378938445575</v>
      </c>
      <c r="DT100" s="62">
        <f ca="1">AVERAGE(OFFSET($DS$3,0,0,'Données projet'!$E$14+1,1))-AVERAGE(OFFSET($H$3,0,0,'Données projet'!$E$14+1,1))</f>
        <v>215.23235148064941</v>
      </c>
      <c r="DU100" s="62">
        <f t="shared" si="98"/>
        <v>184.07239726900434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0.83161470463831633</v>
      </c>
      <c r="EB100" s="23">
        <f>EXP(-LN(2)/25)*EB99+(1-EXP(-LN(2)/25))/(LN(2)/25)*Calculateur!DW100*Calculateur!DY100*VLOOKUP('Données projet'!$B$14,Paramètres!$A$1:$I$89,3,0)*0.475*44/12</f>
        <v>1.2257770161121766</v>
      </c>
      <c r="EC100" s="23">
        <f>EXP(-LN(2)/2)*EC99+(1-EXP(-LN(2)/2))/(LN(2)/2)*DW100*DZ100*VLOOKUP('Données projet'!$B$14,Paramètres!$A$1:$I$89,3,0)*0.475*44/12</f>
        <v>8.0936572782697355E-10</v>
      </c>
      <c r="ED100" s="24">
        <f t="shared" si="72"/>
        <v>2.0573917215598589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486.68647545914564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1.1368683772161603E-12</v>
      </c>
      <c r="O101" s="14">
        <f>N101*VLOOKUP('Données projet'!$B$9,Paramètres!$A$1:$I$89,3,0)*VLOOKUP('Données projet'!$B$9,Paramètres!$A$1:$I$89,5,0)</f>
        <v>6.3550942286383359E-13</v>
      </c>
      <c r="P101" s="14">
        <f t="shared" si="87"/>
        <v>7.6982260417614606E-12</v>
      </c>
      <c r="Q101" s="22">
        <f t="shared" si="107"/>
        <v>1.4514589267555721E-11</v>
      </c>
      <c r="R101" s="62">
        <f t="shared" si="55"/>
        <v>293.33333333334781</v>
      </c>
      <c r="S101" s="62">
        <f ca="1">AVERAGE(OFFSET($R$3,0,0,'Données projet'!$E$9+1,1))-AVERAGE(OFFSET($H$3,0,0,'Données projet'!$E$9+1,1))</f>
        <v>460.40450534123659</v>
      </c>
      <c r="T101" s="62">
        <f t="shared" si="88"/>
        <v>467.77477728479198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3.2673472482727788</v>
      </c>
      <c r="AA101" s="23">
        <f>EXP(-LN(2)/25)*AA100+(1-EXP(-LN(2)/25))/(LN(2)/25)*Calculateur!V101*Calculateur!X101*VLOOKUP('Données projet'!$B$9,Paramètres!$A$1:$I$89,3,0)*0.475*44/12</f>
        <v>6.7186108201447965</v>
      </c>
      <c r="AB101" s="23">
        <f>EXP(-LN(2)/2)*AB100+(1-EXP(-LN(2)/2))/(LN(2)/2)*V101*Y101*VLOOKUP('Données projet'!$B$9,Paramètres!$A$1:$I$89,3,0)*0.475*44/12</f>
        <v>2.3413395689659986E-9</v>
      </c>
      <c r="AC101" s="24">
        <f t="shared" si="57"/>
        <v>9.9859580707589153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5.9</v>
      </c>
      <c r="AI101" s="14">
        <f>IF('Données projet'!$A$62&gt;35,AI100+AH101-AQ100,IF(A101&lt;'Données projet'!$A$62,$AF$205^A101,IF(A101='Données projet'!$A$62,'Données projet'!$B$62,AI100+AH101-AQ100)))</f>
        <v>349.19999999999982</v>
      </c>
      <c r="AJ101" s="14">
        <f>AI101*VLOOKUP('Données projet'!$B$10,Paramètres!$A$1:$I$89,3,0)*VLOOKUP('Données projet'!$B$10,Paramètres!$A$1:$I$89,5,0)</f>
        <v>315.95615999999984</v>
      </c>
      <c r="AK101" s="14">
        <f t="shared" si="89"/>
        <v>74.511332350300975</v>
      </c>
      <c r="AL101" s="22">
        <f t="shared" si="58"/>
        <v>680.06421584344059</v>
      </c>
      <c r="AM101" s="62">
        <f t="shared" si="59"/>
        <v>973.39754917677396</v>
      </c>
      <c r="AN101" s="62">
        <f ca="1">AVERAGE(OFFSET($AM$3,0,0,'Données projet'!$E$10+1,1))-AVERAGE(OFFSET($H$3,0,0,'Données projet'!$E$10+1,1))</f>
        <v>321.03881567735544</v>
      </c>
      <c r="AO101" s="62">
        <f t="shared" si="90"/>
        <v>234.87694492493506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0.62646657983411969</v>
      </c>
      <c r="AV101" s="23">
        <f>EXP(-LN(2)/25)*AV100+(1-EXP(-LN(2)/25))/(LN(2)/25)*Calculateur!AQ101*Calculateur!AS101*VLOOKUP('Données projet'!$B$10,Paramètres!$A$1:$I$89,3,0)*0.475*44/12</f>
        <v>2.0573791280960756</v>
      </c>
      <c r="AW101" s="23">
        <f>EXP(-LN(2)/2)*AW100+(1-EXP(-LN(2)/2))/(LN(2)/2)*AQ101*AT101*VLOOKUP('Données projet'!$B$10,Paramètres!$A$1:$I$89,3,0)*0.475*44/12</f>
        <v>1.2654394574160621E-9</v>
      </c>
      <c r="AX101" s="23">
        <f t="shared" si="60"/>
        <v>2.6838457091956345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255.41017495879987</v>
      </c>
      <c r="BJ101" s="62">
        <f t="shared" si="92"/>
        <v>297.50513563712764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2.170277165102966</v>
      </c>
      <c r="BQ101" s="23">
        <f>EXP(-LN(2)/25)*BQ100+(1-EXP(-LN(2)/25))/(LN(2)/25)*Calculateur!BL101*Calculateur!BN101*VLOOKUP('Données projet'!$B$11,Paramètres!$A$1:$I$89,3,0)*0.475*44/12</f>
        <v>4.2299313502597515</v>
      </c>
      <c r="BR101" s="23">
        <f>EXP(-LN(2)/2)*BR100+(1-EXP(-LN(2)/2))/(LN(2)/2)*BL101*BO101*VLOOKUP('Données projet'!$B$11,Paramètres!$A$1:$I$89,3,0)*0.475*44/12</f>
        <v>1.420336259582073E-9</v>
      </c>
      <c r="BS101" s="24">
        <f t="shared" si="63"/>
        <v>6.4002085167830529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1.1368683772161603E-13</v>
      </c>
      <c r="BZ101" s="14">
        <f>BY101*VLOOKUP('Données projet'!$B$12,Paramètres!$A$1:$I$89,3,0)*VLOOKUP('Données projet'!$B$12,Paramètres!$A$1:$I$89,5,0)</f>
        <v>5.4683368944097308E-14</v>
      </c>
      <c r="CA101" s="14">
        <f t="shared" si="93"/>
        <v>8.8129432816788268E-13</v>
      </c>
      <c r="CB101" s="22">
        <f t="shared" si="64"/>
        <v>1.6301611558033651E-12</v>
      </c>
      <c r="CC101" s="62">
        <f t="shared" si="65"/>
        <v>293.33333333333496</v>
      </c>
      <c r="CD101" s="62">
        <f ca="1">AVERAGE(OFFSET($CC$3,0,0,'Données projet'!$E$12+1,1))-AVERAGE(OFFSET($H$3,0,0,'Données projet'!$E$12+1,1))</f>
        <v>409.97612835032567</v>
      </c>
      <c r="CE101" s="62">
        <f t="shared" si="94"/>
        <v>411.87876448092288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7.9522108980787332</v>
      </c>
      <c r="CL101" s="23">
        <f>EXP(-LN(2)/25)*CL100+(1-EXP(-LN(2)/25))/(LN(2)/25)*Calculateur!CG101*Calculateur!CI101*VLOOKUP('Données projet'!$B$12,Paramètres!$A$1:$I$89,3,0)*0.475*44/12</f>
        <v>7.9059199886475291</v>
      </c>
      <c r="CM101" s="23">
        <f>EXP(-LN(2)/2)*CM100+(1-EXP(-LN(2)/2))/(LN(2)/2)*CG101*CJ101*VLOOKUP('Données projet'!$B$12,Paramètres!$A$1:$I$89,3,0)*0.475*44/12</f>
        <v>5.6650374203189507E-8</v>
      </c>
      <c r="CN101" s="24">
        <f t="shared" si="66"/>
        <v>15.858130943376636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-4.5474735088646412E-13</v>
      </c>
      <c r="CU101" s="18">
        <f>CT101*VLOOKUP('Données projet'!$B$13,Paramètres!$A$1:$I$89,3,0)*VLOOKUP('Données projet'!$B$13,Paramètres!$A$1:$I$89,5,0)</f>
        <v>-2.7193891583010558E-13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463.3255103386889</v>
      </c>
      <c r="CZ101" s="62">
        <f t="shared" si="96"/>
        <v>474.73210558736127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1.2999055936814634</v>
      </c>
      <c r="DG101" s="23">
        <f>EXP(-LN(2)/25)*DG100+(1-EXP(-LN(2)/25))/(LN(2)/25)*Calculateur!DB101*Calculateur!DD101*VLOOKUP('Données projet'!$B$13,Paramètres!$A$1:$I$89,3,0)*0.475*44/12</f>
        <v>5.2608267211627071</v>
      </c>
      <c r="DH101" s="23">
        <f>EXP(-LN(2)/2)*DH100+(1-EXP(-LN(2)/2))/(LN(2)/2)*DB101*DE101*VLOOKUP('Données projet'!$B$13,Paramètres!$A$1:$I$89,3,0)*0.475*44/12</f>
        <v>2.538927101427882E-9</v>
      </c>
      <c r="DI101" s="24">
        <f t="shared" si="69"/>
        <v>6.5607323173830974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18.5</v>
      </c>
      <c r="DO101" s="13">
        <f>IF('Données projet'!$A$166&gt;35,DO100+DN101-DW100,IF(A101&lt;'Données projet'!$A$166,$DL$205^A101,IF(A101='Données projet'!$A$166,'Données projet'!$B$166,DO100+DN101-DW100)))</f>
        <v>689.19999999999993</v>
      </c>
      <c r="DP101" s="18">
        <f>DO101*VLOOKUP('Données projet'!$B$14,Paramètres!$A$1:$I$89,3,0)*VLOOKUP('Données projet'!$B$14,Paramètres!$A$1:$I$89,5,0)</f>
        <v>322.54559999999998</v>
      </c>
      <c r="DQ101" s="14">
        <f t="shared" si="97"/>
        <v>75.882770748800752</v>
      </c>
      <c r="DR101" s="22">
        <f t="shared" si="70"/>
        <v>693.92941238749461</v>
      </c>
      <c r="DS101" s="62">
        <f t="shared" si="71"/>
        <v>987.26274572082798</v>
      </c>
      <c r="DT101" s="62">
        <f ca="1">AVERAGE(OFFSET($DS$3,0,0,'Données projet'!$E$14+1,1))-AVERAGE(OFFSET($H$3,0,0,'Données projet'!$E$14+1,1))</f>
        <v>215.23235148064941</v>
      </c>
      <c r="DU101" s="62">
        <f t="shared" si="98"/>
        <v>184.07239726900434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0.81530724751524353</v>
      </c>
      <c r="EB101" s="23">
        <f>EXP(-LN(2)/25)*EB100+(1-EXP(-LN(2)/25))/(LN(2)/25)*Calculateur!DW101*Calculateur!DY101*VLOOKUP('Données projet'!$B$14,Paramètres!$A$1:$I$89,3,0)*0.475*44/12</f>
        <v>1.1922580791457773</v>
      </c>
      <c r="EC101" s="23">
        <f>EXP(-LN(2)/2)*EC100+(1-EXP(-LN(2)/2))/(LN(2)/2)*DW101*DZ101*VLOOKUP('Données projet'!$B$14,Paramètres!$A$1:$I$89,3,0)*0.475*44/12</f>
        <v>5.7230799460643855E-10</v>
      </c>
      <c r="ED101" s="24">
        <f t="shared" si="72"/>
        <v>2.0075653272333289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488.6098562290428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1.1368683772161603E-12</v>
      </c>
      <c r="O102" s="14">
        <f>N102*VLOOKUP('Données projet'!$B$9,Paramètres!$A$1:$I$89,3,0)*VLOOKUP('Données projet'!$B$9,Paramètres!$A$1:$I$89,5,0)</f>
        <v>6.3550942286383359E-13</v>
      </c>
      <c r="P102" s="14">
        <f t="shared" si="87"/>
        <v>7.6982260417614606E-12</v>
      </c>
      <c r="Q102" s="22">
        <f t="shared" si="107"/>
        <v>1.4514589267555721E-11</v>
      </c>
      <c r="R102" s="62">
        <f t="shared" si="55"/>
        <v>293.33333333334781</v>
      </c>
      <c r="S102" s="62">
        <f ca="1">AVERAGE(OFFSET($R$3,0,0,'Données projet'!$E$9+1,1))-AVERAGE(OFFSET($H$3,0,0,'Données projet'!$E$9+1,1))</f>
        <v>460.40450534123659</v>
      </c>
      <c r="T102" s="62">
        <f t="shared" si="88"/>
        <v>467.77477728479198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3.2032765616191901</v>
      </c>
      <c r="AA102" s="23">
        <f>EXP(-LN(2)/25)*AA101+(1-EXP(-LN(2)/25))/(LN(2)/25)*Calculateur!V102*Calculateur!X102*VLOOKUP('Données projet'!$B$9,Paramètres!$A$1:$I$89,3,0)*0.475*44/12</f>
        <v>6.5348900539515498</v>
      </c>
      <c r="AB102" s="23">
        <f>EXP(-LN(2)/2)*AB101+(1-EXP(-LN(2)/2))/(LN(2)/2)*V102*Y102*VLOOKUP('Données projet'!$B$9,Paramètres!$A$1:$I$89,3,0)*0.475*44/12</f>
        <v>1.6555770862762459E-9</v>
      </c>
      <c r="AC102" s="24">
        <f t="shared" si="57"/>
        <v>9.7381666172263177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5.9</v>
      </c>
      <c r="AI102" s="14">
        <f>IF('Données projet'!$A$62&gt;35,AI101+AH102-AQ101,IF(A102&lt;'Données projet'!$A$62,$AF$205^A102,IF(A102='Données projet'!$A$62,'Données projet'!$B$62,AI101+AH102-AQ101)))</f>
        <v>355.0999999999998</v>
      </c>
      <c r="AJ102" s="14">
        <f>AI102*VLOOKUP('Données projet'!$B$10,Paramètres!$A$1:$I$89,3,0)*VLOOKUP('Données projet'!$B$10,Paramètres!$A$1:$I$89,5,0)</f>
        <v>321.29447999999979</v>
      </c>
      <c r="AK102" s="14">
        <f t="shared" si="89"/>
        <v>75.6226320847924</v>
      </c>
      <c r="AL102" s="22">
        <f t="shared" si="58"/>
        <v>691.29730354767969</v>
      </c>
      <c r="AM102" s="62">
        <f t="shared" si="59"/>
        <v>984.63063688101306</v>
      </c>
      <c r="AN102" s="62">
        <f ca="1">AVERAGE(OFFSET($AM$3,0,0,'Données projet'!$E$10+1,1))-AVERAGE(OFFSET($H$3,0,0,'Données projet'!$E$10+1,1))</f>
        <v>321.03881567735544</v>
      </c>
      <c r="AO102" s="62">
        <f t="shared" si="90"/>
        <v>234.87694492493506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0.61418195231045636</v>
      </c>
      <c r="AV102" s="23">
        <f>EXP(-LN(2)/25)*AV101+(1-EXP(-LN(2)/25))/(LN(2)/25)*Calculateur!AQ102*Calculateur!AS102*VLOOKUP('Données projet'!$B$10,Paramètres!$A$1:$I$89,3,0)*0.475*44/12</f>
        <v>2.0011199876454224</v>
      </c>
      <c r="AW102" s="23">
        <f>EXP(-LN(2)/2)*AW101+(1-EXP(-LN(2)/2))/(LN(2)/2)*AQ102*AT102*VLOOKUP('Données projet'!$B$10,Paramètres!$A$1:$I$89,3,0)*0.475*44/12</f>
        <v>8.9480082151992285E-10</v>
      </c>
      <c r="AX102" s="23">
        <f t="shared" si="60"/>
        <v>2.6153019408506797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255.41017495879987</v>
      </c>
      <c r="BJ102" s="62">
        <f t="shared" si="92"/>
        <v>297.50513563712764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2.1277193536336592</v>
      </c>
      <c r="BQ102" s="23">
        <f>EXP(-LN(2)/25)*BQ101+(1-EXP(-LN(2)/25))/(LN(2)/25)*Calculateur!BL102*Calculateur!BN102*VLOOKUP('Données projet'!$B$11,Paramètres!$A$1:$I$89,3,0)*0.475*44/12</f>
        <v>4.1142636550444767</v>
      </c>
      <c r="BR102" s="23">
        <f>EXP(-LN(2)/2)*BR101+(1-EXP(-LN(2)/2))/(LN(2)/2)*BL102*BO102*VLOOKUP('Données projet'!$B$11,Paramètres!$A$1:$I$89,3,0)*0.475*44/12</f>
        <v>1.0043294007156202E-9</v>
      </c>
      <c r="BS102" s="24">
        <f t="shared" si="63"/>
        <v>6.2419830096824649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1.1368683772161603E-13</v>
      </c>
      <c r="BZ102" s="14">
        <f>BY102*VLOOKUP('Données projet'!$B$12,Paramètres!$A$1:$I$89,3,0)*VLOOKUP('Données projet'!$B$12,Paramètres!$A$1:$I$89,5,0)</f>
        <v>5.4683368944097308E-14</v>
      </c>
      <c r="CA102" s="14">
        <f t="shared" si="93"/>
        <v>8.8129432816788268E-13</v>
      </c>
      <c r="CB102" s="22">
        <f t="shared" si="64"/>
        <v>1.6301611558033651E-12</v>
      </c>
      <c r="CC102" s="62">
        <f t="shared" si="65"/>
        <v>293.33333333333496</v>
      </c>
      <c r="CD102" s="62">
        <f ca="1">AVERAGE(OFFSET($CC$3,0,0,'Données projet'!$E$12+1,1))-AVERAGE(OFFSET($H$3,0,0,'Données projet'!$E$12+1,1))</f>
        <v>409.97612835032567</v>
      </c>
      <c r="CE102" s="62">
        <f t="shared" si="94"/>
        <v>411.87876448092288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7.7962728927371225</v>
      </c>
      <c r="CL102" s="23">
        <f>EXP(-LN(2)/25)*CL101+(1-EXP(-LN(2)/25))/(LN(2)/25)*Calculateur!CG102*Calculateur!CI102*VLOOKUP('Données projet'!$B$12,Paramètres!$A$1:$I$89,3,0)*0.475*44/12</f>
        <v>7.6897321908036993</v>
      </c>
      <c r="CM102" s="23">
        <f>EXP(-LN(2)/2)*CM101+(1-EXP(-LN(2)/2))/(LN(2)/2)*CG102*CJ102*VLOOKUP('Données projet'!$B$12,Paramètres!$A$1:$I$89,3,0)*0.475*44/12</f>
        <v>4.0057863755830759E-8</v>
      </c>
      <c r="CN102" s="24">
        <f t="shared" si="66"/>
        <v>15.486005123598686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-4.5474735088646412E-13</v>
      </c>
      <c r="CU102" s="18">
        <f>CT102*VLOOKUP('Données projet'!$B$13,Paramètres!$A$1:$I$89,3,0)*VLOOKUP('Données projet'!$B$13,Paramètres!$A$1:$I$89,5,0)</f>
        <v>-2.7193891583010558E-13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463.3255103386889</v>
      </c>
      <c r="CZ102" s="62">
        <f t="shared" si="96"/>
        <v>474.73210558736127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1.2744152378534932</v>
      </c>
      <c r="DG102" s="23">
        <f>EXP(-LN(2)/25)*DG101+(1-EXP(-LN(2)/25))/(LN(2)/25)*Calculateur!DB102*Calculateur!DD102*VLOOKUP('Données projet'!$B$13,Paramètres!$A$1:$I$89,3,0)*0.475*44/12</f>
        <v>5.1169691378176596</v>
      </c>
      <c r="DH102" s="23">
        <f>EXP(-LN(2)/2)*DH101+(1-EXP(-LN(2)/2))/(LN(2)/2)*DB102*DE102*VLOOKUP('Données projet'!$B$13,Paramètres!$A$1:$I$89,3,0)*0.475*44/12</f>
        <v>1.7952925703579607E-9</v>
      </c>
      <c r="DI102" s="24">
        <f t="shared" si="69"/>
        <v>6.3913843774664461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18.5</v>
      </c>
      <c r="DO102" s="13">
        <f>IF('Données projet'!$A$166&gt;35,DO101+DN102-DW101,IF(A102&lt;'Données projet'!$A$166,$DL$205^A102,IF(A102='Données projet'!$A$166,'Données projet'!$B$166,DO101+DN102-DW101)))</f>
        <v>707.69999999999993</v>
      </c>
      <c r="DP102" s="18">
        <f>DO102*VLOOKUP('Données projet'!$B$14,Paramètres!$A$1:$I$89,3,0)*VLOOKUP('Données projet'!$B$14,Paramètres!$A$1:$I$89,5,0)</f>
        <v>331.20359999999994</v>
      </c>
      <c r="DQ102" s="14">
        <f t="shared" si="97"/>
        <v>77.67979126195354</v>
      </c>
      <c r="DR102" s="22">
        <f t="shared" si="70"/>
        <v>712.13857311456889</v>
      </c>
      <c r="DS102" s="62">
        <f t="shared" si="71"/>
        <v>1005.4719064479023</v>
      </c>
      <c r="DT102" s="62">
        <f ca="1">AVERAGE(OFFSET($DS$3,0,0,'Données projet'!$E$14+1,1))-AVERAGE(OFFSET($H$3,0,0,'Données projet'!$E$14+1,1))</f>
        <v>215.23235148064941</v>
      </c>
      <c r="DU102" s="62">
        <f t="shared" si="98"/>
        <v>184.07239726900434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0.79931956967978746</v>
      </c>
      <c r="EB102" s="23">
        <f>EXP(-LN(2)/25)*EB101+(1-EXP(-LN(2)/25))/(LN(2)/25)*Calculateur!DW102*Calculateur!DY102*VLOOKUP('Données projet'!$B$14,Paramètres!$A$1:$I$89,3,0)*0.475*44/12</f>
        <v>1.1596557192734085</v>
      </c>
      <c r="EC102" s="23">
        <f>EXP(-LN(2)/2)*EC101+(1-EXP(-LN(2)/2))/(LN(2)/2)*DW102*DZ102*VLOOKUP('Données projet'!$B$14,Paramètres!$A$1:$I$89,3,0)*0.475*44/12</f>
        <v>4.0468286391348677E-10</v>
      </c>
      <c r="ED102" s="24">
        <f t="shared" si="72"/>
        <v>1.9589752893578789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490.53279670439605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1.1368683772161603E-12</v>
      </c>
      <c r="O103" s="14">
        <f>N103*VLOOKUP('Données projet'!$B$9,Paramètres!$A$1:$I$89,3,0)*VLOOKUP('Données projet'!$B$9,Paramètres!$A$1:$I$89,5,0)</f>
        <v>6.3550942286383359E-13</v>
      </c>
      <c r="P103" s="14">
        <f t="shared" si="87"/>
        <v>7.6982260417614606E-12</v>
      </c>
      <c r="Q103" s="22">
        <f t="shared" si="107"/>
        <v>1.4514589267555721E-11</v>
      </c>
      <c r="R103" s="62">
        <f t="shared" si="55"/>
        <v>293.33333333334781</v>
      </c>
      <c r="S103" s="62">
        <f ca="1">AVERAGE(OFFSET($R$3,0,0,'Données projet'!$E$9+1,1))-AVERAGE(OFFSET($H$3,0,0,'Données projet'!$E$9+1,1))</f>
        <v>460.40450534123659</v>
      </c>
      <c r="T103" s="62">
        <f t="shared" si="88"/>
        <v>467.77477728479198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3.140462262051618</v>
      </c>
      <c r="AA103" s="23">
        <f>EXP(-LN(2)/25)*AA102+(1-EXP(-LN(2)/25))/(LN(2)/25)*Calculateur!V103*Calculateur!X103*VLOOKUP('Données projet'!$B$9,Paramètres!$A$1:$I$89,3,0)*0.475*44/12</f>
        <v>6.3561931417713122</v>
      </c>
      <c r="AB103" s="23">
        <f>EXP(-LN(2)/2)*AB102+(1-EXP(-LN(2)/2))/(LN(2)/2)*V103*Y103*VLOOKUP('Données projet'!$B$9,Paramètres!$A$1:$I$89,3,0)*0.475*44/12</f>
        <v>1.1706697844829993E-9</v>
      </c>
      <c r="AC103" s="24">
        <f t="shared" si="57"/>
        <v>9.4966554049936018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361</v>
      </c>
      <c r="AG103" s="13">
        <f>VLOOKUP(A103,'Données projet'!$A$61:$I$81,9,0)</f>
        <v>5.9</v>
      </c>
      <c r="AH103" s="13">
        <f t="array" ref="AH103">INDEX(AG:AG,MIN(IF(ISNUMBER(AG103:AG299),ROW(AG103:AG299),"")))</f>
        <v>5.9</v>
      </c>
      <c r="AI103" s="14">
        <f>IF('Données projet'!$A$62&gt;35,AI102+AH103-AQ102,IF(A103&lt;'Données projet'!$A$62,$AF$205^A103,IF(A103='Données projet'!$A$62,'Données projet'!$B$62,AI102+AH103-AQ102)))</f>
        <v>360.99999999999977</v>
      </c>
      <c r="AJ103" s="14">
        <f>AI103*VLOOKUP('Données projet'!$B$10,Paramètres!$A$1:$I$89,3,0)*VLOOKUP('Données projet'!$B$10,Paramètres!$A$1:$I$89,5,0)</f>
        <v>326.6327999999998</v>
      </c>
      <c r="AK103" s="14">
        <f t="shared" si="89"/>
        <v>76.731784548754774</v>
      </c>
      <c r="AL103" s="22">
        <f t="shared" si="58"/>
        <v>702.52665142241415</v>
      </c>
      <c r="AM103" s="62">
        <f t="shared" si="59"/>
        <v>995.85998475574752</v>
      </c>
      <c r="AN103" s="62">
        <f ca="1">AVERAGE(OFFSET($AM$3,0,0,'Données projet'!$E$10+1,1))-AVERAGE(OFFSET($H$3,0,0,'Données projet'!$E$10+1,1))</f>
        <v>321.03881567735544</v>
      </c>
      <c r="AO103" s="62">
        <f t="shared" si="90"/>
        <v>234.87694492493506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55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0.60213821883964913</v>
      </c>
      <c r="AV103" s="23">
        <f>EXP(-LN(2)/25)*AV102+(1-EXP(-LN(2)/25))/(LN(2)/25)*Calculateur!AQ103*Calculateur!AS103*VLOOKUP('Données projet'!$B$10,Paramètres!$A$1:$I$89,3,0)*0.475*44/12</f>
        <v>1.9463992563489318</v>
      </c>
      <c r="AW103" s="23">
        <f>EXP(-LN(2)/2)*AW102+(1-EXP(-LN(2)/2))/(LN(2)/2)*AQ103*AT103*VLOOKUP('Données projet'!$B$10,Paramètres!$A$1:$I$89,3,0)*0.475*44/12</f>
        <v>6.3271972870803105E-10</v>
      </c>
      <c r="AX103" s="23">
        <f t="shared" si="60"/>
        <v>2.5485374758213006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255.41017495879987</v>
      </c>
      <c r="BJ103" s="62">
        <f t="shared" si="92"/>
        <v>297.50513563712764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2.0859960748895636</v>
      </c>
      <c r="BQ103" s="23">
        <f>EXP(-LN(2)/25)*BQ102+(1-EXP(-LN(2)/25))/(LN(2)/25)*Calculateur!BL103*Calculateur!BN103*VLOOKUP('Données projet'!$B$11,Paramètres!$A$1:$I$89,3,0)*0.475*44/12</f>
        <v>4.0017588990375632</v>
      </c>
      <c r="BR103" s="23">
        <f>EXP(-LN(2)/2)*BR102+(1-EXP(-LN(2)/2))/(LN(2)/2)*BL103*BO103*VLOOKUP('Données projet'!$B$11,Paramètres!$A$1:$I$89,3,0)*0.475*44/12</f>
        <v>7.1016812979103648E-10</v>
      </c>
      <c r="BS103" s="24">
        <f t="shared" si="63"/>
        <v>6.0877549746372948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1.1368683772161603E-13</v>
      </c>
      <c r="BZ103" s="14">
        <f>BY103*VLOOKUP('Données projet'!$B$12,Paramètres!$A$1:$I$89,3,0)*VLOOKUP('Données projet'!$B$12,Paramètres!$A$1:$I$89,5,0)</f>
        <v>5.4683368944097308E-14</v>
      </c>
      <c r="CA103" s="14">
        <f t="shared" si="93"/>
        <v>8.8129432816788268E-13</v>
      </c>
      <c r="CB103" s="22">
        <f t="shared" si="64"/>
        <v>1.6301611558033651E-12</v>
      </c>
      <c r="CC103" s="62">
        <f t="shared" si="65"/>
        <v>293.33333333333496</v>
      </c>
      <c r="CD103" s="62">
        <f ca="1">AVERAGE(OFFSET($CC$3,0,0,'Données projet'!$E$12+1,1))-AVERAGE(OFFSET($H$3,0,0,'Données projet'!$E$12+1,1))</f>
        <v>409.97612835032567</v>
      </c>
      <c r="CE103" s="62">
        <f t="shared" si="94"/>
        <v>411.87876448092288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7.6433927365674696</v>
      </c>
      <c r="CL103" s="23">
        <f>EXP(-LN(2)/25)*CL102+(1-EXP(-LN(2)/25))/(LN(2)/25)*Calculateur!CG103*Calculateur!CI103*VLOOKUP('Données projet'!$B$12,Paramètres!$A$1:$I$89,3,0)*0.475*44/12</f>
        <v>7.4794560596607313</v>
      </c>
      <c r="CM103" s="23">
        <f>EXP(-LN(2)/2)*CM102+(1-EXP(-LN(2)/2))/(LN(2)/2)*CG103*CJ103*VLOOKUP('Données projet'!$B$12,Paramètres!$A$1:$I$89,3,0)*0.475*44/12</f>
        <v>2.8325187101594754E-8</v>
      </c>
      <c r="CN103" s="24">
        <f t="shared" si="66"/>
        <v>15.122848824553389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-4.5474735088646412E-13</v>
      </c>
      <c r="CU103" s="18">
        <f>CT103*VLOOKUP('Données projet'!$B$13,Paramètres!$A$1:$I$89,3,0)*VLOOKUP('Données projet'!$B$13,Paramètres!$A$1:$I$89,5,0)</f>
        <v>-2.7193891583010558E-13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463.3255103386889</v>
      </c>
      <c r="CZ103" s="62">
        <f t="shared" si="96"/>
        <v>474.73210558736127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1.2494247323557277</v>
      </c>
      <c r="DG103" s="23">
        <f>EXP(-LN(2)/25)*DG102+(1-EXP(-LN(2)/25))/(LN(2)/25)*Calculateur!DB103*Calculateur!DD103*VLOOKUP('Données projet'!$B$13,Paramètres!$A$1:$I$89,3,0)*0.475*44/12</f>
        <v>4.9770453476543235</v>
      </c>
      <c r="DH103" s="23">
        <f>EXP(-LN(2)/2)*DH102+(1-EXP(-LN(2)/2))/(LN(2)/2)*DB103*DE103*VLOOKUP('Données projet'!$B$13,Paramètres!$A$1:$I$89,3,0)*0.475*44/12</f>
        <v>1.269463550713941E-9</v>
      </c>
      <c r="DI103" s="24">
        <f t="shared" si="69"/>
        <v>6.2264700812795146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726.2</v>
      </c>
      <c r="DM103" s="13">
        <f>VLOOKUP(A103,'Données projet'!$A$165:$I$185,9,0)</f>
        <v>18.5</v>
      </c>
      <c r="DN103" s="13">
        <f t="array" ref="DN103">INDEX(DM:DM,MIN(IF(ISNUMBER(DM103:DM299),ROW(DM103:DM299),"")))</f>
        <v>18.5</v>
      </c>
      <c r="DO103" s="13">
        <f>IF('Données projet'!$A$166&gt;35,DO102+DN103-DW102,IF(A103&lt;'Données projet'!$A$166,$DL$205^A103,IF(A103='Données projet'!$A$166,'Données projet'!$B$166,DO102+DN103-DW102)))</f>
        <v>726.19999999999993</v>
      </c>
      <c r="DP103" s="18">
        <f>DO103*VLOOKUP('Données projet'!$B$14,Paramètres!$A$1:$I$89,3,0)*VLOOKUP('Données projet'!$B$14,Paramètres!$A$1:$I$89,5,0)</f>
        <v>339.86159999999995</v>
      </c>
      <c r="DQ103" s="14">
        <f t="shared" si="97"/>
        <v>79.47135142801136</v>
      </c>
      <c r="DR103" s="22">
        <f t="shared" si="70"/>
        <v>730.33822373711973</v>
      </c>
      <c r="DS103" s="62">
        <f t="shared" si="71"/>
        <v>1023.671557070453</v>
      </c>
      <c r="DT103" s="62">
        <f ca="1">AVERAGE(OFFSET($DS$3,0,0,'Données projet'!$E$14+1,1))-AVERAGE(OFFSET($H$3,0,0,'Données projet'!$E$14+1,1))</f>
        <v>215.23235148064941</v>
      </c>
      <c r="DU103" s="62">
        <f t="shared" si="98"/>
        <v>184.07239726900434</v>
      </c>
      <c r="DV103" s="16">
        <f>IF(ISNA(VLOOKUP(A103,'Données projet'!$A$165:$I$185,3,0)),0,VLOOKUP(A103,'Données projet'!$A$165:$I$185,3,0))</f>
        <v>9</v>
      </c>
      <c r="DW103" s="16">
        <f>IF(ISNA(VLOOKUP(A103,'Données projet'!$A$165:$I$185,4,0)),0,VLOOKUP(A103,'Données projet'!$A$165:$I$185,4,0))</f>
        <v>726.2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0.78364540045516407</v>
      </c>
      <c r="EB103" s="23">
        <f>EXP(-LN(2)/25)*EB102+(1-EXP(-LN(2)/25))/(LN(2)/25)*Calculateur!DW103*Calculateur!DY103*VLOOKUP('Données projet'!$B$14,Paramètres!$A$1:$I$89,3,0)*0.475*44/12</f>
        <v>1.1279448726462333</v>
      </c>
      <c r="EC103" s="23">
        <f>EXP(-LN(2)/2)*EC102+(1-EXP(-LN(2)/2))/(LN(2)/2)*DW103*DZ103*VLOOKUP('Données projet'!$B$14,Paramètres!$A$1:$I$89,3,0)*0.475*44/12</f>
        <v>2.8615399730321928E-10</v>
      </c>
      <c r="ED103" s="24">
        <f t="shared" si="72"/>
        <v>1.9115902733875514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492.4553017979585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1.1368683772161603E-12</v>
      </c>
      <c r="O104" s="14">
        <f>N104*VLOOKUP('Données projet'!$B$9,Paramètres!$A$1:$I$89,3,0)*VLOOKUP('Données projet'!$B$9,Paramètres!$A$1:$I$89,5,0)</f>
        <v>6.3550942286383359E-13</v>
      </c>
      <c r="P104" s="14">
        <f t="shared" si="87"/>
        <v>7.6982260417614606E-12</v>
      </c>
      <c r="Q104" s="22">
        <f t="shared" si="107"/>
        <v>1.4514589267555721E-11</v>
      </c>
      <c r="R104" s="62">
        <f t="shared" si="55"/>
        <v>293.33333333334781</v>
      </c>
      <c r="S104" s="62">
        <f ca="1">AVERAGE(OFFSET($R$3,0,0,'Données projet'!$E$9+1,1))-AVERAGE(OFFSET($H$3,0,0,'Données projet'!$E$9+1,1))</f>
        <v>460.40450534123659</v>
      </c>
      <c r="T104" s="62">
        <f t="shared" si="88"/>
        <v>467.77477728479198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3.0788797125856266</v>
      </c>
      <c r="AA104" s="23">
        <f>EXP(-LN(2)/25)*AA103+(1-EXP(-LN(2)/25))/(LN(2)/25)*Calculateur!V104*Calculateur!X104*VLOOKUP('Données projet'!$B$9,Paramètres!$A$1:$I$89,3,0)*0.475*44/12</f>
        <v>6.1823827060519054</v>
      </c>
      <c r="AB104" s="23">
        <f>EXP(-LN(2)/2)*AB103+(1-EXP(-LN(2)/2))/(LN(2)/2)*V104*Y104*VLOOKUP('Données projet'!$B$9,Paramètres!$A$1:$I$89,3,0)*0.475*44/12</f>
        <v>8.2778854313812297E-10</v>
      </c>
      <c r="AC104" s="24">
        <f t="shared" si="57"/>
        <v>9.2612624194653215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5.2</v>
      </c>
      <c r="AI104" s="14">
        <f>IF('Données projet'!$A$62&gt;35,AI103+AH104-AQ103,IF(A104&lt;'Données projet'!$A$62,$AF$205^A104,IF(A104='Données projet'!$A$62,'Données projet'!$B$62,AI103+AH104-AQ103)))</f>
        <v>311.19999999999976</v>
      </c>
      <c r="AJ104" s="14">
        <f>AI104*VLOOKUP('Données projet'!$B$10,Paramètres!$A$1:$I$89,3,0)*VLOOKUP('Données projet'!$B$10,Paramètres!$A$1:$I$89,5,0)</f>
        <v>281.57375999999977</v>
      </c>
      <c r="AK104" s="14">
        <f t="shared" si="89"/>
        <v>67.299481043334993</v>
      </c>
      <c r="AL104" s="22">
        <f t="shared" si="58"/>
        <v>607.62089481714133</v>
      </c>
      <c r="AM104" s="62">
        <f t="shared" si="59"/>
        <v>900.95422815047459</v>
      </c>
      <c r="AN104" s="62">
        <f ca="1">AVERAGE(OFFSET($AM$3,0,0,'Données projet'!$E$10+1,1))-AVERAGE(OFFSET($H$3,0,0,'Données projet'!$E$10+1,1))</f>
        <v>321.03881567735544</v>
      </c>
      <c r="AO104" s="62">
        <f t="shared" si="90"/>
        <v>234.87694492493506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0.59033065563625242</v>
      </c>
      <c r="AV104" s="23">
        <f>EXP(-LN(2)/25)*AV103+(1-EXP(-LN(2)/25))/(LN(2)/25)*Calculateur!AQ104*Calculateur!AS104*VLOOKUP('Données projet'!$B$10,Paramètres!$A$1:$I$89,3,0)*0.475*44/12</f>
        <v>1.893174866327382</v>
      </c>
      <c r="AW104" s="23">
        <f>EXP(-LN(2)/2)*AW103+(1-EXP(-LN(2)/2))/(LN(2)/2)*AQ104*AT104*VLOOKUP('Données projet'!$B$10,Paramètres!$A$1:$I$89,3,0)*0.475*44/12</f>
        <v>4.4740041075996143E-10</v>
      </c>
      <c r="AX104" s="23">
        <f t="shared" si="60"/>
        <v>2.4835055224110345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255.41017495879987</v>
      </c>
      <c r="BJ104" s="62">
        <f t="shared" si="92"/>
        <v>297.50513563712764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2.0450909641929527</v>
      </c>
      <c r="BQ104" s="23">
        <f>EXP(-LN(2)/25)*BQ103+(1-EXP(-LN(2)/25))/(LN(2)/25)*Calculateur!BL104*Calculateur!BN104*VLOOKUP('Données projet'!$B$11,Paramètres!$A$1:$I$89,3,0)*0.475*44/12</f>
        <v>3.8923305915000266</v>
      </c>
      <c r="BR104" s="23">
        <f>EXP(-LN(2)/2)*BR103+(1-EXP(-LN(2)/2))/(LN(2)/2)*BL104*BO104*VLOOKUP('Données projet'!$B$11,Paramètres!$A$1:$I$89,3,0)*0.475*44/12</f>
        <v>5.0216470035781011E-10</v>
      </c>
      <c r="BS104" s="24">
        <f t="shared" si="63"/>
        <v>5.9374215561951438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1.1368683772161603E-13</v>
      </c>
      <c r="BZ104" s="14">
        <f>BY104*VLOOKUP('Données projet'!$B$12,Paramètres!$A$1:$I$89,3,0)*VLOOKUP('Données projet'!$B$12,Paramètres!$A$1:$I$89,5,0)</f>
        <v>5.4683368944097308E-14</v>
      </c>
      <c r="CA104" s="14">
        <f t="shared" si="93"/>
        <v>8.8129432816788268E-13</v>
      </c>
      <c r="CB104" s="22">
        <f t="shared" si="64"/>
        <v>1.6301611558033651E-12</v>
      </c>
      <c r="CC104" s="62">
        <f t="shared" si="65"/>
        <v>293.33333333333496</v>
      </c>
      <c r="CD104" s="62">
        <f ca="1">AVERAGE(OFFSET($CC$3,0,0,'Données projet'!$E$12+1,1))-AVERAGE(OFFSET($H$3,0,0,'Données projet'!$E$12+1,1))</f>
        <v>409.97612835032567</v>
      </c>
      <c r="CE104" s="62">
        <f t="shared" si="94"/>
        <v>411.87876448092288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7.4935104670126158</v>
      </c>
      <c r="CL104" s="23">
        <f>EXP(-LN(2)/25)*CL103+(1-EXP(-LN(2)/25))/(LN(2)/25)*Calculateur!CG104*Calculateur!CI104*VLOOKUP('Données projet'!$B$12,Paramètres!$A$1:$I$89,3,0)*0.475*44/12</f>
        <v>7.2749299403818091</v>
      </c>
      <c r="CM104" s="23">
        <f>EXP(-LN(2)/2)*CM103+(1-EXP(-LN(2)/2))/(LN(2)/2)*CG104*CJ104*VLOOKUP('Données projet'!$B$12,Paramètres!$A$1:$I$89,3,0)*0.475*44/12</f>
        <v>2.0028931877915379E-8</v>
      </c>
      <c r="CN104" s="24">
        <f t="shared" si="66"/>
        <v>14.768440427423357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-4.5474735088646412E-13</v>
      </c>
      <c r="CU104" s="18">
        <f>CT104*VLOOKUP('Données projet'!$B$13,Paramètres!$A$1:$I$89,3,0)*VLOOKUP('Données projet'!$B$13,Paramètres!$A$1:$I$89,5,0)</f>
        <v>-2.7193891583010558E-13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463.3255103386889</v>
      </c>
      <c r="CZ104" s="62">
        <f t="shared" si="96"/>
        <v>474.73210558736127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1.22492427542807</v>
      </c>
      <c r="DG104" s="23">
        <f>EXP(-LN(2)/25)*DG103+(1-EXP(-LN(2)/25))/(LN(2)/25)*Calculateur!DB104*Calculateur!DD104*VLOOKUP('Données projet'!$B$13,Paramètres!$A$1:$I$89,3,0)*0.475*44/12</f>
        <v>4.840947780891276</v>
      </c>
      <c r="DH104" s="23">
        <f>EXP(-LN(2)/2)*DH103+(1-EXP(-LN(2)/2))/(LN(2)/2)*DB104*DE104*VLOOKUP('Données projet'!$B$13,Paramètres!$A$1:$I$89,3,0)*0.475*44/12</f>
        <v>8.9764628517898037E-10</v>
      </c>
      <c r="DI104" s="24">
        <f t="shared" si="69"/>
        <v>6.0658720572169926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-1.1368683772161603E-13</v>
      </c>
      <c r="DP104" s="18">
        <f>DO104*VLOOKUP('Données projet'!$B$14,Paramètres!$A$1:$I$89,3,0)*VLOOKUP('Données projet'!$B$14,Paramètres!$A$1:$I$89,5,0)</f>
        <v>-5.3205440053716299E-14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215.23235148064941</v>
      </c>
      <c r="DU104" s="62">
        <f t="shared" si="98"/>
        <v>184.07239726900434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0.76827859212873628</v>
      </c>
      <c r="EB104" s="23">
        <f>EXP(-LN(2)/25)*EB103+(1-EXP(-LN(2)/25))/(LN(2)/25)*Calculateur!DW104*Calculateur!DY104*VLOOKUP('Données projet'!$B$14,Paramètres!$A$1:$I$89,3,0)*0.475*44/12</f>
        <v>1.0971011607876793</v>
      </c>
      <c r="EC104" s="23">
        <f>EXP(-LN(2)/2)*EC103+(1-EXP(-LN(2)/2))/(LN(2)/2)*DW104*DZ104*VLOOKUP('Données projet'!$B$14,Paramètres!$A$1:$I$89,3,0)*0.475*44/12</f>
        <v>2.0234143195674339E-10</v>
      </c>
      <c r="ED104" s="24">
        <f t="shared" si="72"/>
        <v>1.865379753118757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494.37737631959351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1.1368683772161603E-12</v>
      </c>
      <c r="O105" s="14">
        <f>N105*VLOOKUP('Données projet'!$B$9,Paramètres!$A$1:$I$89,3,0)*VLOOKUP('Données projet'!$B$9,Paramètres!$A$1:$I$89,5,0)</f>
        <v>6.3550942286383359E-13</v>
      </c>
      <c r="P105" s="14">
        <f t="shared" si="87"/>
        <v>7.6982260417614606E-12</v>
      </c>
      <c r="Q105" s="22">
        <f t="shared" si="107"/>
        <v>1.4514589267555721E-11</v>
      </c>
      <c r="R105" s="62">
        <f t="shared" si="55"/>
        <v>293.33333333334781</v>
      </c>
      <c r="S105" s="62">
        <f ca="1">AVERAGE(OFFSET($R$3,0,0,'Données projet'!$E$9+1,1))-AVERAGE(OFFSET($H$3,0,0,'Données projet'!$E$9+1,1))</f>
        <v>460.40450534123659</v>
      </c>
      <c r="T105" s="62">
        <f t="shared" si="88"/>
        <v>467.77477728479198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3.018504759353017</v>
      </c>
      <c r="AA105" s="23">
        <f>EXP(-LN(2)/25)*AA104+(1-EXP(-LN(2)/25))/(LN(2)/25)*Calculateur!V105*Calculateur!X105*VLOOKUP('Données projet'!$B$9,Paramètres!$A$1:$I$89,3,0)*0.475*44/12</f>
        <v>6.0133251258375395</v>
      </c>
      <c r="AB105" s="23">
        <f>EXP(-LN(2)/2)*AB104+(1-EXP(-LN(2)/2))/(LN(2)/2)*V105*Y105*VLOOKUP('Données projet'!$B$9,Paramètres!$A$1:$I$89,3,0)*0.475*44/12</f>
        <v>5.8533489224149966E-10</v>
      </c>
      <c r="AC105" s="24">
        <f t="shared" si="57"/>
        <v>9.0318298857758919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5.2</v>
      </c>
      <c r="AI105" s="14">
        <f>IF('Données projet'!$A$62&gt;35,AI104+AH105-AQ104,IF(A105&lt;'Données projet'!$A$62,$AF$205^A105,IF(A105='Données projet'!$A$62,'Données projet'!$B$62,AI104+AH105-AQ104)))</f>
        <v>316.39999999999975</v>
      </c>
      <c r="AJ105" s="14">
        <f>AI105*VLOOKUP('Données projet'!$B$10,Paramètres!$A$1:$I$89,3,0)*VLOOKUP('Données projet'!$B$10,Paramètres!$A$1:$I$89,5,0)</f>
        <v>286.27871999999974</v>
      </c>
      <c r="AK105" s="14">
        <f t="shared" si="89"/>
        <v>68.292165517667542</v>
      </c>
      <c r="AL105" s="22">
        <f t="shared" si="58"/>
        <v>617.54429227660387</v>
      </c>
      <c r="AM105" s="62">
        <f t="shared" si="59"/>
        <v>910.87762560993724</v>
      </c>
      <c r="AN105" s="62">
        <f ca="1">AVERAGE(OFFSET($AM$3,0,0,'Données projet'!$E$10+1,1))-AVERAGE(OFFSET($H$3,0,0,'Données projet'!$E$10+1,1))</f>
        <v>321.03881567735544</v>
      </c>
      <c r="AO105" s="62">
        <f t="shared" si="90"/>
        <v>234.87694492493506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0.57875463154537188</v>
      </c>
      <c r="AV105" s="23">
        <f>EXP(-LN(2)/25)*AV104+(1-EXP(-LN(2)/25))/(LN(2)/25)*Calculateur!AQ105*Calculateur!AS105*VLOOKUP('Données projet'!$B$10,Paramètres!$A$1:$I$89,3,0)*0.475*44/12</f>
        <v>1.8414059000499203</v>
      </c>
      <c r="AW105" s="23">
        <f>EXP(-LN(2)/2)*AW104+(1-EXP(-LN(2)/2))/(LN(2)/2)*AQ105*AT105*VLOOKUP('Données projet'!$B$10,Paramètres!$A$1:$I$89,3,0)*0.475*44/12</f>
        <v>3.1635986435401552E-10</v>
      </c>
      <c r="AX105" s="23">
        <f t="shared" si="60"/>
        <v>2.4201605319116521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255.41017495879987</v>
      </c>
      <c r="BJ105" s="62">
        <f t="shared" si="92"/>
        <v>297.50513563712764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2.0049879777674482</v>
      </c>
      <c r="BQ105" s="23">
        <f>EXP(-LN(2)/25)*BQ104+(1-EXP(-LN(2)/25))/(LN(2)/25)*Calculateur!BL105*Calculateur!BN105*VLOOKUP('Données projet'!$B$11,Paramètres!$A$1:$I$89,3,0)*0.475*44/12</f>
        <v>3.7858946067866888</v>
      </c>
      <c r="BR105" s="23">
        <f>EXP(-LN(2)/2)*BR104+(1-EXP(-LN(2)/2))/(LN(2)/2)*BL105*BO105*VLOOKUP('Données projet'!$B$11,Paramètres!$A$1:$I$89,3,0)*0.475*44/12</f>
        <v>3.5508406489551824E-10</v>
      </c>
      <c r="BS105" s="24">
        <f t="shared" si="63"/>
        <v>5.7908825849092205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1.1368683772161603E-13</v>
      </c>
      <c r="BZ105" s="14">
        <f>BY105*VLOOKUP('Données projet'!$B$12,Paramètres!$A$1:$I$89,3,0)*VLOOKUP('Données projet'!$B$12,Paramètres!$A$1:$I$89,5,0)</f>
        <v>5.4683368944097308E-14</v>
      </c>
      <c r="CA105" s="14">
        <f t="shared" si="93"/>
        <v>8.8129432816788268E-13</v>
      </c>
      <c r="CB105" s="22">
        <f t="shared" si="64"/>
        <v>1.6301611558033651E-12</v>
      </c>
      <c r="CC105" s="62">
        <f t="shared" si="65"/>
        <v>293.33333333333496</v>
      </c>
      <c r="CD105" s="62">
        <f ca="1">AVERAGE(OFFSET($CC$3,0,0,'Données projet'!$E$12+1,1))-AVERAGE(OFFSET($H$3,0,0,'Données projet'!$E$12+1,1))</f>
        <v>409.97612835032567</v>
      </c>
      <c r="CE105" s="62">
        <f t="shared" si="94"/>
        <v>411.87876448092288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7.346567297344575</v>
      </c>
      <c r="CL105" s="23">
        <f>EXP(-LN(2)/25)*CL104+(1-EXP(-LN(2)/25))/(LN(2)/25)*Calculateur!CG105*Calculateur!CI105*VLOOKUP('Données projet'!$B$12,Paramètres!$A$1:$I$89,3,0)*0.475*44/12</f>
        <v>7.0759965985901303</v>
      </c>
      <c r="CM105" s="23">
        <f>EXP(-LN(2)/2)*CM104+(1-EXP(-LN(2)/2))/(LN(2)/2)*CG105*CJ105*VLOOKUP('Données projet'!$B$12,Paramètres!$A$1:$I$89,3,0)*0.475*44/12</f>
        <v>1.4162593550797377E-8</v>
      </c>
      <c r="CN105" s="24">
        <f t="shared" si="66"/>
        <v>14.422563910097297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-4.5474735088646412E-13</v>
      </c>
      <c r="CU105" s="18">
        <f>CT105*VLOOKUP('Données projet'!$B$13,Paramètres!$A$1:$I$89,3,0)*VLOOKUP('Données projet'!$B$13,Paramètres!$A$1:$I$89,5,0)</f>
        <v>-2.7193891583010558E-13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463.3255103386889</v>
      </c>
      <c r="CZ105" s="62">
        <f t="shared" si="96"/>
        <v>474.73210558736127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1.2009042575169606</v>
      </c>
      <c r="DG105" s="23">
        <f>EXP(-LN(2)/25)*DG104+(1-EXP(-LN(2)/25))/(LN(2)/25)*Calculateur!DB105*Calculateur!DD105*VLOOKUP('Données projet'!$B$13,Paramètres!$A$1:$I$89,3,0)*0.475*44/12</f>
        <v>4.7085718092484248</v>
      </c>
      <c r="DH105" s="23">
        <f>EXP(-LN(2)/2)*DH104+(1-EXP(-LN(2)/2))/(LN(2)/2)*DB105*DE105*VLOOKUP('Données projet'!$B$13,Paramètres!$A$1:$I$89,3,0)*0.475*44/12</f>
        <v>6.347317753569705E-10</v>
      </c>
      <c r="DI105" s="24">
        <f t="shared" si="69"/>
        <v>5.9094760674001172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-1.1368683772161603E-13</v>
      </c>
      <c r="DP105" s="18">
        <f>DO105*VLOOKUP('Données projet'!$B$14,Paramètres!$A$1:$I$89,3,0)*VLOOKUP('Données projet'!$B$14,Paramètres!$A$1:$I$89,5,0)</f>
        <v>-5.3205440053716299E-14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215.23235148064941</v>
      </c>
      <c r="DU105" s="62">
        <f t="shared" si="98"/>
        <v>184.07239726900434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0.75321311754076214</v>
      </c>
      <c r="EB105" s="23">
        <f>EXP(-LN(2)/25)*EB104+(1-EXP(-LN(2)/25))/(LN(2)/25)*Calculateur!DW105*Calculateur!DY105*VLOOKUP('Données projet'!$B$14,Paramètres!$A$1:$I$89,3,0)*0.475*44/12</f>
        <v>1.0671008718518975</v>
      </c>
      <c r="EC105" s="23">
        <f>EXP(-LN(2)/2)*EC104+(1-EXP(-LN(2)/2))/(LN(2)/2)*DW105*DZ105*VLOOKUP('Données projet'!$B$14,Paramètres!$A$1:$I$89,3,0)*0.475*44/12</f>
        <v>1.4307699865160964E-10</v>
      </c>
      <c r="ED105" s="24">
        <f t="shared" si="72"/>
        <v>1.8203139895357368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496.29902497941657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1.1368683772161603E-12</v>
      </c>
      <c r="O106" s="14">
        <f>N106*VLOOKUP('Données projet'!$B$9,Paramètres!$A$1:$I$89,3,0)*VLOOKUP('Données projet'!$B$9,Paramètres!$A$1:$I$89,5,0)</f>
        <v>6.3550942286383359E-13</v>
      </c>
      <c r="P106" s="14">
        <f t="shared" si="87"/>
        <v>7.6982260417614606E-12</v>
      </c>
      <c r="Q106" s="22">
        <f t="shared" si="107"/>
        <v>1.4514589267555721E-11</v>
      </c>
      <c r="R106" s="62">
        <f t="shared" si="55"/>
        <v>293.33333333334781</v>
      </c>
      <c r="S106" s="62">
        <f ca="1">AVERAGE(OFFSET($R$3,0,0,'Données projet'!$E$9+1,1))-AVERAGE(OFFSET($H$3,0,0,'Données projet'!$E$9+1,1))</f>
        <v>460.40450534123659</v>
      </c>
      <c r="T106" s="62">
        <f t="shared" si="88"/>
        <v>467.77477728479198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2.9593137221282135</v>
      </c>
      <c r="AA106" s="23">
        <f>EXP(-LN(2)/25)*AA105+(1-EXP(-LN(2)/25))/(LN(2)/25)*Calculateur!V106*Calculateur!X106*VLOOKUP('Données projet'!$B$9,Paramètres!$A$1:$I$89,3,0)*0.475*44/12</f>
        <v>5.8488904340444874</v>
      </c>
      <c r="AB106" s="23">
        <f>EXP(-LN(2)/2)*AB105+(1-EXP(-LN(2)/2))/(LN(2)/2)*V106*Y106*VLOOKUP('Données projet'!$B$9,Paramètres!$A$1:$I$89,3,0)*0.475*44/12</f>
        <v>4.1389427156906148E-10</v>
      </c>
      <c r="AC106" s="24">
        <f t="shared" si="57"/>
        <v>8.8082041565865961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5.2</v>
      </c>
      <c r="AI106" s="14">
        <f>IF('Données projet'!$A$62&gt;35,AI105+AH106-AQ105,IF(A106&lt;'Données projet'!$A$62,$AF$205^A106,IF(A106='Données projet'!$A$62,'Données projet'!$B$62,AI105+AH106-AQ105)))</f>
        <v>321.59999999999974</v>
      </c>
      <c r="AJ106" s="14">
        <f>AI106*VLOOKUP('Données projet'!$B$10,Paramètres!$A$1:$I$89,3,0)*VLOOKUP('Données projet'!$B$10,Paramètres!$A$1:$I$89,5,0)</f>
        <v>290.98367999999977</v>
      </c>
      <c r="AK106" s="14">
        <f t="shared" si="89"/>
        <v>69.282952690245352</v>
      </c>
      <c r="AL106" s="22">
        <f t="shared" si="58"/>
        <v>627.46438526884356</v>
      </c>
      <c r="AM106" s="62">
        <f t="shared" si="59"/>
        <v>920.79771860217693</v>
      </c>
      <c r="AN106" s="62">
        <f ca="1">AVERAGE(OFFSET($AM$3,0,0,'Données projet'!$E$10+1,1))-AVERAGE(OFFSET($H$3,0,0,'Données projet'!$E$10+1,1))</f>
        <v>321.03881567735544</v>
      </c>
      <c r="AO106" s="62">
        <f t="shared" si="90"/>
        <v>234.87694492493506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0.56740560622623604</v>
      </c>
      <c r="AV106" s="23">
        <f>EXP(-LN(2)/25)*AV105+(1-EXP(-LN(2)/25))/(LN(2)/25)*Calculateur!AQ106*Calculateur!AS106*VLOOKUP('Données projet'!$B$10,Paramètres!$A$1:$I$89,3,0)*0.475*44/12</f>
        <v>1.7910525588777275</v>
      </c>
      <c r="AW106" s="23">
        <f>EXP(-LN(2)/2)*AW105+(1-EXP(-LN(2)/2))/(LN(2)/2)*AQ106*AT106*VLOOKUP('Données projet'!$B$10,Paramètres!$A$1:$I$89,3,0)*0.475*44/12</f>
        <v>2.2370020537998071E-10</v>
      </c>
      <c r="AX106" s="23">
        <f t="shared" si="60"/>
        <v>2.3584581653276637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255.41017495879987</v>
      </c>
      <c r="BJ106" s="62">
        <f t="shared" si="92"/>
        <v>297.50513563712764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1.9656713864453415</v>
      </c>
      <c r="BQ106" s="23">
        <f>EXP(-LN(2)/25)*BQ105+(1-EXP(-LN(2)/25))/(LN(2)/25)*Calculateur!BL106*Calculateur!BN106*VLOOKUP('Données projet'!$B$11,Paramètres!$A$1:$I$89,3,0)*0.475*44/12</f>
        <v>3.6823691196725621</v>
      </c>
      <c r="BR106" s="23">
        <f>EXP(-LN(2)/2)*BR105+(1-EXP(-LN(2)/2))/(LN(2)/2)*BL106*BO106*VLOOKUP('Données projet'!$B$11,Paramètres!$A$1:$I$89,3,0)*0.475*44/12</f>
        <v>2.5108235017890505E-10</v>
      </c>
      <c r="BS106" s="24">
        <f t="shared" si="63"/>
        <v>5.6480405063689858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1.1368683772161603E-13</v>
      </c>
      <c r="BZ106" s="14">
        <f>BY106*VLOOKUP('Données projet'!$B$12,Paramètres!$A$1:$I$89,3,0)*VLOOKUP('Données projet'!$B$12,Paramètres!$A$1:$I$89,5,0)</f>
        <v>5.4683368944097308E-14</v>
      </c>
      <c r="CA106" s="14">
        <f t="shared" si="93"/>
        <v>8.8129432816788268E-13</v>
      </c>
      <c r="CB106" s="22">
        <f t="shared" si="64"/>
        <v>1.6301611558033651E-12</v>
      </c>
      <c r="CC106" s="62">
        <f t="shared" si="65"/>
        <v>293.33333333333496</v>
      </c>
      <c r="CD106" s="62">
        <f ca="1">AVERAGE(OFFSET($CC$3,0,0,'Données projet'!$E$12+1,1))-AVERAGE(OFFSET($H$3,0,0,'Données projet'!$E$12+1,1))</f>
        <v>409.97612835032567</v>
      </c>
      <c r="CE106" s="62">
        <f t="shared" si="94"/>
        <v>411.87876448092288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7.2025055936072411</v>
      </c>
      <c r="CL106" s="23">
        <f>EXP(-LN(2)/25)*CL105+(1-EXP(-LN(2)/25))/(LN(2)/25)*Calculateur!CG106*Calculateur!CI106*VLOOKUP('Données projet'!$B$12,Paramètres!$A$1:$I$89,3,0)*0.475*44/12</f>
        <v>6.8825030994911947</v>
      </c>
      <c r="CM106" s="23">
        <f>EXP(-LN(2)/2)*CM105+(1-EXP(-LN(2)/2))/(LN(2)/2)*CG106*CJ106*VLOOKUP('Données projet'!$B$12,Paramètres!$A$1:$I$89,3,0)*0.475*44/12</f>
        <v>1.001446593895769E-8</v>
      </c>
      <c r="CN106" s="24">
        <f t="shared" si="66"/>
        <v>14.085008703112901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-4.5474735088646412E-13</v>
      </c>
      <c r="CU106" s="18">
        <f>CT106*VLOOKUP('Données projet'!$B$13,Paramètres!$A$1:$I$89,3,0)*VLOOKUP('Données projet'!$B$13,Paramètres!$A$1:$I$89,5,0)</f>
        <v>-2.7193891583010558E-13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463.3255103386889</v>
      </c>
      <c r="CZ106" s="62">
        <f t="shared" si="96"/>
        <v>474.73210558736127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1.1773552575063237</v>
      </c>
      <c r="DG106" s="23">
        <f>EXP(-LN(2)/25)*DG105+(1-EXP(-LN(2)/25))/(LN(2)/25)*Calculateur!DB106*Calculateur!DD106*VLOOKUP('Données projet'!$B$13,Paramètres!$A$1:$I$89,3,0)*0.475*44/12</f>
        <v>4.5798156655114965</v>
      </c>
      <c r="DH106" s="23">
        <f>EXP(-LN(2)/2)*DH105+(1-EXP(-LN(2)/2))/(LN(2)/2)*DB106*DE106*VLOOKUP('Données projet'!$B$13,Paramètres!$A$1:$I$89,3,0)*0.475*44/12</f>
        <v>4.4882314258949018E-10</v>
      </c>
      <c r="DI106" s="24">
        <f t="shared" si="69"/>
        <v>5.7571709234666439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-1.1368683772161603E-13</v>
      </c>
      <c r="DP106" s="18">
        <f>DO106*VLOOKUP('Données projet'!$B$14,Paramètres!$A$1:$I$89,3,0)*VLOOKUP('Données projet'!$B$14,Paramètres!$A$1:$I$89,5,0)</f>
        <v>-5.3205440053716299E-14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215.23235148064941</v>
      </c>
      <c r="DU106" s="62">
        <f t="shared" si="98"/>
        <v>184.07239726900434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0.73844306772042612</v>
      </c>
      <c r="EB106" s="23">
        <f>EXP(-LN(2)/25)*EB105+(1-EXP(-LN(2)/25))/(LN(2)/25)*Calculateur!DW106*Calculateur!DY106*VLOOKUP('Données projet'!$B$14,Paramètres!$A$1:$I$89,3,0)*0.475*44/12</f>
        <v>1.0379209423947113</v>
      </c>
      <c r="EC106" s="23">
        <f>EXP(-LN(2)/2)*EC105+(1-EXP(-LN(2)/2))/(LN(2)/2)*DW106*DZ106*VLOOKUP('Données projet'!$B$14,Paramètres!$A$1:$I$89,3,0)*0.475*44/12</f>
        <v>1.0117071597837169E-10</v>
      </c>
      <c r="ED106" s="24">
        <f t="shared" si="72"/>
        <v>1.7763640102163081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498.22025239081199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1.1368683772161603E-12</v>
      </c>
      <c r="O107" s="14">
        <f>N107*VLOOKUP('Données projet'!$B$9,Paramètres!$A$1:$I$89,3,0)*VLOOKUP('Données projet'!$B$9,Paramètres!$A$1:$I$89,5,0)</f>
        <v>6.3550942286383359E-13</v>
      </c>
      <c r="P107" s="14">
        <f t="shared" si="87"/>
        <v>7.6982260417614606E-12</v>
      </c>
      <c r="Q107" s="22">
        <f t="shared" si="107"/>
        <v>1.4514589267555721E-11</v>
      </c>
      <c r="R107" s="62">
        <f t="shared" si="55"/>
        <v>293.33333333334781</v>
      </c>
      <c r="S107" s="62">
        <f ca="1">AVERAGE(OFFSET($R$3,0,0,'Données projet'!$E$9+1,1))-AVERAGE(OFFSET($H$3,0,0,'Données projet'!$E$9+1,1))</f>
        <v>460.40450534123659</v>
      </c>
      <c r="T107" s="62">
        <f t="shared" si="88"/>
        <v>467.77477728479198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2.9012833850404207</v>
      </c>
      <c r="AA107" s="23">
        <f>EXP(-LN(2)/25)*AA106+(1-EXP(-LN(2)/25))/(LN(2)/25)*Calculateur!V107*Calculateur!X107*VLOOKUP('Données projet'!$B$9,Paramètres!$A$1:$I$89,3,0)*0.475*44/12</f>
        <v>5.6889522175457605</v>
      </c>
      <c r="AB107" s="23">
        <f>EXP(-LN(2)/2)*AB106+(1-EXP(-LN(2)/2))/(LN(2)/2)*V107*Y107*VLOOKUP('Données projet'!$B$9,Paramètres!$A$1:$I$89,3,0)*0.475*44/12</f>
        <v>2.9266744612074983E-10</v>
      </c>
      <c r="AC107" s="24">
        <f t="shared" si="57"/>
        <v>8.5902356028788489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5.2</v>
      </c>
      <c r="AI107" s="14">
        <f>IF('Données projet'!$A$62&gt;35,AI106+AH107-AQ106,IF(A107&lt;'Données projet'!$A$62,$AF$205^A107,IF(A107='Données projet'!$A$62,'Données projet'!$B$62,AI106+AH107-AQ106)))</f>
        <v>326.79999999999973</v>
      </c>
      <c r="AJ107" s="14">
        <f>AI107*VLOOKUP('Données projet'!$B$10,Paramètres!$A$1:$I$89,3,0)*VLOOKUP('Données projet'!$B$10,Paramètres!$A$1:$I$89,5,0)</f>
        <v>295.68863999999974</v>
      </c>
      <c r="AK107" s="14">
        <f t="shared" si="89"/>
        <v>70.271876780519676</v>
      </c>
      <c r="AL107" s="22">
        <f t="shared" si="58"/>
        <v>637.38123339273795</v>
      </c>
      <c r="AM107" s="62">
        <f t="shared" si="59"/>
        <v>930.71456672607133</v>
      </c>
      <c r="AN107" s="62">
        <f ca="1">AVERAGE(OFFSET($AM$3,0,0,'Données projet'!$E$10+1,1))-AVERAGE(OFFSET($H$3,0,0,'Données projet'!$E$10+1,1))</f>
        <v>321.03881567735544</v>
      </c>
      <c r="AO107" s="62">
        <f t="shared" si="90"/>
        <v>234.87694492493506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0.55627912837138649</v>
      </c>
      <c r="AV107" s="23">
        <f>EXP(-LN(2)/25)*AV106+(1-EXP(-LN(2)/25))/(LN(2)/25)*Calculateur!AQ107*Calculateur!AS107*VLOOKUP('Données projet'!$B$10,Paramètres!$A$1:$I$89,3,0)*0.475*44/12</f>
        <v>1.7420761324678555</v>
      </c>
      <c r="AW107" s="23">
        <f>EXP(-LN(2)/2)*AW106+(1-EXP(-LN(2)/2))/(LN(2)/2)*AQ107*AT107*VLOOKUP('Données projet'!$B$10,Paramètres!$A$1:$I$89,3,0)*0.475*44/12</f>
        <v>1.5817993217700776E-10</v>
      </c>
      <c r="AX107" s="23">
        <f t="shared" si="60"/>
        <v>2.2983552609974223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255.41017495879987</v>
      </c>
      <c r="BJ107" s="62">
        <f t="shared" si="92"/>
        <v>297.50513563712764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1.9271257694983084</v>
      </c>
      <c r="BQ107" s="23">
        <f>EXP(-LN(2)/25)*BQ106+(1-EXP(-LN(2)/25))/(LN(2)/25)*Calculateur!BL107*Calculateur!BN107*VLOOKUP('Données projet'!$B$11,Paramètres!$A$1:$I$89,3,0)*0.475*44/12</f>
        <v>3.5816745424477401</v>
      </c>
      <c r="BR107" s="23">
        <f>EXP(-LN(2)/2)*BR106+(1-EXP(-LN(2)/2))/(LN(2)/2)*BL107*BO107*VLOOKUP('Données projet'!$B$11,Paramètres!$A$1:$I$89,3,0)*0.475*44/12</f>
        <v>1.7754203244775912E-10</v>
      </c>
      <c r="BS107" s="24">
        <f t="shared" si="63"/>
        <v>5.5088003121235909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1.1368683772161603E-13</v>
      </c>
      <c r="BZ107" s="14">
        <f>BY107*VLOOKUP('Données projet'!$B$12,Paramètres!$A$1:$I$89,3,0)*VLOOKUP('Données projet'!$B$12,Paramètres!$A$1:$I$89,5,0)</f>
        <v>5.4683368944097308E-14</v>
      </c>
      <c r="CA107" s="14">
        <f t="shared" si="93"/>
        <v>8.8129432816788268E-13</v>
      </c>
      <c r="CB107" s="22">
        <f t="shared" si="64"/>
        <v>1.6301611558033651E-12</v>
      </c>
      <c r="CC107" s="62">
        <f t="shared" si="65"/>
        <v>293.33333333333496</v>
      </c>
      <c r="CD107" s="62">
        <f ca="1">AVERAGE(OFFSET($CC$3,0,0,'Données projet'!$E$12+1,1))-AVERAGE(OFFSET($H$3,0,0,'Données projet'!$E$12+1,1))</f>
        <v>409.97612835032567</v>
      </c>
      <c r="CE107" s="62">
        <f t="shared" si="94"/>
        <v>411.87876448092288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7.0612688520112332</v>
      </c>
      <c r="CL107" s="23">
        <f>EXP(-LN(2)/25)*CL106+(1-EXP(-LN(2)/25))/(LN(2)/25)*Calculateur!CG107*Calculateur!CI107*VLOOKUP('Données projet'!$B$12,Paramètres!$A$1:$I$89,3,0)*0.475*44/12</f>
        <v>6.6943006903005005</v>
      </c>
      <c r="CM107" s="23">
        <f>EXP(-LN(2)/2)*CM106+(1-EXP(-LN(2)/2))/(LN(2)/2)*CG107*CJ107*VLOOKUP('Données projet'!$B$12,Paramètres!$A$1:$I$89,3,0)*0.475*44/12</f>
        <v>7.0812967753986884E-9</v>
      </c>
      <c r="CN107" s="24">
        <f t="shared" si="66"/>
        <v>13.75556954939303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-4.5474735088646412E-13</v>
      </c>
      <c r="CU107" s="18">
        <f>CT107*VLOOKUP('Données projet'!$B$13,Paramètres!$A$1:$I$89,3,0)*VLOOKUP('Données projet'!$B$13,Paramètres!$A$1:$I$89,5,0)</f>
        <v>-2.7193891583010558E-13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463.3255103386889</v>
      </c>
      <c r="CZ107" s="62">
        <f t="shared" si="96"/>
        <v>474.73210558736127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1.1542680390224238</v>
      </c>
      <c r="DG107" s="23">
        <f>EXP(-LN(2)/25)*DG106+(1-EXP(-LN(2)/25))/(LN(2)/25)*Calculateur!DB107*Calculateur!DD107*VLOOKUP('Données projet'!$B$13,Paramètres!$A$1:$I$89,3,0)*0.475*44/12</f>
        <v>4.4545803652960458</v>
      </c>
      <c r="DH107" s="23">
        <f>EXP(-LN(2)/2)*DH106+(1-EXP(-LN(2)/2))/(LN(2)/2)*DB107*DE107*VLOOKUP('Données projet'!$B$13,Paramètres!$A$1:$I$89,3,0)*0.475*44/12</f>
        <v>3.1736588767848525E-10</v>
      </c>
      <c r="DI107" s="24">
        <f t="shared" si="69"/>
        <v>5.6088484046358351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-1.1368683772161603E-13</v>
      </c>
      <c r="DP107" s="18">
        <f>DO107*VLOOKUP('Données projet'!$B$14,Paramètres!$A$1:$I$89,3,0)*VLOOKUP('Données projet'!$B$14,Paramètres!$A$1:$I$89,5,0)</f>
        <v>-5.3205440053716299E-14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215.23235148064941</v>
      </c>
      <c r="DU107" s="62">
        <f t="shared" si="98"/>
        <v>184.07239726900434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0.72396264956822598</v>
      </c>
      <c r="EB107" s="23">
        <f>EXP(-LN(2)/25)*EB106+(1-EXP(-LN(2)/25))/(LN(2)/25)*Calculateur!DW107*Calculateur!DY107*VLOOKUP('Données projet'!$B$14,Paramètres!$A$1:$I$89,3,0)*0.475*44/12</f>
        <v>1.0095389396430379</v>
      </c>
      <c r="EC107" s="23">
        <f>EXP(-LN(2)/2)*EC106+(1-EXP(-LN(2)/2))/(LN(2)/2)*DW107*DZ107*VLOOKUP('Données projet'!$B$14,Paramètres!$A$1:$I$89,3,0)*0.475*44/12</f>
        <v>7.1538499325804819E-11</v>
      </c>
      <c r="ED107" s="24">
        <f t="shared" si="72"/>
        <v>1.7335015892828023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500.14106307332992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1.1368683772161603E-12</v>
      </c>
      <c r="O108" s="14">
        <f>N108*VLOOKUP('Données projet'!$B$9,Paramètres!$A$1:$I$89,3,0)*VLOOKUP('Données projet'!$B$9,Paramètres!$A$1:$I$89,5,0)</f>
        <v>6.3550942286383359E-13</v>
      </c>
      <c r="P108" s="14">
        <f t="shared" si="87"/>
        <v>7.6982260417614606E-12</v>
      </c>
      <c r="Q108" s="22">
        <f t="shared" si="107"/>
        <v>1.4514589267555721E-11</v>
      </c>
      <c r="R108" s="62">
        <f t="shared" si="55"/>
        <v>293.33333333334781</v>
      </c>
      <c r="S108" s="62">
        <f ca="1">AVERAGE(OFFSET($R$3,0,0,'Données projet'!$E$9+1,1))-AVERAGE(OFFSET($H$3,0,0,'Données projet'!$E$9+1,1))</f>
        <v>460.40450534123659</v>
      </c>
      <c r="T108" s="62">
        <f t="shared" si="88"/>
        <v>467.77477728479198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2.8443909874679085</v>
      </c>
      <c r="AA108" s="23">
        <f>EXP(-LN(2)/25)*AA107+(1-EXP(-LN(2)/25))/(LN(2)/25)*Calculateur!V108*Calculateur!X108*VLOOKUP('Données projet'!$B$9,Paramètres!$A$1:$I$89,3,0)*0.475*44/12</f>
        <v>5.5333875199879765</v>
      </c>
      <c r="AB108" s="23">
        <f>EXP(-LN(2)/2)*AB107+(1-EXP(-LN(2)/2))/(LN(2)/2)*V108*Y108*VLOOKUP('Données projet'!$B$9,Paramètres!$A$1:$I$89,3,0)*0.475*44/12</f>
        <v>2.0694713578453074E-10</v>
      </c>
      <c r="AC108" s="24">
        <f t="shared" si="57"/>
        <v>8.3777785076628319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5.2</v>
      </c>
      <c r="AI108" s="14">
        <f>IF('Données projet'!$A$62&gt;35,AI107+AH108-AQ107,IF(A108&lt;'Données projet'!$A$62,$AF$205^A108,IF(A108='Données projet'!$A$62,'Données projet'!$B$62,AI107+AH108-AQ107)))</f>
        <v>331.99999999999972</v>
      </c>
      <c r="AJ108" s="14">
        <f>AI108*VLOOKUP('Données projet'!$B$10,Paramètres!$A$1:$I$89,3,0)*VLOOKUP('Données projet'!$B$10,Paramètres!$A$1:$I$89,5,0)</f>
        <v>300.39359999999976</v>
      </c>
      <c r="AK108" s="14">
        <f t="shared" si="89"/>
        <v>71.258970856492667</v>
      </c>
      <c r="AL108" s="22">
        <f t="shared" si="58"/>
        <v>647.29489424172436</v>
      </c>
      <c r="AM108" s="62">
        <f t="shared" si="59"/>
        <v>940.62822757505774</v>
      </c>
      <c r="AN108" s="62">
        <f ca="1">AVERAGE(OFFSET($AM$3,0,0,'Données projet'!$E$10+1,1))-AVERAGE(OFFSET($H$3,0,0,'Données projet'!$E$10+1,1))</f>
        <v>321.03881567735544</v>
      </c>
      <c r="AO108" s="62">
        <f t="shared" si="90"/>
        <v>234.87694492493506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0.54537083396078911</v>
      </c>
      <c r="AV108" s="23">
        <f>EXP(-LN(2)/25)*AV107+(1-EXP(-LN(2)/25))/(LN(2)/25)*Calculateur!AQ108*Calculateur!AS108*VLOOKUP('Données projet'!$B$10,Paramètres!$A$1:$I$89,3,0)*0.475*44/12</f>
        <v>1.6944389690137198</v>
      </c>
      <c r="AW108" s="23">
        <f>EXP(-LN(2)/2)*AW107+(1-EXP(-LN(2)/2))/(LN(2)/2)*AQ108*AT108*VLOOKUP('Données projet'!$B$10,Paramètres!$A$1:$I$89,3,0)*0.475*44/12</f>
        <v>1.1185010268999036E-10</v>
      </c>
      <c r="AX108" s="23">
        <f t="shared" si="60"/>
        <v>2.2398098030863589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255.41017495879987</v>
      </c>
      <c r="BJ108" s="62">
        <f t="shared" si="92"/>
        <v>297.50513563712764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1.8893360085891018</v>
      </c>
      <c r="BQ108" s="23">
        <f>EXP(-LN(2)/25)*BQ107+(1-EXP(-LN(2)/25))/(LN(2)/25)*Calculateur!BL108*Calculateur!BN108*VLOOKUP('Données projet'!$B$11,Paramètres!$A$1:$I$89,3,0)*0.475*44/12</f>
        <v>3.4837334637324284</v>
      </c>
      <c r="BR108" s="23">
        <f>EXP(-LN(2)/2)*BR107+(1-EXP(-LN(2)/2))/(LN(2)/2)*BL108*BO108*VLOOKUP('Données projet'!$B$11,Paramètres!$A$1:$I$89,3,0)*0.475*44/12</f>
        <v>1.2554117508945253E-10</v>
      </c>
      <c r="BS108" s="24">
        <f t="shared" si="63"/>
        <v>5.3730694724470718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1.1368683772161603E-13</v>
      </c>
      <c r="BZ108" s="14">
        <f>BY108*VLOOKUP('Données projet'!$B$12,Paramètres!$A$1:$I$89,3,0)*VLOOKUP('Données projet'!$B$12,Paramètres!$A$1:$I$89,5,0)</f>
        <v>5.4683368944097308E-14</v>
      </c>
      <c r="CA108" s="14">
        <f t="shared" si="93"/>
        <v>8.8129432816788268E-13</v>
      </c>
      <c r="CB108" s="22">
        <f t="shared" si="64"/>
        <v>1.6301611558033651E-12</v>
      </c>
      <c r="CC108" s="62">
        <f t="shared" si="65"/>
        <v>293.33333333333496</v>
      </c>
      <c r="CD108" s="62">
        <f ca="1">AVERAGE(OFFSET($CC$3,0,0,'Données projet'!$E$12+1,1))-AVERAGE(OFFSET($H$3,0,0,'Données projet'!$E$12+1,1))</f>
        <v>409.97612835032567</v>
      </c>
      <c r="CE108" s="62">
        <f t="shared" si="94"/>
        <v>411.87876448092288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6.9228016767720169</v>
      </c>
      <c r="CL108" s="23">
        <f>EXP(-LN(2)/25)*CL107+(1-EXP(-LN(2)/25))/(LN(2)/25)*Calculateur!CG108*Calculateur!CI108*VLOOKUP('Données projet'!$B$12,Paramètres!$A$1:$I$89,3,0)*0.475*44/12</f>
        <v>6.5112446858862603</v>
      </c>
      <c r="CM108" s="23">
        <f>EXP(-LN(2)/2)*CM107+(1-EXP(-LN(2)/2))/(LN(2)/2)*CG108*CJ108*VLOOKUP('Données projet'!$B$12,Paramètres!$A$1:$I$89,3,0)*0.475*44/12</f>
        <v>5.0072329694788449E-9</v>
      </c>
      <c r="CN108" s="24">
        <f t="shared" si="66"/>
        <v>13.434046367665511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-4.5474735088646412E-13</v>
      </c>
      <c r="CU108" s="18">
        <f>CT108*VLOOKUP('Données projet'!$B$13,Paramètres!$A$1:$I$89,3,0)*VLOOKUP('Données projet'!$B$13,Paramètres!$A$1:$I$89,5,0)</f>
        <v>-2.7193891583010558E-13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463.3255103386889</v>
      </c>
      <c r="CZ108" s="62">
        <f t="shared" si="96"/>
        <v>474.73210558736127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1.1316335468111802</v>
      </c>
      <c r="DG108" s="23">
        <f>EXP(-LN(2)/25)*DG107+(1-EXP(-LN(2)/25))/(LN(2)/25)*Calculateur!DB108*Calculateur!DD108*VLOOKUP('Données projet'!$B$13,Paramètres!$A$1:$I$89,3,0)*0.475*44/12</f>
        <v>4.3327696309508248</v>
      </c>
      <c r="DH108" s="23">
        <f>EXP(-LN(2)/2)*DH107+(1-EXP(-LN(2)/2))/(LN(2)/2)*DB108*DE108*VLOOKUP('Données projet'!$B$13,Paramètres!$A$1:$I$89,3,0)*0.475*44/12</f>
        <v>2.2441157129474509E-10</v>
      </c>
      <c r="DI108" s="24">
        <f t="shared" si="69"/>
        <v>5.4644031779864166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-1.1368683772161603E-13</v>
      </c>
      <c r="DP108" s="18">
        <f>DO108*VLOOKUP('Données projet'!$B$14,Paramètres!$A$1:$I$89,3,0)*VLOOKUP('Données projet'!$B$14,Paramètres!$A$1:$I$89,5,0)</f>
        <v>-5.3205440053716299E-14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215.23235148064941</v>
      </c>
      <c r="DU108" s="62">
        <f t="shared" si="98"/>
        <v>184.07239726900434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0.7097661835838075</v>
      </c>
      <c r="EB108" s="23">
        <f>EXP(-LN(2)/25)*EB107+(1-EXP(-LN(2)/25))/(LN(2)/25)*Calculateur!DW108*Calculateur!DY108*VLOOKUP('Données projet'!$B$14,Paramètres!$A$1:$I$89,3,0)*0.475*44/12</f>
        <v>0.98193304424915351</v>
      </c>
      <c r="EC108" s="23">
        <f>EXP(-LN(2)/2)*EC107+(1-EXP(-LN(2)/2))/(LN(2)/2)*DW108*DZ108*VLOOKUP('Données projet'!$B$14,Paramètres!$A$1:$I$89,3,0)*0.475*44/12</f>
        <v>5.0585357989185847E-11</v>
      </c>
      <c r="ED108" s="24">
        <f t="shared" si="72"/>
        <v>1.6916992278835463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502.06146145546995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1.1368683772161603E-12</v>
      </c>
      <c r="O109" s="14">
        <f>N109*VLOOKUP('Données projet'!$B$9,Paramètres!$A$1:$I$89,3,0)*VLOOKUP('Données projet'!$B$9,Paramètres!$A$1:$I$89,5,0)</f>
        <v>6.3550942286383359E-13</v>
      </c>
      <c r="P109" s="14">
        <f t="shared" si="87"/>
        <v>7.6982260417614606E-12</v>
      </c>
      <c r="Q109" s="22">
        <f t="shared" si="107"/>
        <v>1.4514589267555721E-11</v>
      </c>
      <c r="R109" s="62">
        <f t="shared" si="55"/>
        <v>293.33333333334781</v>
      </c>
      <c r="S109" s="62">
        <f ca="1">AVERAGE(OFFSET($R$3,0,0,'Données projet'!$E$9+1,1))-AVERAGE(OFFSET($H$3,0,0,'Données projet'!$E$9+1,1))</f>
        <v>460.40450534123659</v>
      </c>
      <c r="T109" s="62">
        <f t="shared" si="88"/>
        <v>467.77477728479198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2.7886142151108575</v>
      </c>
      <c r="AA109" s="23">
        <f>EXP(-LN(2)/25)*AA108+(1-EXP(-LN(2)/25))/(LN(2)/25)*Calculateur!V109*Calculateur!X109*VLOOKUP('Données projet'!$B$9,Paramètres!$A$1:$I$89,3,0)*0.475*44/12</f>
        <v>5.3820767472657023</v>
      </c>
      <c r="AB109" s="23">
        <f>EXP(-LN(2)/2)*AB108+(1-EXP(-LN(2)/2))/(LN(2)/2)*V109*Y109*VLOOKUP('Données projet'!$B$9,Paramètres!$A$1:$I$89,3,0)*0.475*44/12</f>
        <v>1.4633372306037492E-10</v>
      </c>
      <c r="AC109" s="24">
        <f t="shared" si="57"/>
        <v>8.1706909625228938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5.2</v>
      </c>
      <c r="AI109" s="14">
        <f>IF('Données projet'!$A$62&gt;35,AI108+AH109-AQ108,IF(A109&lt;'Données projet'!$A$62,$AF$205^A109,IF(A109='Données projet'!$A$62,'Données projet'!$B$62,AI108+AH109-AQ108)))</f>
        <v>337.1999999999997</v>
      </c>
      <c r="AJ109" s="14">
        <f>AI109*VLOOKUP('Données projet'!$B$10,Paramètres!$A$1:$I$89,3,0)*VLOOKUP('Données projet'!$B$10,Paramètres!$A$1:$I$89,5,0)</f>
        <v>305.09855999999974</v>
      </c>
      <c r="AK109" s="14">
        <f t="shared" si="89"/>
        <v>72.244266890878734</v>
      </c>
      <c r="AL109" s="22">
        <f t="shared" si="58"/>
        <v>657.20542350161338</v>
      </c>
      <c r="AM109" s="62">
        <f t="shared" si="59"/>
        <v>950.53875683494675</v>
      </c>
      <c r="AN109" s="62">
        <f ca="1">AVERAGE(OFFSET($AM$3,0,0,'Données projet'!$E$10+1,1))-AVERAGE(OFFSET($H$3,0,0,'Données projet'!$E$10+1,1))</f>
        <v>321.03881567735544</v>
      </c>
      <c r="AO109" s="62">
        <f t="shared" si="90"/>
        <v>234.87694492493506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0.53467644455018093</v>
      </c>
      <c r="AV109" s="23">
        <f>EXP(-LN(2)/25)*AV108+(1-EXP(-LN(2)/25))/(LN(2)/25)*Calculateur!AQ109*Calculateur!AS109*VLOOKUP('Données projet'!$B$10,Paramètres!$A$1:$I$89,3,0)*0.475*44/12</f>
        <v>1.648104446299367</v>
      </c>
      <c r="AW109" s="23">
        <f>EXP(-LN(2)/2)*AW108+(1-EXP(-LN(2)/2))/(LN(2)/2)*AQ109*AT109*VLOOKUP('Données projet'!$B$10,Paramètres!$A$1:$I$89,3,0)*0.475*44/12</f>
        <v>7.9089966088503881E-11</v>
      </c>
      <c r="AX109" s="23">
        <f t="shared" si="60"/>
        <v>2.1827808909286381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255.41017495879987</v>
      </c>
      <c r="BJ109" s="62">
        <f t="shared" si="92"/>
        <v>297.50513563712764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1.8522872818418465</v>
      </c>
      <c r="BQ109" s="23">
        <f>EXP(-LN(2)/25)*BQ108+(1-EXP(-LN(2)/25))/(LN(2)/25)*Calculateur!BL109*Calculateur!BN109*VLOOKUP('Données projet'!$B$11,Paramètres!$A$1:$I$89,3,0)*0.475*44/12</f>
        <v>3.3884705889650846</v>
      </c>
      <c r="BR109" s="23">
        <f>EXP(-LN(2)/2)*BR108+(1-EXP(-LN(2)/2))/(LN(2)/2)*BL109*BO109*VLOOKUP('Données projet'!$B$11,Paramètres!$A$1:$I$89,3,0)*0.475*44/12</f>
        <v>8.877101622387956E-11</v>
      </c>
      <c r="BS109" s="24">
        <f t="shared" si="63"/>
        <v>5.2407578708957017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1.1368683772161603E-13</v>
      </c>
      <c r="BZ109" s="14">
        <f>BY109*VLOOKUP('Données projet'!$B$12,Paramètres!$A$1:$I$89,3,0)*VLOOKUP('Données projet'!$B$12,Paramètres!$A$1:$I$89,5,0)</f>
        <v>5.4683368944097308E-14</v>
      </c>
      <c r="CA109" s="14">
        <f t="shared" si="93"/>
        <v>8.8129432816788268E-13</v>
      </c>
      <c r="CB109" s="22">
        <f t="shared" si="64"/>
        <v>1.6301611558033651E-12</v>
      </c>
      <c r="CC109" s="62">
        <f t="shared" si="65"/>
        <v>293.33333333333496</v>
      </c>
      <c r="CD109" s="62">
        <f ca="1">AVERAGE(OFFSET($CC$3,0,0,'Données projet'!$E$12+1,1))-AVERAGE(OFFSET($H$3,0,0,'Données projet'!$E$12+1,1))</f>
        <v>409.97612835032567</v>
      </c>
      <c r="CE109" s="62">
        <f t="shared" si="94"/>
        <v>411.87876448092288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6.7870497583826044</v>
      </c>
      <c r="CL109" s="23">
        <f>EXP(-LN(2)/25)*CL108+(1-EXP(-LN(2)/25))/(LN(2)/25)*Calculateur!CG109*Calculateur!CI109*VLOOKUP('Données projet'!$B$12,Paramètres!$A$1:$I$89,3,0)*0.475*44/12</f>
        <v>6.3331943575392238</v>
      </c>
      <c r="CM109" s="23">
        <f>EXP(-LN(2)/2)*CM108+(1-EXP(-LN(2)/2))/(LN(2)/2)*CG109*CJ109*VLOOKUP('Données projet'!$B$12,Paramètres!$A$1:$I$89,3,0)*0.475*44/12</f>
        <v>3.5406483876993442E-9</v>
      </c>
      <c r="CN109" s="24">
        <f t="shared" si="66"/>
        <v>13.120244119462477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-4.5474735088646412E-13</v>
      </c>
      <c r="CU109" s="18">
        <f>CT109*VLOOKUP('Données projet'!$B$13,Paramètres!$A$1:$I$89,3,0)*VLOOKUP('Données projet'!$B$13,Paramètres!$A$1:$I$89,5,0)</f>
        <v>-2.7193891583010558E-13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463.3255103386889</v>
      </c>
      <c r="CZ109" s="62">
        <f t="shared" si="96"/>
        <v>474.73210558736127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1.1094429031865221</v>
      </c>
      <c r="DG109" s="23">
        <f>EXP(-LN(2)/25)*DG108+(1-EXP(-LN(2)/25))/(LN(2)/25)*Calculateur!DB109*Calculateur!DD109*VLOOKUP('Données projet'!$B$13,Paramètres!$A$1:$I$89,3,0)*0.475*44/12</f>
        <v>4.2142898175420225</v>
      </c>
      <c r="DH109" s="23">
        <f>EXP(-LN(2)/2)*DH108+(1-EXP(-LN(2)/2))/(LN(2)/2)*DB109*DE109*VLOOKUP('Données projet'!$B$13,Paramètres!$A$1:$I$89,3,0)*0.475*44/12</f>
        <v>1.5868294383924263E-10</v>
      </c>
      <c r="DI109" s="24">
        <f t="shared" si="69"/>
        <v>5.3237327208872278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-1.1368683772161603E-13</v>
      </c>
      <c r="DP109" s="18">
        <f>DO109*VLOOKUP('Données projet'!$B$14,Paramètres!$A$1:$I$89,3,0)*VLOOKUP('Données projet'!$B$14,Paramètres!$A$1:$I$89,5,0)</f>
        <v>-5.3205440053716299E-14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215.23235148064941</v>
      </c>
      <c r="DU109" s="62">
        <f t="shared" si="98"/>
        <v>184.07239726900434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0.6958481016383542</v>
      </c>
      <c r="EB109" s="23">
        <f>EXP(-LN(2)/25)*EB108+(1-EXP(-LN(2)/25))/(LN(2)/25)*Calculateur!DW109*Calculateur!DY109*VLOOKUP('Données projet'!$B$14,Paramètres!$A$1:$I$89,3,0)*0.475*44/12</f>
        <v>0.95508203351654586</v>
      </c>
      <c r="EC109" s="23">
        <f>EXP(-LN(2)/2)*EC108+(1-EXP(-LN(2)/2))/(LN(2)/2)*DW109*DZ109*VLOOKUP('Données projet'!$B$14,Paramètres!$A$1:$I$89,3,0)*0.475*44/12</f>
        <v>3.576924966290241E-11</v>
      </c>
      <c r="ED109" s="24">
        <f t="shared" si="72"/>
        <v>1.6509301351906691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503.98145187735673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1.1368683772161603E-12</v>
      </c>
      <c r="O110" s="14">
        <f>N110*VLOOKUP('Données projet'!$B$9,Paramètres!$A$1:$I$89,3,0)*VLOOKUP('Données projet'!$B$9,Paramètres!$A$1:$I$89,5,0)</f>
        <v>6.3550942286383359E-13</v>
      </c>
      <c r="P110" s="14">
        <f t="shared" si="87"/>
        <v>7.6982260417614606E-12</v>
      </c>
      <c r="Q110" s="22">
        <f t="shared" si="107"/>
        <v>1.4514589267555721E-11</v>
      </c>
      <c r="R110" s="62">
        <f t="shared" si="55"/>
        <v>293.33333333334781</v>
      </c>
      <c r="S110" s="62">
        <f ca="1">AVERAGE(OFFSET($R$3,0,0,'Données projet'!$E$9+1,1))-AVERAGE(OFFSET($H$3,0,0,'Données projet'!$E$9+1,1))</f>
        <v>460.40450534123659</v>
      </c>
      <c r="T110" s="62">
        <f t="shared" si="88"/>
        <v>467.77477728479198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2.7339311912392561</v>
      </c>
      <c r="AA110" s="23">
        <f>EXP(-LN(2)/25)*AA109+(1-EXP(-LN(2)/25))/(LN(2)/25)*Calculateur!V110*Calculateur!X110*VLOOKUP('Données projet'!$B$9,Paramètres!$A$1:$I$89,3,0)*0.475*44/12</f>
        <v>5.2349035755806064</v>
      </c>
      <c r="AB110" s="23">
        <f>EXP(-LN(2)/2)*AB109+(1-EXP(-LN(2)/2))/(LN(2)/2)*V110*Y110*VLOOKUP('Données projet'!$B$9,Paramètres!$A$1:$I$89,3,0)*0.475*44/12</f>
        <v>1.0347356789226537E-10</v>
      </c>
      <c r="AC110" s="24">
        <f t="shared" si="57"/>
        <v>7.9688347669233357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5.2</v>
      </c>
      <c r="AI110" s="14">
        <f>IF('Données projet'!$A$62&gt;35,AI109+AH110-AQ109,IF(A110&lt;'Données projet'!$A$62,$AF$205^A110,IF(A110='Données projet'!$A$62,'Données projet'!$B$62,AI109+AH110-AQ109)))</f>
        <v>342.39999999999969</v>
      </c>
      <c r="AJ110" s="14">
        <f>AI110*VLOOKUP('Données projet'!$B$10,Paramètres!$A$1:$I$89,3,0)*VLOOKUP('Données projet'!$B$10,Paramètres!$A$1:$I$89,5,0)</f>
        <v>309.80351999999971</v>
      </c>
      <c r="AK110" s="14">
        <f t="shared" si="89"/>
        <v>73.227795813703693</v>
      </c>
      <c r="AL110" s="22">
        <f t="shared" si="58"/>
        <v>667.11287504220002</v>
      </c>
      <c r="AM110" s="62">
        <f t="shared" si="59"/>
        <v>960.44620837553339</v>
      </c>
      <c r="AN110" s="62">
        <f ca="1">AVERAGE(OFFSET($AM$3,0,0,'Données projet'!$E$10+1,1))-AVERAGE(OFFSET($H$3,0,0,'Données projet'!$E$10+1,1))</f>
        <v>321.03881567735544</v>
      </c>
      <c r="AO110" s="62">
        <f t="shared" si="90"/>
        <v>234.87694492493506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0.52419176559298131</v>
      </c>
      <c r="AV110" s="23">
        <f>EXP(-LN(2)/25)*AV109+(1-EXP(-LN(2)/25))/(LN(2)/25)*Calculateur!AQ110*Calculateur!AS110*VLOOKUP('Données projet'!$B$10,Paramètres!$A$1:$I$89,3,0)*0.475*44/12</f>
        <v>1.6030369435452647</v>
      </c>
      <c r="AW110" s="23">
        <f>EXP(-LN(2)/2)*AW109+(1-EXP(-LN(2)/2))/(LN(2)/2)*AQ110*AT110*VLOOKUP('Données projet'!$B$10,Paramètres!$A$1:$I$89,3,0)*0.475*44/12</f>
        <v>5.5925051344995178E-11</v>
      </c>
      <c r="AX110" s="23">
        <f t="shared" si="60"/>
        <v>2.1272287091941711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255.41017495879987</v>
      </c>
      <c r="BJ110" s="62">
        <f t="shared" si="92"/>
        <v>297.50513563712764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1.8159650580286131</v>
      </c>
      <c r="BQ110" s="23">
        <f>EXP(-LN(2)/25)*BQ109+(1-EXP(-LN(2)/25))/(LN(2)/25)*Calculateur!BL110*Calculateur!BN110*VLOOKUP('Données projet'!$B$11,Paramètres!$A$1:$I$89,3,0)*0.475*44/12</f>
        <v>3.2958126825179104</v>
      </c>
      <c r="BR110" s="23">
        <f>EXP(-LN(2)/2)*BR109+(1-EXP(-LN(2)/2))/(LN(2)/2)*BL110*BO110*VLOOKUP('Données projet'!$B$11,Paramètres!$A$1:$I$89,3,0)*0.475*44/12</f>
        <v>6.2770587544726263E-11</v>
      </c>
      <c r="BS110" s="24">
        <f t="shared" si="63"/>
        <v>5.1117777406092939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1.1368683772161603E-13</v>
      </c>
      <c r="BZ110" s="14">
        <f>BY110*VLOOKUP('Données projet'!$B$12,Paramètres!$A$1:$I$89,3,0)*VLOOKUP('Données projet'!$B$12,Paramètres!$A$1:$I$89,5,0)</f>
        <v>5.4683368944097308E-14</v>
      </c>
      <c r="CA110" s="14">
        <f t="shared" si="93"/>
        <v>8.8129432816788268E-13</v>
      </c>
      <c r="CB110" s="22">
        <f t="shared" si="64"/>
        <v>1.6301611558033651E-12</v>
      </c>
      <c r="CC110" s="62">
        <f t="shared" si="65"/>
        <v>293.33333333333496</v>
      </c>
      <c r="CD110" s="62">
        <f ca="1">AVERAGE(OFFSET($CC$3,0,0,'Données projet'!$E$12+1,1))-AVERAGE(OFFSET($H$3,0,0,'Données projet'!$E$12+1,1))</f>
        <v>409.97612835032567</v>
      </c>
      <c r="CE110" s="62">
        <f t="shared" si="94"/>
        <v>411.87876448092288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6.6539598523123136</v>
      </c>
      <c r="CL110" s="23">
        <f>EXP(-LN(2)/25)*CL109+(1-EXP(-LN(2)/25))/(LN(2)/25)*Calculateur!CG110*Calculateur!CI110*VLOOKUP('Données projet'!$B$12,Paramètres!$A$1:$I$89,3,0)*0.475*44/12</f>
        <v>6.1600128247840971</v>
      </c>
      <c r="CM110" s="23">
        <f>EXP(-LN(2)/2)*CM109+(1-EXP(-LN(2)/2))/(LN(2)/2)*CG110*CJ110*VLOOKUP('Données projet'!$B$12,Paramètres!$A$1:$I$89,3,0)*0.475*44/12</f>
        <v>2.5036164847394224E-9</v>
      </c>
      <c r="CN110" s="24">
        <f t="shared" si="66"/>
        <v>12.813972679600028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-4.5474735088646412E-13</v>
      </c>
      <c r="CU110" s="18">
        <f>CT110*VLOOKUP('Données projet'!$B$13,Paramètres!$A$1:$I$89,3,0)*VLOOKUP('Données projet'!$B$13,Paramètres!$A$1:$I$89,5,0)</f>
        <v>-2.7193891583010558E-13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463.3255103386889</v>
      </c>
      <c r="CZ110" s="62">
        <f t="shared" si="96"/>
        <v>474.73210558736127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1.0876874045483873</v>
      </c>
      <c r="DG110" s="23">
        <f>EXP(-LN(2)/25)*DG109+(1-EXP(-LN(2)/25))/(LN(2)/25)*Calculateur!DB110*Calculateur!DD110*VLOOKUP('Données projet'!$B$13,Paramètres!$A$1:$I$89,3,0)*0.475*44/12</f>
        <v>4.0990498408614666</v>
      </c>
      <c r="DH110" s="23">
        <f>EXP(-LN(2)/2)*DH109+(1-EXP(-LN(2)/2))/(LN(2)/2)*DB110*DE110*VLOOKUP('Données projet'!$B$13,Paramètres!$A$1:$I$89,3,0)*0.475*44/12</f>
        <v>1.1220578564737255E-10</v>
      </c>
      <c r="DI110" s="24">
        <f t="shared" si="69"/>
        <v>5.1867372455220595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-1.1368683772161603E-13</v>
      </c>
      <c r="DP110" s="18">
        <f>DO110*VLOOKUP('Données projet'!$B$14,Paramètres!$A$1:$I$89,3,0)*VLOOKUP('Données projet'!$B$14,Paramètres!$A$1:$I$89,5,0)</f>
        <v>-5.3205440053716299E-14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215.23235148064941</v>
      </c>
      <c r="DU110" s="62">
        <f t="shared" si="98"/>
        <v>184.07239726900434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0.68220294479065957</v>
      </c>
      <c r="EB110" s="23">
        <f>EXP(-LN(2)/25)*EB109+(1-EXP(-LN(2)/25))/(LN(2)/25)*Calculateur!DW110*Calculateur!DY110*VLOOKUP('Données projet'!$B$14,Paramètres!$A$1:$I$89,3,0)*0.475*44/12</f>
        <v>0.92896526508445465</v>
      </c>
      <c r="EC110" s="23">
        <f>EXP(-LN(2)/2)*EC109+(1-EXP(-LN(2)/2))/(LN(2)/2)*DW110*DZ110*VLOOKUP('Données projet'!$B$14,Paramètres!$A$1:$I$89,3,0)*0.475*44/12</f>
        <v>2.5292678994592923E-11</v>
      </c>
      <c r="ED110" s="24">
        <f t="shared" si="72"/>
        <v>1.611168209900407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505.90103859331265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1.1368683772161603E-12</v>
      </c>
      <c r="O111" s="14">
        <f>N111*VLOOKUP('Données projet'!$B$9,Paramètres!$A$1:$I$89,3,0)*VLOOKUP('Données projet'!$B$9,Paramètres!$A$1:$I$89,5,0)</f>
        <v>6.3550942286383359E-13</v>
      </c>
      <c r="P111" s="14">
        <f t="shared" si="87"/>
        <v>7.6982260417614606E-12</v>
      </c>
      <c r="Q111" s="22">
        <f t="shared" si="107"/>
        <v>1.4514589267555721E-11</v>
      </c>
      <c r="R111" s="62">
        <f t="shared" si="55"/>
        <v>293.33333333334781</v>
      </c>
      <c r="S111" s="62">
        <f ca="1">AVERAGE(OFFSET($R$3,0,0,'Données projet'!$E$9+1,1))-AVERAGE(OFFSET($H$3,0,0,'Données projet'!$E$9+1,1))</f>
        <v>460.40450534123659</v>
      </c>
      <c r="T111" s="62">
        <f t="shared" si="88"/>
        <v>467.77477728479198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2.6803204681124257</v>
      </c>
      <c r="AA111" s="23">
        <f>EXP(-LN(2)/25)*AA110+(1-EXP(-LN(2)/25))/(LN(2)/25)*Calculateur!V111*Calculateur!X111*VLOOKUP('Données projet'!$B$9,Paramètres!$A$1:$I$89,3,0)*0.475*44/12</f>
        <v>5.0917548620147404</v>
      </c>
      <c r="AB111" s="23">
        <f>EXP(-LN(2)/2)*AB110+(1-EXP(-LN(2)/2))/(LN(2)/2)*V111*Y111*VLOOKUP('Données projet'!$B$9,Paramètres!$A$1:$I$89,3,0)*0.475*44/12</f>
        <v>7.3166861530187458E-11</v>
      </c>
      <c r="AC111" s="24">
        <f t="shared" si="57"/>
        <v>7.7720753302003329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5.2</v>
      </c>
      <c r="AI111" s="14">
        <f>IF('Données projet'!$A$62&gt;35,AI110+AH111-AQ110,IF(A111&lt;'Données projet'!$A$62,$AF$205^A111,IF(A111='Données projet'!$A$62,'Données projet'!$B$62,AI110+AH111-AQ110)))</f>
        <v>347.59999999999968</v>
      </c>
      <c r="AJ111" s="14">
        <f>AI111*VLOOKUP('Données projet'!$B$10,Paramètres!$A$1:$I$89,3,0)*VLOOKUP('Données projet'!$B$10,Paramètres!$A$1:$I$89,5,0)</f>
        <v>314.50847999999968</v>
      </c>
      <c r="AK111" s="14">
        <f t="shared" si="89"/>
        <v>74.209587561617383</v>
      </c>
      <c r="AL111" s="22">
        <f t="shared" si="58"/>
        <v>677.01730100314978</v>
      </c>
      <c r="AM111" s="62">
        <f t="shared" si="59"/>
        <v>970.35063433648315</v>
      </c>
      <c r="AN111" s="62">
        <f ca="1">AVERAGE(OFFSET($AM$3,0,0,'Données projet'!$E$10+1,1))-AVERAGE(OFFSET($H$3,0,0,'Données projet'!$E$10+1,1))</f>
        <v>321.03881567735544</v>
      </c>
      <c r="AO111" s="62">
        <f t="shared" si="90"/>
        <v>234.87694492493506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0.51391268479510965</v>
      </c>
      <c r="AV111" s="23">
        <f>EXP(-LN(2)/25)*AV110+(1-EXP(-LN(2)/25))/(LN(2)/25)*Calculateur!AQ111*Calculateur!AS111*VLOOKUP('Données projet'!$B$10,Paramètres!$A$1:$I$89,3,0)*0.475*44/12</f>
        <v>1.5592018140239703</v>
      </c>
      <c r="AW111" s="23">
        <f>EXP(-LN(2)/2)*AW110+(1-EXP(-LN(2)/2))/(LN(2)/2)*AQ111*AT111*VLOOKUP('Données projet'!$B$10,Paramètres!$A$1:$I$89,3,0)*0.475*44/12</f>
        <v>3.954498304425194E-11</v>
      </c>
      <c r="AX111" s="23">
        <f t="shared" si="60"/>
        <v>2.0731144988586245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255.41017495879987</v>
      </c>
      <c r="BJ111" s="62">
        <f t="shared" si="92"/>
        <v>297.50513563712764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1.7803550908699881</v>
      </c>
      <c r="BQ111" s="23">
        <f>EXP(-LN(2)/25)*BQ110+(1-EXP(-LN(2)/25))/(LN(2)/25)*Calculateur!BL111*Calculateur!BN111*VLOOKUP('Données projet'!$B$11,Paramètres!$A$1:$I$89,3,0)*0.475*44/12</f>
        <v>3.2056885113952016</v>
      </c>
      <c r="BR111" s="23">
        <f>EXP(-LN(2)/2)*BR110+(1-EXP(-LN(2)/2))/(LN(2)/2)*BL111*BO111*VLOOKUP('Données projet'!$B$11,Paramètres!$A$1:$I$89,3,0)*0.475*44/12</f>
        <v>4.438550811193978E-11</v>
      </c>
      <c r="BS111" s="24">
        <f t="shared" si="63"/>
        <v>4.9860436023095751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1.1368683772161603E-13</v>
      </c>
      <c r="BZ111" s="14">
        <f>BY111*VLOOKUP('Données projet'!$B$12,Paramètres!$A$1:$I$89,3,0)*VLOOKUP('Données projet'!$B$12,Paramètres!$A$1:$I$89,5,0)</f>
        <v>5.4683368944097308E-14</v>
      </c>
      <c r="CA111" s="14">
        <f t="shared" si="93"/>
        <v>8.8129432816788268E-13</v>
      </c>
      <c r="CB111" s="22">
        <f t="shared" si="64"/>
        <v>1.6301611558033651E-12</v>
      </c>
      <c r="CC111" s="62">
        <f t="shared" si="65"/>
        <v>293.33333333333496</v>
      </c>
      <c r="CD111" s="62">
        <f ca="1">AVERAGE(OFFSET($CC$3,0,0,'Données projet'!$E$12+1,1))-AVERAGE(OFFSET($H$3,0,0,'Données projet'!$E$12+1,1))</f>
        <v>409.97612835032567</v>
      </c>
      <c r="CE111" s="62">
        <f t="shared" si="94"/>
        <v>411.87876448092288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6.5234797581232336</v>
      </c>
      <c r="CL111" s="23">
        <f>EXP(-LN(2)/25)*CL110+(1-EXP(-LN(2)/25))/(LN(2)/25)*Calculateur!CG111*Calculateur!CI111*VLOOKUP('Données projet'!$B$12,Paramètres!$A$1:$I$89,3,0)*0.475*44/12</f>
        <v>5.9915669501493802</v>
      </c>
      <c r="CM111" s="23">
        <f>EXP(-LN(2)/2)*CM110+(1-EXP(-LN(2)/2))/(LN(2)/2)*CG111*CJ111*VLOOKUP('Données projet'!$B$12,Paramètres!$A$1:$I$89,3,0)*0.475*44/12</f>
        <v>1.7703241938496721E-9</v>
      </c>
      <c r="CN111" s="24">
        <f t="shared" si="66"/>
        <v>12.515046710042938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-4.5474735088646412E-13</v>
      </c>
      <c r="CU111" s="18">
        <f>CT111*VLOOKUP('Données projet'!$B$13,Paramètres!$A$1:$I$89,3,0)*VLOOKUP('Données projet'!$B$13,Paramètres!$A$1:$I$89,5,0)</f>
        <v>-2.7193891583010558E-13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463.3255103386889</v>
      </c>
      <c r="CZ111" s="62">
        <f t="shared" si="96"/>
        <v>474.73210558736127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1.0663585179690025</v>
      </c>
      <c r="DG111" s="23">
        <f>EXP(-LN(2)/25)*DG110+(1-EXP(-LN(2)/25))/(LN(2)/25)*Calculateur!DB111*Calculateur!DD111*VLOOKUP('Données projet'!$B$13,Paramètres!$A$1:$I$89,3,0)*0.475*44/12</f>
        <v>3.986961107403447</v>
      </c>
      <c r="DH111" s="23">
        <f>EXP(-LN(2)/2)*DH110+(1-EXP(-LN(2)/2))/(LN(2)/2)*DB111*DE111*VLOOKUP('Données projet'!$B$13,Paramètres!$A$1:$I$89,3,0)*0.475*44/12</f>
        <v>7.9341471919621313E-11</v>
      </c>
      <c r="DI111" s="24">
        <f t="shared" si="69"/>
        <v>5.0533196254517909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-1.1368683772161603E-13</v>
      </c>
      <c r="DP111" s="18">
        <f>DO111*VLOOKUP('Données projet'!$B$14,Paramètres!$A$1:$I$89,3,0)*VLOOKUP('Données projet'!$B$14,Paramètres!$A$1:$I$89,5,0)</f>
        <v>-5.3205440053716299E-14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215.23235148064941</v>
      </c>
      <c r="DU111" s="62">
        <f t="shared" si="98"/>
        <v>184.07239726900434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0.66882536114602431</v>
      </c>
      <c r="EB111" s="23">
        <f>EXP(-LN(2)/25)*EB110+(1-EXP(-LN(2)/25))/(LN(2)/25)*Calculateur!DW111*Calculateur!DY111*VLOOKUP('Données projet'!$B$14,Paramètres!$A$1:$I$89,3,0)*0.475*44/12</f>
        <v>0.90356266105856009</v>
      </c>
      <c r="EC111" s="23">
        <f>EXP(-LN(2)/2)*EC110+(1-EXP(-LN(2)/2))/(LN(2)/2)*DW111*DZ111*VLOOKUP('Données projet'!$B$14,Paramètres!$A$1:$I$89,3,0)*0.475*44/12</f>
        <v>1.7884624831451205E-11</v>
      </c>
      <c r="ED111" s="24">
        <f t="shared" si="72"/>
        <v>1.5723880222224691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507.82022577433264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1.1368683772161603E-12</v>
      </c>
      <c r="O112" s="14">
        <f>N112*VLOOKUP('Données projet'!$B$9,Paramètres!$A$1:$I$89,3,0)*VLOOKUP('Données projet'!$B$9,Paramètres!$A$1:$I$89,5,0)</f>
        <v>6.3550942286383359E-13</v>
      </c>
      <c r="P112" s="14">
        <f t="shared" si="87"/>
        <v>7.6982260417614606E-12</v>
      </c>
      <c r="Q112" s="22">
        <f t="shared" si="107"/>
        <v>1.4514589267555721E-11</v>
      </c>
      <c r="R112" s="62">
        <f t="shared" si="55"/>
        <v>293.33333333334781</v>
      </c>
      <c r="S112" s="62">
        <f ca="1">AVERAGE(OFFSET($R$3,0,0,'Données projet'!$E$9+1,1))-AVERAGE(OFFSET($H$3,0,0,'Données projet'!$E$9+1,1))</f>
        <v>460.40450534123659</v>
      </c>
      <c r="T112" s="62">
        <f t="shared" si="88"/>
        <v>467.77477728479198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2.6277610185668001</v>
      </c>
      <c r="AA112" s="23">
        <f>EXP(-LN(2)/25)*AA111+(1-EXP(-LN(2)/25))/(LN(2)/25)*Calculateur!V112*Calculateur!X112*VLOOKUP('Données projet'!$B$9,Paramètres!$A$1:$I$89,3,0)*0.475*44/12</f>
        <v>4.9525205575491968</v>
      </c>
      <c r="AB112" s="23">
        <f>EXP(-LN(2)/2)*AB111+(1-EXP(-LN(2)/2))/(LN(2)/2)*V112*Y112*VLOOKUP('Données projet'!$B$9,Paramètres!$A$1:$I$89,3,0)*0.475*44/12</f>
        <v>5.1736783946132685E-11</v>
      </c>
      <c r="AC112" s="24">
        <f t="shared" si="57"/>
        <v>7.5802815761677333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5.2</v>
      </c>
      <c r="AI112" s="14">
        <f>IF('Données projet'!$A$62&gt;35,AI111+AH112-AQ111,IF(A112&lt;'Données projet'!$A$62,$AF$205^A112,IF(A112='Données projet'!$A$62,'Données projet'!$B$62,AI111+AH112-AQ111)))</f>
        <v>352.79999999999967</v>
      </c>
      <c r="AJ112" s="14">
        <f>AI112*VLOOKUP('Données projet'!$B$10,Paramètres!$A$1:$I$89,3,0)*VLOOKUP('Données projet'!$B$10,Paramètres!$A$1:$I$89,5,0)</f>
        <v>319.21343999999971</v>
      </c>
      <c r="AK112" s="14">
        <f t="shared" si="89"/>
        <v>75.189671124171639</v>
      </c>
      <c r="AL112" s="22">
        <f t="shared" si="58"/>
        <v>686.91875187459846</v>
      </c>
      <c r="AM112" s="62">
        <f t="shared" si="59"/>
        <v>980.25208520793171</v>
      </c>
      <c r="AN112" s="62">
        <f ca="1">AVERAGE(OFFSET($AM$3,0,0,'Données projet'!$E$10+1,1))-AVERAGE(OFFSET($H$3,0,0,'Données projet'!$E$10+1,1))</f>
        <v>321.03881567735544</v>
      </c>
      <c r="AO112" s="62">
        <f t="shared" si="90"/>
        <v>234.87694492493506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0.50383517050206406</v>
      </c>
      <c r="AV112" s="23">
        <f>EXP(-LN(2)/25)*AV111+(1-EXP(-LN(2)/25))/(LN(2)/25)*Calculateur!AQ112*Calculateur!AS112*VLOOKUP('Données projet'!$B$10,Paramètres!$A$1:$I$89,3,0)*0.475*44/12</f>
        <v>1.516565358424625</v>
      </c>
      <c r="AW112" s="23">
        <f>EXP(-LN(2)/2)*AW111+(1-EXP(-LN(2)/2))/(LN(2)/2)*AQ112*AT112*VLOOKUP('Données projet'!$B$10,Paramètres!$A$1:$I$89,3,0)*0.475*44/12</f>
        <v>2.7962525672497589E-11</v>
      </c>
      <c r="AX112" s="23">
        <f t="shared" si="60"/>
        <v>2.0204005289546516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255.41017495879987</v>
      </c>
      <c r="BJ112" s="62">
        <f t="shared" si="92"/>
        <v>297.50513563712764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1.7454434134474084</v>
      </c>
      <c r="BQ112" s="23">
        <f>EXP(-LN(2)/25)*BQ111+(1-EXP(-LN(2)/25))/(LN(2)/25)*Calculateur!BL112*Calculateur!BN112*VLOOKUP('Données projet'!$B$11,Paramètres!$A$1:$I$89,3,0)*0.475*44/12</f>
        <v>3.1180287904712678</v>
      </c>
      <c r="BR112" s="23">
        <f>EXP(-LN(2)/2)*BR111+(1-EXP(-LN(2)/2))/(LN(2)/2)*BL112*BO112*VLOOKUP('Données projet'!$B$11,Paramètres!$A$1:$I$89,3,0)*0.475*44/12</f>
        <v>3.1385293772363132E-11</v>
      </c>
      <c r="BS112" s="24">
        <f t="shared" si="63"/>
        <v>4.863472203950062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1.1368683772161603E-13</v>
      </c>
      <c r="BZ112" s="14">
        <f>BY112*VLOOKUP('Données projet'!$B$12,Paramètres!$A$1:$I$89,3,0)*VLOOKUP('Données projet'!$B$12,Paramètres!$A$1:$I$89,5,0)</f>
        <v>5.4683368944097308E-14</v>
      </c>
      <c r="CA112" s="14">
        <f t="shared" si="93"/>
        <v>8.8129432816788268E-13</v>
      </c>
      <c r="CB112" s="22">
        <f t="shared" si="64"/>
        <v>1.6301611558033651E-12</v>
      </c>
      <c r="CC112" s="62">
        <f t="shared" si="65"/>
        <v>293.33333333333496</v>
      </c>
      <c r="CD112" s="62">
        <f ca="1">AVERAGE(OFFSET($CC$3,0,0,'Données projet'!$E$12+1,1))-AVERAGE(OFFSET($H$3,0,0,'Données projet'!$E$12+1,1))</f>
        <v>409.97612835032567</v>
      </c>
      <c r="CE112" s="62">
        <f t="shared" si="94"/>
        <v>411.87876448092288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6.3955582989962023</v>
      </c>
      <c r="CL112" s="23">
        <f>EXP(-LN(2)/25)*CL111+(1-EXP(-LN(2)/25))/(LN(2)/25)*Calculateur!CG112*Calculateur!CI112*VLOOKUP('Données projet'!$B$12,Paramètres!$A$1:$I$89,3,0)*0.475*44/12</f>
        <v>5.8277272368147335</v>
      </c>
      <c r="CM112" s="23">
        <f>EXP(-LN(2)/2)*CM111+(1-EXP(-LN(2)/2))/(LN(2)/2)*CG112*CJ112*VLOOKUP('Données projet'!$B$12,Paramètres!$A$1:$I$89,3,0)*0.475*44/12</f>
        <v>1.2518082423697112E-9</v>
      </c>
      <c r="CN112" s="24">
        <f t="shared" si="66"/>
        <v>12.223285537062743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-4.5474735088646412E-13</v>
      </c>
      <c r="CU112" s="18">
        <f>CT112*VLOOKUP('Données projet'!$B$13,Paramètres!$A$1:$I$89,3,0)*VLOOKUP('Données projet'!$B$13,Paramètres!$A$1:$I$89,5,0)</f>
        <v>-2.7193891583010558E-13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463.3255103386889</v>
      </c>
      <c r="CZ112" s="62">
        <f t="shared" si="96"/>
        <v>474.73210558736127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1.0454478778461032</v>
      </c>
      <c r="DG112" s="23">
        <f>EXP(-LN(2)/25)*DG111+(1-EXP(-LN(2)/25))/(LN(2)/25)*Calculateur!DB112*Calculateur!DD112*VLOOKUP('Données projet'!$B$13,Paramètres!$A$1:$I$89,3,0)*0.475*44/12</f>
        <v>3.8779374462563276</v>
      </c>
      <c r="DH112" s="23">
        <f>EXP(-LN(2)/2)*DH111+(1-EXP(-LN(2)/2))/(LN(2)/2)*DB112*DE112*VLOOKUP('Données projet'!$B$13,Paramètres!$A$1:$I$89,3,0)*0.475*44/12</f>
        <v>5.6102892823686273E-11</v>
      </c>
      <c r="DI112" s="24">
        <f t="shared" si="69"/>
        <v>4.9233853241585335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-1.1368683772161603E-13</v>
      </c>
      <c r="DP112" s="18">
        <f>DO112*VLOOKUP('Données projet'!$B$14,Paramètres!$A$1:$I$89,3,0)*VLOOKUP('Données projet'!$B$14,Paramètres!$A$1:$I$89,5,0)</f>
        <v>-5.3205440053716299E-14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215.23235148064941</v>
      </c>
      <c r="DU112" s="62">
        <f t="shared" si="98"/>
        <v>184.07239726900434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0.65571010375714001</v>
      </c>
      <c r="EB112" s="23">
        <f>EXP(-LN(2)/25)*EB111+(1-EXP(-LN(2)/25))/(LN(2)/25)*Calculateur!DW112*Calculateur!DY112*VLOOKUP('Données projet'!$B$14,Paramètres!$A$1:$I$89,3,0)*0.475*44/12</f>
        <v>0.87885469257561855</v>
      </c>
      <c r="EC112" s="23">
        <f>EXP(-LN(2)/2)*EC111+(1-EXP(-LN(2)/2))/(LN(2)/2)*DW112*DZ112*VLOOKUP('Données projet'!$B$14,Paramètres!$A$1:$I$89,3,0)*0.475*44/12</f>
        <v>1.2646339497296462E-11</v>
      </c>
      <c r="ED112" s="24">
        <f t="shared" si="72"/>
        <v>1.5345647963454048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509.73901751046503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1.1368683772161603E-12</v>
      </c>
      <c r="O113" s="14">
        <f>N113*VLOOKUP('Données projet'!$B$9,Paramètres!$A$1:$I$89,3,0)*VLOOKUP('Données projet'!$B$9,Paramètres!$A$1:$I$89,5,0)</f>
        <v>6.3550942286383359E-13</v>
      </c>
      <c r="P113" s="14">
        <f t="shared" si="87"/>
        <v>7.6982260417614606E-12</v>
      </c>
      <c r="Q113" s="22">
        <f t="shared" si="107"/>
        <v>1.4514589267555721E-11</v>
      </c>
      <c r="R113" s="62">
        <f t="shared" si="55"/>
        <v>293.33333333334781</v>
      </c>
      <c r="S113" s="62">
        <f ca="1">AVERAGE(OFFSET($R$3,0,0,'Données projet'!$E$9+1,1))-AVERAGE(OFFSET($H$3,0,0,'Données projet'!$E$9+1,1))</f>
        <v>460.40450534123659</v>
      </c>
      <c r="T113" s="62">
        <f t="shared" si="88"/>
        <v>467.77477728479198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2.5762322277686653</v>
      </c>
      <c r="AA113" s="23">
        <f>EXP(-LN(2)/25)*AA112+(1-EXP(-LN(2)/25))/(LN(2)/25)*Calculateur!V113*Calculateur!X113*VLOOKUP('Données projet'!$B$9,Paramètres!$A$1:$I$89,3,0)*0.475*44/12</f>
        <v>4.817093622461277</v>
      </c>
      <c r="AB113" s="23">
        <f>EXP(-LN(2)/2)*AB112+(1-EXP(-LN(2)/2))/(LN(2)/2)*V113*Y113*VLOOKUP('Données projet'!$B$9,Paramètres!$A$1:$I$89,3,0)*0.475*44/12</f>
        <v>3.6583430765093729E-11</v>
      </c>
      <c r="AC113" s="24">
        <f t="shared" si="57"/>
        <v>7.3933258502665256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358</v>
      </c>
      <c r="AG113" s="13">
        <f>VLOOKUP(A113,'Données projet'!$A$61:$I$81,9,0)</f>
        <v>5.2</v>
      </c>
      <c r="AH113" s="13">
        <f t="array" ref="AH113">INDEX(AG:AG,MIN(IF(ISNUMBER(AG113:AG309),ROW(AG113:AG309),"")))</f>
        <v>5.2</v>
      </c>
      <c r="AI113" s="14">
        <f>IF('Données projet'!$A$62&gt;35,AI112+AH113-AQ112,IF(A113&lt;'Données projet'!$A$62,$AF$205^A113,IF(A113='Données projet'!$A$62,'Données projet'!$B$62,AI112+AH113-AQ112)))</f>
        <v>357.99999999999966</v>
      </c>
      <c r="AJ113" s="14">
        <f>AI113*VLOOKUP('Données projet'!$B$10,Paramètres!$A$1:$I$89,3,0)*VLOOKUP('Données projet'!$B$10,Paramètres!$A$1:$I$89,5,0)</f>
        <v>323.91839999999968</v>
      </c>
      <c r="AK113" s="14">
        <f t="shared" si="89"/>
        <v>76.168074587293034</v>
      </c>
      <c r="AL113" s="22">
        <f t="shared" si="58"/>
        <v>696.8172765728682</v>
      </c>
      <c r="AM113" s="62">
        <f t="shared" si="59"/>
        <v>990.15060990620145</v>
      </c>
      <c r="AN113" s="62">
        <f ca="1">AVERAGE(OFFSET($AM$3,0,0,'Données projet'!$E$10+1,1))-AVERAGE(OFFSET($H$3,0,0,'Données projet'!$E$10+1,1))</f>
        <v>321.03881567735544</v>
      </c>
      <c r="AO113" s="62">
        <f t="shared" si="90"/>
        <v>234.87694492493506</v>
      </c>
      <c r="AP113" s="16">
        <f>IF(ISNA(VLOOKUP(A113,'Données projet'!$A$61:$I$81,3,0)),0,VLOOKUP(A113,'Données projet'!$A$61:$I$81,3,0))</f>
        <v>10</v>
      </c>
      <c r="AQ113" s="16">
        <f>IF(ISNA(VLOOKUP(A113,'Données projet'!$A$61:$I$81,4,0)),0,VLOOKUP(A113,'Données projet'!$A$61:$I$81,4,0))</f>
        <v>51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0.49395527011762835</v>
      </c>
      <c r="AV113" s="23">
        <f>EXP(-LN(2)/25)*AV112+(1-EXP(-LN(2)/25))/(LN(2)/25)*Calculateur!AQ113*Calculateur!AS113*VLOOKUP('Données projet'!$B$10,Paramètres!$A$1:$I$89,3,0)*0.475*44/12</f>
        <v>1.4750947989457976</v>
      </c>
      <c r="AW113" s="23">
        <f>EXP(-LN(2)/2)*AW112+(1-EXP(-LN(2)/2))/(LN(2)/2)*AQ113*AT113*VLOOKUP('Données projet'!$B$10,Paramètres!$A$1:$I$89,3,0)*0.475*44/12</f>
        <v>1.977249152212597E-11</v>
      </c>
      <c r="AX113" s="23">
        <f t="shared" si="60"/>
        <v>1.9690500690831985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255.41017495879987</v>
      </c>
      <c r="BJ113" s="62">
        <f t="shared" si="92"/>
        <v>297.50513563712764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1.7112163327250649</v>
      </c>
      <c r="BQ113" s="23">
        <f>EXP(-LN(2)/25)*BQ112+(1-EXP(-LN(2)/25))/(LN(2)/25)*Calculateur!BL113*Calculateur!BN113*VLOOKUP('Données projet'!$B$11,Paramètres!$A$1:$I$89,3,0)*0.475*44/12</f>
        <v>3.0327661292258234</v>
      </c>
      <c r="BR113" s="23">
        <f>EXP(-LN(2)/2)*BR112+(1-EXP(-LN(2)/2))/(LN(2)/2)*BL113*BO113*VLOOKUP('Données projet'!$B$11,Paramètres!$A$1:$I$89,3,0)*0.475*44/12</f>
        <v>2.219275405596989E-11</v>
      </c>
      <c r="BS113" s="24">
        <f t="shared" si="63"/>
        <v>4.743982461973081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1.1368683772161603E-13</v>
      </c>
      <c r="BZ113" s="14">
        <f>BY113*VLOOKUP('Données projet'!$B$12,Paramètres!$A$1:$I$89,3,0)*VLOOKUP('Données projet'!$B$12,Paramètres!$A$1:$I$89,5,0)</f>
        <v>5.4683368944097308E-14</v>
      </c>
      <c r="CA113" s="14">
        <f t="shared" si="93"/>
        <v>8.8129432816788268E-13</v>
      </c>
      <c r="CB113" s="22">
        <f t="shared" si="64"/>
        <v>1.6301611558033651E-12</v>
      </c>
      <c r="CC113" s="62">
        <f t="shared" si="65"/>
        <v>293.33333333333496</v>
      </c>
      <c r="CD113" s="62">
        <f ca="1">AVERAGE(OFFSET($CC$3,0,0,'Données projet'!$E$12+1,1))-AVERAGE(OFFSET($H$3,0,0,'Données projet'!$E$12+1,1))</f>
        <v>409.97612835032567</v>
      </c>
      <c r="CE113" s="62">
        <f t="shared" si="94"/>
        <v>411.87876448092288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6.2701453016582667</v>
      </c>
      <c r="CL113" s="23">
        <f>EXP(-LN(2)/25)*CL112+(1-EXP(-LN(2)/25))/(LN(2)/25)*Calculateur!CG113*Calculateur!CI113*VLOOKUP('Données projet'!$B$12,Paramètres!$A$1:$I$89,3,0)*0.475*44/12</f>
        <v>5.668367729057179</v>
      </c>
      <c r="CM113" s="23">
        <f>EXP(-LN(2)/2)*CM112+(1-EXP(-LN(2)/2))/(LN(2)/2)*CG113*CJ113*VLOOKUP('Données projet'!$B$12,Paramètres!$A$1:$I$89,3,0)*0.475*44/12</f>
        <v>8.8516209692483605E-10</v>
      </c>
      <c r="CN113" s="24">
        <f t="shared" si="66"/>
        <v>11.938513031600607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-4.5474735088646412E-13</v>
      </c>
      <c r="CU113" s="18">
        <f>CT113*VLOOKUP('Données projet'!$B$13,Paramètres!$A$1:$I$89,3,0)*VLOOKUP('Données projet'!$B$13,Paramètres!$A$1:$I$89,5,0)</f>
        <v>-2.7193891583010558E-13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463.3255103386889</v>
      </c>
      <c r="CZ113" s="62">
        <f t="shared" si="96"/>
        <v>474.73210558736127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1.0249472826217829</v>
      </c>
      <c r="DG113" s="23">
        <f>EXP(-LN(2)/25)*DG112+(1-EXP(-LN(2)/25))/(LN(2)/25)*Calculateur!DB113*Calculateur!DD113*VLOOKUP('Données projet'!$B$13,Paramètres!$A$1:$I$89,3,0)*0.475*44/12</f>
        <v>3.7718950428565812</v>
      </c>
      <c r="DH113" s="23">
        <f>EXP(-LN(2)/2)*DH112+(1-EXP(-LN(2)/2))/(LN(2)/2)*DB113*DE113*VLOOKUP('Données projet'!$B$13,Paramètres!$A$1:$I$89,3,0)*0.475*44/12</f>
        <v>3.9670735959810656E-11</v>
      </c>
      <c r="DI113" s="24">
        <f t="shared" si="69"/>
        <v>4.7968423255180346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-1.1368683772161603E-13</v>
      </c>
      <c r="DP113" s="18">
        <f>DO113*VLOOKUP('Données projet'!$B$14,Paramètres!$A$1:$I$89,3,0)*VLOOKUP('Données projet'!$B$14,Paramètres!$A$1:$I$89,5,0)</f>
        <v>-5.3205440053716299E-14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215.23235148064941</v>
      </c>
      <c r="DU113" s="62">
        <f t="shared" si="98"/>
        <v>184.07239726900434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0.64285202856613466</v>
      </c>
      <c r="EB113" s="23">
        <f>EXP(-LN(2)/25)*EB112+(1-EXP(-LN(2)/25))/(LN(2)/25)*Calculateur!DW113*Calculateur!DY113*VLOOKUP('Données projet'!$B$14,Paramètres!$A$1:$I$89,3,0)*0.475*44/12</f>
        <v>0.85482236479017859</v>
      </c>
      <c r="EC113" s="23">
        <f>EXP(-LN(2)/2)*EC112+(1-EXP(-LN(2)/2))/(LN(2)/2)*DW113*DZ113*VLOOKUP('Données projet'!$B$14,Paramètres!$A$1:$I$89,3,0)*0.475*44/12</f>
        <v>8.9423124157256024E-12</v>
      </c>
      <c r="ED113" s="24">
        <f t="shared" si="72"/>
        <v>1.4976743933652557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511.6574178131043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1.1368683772161603E-12</v>
      </c>
      <c r="O114" s="14">
        <f>N114*VLOOKUP('Données projet'!$B$9,Paramètres!$A$1:$I$89,3,0)*VLOOKUP('Données projet'!$B$9,Paramètres!$A$1:$I$89,5,0)</f>
        <v>6.3550942286383359E-13</v>
      </c>
      <c r="P114" s="14">
        <f t="shared" si="87"/>
        <v>7.6982260417614606E-12</v>
      </c>
      <c r="Q114" s="22">
        <f t="shared" si="107"/>
        <v>1.4514589267555721E-11</v>
      </c>
      <c r="R114" s="62">
        <f t="shared" si="55"/>
        <v>293.33333333334781</v>
      </c>
      <c r="S114" s="62">
        <f ca="1">AVERAGE(OFFSET($R$3,0,0,'Données projet'!$E$9+1,1))-AVERAGE(OFFSET($H$3,0,0,'Données projet'!$E$9+1,1))</f>
        <v>460.40450534123659</v>
      </c>
      <c r="T114" s="62">
        <f t="shared" si="88"/>
        <v>467.77477728479198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2.5257138851286234</v>
      </c>
      <c r="AA114" s="23">
        <f>EXP(-LN(2)/25)*AA113+(1-EXP(-LN(2)/25))/(LN(2)/25)*Calculateur!V114*Calculateur!X114*VLOOKUP('Données projet'!$B$9,Paramètres!$A$1:$I$89,3,0)*0.475*44/12</f>
        <v>4.6853699440351297</v>
      </c>
      <c r="AB114" s="23">
        <f>EXP(-LN(2)/2)*AB113+(1-EXP(-LN(2)/2))/(LN(2)/2)*V114*Y114*VLOOKUP('Données projet'!$B$9,Paramètres!$A$1:$I$89,3,0)*0.475*44/12</f>
        <v>2.5868391973066343E-11</v>
      </c>
      <c r="AC114" s="24">
        <f t="shared" si="57"/>
        <v>7.2110838291896213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5.4</v>
      </c>
      <c r="AI114" s="14">
        <f>IF('Données projet'!$A$62&gt;35,AI113+AH114-AQ113,IF(A114&lt;'Données projet'!$A$62,$AF$205^A114,IF(A114='Données projet'!$A$62,'Données projet'!$B$62,AI113+AH114-AQ113)))</f>
        <v>312.39999999999964</v>
      </c>
      <c r="AJ114" s="14">
        <f>AI114*VLOOKUP('Données projet'!$B$10,Paramètres!$A$1:$I$89,3,0)*VLOOKUP('Données projet'!$B$10,Paramètres!$A$1:$I$89,5,0)</f>
        <v>282.65951999999965</v>
      </c>
      <c r="AK114" s="14">
        <f t="shared" si="89"/>
        <v>67.528732309967268</v>
      </c>
      <c r="AL114" s="22">
        <f t="shared" si="58"/>
        <v>609.91120610652558</v>
      </c>
      <c r="AM114" s="62">
        <f t="shared" si="59"/>
        <v>903.24453943985895</v>
      </c>
      <c r="AN114" s="62">
        <f ca="1">AVERAGE(OFFSET($AM$3,0,0,'Données projet'!$E$10+1,1))-AVERAGE(OFFSET($H$3,0,0,'Données projet'!$E$10+1,1))</f>
        <v>321.03881567735544</v>
      </c>
      <c r="AO114" s="62">
        <f t="shared" si="90"/>
        <v>234.87694492493506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0.48426910855358724</v>
      </c>
      <c r="AV114" s="23">
        <f>EXP(-LN(2)/25)*AV113+(1-EXP(-LN(2)/25))/(LN(2)/25)*Calculateur!AQ114*Calculateur!AS114*VLOOKUP('Données projet'!$B$10,Paramètres!$A$1:$I$89,3,0)*0.475*44/12</f>
        <v>1.4347582540967607</v>
      </c>
      <c r="AW114" s="23">
        <f>EXP(-LN(2)/2)*AW113+(1-EXP(-LN(2)/2))/(LN(2)/2)*AQ114*AT114*VLOOKUP('Données projet'!$B$10,Paramètres!$A$1:$I$89,3,0)*0.475*44/12</f>
        <v>1.3981262836248795E-11</v>
      </c>
      <c r="AX114" s="23">
        <f t="shared" si="60"/>
        <v>1.9190273626643293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255.41017495879987</v>
      </c>
      <c r="BJ114" s="62">
        <f t="shared" si="92"/>
        <v>297.50513563712764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1.6776604241792288</v>
      </c>
      <c r="BQ114" s="23">
        <f>EXP(-LN(2)/25)*BQ113+(1-EXP(-LN(2)/25))/(LN(2)/25)*Calculateur!BL114*Calculateur!BN114*VLOOKUP('Données projet'!$B$11,Paramètres!$A$1:$I$89,3,0)*0.475*44/12</f>
        <v>2.949834979935904</v>
      </c>
      <c r="BR114" s="23">
        <f>EXP(-LN(2)/2)*BR113+(1-EXP(-LN(2)/2))/(LN(2)/2)*BL114*BO114*VLOOKUP('Données projet'!$B$11,Paramètres!$A$1:$I$89,3,0)*0.475*44/12</f>
        <v>1.5692646886181566E-11</v>
      </c>
      <c r="BS114" s="24">
        <f t="shared" si="63"/>
        <v>4.6274954041308254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1.1368683772161603E-13</v>
      </c>
      <c r="BZ114" s="14">
        <f>BY114*VLOOKUP('Données projet'!$B$12,Paramètres!$A$1:$I$89,3,0)*VLOOKUP('Données projet'!$B$12,Paramètres!$A$1:$I$89,5,0)</f>
        <v>5.4683368944097308E-14</v>
      </c>
      <c r="CA114" s="14">
        <f t="shared" si="93"/>
        <v>8.8129432816788268E-13</v>
      </c>
      <c r="CB114" s="22">
        <f t="shared" si="64"/>
        <v>1.6301611558033651E-12</v>
      </c>
      <c r="CC114" s="62">
        <f t="shared" si="65"/>
        <v>293.33333333333496</v>
      </c>
      <c r="CD114" s="62">
        <f ca="1">AVERAGE(OFFSET($CC$3,0,0,'Données projet'!$E$12+1,1))-AVERAGE(OFFSET($H$3,0,0,'Données projet'!$E$12+1,1))</f>
        <v>409.97612835032567</v>
      </c>
      <c r="CE114" s="62">
        <f t="shared" si="94"/>
        <v>411.87876448092288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6.1471915767037526</v>
      </c>
      <c r="CL114" s="23">
        <f>EXP(-LN(2)/25)*CL113+(1-EXP(-LN(2)/25))/(LN(2)/25)*Calculateur!CG114*Calculateur!CI114*VLOOKUP('Données projet'!$B$12,Paramètres!$A$1:$I$89,3,0)*0.475*44/12</f>
        <v>5.5133659154196071</v>
      </c>
      <c r="CM114" s="23">
        <f>EXP(-LN(2)/2)*CM113+(1-EXP(-LN(2)/2))/(LN(2)/2)*CG114*CJ114*VLOOKUP('Données projet'!$B$12,Paramètres!$A$1:$I$89,3,0)*0.475*44/12</f>
        <v>6.2590412118485561E-10</v>
      </c>
      <c r="CN114" s="24">
        <f t="shared" si="66"/>
        <v>11.660557492749264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-4.5474735088646412E-13</v>
      </c>
      <c r="CU114" s="18">
        <f>CT114*VLOOKUP('Données projet'!$B$13,Paramètres!$A$1:$I$89,3,0)*VLOOKUP('Données projet'!$B$13,Paramètres!$A$1:$I$89,5,0)</f>
        <v>-2.7193891583010558E-13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463.3255103386889</v>
      </c>
      <c r="CZ114" s="62">
        <f t="shared" si="96"/>
        <v>474.73210558736127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1.0048486915656831</v>
      </c>
      <c r="DG114" s="23">
        <f>EXP(-LN(2)/25)*DG113+(1-EXP(-LN(2)/25))/(LN(2)/25)*Calculateur!DB114*Calculateur!DD114*VLOOKUP('Données projet'!$B$13,Paramètres!$A$1:$I$89,3,0)*0.475*44/12</f>
        <v>3.6687523745543285</v>
      </c>
      <c r="DH114" s="23">
        <f>EXP(-LN(2)/2)*DH113+(1-EXP(-LN(2)/2))/(LN(2)/2)*DB114*DE114*VLOOKUP('Données projet'!$B$13,Paramètres!$A$1:$I$89,3,0)*0.475*44/12</f>
        <v>2.8051446411843137E-11</v>
      </c>
      <c r="DI114" s="24">
        <f t="shared" si="69"/>
        <v>4.6736010661480627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-1.1368683772161603E-13</v>
      </c>
      <c r="DP114" s="18">
        <f>DO114*VLOOKUP('Données projet'!$B$14,Paramètres!$A$1:$I$89,3,0)*VLOOKUP('Données projet'!$B$14,Paramètres!$A$1:$I$89,5,0)</f>
        <v>-5.3205440053716299E-14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215.23235148064941</v>
      </c>
      <c r="DU114" s="62">
        <f t="shared" si="98"/>
        <v>184.07239726900434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0.63024609238697338</v>
      </c>
      <c r="EB114" s="23">
        <f>EXP(-LN(2)/25)*EB113+(1-EXP(-LN(2)/25))/(LN(2)/25)*Calculateur!DW114*Calculateur!DY114*VLOOKUP('Données projet'!$B$14,Paramètres!$A$1:$I$89,3,0)*0.475*44/12</f>
        <v>0.83144720227183666</v>
      </c>
      <c r="EC114" s="23">
        <f>EXP(-LN(2)/2)*EC113+(1-EXP(-LN(2)/2))/(LN(2)/2)*DW114*DZ114*VLOOKUP('Données projet'!$B$14,Paramètres!$A$1:$I$89,3,0)*0.475*44/12</f>
        <v>6.3231697486482308E-12</v>
      </c>
      <c r="ED114" s="24">
        <f t="shared" si="72"/>
        <v>1.4616932946651333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513.57543061719775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1.1368683772161603E-12</v>
      </c>
      <c r="O115" s="14">
        <f>N115*VLOOKUP('Données projet'!$B$9,Paramètres!$A$1:$I$89,3,0)*VLOOKUP('Données projet'!$B$9,Paramètres!$A$1:$I$89,5,0)</f>
        <v>6.3550942286383359E-13</v>
      </c>
      <c r="P115" s="14">
        <f t="shared" si="87"/>
        <v>7.6982260417614606E-12</v>
      </c>
      <c r="Q115" s="22">
        <f t="shared" si="107"/>
        <v>1.4514589267555721E-11</v>
      </c>
      <c r="R115" s="62">
        <f t="shared" si="55"/>
        <v>293.33333333334781</v>
      </c>
      <c r="S115" s="62">
        <f ca="1">AVERAGE(OFFSET($R$3,0,0,'Données projet'!$E$9+1,1))-AVERAGE(OFFSET($H$3,0,0,'Données projet'!$E$9+1,1))</f>
        <v>460.40450534123659</v>
      </c>
      <c r="T115" s="62">
        <f t="shared" si="88"/>
        <v>467.77477728479198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2.4761861763746058</v>
      </c>
      <c r="AA115" s="23">
        <f>EXP(-LN(2)/25)*AA114+(1-EXP(-LN(2)/25))/(LN(2)/25)*Calculateur!V115*Calculateur!X115*VLOOKUP('Données projet'!$B$9,Paramètres!$A$1:$I$89,3,0)*0.475*44/12</f>
        <v>4.557248256522592</v>
      </c>
      <c r="AB115" s="23">
        <f>EXP(-LN(2)/2)*AB114+(1-EXP(-LN(2)/2))/(LN(2)/2)*V115*Y115*VLOOKUP('Données projet'!$B$9,Paramètres!$A$1:$I$89,3,0)*0.475*44/12</f>
        <v>1.8291715382546864E-11</v>
      </c>
      <c r="AC115" s="24">
        <f t="shared" si="57"/>
        <v>7.0334344329154899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5.4</v>
      </c>
      <c r="AI115" s="14">
        <f>IF('Données projet'!$A$62&gt;35,AI114+AH115-AQ114,IF(A115&lt;'Données projet'!$A$62,$AF$205^A115,IF(A115='Données projet'!$A$62,'Données projet'!$B$62,AI114+AH115-AQ114)))</f>
        <v>317.79999999999961</v>
      </c>
      <c r="AJ115" s="14">
        <f>AI115*VLOOKUP('Données projet'!$B$10,Paramètres!$A$1:$I$89,3,0)*VLOOKUP('Données projet'!$B$10,Paramètres!$A$1:$I$89,5,0)</f>
        <v>287.54543999999964</v>
      </c>
      <c r="AK115" s="14">
        <f t="shared" si="89"/>
        <v>68.559101107635655</v>
      </c>
      <c r="AL115" s="22">
        <f t="shared" si="58"/>
        <v>620.21540909579812</v>
      </c>
      <c r="AM115" s="62">
        <f t="shared" si="59"/>
        <v>913.54874242913138</v>
      </c>
      <c r="AN115" s="62">
        <f ca="1">AVERAGE(OFFSET($AM$3,0,0,'Données projet'!$E$10+1,1))-AVERAGE(OFFSET($H$3,0,0,'Données projet'!$E$10+1,1))</f>
        <v>321.03881567735544</v>
      </c>
      <c r="AO115" s="62">
        <f t="shared" si="90"/>
        <v>234.87694492493506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0.47477288670984175</v>
      </c>
      <c r="AV115" s="23">
        <f>EXP(-LN(2)/25)*AV114+(1-EXP(-LN(2)/25))/(LN(2)/25)*Calculateur!AQ115*Calculateur!AS115*VLOOKUP('Données projet'!$B$10,Paramètres!$A$1:$I$89,3,0)*0.475*44/12</f>
        <v>1.3955247141878273</v>
      </c>
      <c r="AW115" s="23">
        <f>EXP(-LN(2)/2)*AW114+(1-EXP(-LN(2)/2))/(LN(2)/2)*AQ115*AT115*VLOOKUP('Données projet'!$B$10,Paramètres!$A$1:$I$89,3,0)*0.475*44/12</f>
        <v>9.8862457610629851E-12</v>
      </c>
      <c r="AX115" s="23">
        <f t="shared" si="60"/>
        <v>1.8702976009075554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255.41017495879987</v>
      </c>
      <c r="BJ115" s="62">
        <f t="shared" si="92"/>
        <v>297.50513563712764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1.6447625265328931</v>
      </c>
      <c r="BQ115" s="23">
        <f>EXP(-LN(2)/25)*BQ114+(1-EXP(-LN(2)/25))/(LN(2)/25)*Calculateur!BL115*Calculateur!BN115*VLOOKUP('Données projet'!$B$11,Paramètres!$A$1:$I$89,3,0)*0.475*44/12</f>
        <v>2.8691715872844772</v>
      </c>
      <c r="BR115" s="23">
        <f>EXP(-LN(2)/2)*BR114+(1-EXP(-LN(2)/2))/(LN(2)/2)*BL115*BO115*VLOOKUP('Données projet'!$B$11,Paramètres!$A$1:$I$89,3,0)*0.475*44/12</f>
        <v>1.1096377027984945E-11</v>
      </c>
      <c r="BS115" s="24">
        <f t="shared" si="63"/>
        <v>4.5139341138284665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1.1368683772161603E-13</v>
      </c>
      <c r="BZ115" s="14">
        <f>BY115*VLOOKUP('Données projet'!$B$12,Paramètres!$A$1:$I$89,3,0)*VLOOKUP('Données projet'!$B$12,Paramètres!$A$1:$I$89,5,0)</f>
        <v>5.4683368944097308E-14</v>
      </c>
      <c r="CA115" s="14">
        <f t="shared" si="93"/>
        <v>8.8129432816788268E-13</v>
      </c>
      <c r="CB115" s="22">
        <f t="shared" si="64"/>
        <v>1.6301611558033651E-12</v>
      </c>
      <c r="CC115" s="62">
        <f t="shared" si="65"/>
        <v>293.33333333333496</v>
      </c>
      <c r="CD115" s="62">
        <f ca="1">AVERAGE(OFFSET($CC$3,0,0,'Données projet'!$E$12+1,1))-AVERAGE(OFFSET($H$3,0,0,'Données projet'!$E$12+1,1))</f>
        <v>409.97612835032567</v>
      </c>
      <c r="CE115" s="62">
        <f t="shared" si="94"/>
        <v>411.87876448092288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6.0266488993012297</v>
      </c>
      <c r="CL115" s="23">
        <f>EXP(-LN(2)/25)*CL114+(1-EXP(-LN(2)/25))/(LN(2)/25)*Calculateur!CG115*Calculateur!CI115*VLOOKUP('Données projet'!$B$12,Paramètres!$A$1:$I$89,3,0)*0.475*44/12</f>
        <v>5.3626026345271454</v>
      </c>
      <c r="CM115" s="23">
        <f>EXP(-LN(2)/2)*CM114+(1-EXP(-LN(2)/2))/(LN(2)/2)*CG115*CJ115*VLOOKUP('Données projet'!$B$12,Paramètres!$A$1:$I$89,3,0)*0.475*44/12</f>
        <v>4.4258104846241802E-10</v>
      </c>
      <c r="CN115" s="24">
        <f t="shared" si="66"/>
        <v>11.389251534270956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-4.5474735088646412E-13</v>
      </c>
      <c r="CU115" s="18">
        <f>CT115*VLOOKUP('Données projet'!$B$13,Paramètres!$A$1:$I$89,3,0)*VLOOKUP('Données projet'!$B$13,Paramètres!$A$1:$I$89,5,0)</f>
        <v>-2.7193891583010558E-13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463.3255103386889</v>
      </c>
      <c r="CZ115" s="62">
        <f t="shared" si="96"/>
        <v>474.73210558736127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0.98514422162126336</v>
      </c>
      <c r="DG115" s="23">
        <f>EXP(-LN(2)/25)*DG114+(1-EXP(-LN(2)/25))/(LN(2)/25)*Calculateur!DB115*Calculateur!DD115*VLOOKUP('Données projet'!$B$13,Paramètres!$A$1:$I$89,3,0)*0.475*44/12</f>
        <v>3.568430147940838</v>
      </c>
      <c r="DH115" s="23">
        <f>EXP(-LN(2)/2)*DH114+(1-EXP(-LN(2)/2))/(LN(2)/2)*DB115*DE115*VLOOKUP('Données projet'!$B$13,Paramètres!$A$1:$I$89,3,0)*0.475*44/12</f>
        <v>1.9835367979905328E-11</v>
      </c>
      <c r="DI115" s="24">
        <f t="shared" si="69"/>
        <v>4.5535743695819368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-1.1368683772161603E-13</v>
      </c>
      <c r="DP115" s="18">
        <f>DO115*VLOOKUP('Données projet'!$B$14,Paramètres!$A$1:$I$89,3,0)*VLOOKUP('Données projet'!$B$14,Paramètres!$A$1:$I$89,5,0)</f>
        <v>-5.3205440053716299E-14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215.23235148064941</v>
      </c>
      <c r="DU115" s="62">
        <f t="shared" si="98"/>
        <v>184.07239726900434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0.61788735092742364</v>
      </c>
      <c r="EB115" s="23">
        <f>EXP(-LN(2)/25)*EB114+(1-EXP(-LN(2)/25))/(LN(2)/25)*Calculateur!DW115*Calculateur!DY115*VLOOKUP('Données projet'!$B$14,Paramètres!$A$1:$I$89,3,0)*0.475*44/12</f>
        <v>0.80871123480180518</v>
      </c>
      <c r="EC115" s="23">
        <f>EXP(-LN(2)/2)*EC114+(1-EXP(-LN(2)/2))/(LN(2)/2)*DW115*DZ115*VLOOKUP('Données projet'!$B$14,Paramètres!$A$1:$I$89,3,0)*0.475*44/12</f>
        <v>4.4711562078628012E-12</v>
      </c>
      <c r="ED115" s="24">
        <f t="shared" si="72"/>
        <v>1.4265985857337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515.49305978337225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1.1368683772161603E-12</v>
      </c>
      <c r="O116" s="14">
        <f>N116*VLOOKUP('Données projet'!$B$9,Paramètres!$A$1:$I$89,3,0)*VLOOKUP('Données projet'!$B$9,Paramètres!$A$1:$I$89,5,0)</f>
        <v>6.3550942286383359E-13</v>
      </c>
      <c r="P116" s="14">
        <f t="shared" si="87"/>
        <v>7.6982260417614606E-12</v>
      </c>
      <c r="Q116" s="22">
        <f t="shared" si="107"/>
        <v>1.4514589267555721E-11</v>
      </c>
      <c r="R116" s="62">
        <f t="shared" si="55"/>
        <v>293.33333333334781</v>
      </c>
      <c r="S116" s="62">
        <f ca="1">AVERAGE(OFFSET($R$3,0,0,'Données projet'!$E$9+1,1))-AVERAGE(OFFSET($H$3,0,0,'Données projet'!$E$9+1,1))</f>
        <v>460.40450534123659</v>
      </c>
      <c r="T116" s="62">
        <f t="shared" si="88"/>
        <v>467.77477728479198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2.4276296757803353</v>
      </c>
      <c r="AA116" s="23">
        <f>EXP(-LN(2)/25)*AA115+(1-EXP(-LN(2)/25))/(LN(2)/25)*Calculateur!V116*Calculateur!X116*VLOOKUP('Données projet'!$B$9,Paramètres!$A$1:$I$89,3,0)*0.475*44/12</f>
        <v>4.432630063292712</v>
      </c>
      <c r="AB116" s="23">
        <f>EXP(-LN(2)/2)*AB115+(1-EXP(-LN(2)/2))/(LN(2)/2)*V116*Y116*VLOOKUP('Données projet'!$B$9,Paramètres!$A$1:$I$89,3,0)*0.475*44/12</f>
        <v>1.2934195986533171E-11</v>
      </c>
      <c r="AC116" s="24">
        <f t="shared" si="57"/>
        <v>6.8602597390859819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5.4</v>
      </c>
      <c r="AI116" s="14">
        <f>IF('Données projet'!$A$62&gt;35,AI115+AH116-AQ115,IF(A116&lt;'Données projet'!$A$62,$AF$205^A116,IF(A116='Données projet'!$A$62,'Données projet'!$B$62,AI115+AH116-AQ115)))</f>
        <v>323.19999999999959</v>
      </c>
      <c r="AJ116" s="14">
        <f>AI116*VLOOKUP('Données projet'!$B$10,Paramètres!$A$1:$I$89,3,0)*VLOOKUP('Données projet'!$B$10,Paramètres!$A$1:$I$89,5,0)</f>
        <v>292.43135999999964</v>
      </c>
      <c r="AK116" s="14">
        <f t="shared" si="89"/>
        <v>69.587433903176873</v>
      </c>
      <c r="AL116" s="22">
        <f t="shared" si="58"/>
        <v>630.51606604803237</v>
      </c>
      <c r="AM116" s="62">
        <f t="shared" si="59"/>
        <v>923.84939938136563</v>
      </c>
      <c r="AN116" s="62">
        <f ca="1">AVERAGE(OFFSET($AM$3,0,0,'Données projet'!$E$10+1,1))-AVERAGE(OFFSET($H$3,0,0,'Données projet'!$E$10+1,1))</f>
        <v>321.03881567735544</v>
      </c>
      <c r="AO116" s="62">
        <f t="shared" si="90"/>
        <v>234.87694492493506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0.46546287998432873</v>
      </c>
      <c r="AV116" s="23">
        <f>EXP(-LN(2)/25)*AV115+(1-EXP(-LN(2)/25))/(LN(2)/25)*Calculateur!AQ116*Calculateur!AS116*VLOOKUP('Données projet'!$B$10,Paramètres!$A$1:$I$89,3,0)*0.475*44/12</f>
        <v>1.3573640174909061</v>
      </c>
      <c r="AW116" s="23">
        <f>EXP(-LN(2)/2)*AW115+(1-EXP(-LN(2)/2))/(LN(2)/2)*AQ116*AT116*VLOOKUP('Données projet'!$B$10,Paramètres!$A$1:$I$89,3,0)*0.475*44/12</f>
        <v>6.9906314181243973E-12</v>
      </c>
      <c r="AX116" s="23">
        <f t="shared" si="60"/>
        <v>1.8228268974822255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255.41017495879987</v>
      </c>
      <c r="BJ116" s="62">
        <f t="shared" si="92"/>
        <v>297.50513563712764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1.6125097365936658</v>
      </c>
      <c r="BQ116" s="23">
        <f>EXP(-LN(2)/25)*BQ115+(1-EXP(-LN(2)/25))/(LN(2)/25)*Calculateur!BL116*Calculateur!BN116*VLOOKUP('Données projet'!$B$11,Paramètres!$A$1:$I$89,3,0)*0.475*44/12</f>
        <v>2.7907139393470071</v>
      </c>
      <c r="BR116" s="23">
        <f>EXP(-LN(2)/2)*BR115+(1-EXP(-LN(2)/2))/(LN(2)/2)*BL116*BO116*VLOOKUP('Données projet'!$B$11,Paramètres!$A$1:$I$89,3,0)*0.475*44/12</f>
        <v>7.8463234430907829E-12</v>
      </c>
      <c r="BS116" s="24">
        <f t="shared" si="63"/>
        <v>4.403223675948519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1.1368683772161603E-13</v>
      </c>
      <c r="BZ116" s="14">
        <f>BY116*VLOOKUP('Données projet'!$B$12,Paramètres!$A$1:$I$89,3,0)*VLOOKUP('Données projet'!$B$12,Paramètres!$A$1:$I$89,5,0)</f>
        <v>5.4683368944097308E-14</v>
      </c>
      <c r="CA116" s="14">
        <f t="shared" si="93"/>
        <v>8.8129432816788268E-13</v>
      </c>
      <c r="CB116" s="22">
        <f t="shared" si="64"/>
        <v>1.6301611558033651E-12</v>
      </c>
      <c r="CC116" s="62">
        <f t="shared" si="65"/>
        <v>293.33333333333496</v>
      </c>
      <c r="CD116" s="62">
        <f ca="1">AVERAGE(OFFSET($CC$3,0,0,'Données projet'!$E$12+1,1))-AVERAGE(OFFSET($H$3,0,0,'Données projet'!$E$12+1,1))</f>
        <v>409.97612835032567</v>
      </c>
      <c r="CE116" s="62">
        <f t="shared" si="94"/>
        <v>411.87876448092288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5.9084699902787969</v>
      </c>
      <c r="CL116" s="23">
        <f>EXP(-LN(2)/25)*CL115+(1-EXP(-LN(2)/25))/(LN(2)/25)*Calculateur!CG116*Calculateur!CI116*VLOOKUP('Données projet'!$B$12,Paramètres!$A$1:$I$89,3,0)*0.475*44/12</f>
        <v>5.2159619834789845</v>
      </c>
      <c r="CM116" s="23">
        <f>EXP(-LN(2)/2)*CM115+(1-EXP(-LN(2)/2))/(LN(2)/2)*CG116*CJ116*VLOOKUP('Données projet'!$B$12,Paramètres!$A$1:$I$89,3,0)*0.475*44/12</f>
        <v>3.129520605924278E-10</v>
      </c>
      <c r="CN116" s="24">
        <f t="shared" si="66"/>
        <v>11.124431974070733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-4.5474735088646412E-13</v>
      </c>
      <c r="CU116" s="18">
        <f>CT116*VLOOKUP('Données projet'!$B$13,Paramètres!$A$1:$I$89,3,0)*VLOOKUP('Données projet'!$B$13,Paramètres!$A$1:$I$89,5,0)</f>
        <v>-2.7193891583010558E-13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463.3255103386889</v>
      </c>
      <c r="CZ116" s="62">
        <f t="shared" si="96"/>
        <v>474.73210558736127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0.96582614431391378</v>
      </c>
      <c r="DG116" s="23">
        <f>EXP(-LN(2)/25)*DG115+(1-EXP(-LN(2)/25))/(LN(2)/25)*Calculateur!DB116*Calculateur!DD116*VLOOKUP('Données projet'!$B$13,Paramètres!$A$1:$I$89,3,0)*0.475*44/12</f>
        <v>3.4708512378898102</v>
      </c>
      <c r="DH116" s="23">
        <f>EXP(-LN(2)/2)*DH115+(1-EXP(-LN(2)/2))/(LN(2)/2)*DB116*DE116*VLOOKUP('Données projet'!$B$13,Paramètres!$A$1:$I$89,3,0)*0.475*44/12</f>
        <v>1.4025723205921568E-11</v>
      </c>
      <c r="DI116" s="24">
        <f t="shared" si="69"/>
        <v>4.4366773822177503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-1.1368683772161603E-13</v>
      </c>
      <c r="DP116" s="18">
        <f>DO116*VLOOKUP('Données projet'!$B$14,Paramètres!$A$1:$I$89,3,0)*VLOOKUP('Données projet'!$B$14,Paramètres!$A$1:$I$89,5,0)</f>
        <v>-5.3205440053716299E-14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215.23235148064941</v>
      </c>
      <c r="DU116" s="62">
        <f t="shared" si="98"/>
        <v>184.07239726900434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0.60577095684980775</v>
      </c>
      <c r="EB116" s="23">
        <f>EXP(-LN(2)/25)*EB115+(1-EXP(-LN(2)/25))/(LN(2)/25)*Calculateur!DW116*Calculateur!DY116*VLOOKUP('Données projet'!$B$14,Paramètres!$A$1:$I$89,3,0)*0.475*44/12</f>
        <v>0.78659698355787433</v>
      </c>
      <c r="EC116" s="23">
        <f>EXP(-LN(2)/2)*EC115+(1-EXP(-LN(2)/2))/(LN(2)/2)*DW116*DZ116*VLOOKUP('Données projet'!$B$14,Paramètres!$A$1:$I$89,3,0)*0.475*44/12</f>
        <v>3.1615848743241154E-12</v>
      </c>
      <c r="ED116" s="24">
        <f t="shared" si="72"/>
        <v>1.3923679404108438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517.41030909998244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1.1368683772161603E-12</v>
      </c>
      <c r="O117" s="14">
        <f>N117*VLOOKUP('Données projet'!$B$9,Paramètres!$A$1:$I$89,3,0)*VLOOKUP('Données projet'!$B$9,Paramètres!$A$1:$I$89,5,0)</f>
        <v>6.3550942286383359E-13</v>
      </c>
      <c r="P117" s="14">
        <f t="shared" si="87"/>
        <v>7.6982260417614606E-12</v>
      </c>
      <c r="Q117" s="22">
        <f t="shared" si="107"/>
        <v>1.4514589267555721E-11</v>
      </c>
      <c r="R117" s="62">
        <f t="shared" si="55"/>
        <v>293.33333333334781</v>
      </c>
      <c r="S117" s="62">
        <f ca="1">AVERAGE(OFFSET($R$3,0,0,'Données projet'!$E$9+1,1))-AVERAGE(OFFSET($H$3,0,0,'Données projet'!$E$9+1,1))</f>
        <v>460.40450534123659</v>
      </c>
      <c r="T117" s="62">
        <f t="shared" si="88"/>
        <v>467.77477728479198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2.3800253385461776</v>
      </c>
      <c r="AA117" s="23">
        <f>EXP(-LN(2)/25)*AA116+(1-EXP(-LN(2)/25))/(LN(2)/25)*Calculateur!V117*Calculateur!X117*VLOOKUP('Données projet'!$B$9,Paramètres!$A$1:$I$89,3,0)*0.475*44/12</f>
        <v>4.3114195611100889</v>
      </c>
      <c r="AB117" s="23">
        <f>EXP(-LN(2)/2)*AB116+(1-EXP(-LN(2)/2))/(LN(2)/2)*V117*Y117*VLOOKUP('Données projet'!$B$9,Paramètres!$A$1:$I$89,3,0)*0.475*44/12</f>
        <v>9.1458576912734322E-12</v>
      </c>
      <c r="AC117" s="24">
        <f t="shared" si="57"/>
        <v>6.6914448996654121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5.4</v>
      </c>
      <c r="AI117" s="14">
        <f>IF('Données projet'!$A$62&gt;35,AI116+AH117-AQ116,IF(A117&lt;'Données projet'!$A$62,$AF$205^A117,IF(A117='Données projet'!$A$62,'Données projet'!$B$62,AI116+AH117-AQ116)))</f>
        <v>328.59999999999957</v>
      </c>
      <c r="AJ117" s="14">
        <f>AI117*VLOOKUP('Données projet'!$B$10,Paramètres!$A$1:$I$89,3,0)*VLOOKUP('Données projet'!$B$10,Paramètres!$A$1:$I$89,5,0)</f>
        <v>297.31727999999958</v>
      </c>
      <c r="AK117" s="14">
        <f t="shared" si="89"/>
        <v>70.613768640226624</v>
      </c>
      <c r="AL117" s="22">
        <f t="shared" si="58"/>
        <v>640.81324304839393</v>
      </c>
      <c r="AM117" s="62">
        <f t="shared" si="59"/>
        <v>934.1465763817273</v>
      </c>
      <c r="AN117" s="62">
        <f ca="1">AVERAGE(OFFSET($AM$3,0,0,'Données projet'!$E$10+1,1))-AVERAGE(OFFSET($H$3,0,0,'Données projet'!$E$10+1,1))</f>
        <v>321.03881567735544</v>
      </c>
      <c r="AO117" s="62">
        <f t="shared" si="90"/>
        <v>234.87694492493506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0.4563354368121596</v>
      </c>
      <c r="AV117" s="23">
        <f>EXP(-LN(2)/25)*AV116+(1-EXP(-LN(2)/25))/(LN(2)/25)*Calculateur!AQ117*Calculateur!AS117*VLOOKUP('Données projet'!$B$10,Paramètres!$A$1:$I$89,3,0)*0.475*44/12</f>
        <v>1.3202468270519458</v>
      </c>
      <c r="AW117" s="23">
        <f>EXP(-LN(2)/2)*AW116+(1-EXP(-LN(2)/2))/(LN(2)/2)*AQ117*AT117*VLOOKUP('Données projet'!$B$10,Paramètres!$A$1:$I$89,3,0)*0.475*44/12</f>
        <v>4.9431228805314926E-12</v>
      </c>
      <c r="AX117" s="23">
        <f t="shared" si="60"/>
        <v>1.7765822638690487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255.41017495879987</v>
      </c>
      <c r="BJ117" s="62">
        <f t="shared" si="92"/>
        <v>297.50513563712764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1.5808894041928874</v>
      </c>
      <c r="BQ117" s="23">
        <f>EXP(-LN(2)/25)*BQ116+(1-EXP(-LN(2)/25))/(LN(2)/25)*Calculateur!BL117*Calculateur!BN117*VLOOKUP('Données projet'!$B$11,Paramètres!$A$1:$I$89,3,0)*0.475*44/12</f>
        <v>2.7144017199182953</v>
      </c>
      <c r="BR117" s="23">
        <f>EXP(-LN(2)/2)*BR116+(1-EXP(-LN(2)/2))/(LN(2)/2)*BL117*BO117*VLOOKUP('Données projet'!$B$11,Paramètres!$A$1:$I$89,3,0)*0.475*44/12</f>
        <v>5.5481885139924725E-12</v>
      </c>
      <c r="BS117" s="24">
        <f t="shared" si="63"/>
        <v>4.2952911241167309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1.1368683772161603E-13</v>
      </c>
      <c r="BZ117" s="14">
        <f>BY117*VLOOKUP('Données projet'!$B$12,Paramètres!$A$1:$I$89,3,0)*VLOOKUP('Données projet'!$B$12,Paramètres!$A$1:$I$89,5,0)</f>
        <v>5.4683368944097308E-14</v>
      </c>
      <c r="CA117" s="14">
        <f t="shared" si="93"/>
        <v>8.8129432816788268E-13</v>
      </c>
      <c r="CB117" s="22">
        <f t="shared" si="64"/>
        <v>1.6301611558033651E-12</v>
      </c>
      <c r="CC117" s="62">
        <f t="shared" si="65"/>
        <v>293.33333333333496</v>
      </c>
      <c r="CD117" s="62">
        <f ca="1">AVERAGE(OFFSET($CC$3,0,0,'Données projet'!$E$12+1,1))-AVERAGE(OFFSET($H$3,0,0,'Données projet'!$E$12+1,1))</f>
        <v>409.97612835032567</v>
      </c>
      <c r="CE117" s="62">
        <f t="shared" si="94"/>
        <v>411.87876448092288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5.792608497580277</v>
      </c>
      <c r="CL117" s="23">
        <f>EXP(-LN(2)/25)*CL116+(1-EXP(-LN(2)/25))/(LN(2)/25)*Calculateur!CG117*Calculateur!CI117*VLOOKUP('Données projet'!$B$12,Paramètres!$A$1:$I$89,3,0)*0.475*44/12</f>
        <v>5.0733312287452321</v>
      </c>
      <c r="CM117" s="23">
        <f>EXP(-LN(2)/2)*CM116+(1-EXP(-LN(2)/2))/(LN(2)/2)*CG117*CJ117*VLOOKUP('Données projet'!$B$12,Paramètres!$A$1:$I$89,3,0)*0.475*44/12</f>
        <v>2.2129052423120901E-10</v>
      </c>
      <c r="CN117" s="24">
        <f t="shared" si="66"/>
        <v>10.865939726546799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-4.5474735088646412E-13</v>
      </c>
      <c r="CU117" s="18">
        <f>CT117*VLOOKUP('Données projet'!$B$13,Paramètres!$A$1:$I$89,3,0)*VLOOKUP('Données projet'!$B$13,Paramètres!$A$1:$I$89,5,0)</f>
        <v>-2.7193891583010558E-13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463.3255103386889</v>
      </c>
      <c r="CZ117" s="62">
        <f t="shared" si="96"/>
        <v>474.73210558736127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0.94688688271969756</v>
      </c>
      <c r="DG117" s="23">
        <f>EXP(-LN(2)/25)*DG116+(1-EXP(-LN(2)/25))/(LN(2)/25)*Calculateur!DB117*Calculateur!DD117*VLOOKUP('Données projet'!$B$13,Paramètres!$A$1:$I$89,3,0)*0.475*44/12</f>
        <v>3.3759406282655795</v>
      </c>
      <c r="DH117" s="23">
        <f>EXP(-LN(2)/2)*DH116+(1-EXP(-LN(2)/2))/(LN(2)/2)*DB117*DE117*VLOOKUP('Données projet'!$B$13,Paramètres!$A$1:$I$89,3,0)*0.475*44/12</f>
        <v>9.9176839899526641E-12</v>
      </c>
      <c r="DI117" s="24">
        <f t="shared" si="69"/>
        <v>4.3228275109951948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-1.1368683772161603E-13</v>
      </c>
      <c r="DP117" s="18">
        <f>DO117*VLOOKUP('Données projet'!$B$14,Paramètres!$A$1:$I$89,3,0)*VLOOKUP('Données projet'!$B$14,Paramètres!$A$1:$I$89,5,0)</f>
        <v>-5.3205440053716299E-14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215.23235148064941</v>
      </c>
      <c r="DU117" s="62">
        <f t="shared" si="98"/>
        <v>184.07239726900434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0.59389215786978322</v>
      </c>
      <c r="EB117" s="23">
        <f>EXP(-LN(2)/25)*EB116+(1-EXP(-LN(2)/25))/(LN(2)/25)*Calculateur!DW117*Calculateur!DY117*VLOOKUP('Données projet'!$B$14,Paramètres!$A$1:$I$89,3,0)*0.475*44/12</f>
        <v>0.76508744767714665</v>
      </c>
      <c r="EC117" s="23">
        <f>EXP(-LN(2)/2)*EC116+(1-EXP(-LN(2)/2))/(LN(2)/2)*DW117*DZ117*VLOOKUP('Données projet'!$B$14,Paramètres!$A$1:$I$89,3,0)*0.475*44/12</f>
        <v>2.2355781039314006E-12</v>
      </c>
      <c r="ED117" s="24">
        <f t="shared" si="72"/>
        <v>1.3589796055491654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519.32718228508566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1.1368683772161603E-12</v>
      </c>
      <c r="O118" s="14">
        <f>N118*VLOOKUP('Données projet'!$B$9,Paramètres!$A$1:$I$89,3,0)*VLOOKUP('Données projet'!$B$9,Paramètres!$A$1:$I$89,5,0)</f>
        <v>6.3550942286383359E-13</v>
      </c>
      <c r="P118" s="14">
        <f t="shared" si="87"/>
        <v>7.6982260417614606E-12</v>
      </c>
      <c r="Q118" s="22">
        <f t="shared" si="107"/>
        <v>1.4514589267555721E-11</v>
      </c>
      <c r="R118" s="62">
        <f t="shared" si="55"/>
        <v>293.33333333334781</v>
      </c>
      <c r="S118" s="62">
        <f ca="1">AVERAGE(OFFSET($R$3,0,0,'Données projet'!$E$9+1,1))-AVERAGE(OFFSET($H$3,0,0,'Données projet'!$E$9+1,1))</f>
        <v>460.40450534123659</v>
      </c>
      <c r="T118" s="62">
        <f t="shared" si="88"/>
        <v>467.77477728479198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2.333354493329403</v>
      </c>
      <c r="AA118" s="23">
        <f>EXP(-LN(2)/25)*AA117+(1-EXP(-LN(2)/25))/(LN(2)/25)*Calculateur!V118*Calculateur!X118*VLOOKUP('Données projet'!$B$9,Paramètres!$A$1:$I$89,3,0)*0.475*44/12</f>
        <v>4.1935235664838331</v>
      </c>
      <c r="AB118" s="23">
        <f>EXP(-LN(2)/2)*AB117+(1-EXP(-LN(2)/2))/(LN(2)/2)*V118*Y118*VLOOKUP('Données projet'!$B$9,Paramètres!$A$1:$I$89,3,0)*0.475*44/12</f>
        <v>6.4670979932665857E-12</v>
      </c>
      <c r="AC118" s="24">
        <f t="shared" si="57"/>
        <v>6.5268780598197029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5.4</v>
      </c>
      <c r="AI118" s="14">
        <f>IF('Données projet'!$A$62&gt;35,AI117+AH118-AQ117,IF(A118&lt;'Données projet'!$A$62,$AF$205^A118,IF(A118='Données projet'!$A$62,'Données projet'!$B$62,AI117+AH118-AQ117)))</f>
        <v>333.99999999999955</v>
      </c>
      <c r="AJ118" s="14">
        <f>AI118*VLOOKUP('Données projet'!$B$10,Paramètres!$A$1:$I$89,3,0)*VLOOKUP('Données projet'!$B$10,Paramètres!$A$1:$I$89,5,0)</f>
        <v>302.20319999999958</v>
      </c>
      <c r="AK118" s="14">
        <f t="shared" si="89"/>
        <v>71.638141943842172</v>
      </c>
      <c r="AL118" s="22">
        <f t="shared" si="58"/>
        <v>651.10700388552448</v>
      </c>
      <c r="AM118" s="62">
        <f t="shared" si="59"/>
        <v>944.44033721885785</v>
      </c>
      <c r="AN118" s="62">
        <f ca="1">AVERAGE(OFFSET($AM$3,0,0,'Données projet'!$E$10+1,1))-AVERAGE(OFFSET($H$3,0,0,'Données projet'!$E$10+1,1))</f>
        <v>321.03881567735544</v>
      </c>
      <c r="AO118" s="62">
        <f t="shared" si="90"/>
        <v>234.87694492493506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0.44738697723340609</v>
      </c>
      <c r="AV118" s="23">
        <f>EXP(-LN(2)/25)*AV117+(1-EXP(-LN(2)/25))/(LN(2)/25)*Calculateur!AQ118*Calculateur!AS118*VLOOKUP('Données projet'!$B$10,Paramètres!$A$1:$I$89,3,0)*0.475*44/12</f>
        <v>1.2841446081374472</v>
      </c>
      <c r="AW118" s="23">
        <f>EXP(-LN(2)/2)*AW117+(1-EXP(-LN(2)/2))/(LN(2)/2)*AQ118*AT118*VLOOKUP('Données projet'!$B$10,Paramètres!$A$1:$I$89,3,0)*0.475*44/12</f>
        <v>3.4953157090621986E-12</v>
      </c>
      <c r="AX118" s="23">
        <f t="shared" si="60"/>
        <v>1.7315315853743487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255.41017495879987</v>
      </c>
      <c r="BJ118" s="62">
        <f t="shared" si="92"/>
        <v>297.50513563712764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1.5498891272239899</v>
      </c>
      <c r="BQ118" s="23">
        <f>EXP(-LN(2)/25)*BQ117+(1-EXP(-LN(2)/25))/(LN(2)/25)*Calculateur!BL118*Calculateur!BN118*VLOOKUP('Données projet'!$B$11,Paramètres!$A$1:$I$89,3,0)*0.475*44/12</f>
        <v>2.6401762621429468</v>
      </c>
      <c r="BR118" s="23">
        <f>EXP(-LN(2)/2)*BR117+(1-EXP(-LN(2)/2))/(LN(2)/2)*BL118*BO118*VLOOKUP('Données projet'!$B$11,Paramètres!$A$1:$I$89,3,0)*0.475*44/12</f>
        <v>3.9231617215453914E-12</v>
      </c>
      <c r="BS118" s="24">
        <f t="shared" si="63"/>
        <v>4.1900653893708597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1.1368683772161603E-13</v>
      </c>
      <c r="BZ118" s="14">
        <f>BY118*VLOOKUP('Données projet'!$B$12,Paramètres!$A$1:$I$89,3,0)*VLOOKUP('Données projet'!$B$12,Paramètres!$A$1:$I$89,5,0)</f>
        <v>5.4683368944097308E-14</v>
      </c>
      <c r="CA118" s="14">
        <f t="shared" si="93"/>
        <v>8.8129432816788268E-13</v>
      </c>
      <c r="CB118" s="22">
        <f t="shared" si="64"/>
        <v>1.6301611558033651E-12</v>
      </c>
      <c r="CC118" s="62">
        <f t="shared" si="65"/>
        <v>293.33333333333496</v>
      </c>
      <c r="CD118" s="62">
        <f ca="1">AVERAGE(OFFSET($CC$3,0,0,'Données projet'!$E$12+1,1))-AVERAGE(OFFSET($H$3,0,0,'Données projet'!$E$12+1,1))</f>
        <v>409.97612835032567</v>
      </c>
      <c r="CE118" s="62">
        <f t="shared" si="94"/>
        <v>411.87876448092288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5.6790189780850424</v>
      </c>
      <c r="CL118" s="23">
        <f>EXP(-LN(2)/25)*CL117+(1-EXP(-LN(2)/25))/(LN(2)/25)*Calculateur!CG118*Calculateur!CI118*VLOOKUP('Données projet'!$B$12,Paramètres!$A$1:$I$89,3,0)*0.475*44/12</f>
        <v>4.9346007195002999</v>
      </c>
      <c r="CM118" s="23">
        <f>EXP(-LN(2)/2)*CM117+(1-EXP(-LN(2)/2))/(LN(2)/2)*CG118*CJ118*VLOOKUP('Données projet'!$B$12,Paramètres!$A$1:$I$89,3,0)*0.475*44/12</f>
        <v>1.564760302962139E-10</v>
      </c>
      <c r="CN118" s="24">
        <f t="shared" si="66"/>
        <v>10.613619697741818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-4.5474735088646412E-13</v>
      </c>
      <c r="CU118" s="18">
        <f>CT118*VLOOKUP('Données projet'!$B$13,Paramètres!$A$1:$I$89,3,0)*VLOOKUP('Données projet'!$B$13,Paramètres!$A$1:$I$89,5,0)</f>
        <v>-2.7193891583010558E-13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463.3255103386889</v>
      </c>
      <c r="CZ118" s="62">
        <f t="shared" si="96"/>
        <v>474.73210558736127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0.92831900849353499</v>
      </c>
      <c r="DG118" s="23">
        <f>EXP(-LN(2)/25)*DG117+(1-EXP(-LN(2)/25))/(LN(2)/25)*Calculateur!DB118*Calculateur!DD118*VLOOKUP('Données projet'!$B$13,Paramètres!$A$1:$I$89,3,0)*0.475*44/12</f>
        <v>3.2836253542526554</v>
      </c>
      <c r="DH118" s="23">
        <f>EXP(-LN(2)/2)*DH117+(1-EXP(-LN(2)/2))/(LN(2)/2)*DB118*DE118*VLOOKUP('Données projet'!$B$13,Paramètres!$A$1:$I$89,3,0)*0.475*44/12</f>
        <v>7.0128616029607841E-12</v>
      </c>
      <c r="DI118" s="24">
        <f t="shared" si="69"/>
        <v>4.2119443627532034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-1.1368683772161603E-13</v>
      </c>
      <c r="DP118" s="18">
        <f>DO118*VLOOKUP('Données projet'!$B$14,Paramètres!$A$1:$I$89,3,0)*VLOOKUP('Données projet'!$B$14,Paramètres!$A$1:$I$89,5,0)</f>
        <v>-5.3205440053716299E-14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215.23235148064941</v>
      </c>
      <c r="DU118" s="62">
        <f t="shared" si="98"/>
        <v>184.07239726900434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0.58224629489240498</v>
      </c>
      <c r="EB118" s="23">
        <f>EXP(-LN(2)/25)*EB117+(1-EXP(-LN(2)/25))/(LN(2)/25)*Calculateur!DW118*Calculateur!DY118*VLOOKUP('Données projet'!$B$14,Paramètres!$A$1:$I$89,3,0)*0.475*44/12</f>
        <v>0.7441660911862148</v>
      </c>
      <c r="EC118" s="23">
        <f>EXP(-LN(2)/2)*EC117+(1-EXP(-LN(2)/2))/(LN(2)/2)*DW118*DZ118*VLOOKUP('Données projet'!$B$14,Paramètres!$A$1:$I$89,3,0)*0.475*44/12</f>
        <v>1.5807924371620577E-12</v>
      </c>
      <c r="ED118" s="24">
        <f t="shared" si="72"/>
        <v>1.3264123860802004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521.24368298834622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1.1368683772161603E-12</v>
      </c>
      <c r="O119" s="14">
        <f>N119*VLOOKUP('Données projet'!$B$9,Paramètres!$A$1:$I$89,3,0)*VLOOKUP('Données projet'!$B$9,Paramètres!$A$1:$I$89,5,0)</f>
        <v>6.3550942286383359E-13</v>
      </c>
      <c r="P119" s="14">
        <f t="shared" si="87"/>
        <v>7.6982260417614606E-12</v>
      </c>
      <c r="Q119" s="22">
        <f t="shared" si="107"/>
        <v>1.4514589267555721E-11</v>
      </c>
      <c r="R119" s="62">
        <f t="shared" si="55"/>
        <v>293.33333333334781</v>
      </c>
      <c r="S119" s="62">
        <f ca="1">AVERAGE(OFFSET($R$3,0,0,'Données projet'!$E$9+1,1))-AVERAGE(OFFSET($H$3,0,0,'Données projet'!$E$9+1,1))</f>
        <v>460.40450534123659</v>
      </c>
      <c r="T119" s="62">
        <f t="shared" si="88"/>
        <v>467.77477728479198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2.2875988349209244</v>
      </c>
      <c r="AA119" s="23">
        <f>EXP(-LN(2)/25)*AA118+(1-EXP(-LN(2)/25))/(LN(2)/25)*Calculateur!V119*Calculateur!X119*VLOOKUP('Données projet'!$B$9,Paramètres!$A$1:$I$89,3,0)*0.475*44/12</f>
        <v>4.078851444030513</v>
      </c>
      <c r="AB119" s="23">
        <f>EXP(-LN(2)/2)*AB118+(1-EXP(-LN(2)/2))/(LN(2)/2)*V119*Y119*VLOOKUP('Données projet'!$B$9,Paramètres!$A$1:$I$89,3,0)*0.475*44/12</f>
        <v>4.5729288456367161E-12</v>
      </c>
      <c r="AC119" s="24">
        <f t="shared" si="57"/>
        <v>6.3664502789560107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5.4</v>
      </c>
      <c r="AI119" s="14">
        <f>IF('Données projet'!$A$62&gt;35,AI118+AH119-AQ118,IF(A119&lt;'Données projet'!$A$62,$AF$205^A119,IF(A119='Données projet'!$A$62,'Données projet'!$B$62,AI118+AH119-AQ118)))</f>
        <v>339.39999999999952</v>
      </c>
      <c r="AJ119" s="14">
        <f>AI119*VLOOKUP('Données projet'!$B$10,Paramètres!$A$1:$I$89,3,0)*VLOOKUP('Données projet'!$B$10,Paramètres!$A$1:$I$89,5,0)</f>
        <v>307.08911999999958</v>
      </c>
      <c r="AK119" s="14">
        <f t="shared" si="89"/>
        <v>72.660589186887549</v>
      </c>
      <c r="AL119" s="22">
        <f t="shared" si="58"/>
        <v>661.39741016716164</v>
      </c>
      <c r="AM119" s="62">
        <f t="shared" si="59"/>
        <v>954.73074350049501</v>
      </c>
      <c r="AN119" s="62">
        <f ca="1">AVERAGE(OFFSET($AM$3,0,0,'Données projet'!$E$10+1,1))-AVERAGE(OFFSET($H$3,0,0,'Données projet'!$E$10+1,1))</f>
        <v>321.03881567735544</v>
      </c>
      <c r="AO119" s="62">
        <f t="shared" si="90"/>
        <v>234.87694492493506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0.43861399148897051</v>
      </c>
      <c r="AV119" s="23">
        <f>EXP(-LN(2)/25)*AV118+(1-EXP(-LN(2)/25))/(LN(2)/25)*Calculateur!AQ119*Calculateur!AS119*VLOOKUP('Données projet'!$B$10,Paramètres!$A$1:$I$89,3,0)*0.475*44/12</f>
        <v>1.2490296062976987</v>
      </c>
      <c r="AW119" s="23">
        <f>EXP(-LN(2)/2)*AW118+(1-EXP(-LN(2)/2))/(LN(2)/2)*AQ119*AT119*VLOOKUP('Données projet'!$B$10,Paramètres!$A$1:$I$89,3,0)*0.475*44/12</f>
        <v>2.4715614402657463E-12</v>
      </c>
      <c r="AX119" s="23">
        <f t="shared" si="60"/>
        <v>1.6876435977891406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255.41017495879987</v>
      </c>
      <c r="BJ119" s="62">
        <f t="shared" si="92"/>
        <v>297.50513563712764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1.5194967467781506</v>
      </c>
      <c r="BQ119" s="23">
        <f>EXP(-LN(2)/25)*BQ118+(1-EXP(-LN(2)/25))/(LN(2)/25)*Calculateur!BL119*Calculateur!BN119*VLOOKUP('Données projet'!$B$11,Paramètres!$A$1:$I$89,3,0)*0.475*44/12</f>
        <v>2.5679805034138123</v>
      </c>
      <c r="BR119" s="23">
        <f>EXP(-LN(2)/2)*BR118+(1-EXP(-LN(2)/2))/(LN(2)/2)*BL119*BO119*VLOOKUP('Données projet'!$B$11,Paramètres!$A$1:$I$89,3,0)*0.475*44/12</f>
        <v>2.7740942569962362E-12</v>
      </c>
      <c r="BS119" s="24">
        <f t="shared" si="63"/>
        <v>4.0874772501947367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1.1368683772161603E-13</v>
      </c>
      <c r="BZ119" s="14">
        <f>BY119*VLOOKUP('Données projet'!$B$12,Paramètres!$A$1:$I$89,3,0)*VLOOKUP('Données projet'!$B$12,Paramètres!$A$1:$I$89,5,0)</f>
        <v>5.4683368944097308E-14</v>
      </c>
      <c r="CA119" s="14">
        <f t="shared" si="93"/>
        <v>8.8129432816788268E-13</v>
      </c>
      <c r="CB119" s="22">
        <f t="shared" si="64"/>
        <v>1.6301611558033651E-12</v>
      </c>
      <c r="CC119" s="62">
        <f t="shared" si="65"/>
        <v>293.33333333333496</v>
      </c>
      <c r="CD119" s="62">
        <f ca="1">AVERAGE(OFFSET($CC$3,0,0,'Données projet'!$E$12+1,1))-AVERAGE(OFFSET($H$3,0,0,'Données projet'!$E$12+1,1))</f>
        <v>409.97612835032567</v>
      </c>
      <c r="CE119" s="62">
        <f t="shared" si="94"/>
        <v>411.87876448092288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5.5676568797843435</v>
      </c>
      <c r="CL119" s="23">
        <f>EXP(-LN(2)/25)*CL118+(1-EXP(-LN(2)/25))/(LN(2)/25)*Calculateur!CG119*Calculateur!CI119*VLOOKUP('Données projet'!$B$12,Paramètres!$A$1:$I$89,3,0)*0.475*44/12</f>
        <v>4.7996638033261902</v>
      </c>
      <c r="CM119" s="23">
        <f>EXP(-LN(2)/2)*CM118+(1-EXP(-LN(2)/2))/(LN(2)/2)*CG119*CJ119*VLOOKUP('Données projet'!$B$12,Paramètres!$A$1:$I$89,3,0)*0.475*44/12</f>
        <v>1.1064526211560451E-10</v>
      </c>
      <c r="CN119" s="24">
        <f t="shared" si="66"/>
        <v>10.36732068322118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-4.5474735088646412E-13</v>
      </c>
      <c r="CU119" s="18">
        <f>CT119*VLOOKUP('Données projet'!$B$13,Paramètres!$A$1:$I$89,3,0)*VLOOKUP('Données projet'!$B$13,Paramètres!$A$1:$I$89,5,0)</f>
        <v>-2.7193891583010558E-13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463.3255103386889</v>
      </c>
      <c r="CZ119" s="62">
        <f t="shared" si="96"/>
        <v>474.73210558736127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0.91011523895566249</v>
      </c>
      <c r="DG119" s="23">
        <f>EXP(-LN(2)/25)*DG118+(1-EXP(-LN(2)/25))/(LN(2)/25)*Calculateur!DB119*Calculateur!DD119*VLOOKUP('Données projet'!$B$13,Paramètres!$A$1:$I$89,3,0)*0.475*44/12</f>
        <v>3.1938344462622639</v>
      </c>
      <c r="DH119" s="23">
        <f>EXP(-LN(2)/2)*DH118+(1-EXP(-LN(2)/2))/(LN(2)/2)*DB119*DE119*VLOOKUP('Données projet'!$B$13,Paramètres!$A$1:$I$89,3,0)*0.475*44/12</f>
        <v>4.9588419949763321E-12</v>
      </c>
      <c r="DI119" s="24">
        <f t="shared" si="69"/>
        <v>4.1039496852228847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-1.1368683772161603E-13</v>
      </c>
      <c r="DP119" s="18">
        <f>DO119*VLOOKUP('Données projet'!$B$14,Paramètres!$A$1:$I$89,3,0)*VLOOKUP('Données projet'!$B$14,Paramètres!$A$1:$I$89,5,0)</f>
        <v>-5.3205440053716299E-14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215.23235148064941</v>
      </c>
      <c r="DU119" s="62">
        <f t="shared" si="98"/>
        <v>184.07239726900434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0.57082880018473814</v>
      </c>
      <c r="EB119" s="23">
        <f>EXP(-LN(2)/25)*EB118+(1-EXP(-LN(2)/25))/(LN(2)/25)*Calculateur!DW119*Calculateur!DY119*VLOOKUP('Données projet'!$B$14,Paramètres!$A$1:$I$89,3,0)*0.475*44/12</f>
        <v>0.72381683028873378</v>
      </c>
      <c r="EC119" s="23">
        <f>EXP(-LN(2)/2)*EC118+(1-EXP(-LN(2)/2))/(LN(2)/2)*DW119*DZ119*VLOOKUP('Données projet'!$B$14,Paramètres!$A$1:$I$89,3,0)*0.475*44/12</f>
        <v>1.1177890519657003E-12</v>
      </c>
      <c r="ED119" s="24">
        <f t="shared" si="72"/>
        <v>1.2946456304745897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523.15981479287188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1.1368683772161603E-12</v>
      </c>
      <c r="O120" s="14">
        <f>N120*VLOOKUP('Données projet'!$B$9,Paramètres!$A$1:$I$89,3,0)*VLOOKUP('Données projet'!$B$9,Paramètres!$A$1:$I$89,5,0)</f>
        <v>6.3550942286383359E-13</v>
      </c>
      <c r="P120" s="14">
        <f t="shared" si="87"/>
        <v>7.6982260417614606E-12</v>
      </c>
      <c r="Q120" s="22">
        <f t="shared" si="107"/>
        <v>1.4514589267555721E-11</v>
      </c>
      <c r="R120" s="62">
        <f t="shared" si="55"/>
        <v>293.33333333334781</v>
      </c>
      <c r="S120" s="62">
        <f ca="1">AVERAGE(OFFSET($R$3,0,0,'Données projet'!$E$9+1,1))-AVERAGE(OFFSET($H$3,0,0,'Données projet'!$E$9+1,1))</f>
        <v>460.40450534123659</v>
      </c>
      <c r="T120" s="62">
        <f t="shared" si="88"/>
        <v>467.77477728479198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2.2427404170656402</v>
      </c>
      <c r="AA120" s="23">
        <f>EXP(-LN(2)/25)*AA119+(1-EXP(-LN(2)/25))/(LN(2)/25)*Calculateur!V120*Calculateur!X120*VLOOKUP('Données projet'!$B$9,Paramètres!$A$1:$I$89,3,0)*0.475*44/12</f>
        <v>3.9673150367960237</v>
      </c>
      <c r="AB120" s="23">
        <f>EXP(-LN(2)/2)*AB119+(1-EXP(-LN(2)/2))/(LN(2)/2)*V120*Y120*VLOOKUP('Données projet'!$B$9,Paramètres!$A$1:$I$89,3,0)*0.475*44/12</f>
        <v>3.2335489966332928E-12</v>
      </c>
      <c r="AC120" s="24">
        <f t="shared" si="57"/>
        <v>6.2100554538648973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5.4</v>
      </c>
      <c r="AI120" s="14">
        <f>IF('Données projet'!$A$62&gt;35,AI119+AH120-AQ119,IF(A120&lt;'Données projet'!$A$62,$AF$205^A120,IF(A120='Données projet'!$A$62,'Données projet'!$B$62,AI119+AH120-AQ119)))</f>
        <v>344.7999999999995</v>
      </c>
      <c r="AJ120" s="14">
        <f>AI120*VLOOKUP('Données projet'!$B$10,Paramètres!$A$1:$I$89,3,0)*VLOOKUP('Données projet'!$B$10,Paramètres!$A$1:$I$89,5,0)</f>
        <v>311.97503999999952</v>
      </c>
      <c r="AK120" s="14">
        <f t="shared" si="89"/>
        <v>73.681144552074542</v>
      </c>
      <c r="AL120" s="22">
        <f t="shared" si="58"/>
        <v>671.68452142819569</v>
      </c>
      <c r="AM120" s="62">
        <f t="shared" si="59"/>
        <v>965.01785476152895</v>
      </c>
      <c r="AN120" s="62">
        <f ca="1">AVERAGE(OFFSET($AM$3,0,0,'Données projet'!$E$10+1,1))-AVERAGE(OFFSET($H$3,0,0,'Données projet'!$E$10+1,1))</f>
        <v>321.03881567735544</v>
      </c>
      <c r="AO120" s="62">
        <f t="shared" si="90"/>
        <v>234.87694492493506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0.43001303864399038</v>
      </c>
      <c r="AV120" s="23">
        <f>EXP(-LN(2)/25)*AV119+(1-EXP(-LN(2)/25))/(LN(2)/25)*Calculateur!AQ120*Calculateur!AS120*VLOOKUP('Données projet'!$B$10,Paramètres!$A$1:$I$89,3,0)*0.475*44/12</f>
        <v>1.2148748260298758</v>
      </c>
      <c r="AW120" s="23">
        <f>EXP(-LN(2)/2)*AW119+(1-EXP(-LN(2)/2))/(LN(2)/2)*AQ120*AT120*VLOOKUP('Données projet'!$B$10,Paramètres!$A$1:$I$89,3,0)*0.475*44/12</f>
        <v>1.7476578545310993E-12</v>
      </c>
      <c r="AX120" s="23">
        <f t="shared" si="60"/>
        <v>1.644887864675614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255.41017495879987</v>
      </c>
      <c r="BJ120" s="62">
        <f t="shared" si="92"/>
        <v>297.50513563712764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1.4897003423753326</v>
      </c>
      <c r="BQ120" s="23">
        <f>EXP(-LN(2)/25)*BQ119+(1-EXP(-LN(2)/25))/(LN(2)/25)*Calculateur!BL120*Calculateur!BN120*VLOOKUP('Données projet'!$B$11,Paramètres!$A$1:$I$89,3,0)*0.475*44/12</f>
        <v>2.497758941503736</v>
      </c>
      <c r="BR120" s="23">
        <f>EXP(-LN(2)/2)*BR119+(1-EXP(-LN(2)/2))/(LN(2)/2)*BL120*BO120*VLOOKUP('Données projet'!$B$11,Paramètres!$A$1:$I$89,3,0)*0.475*44/12</f>
        <v>1.9615808607726957E-12</v>
      </c>
      <c r="BS120" s="24">
        <f t="shared" si="63"/>
        <v>3.9874592838810301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1.1368683772161603E-13</v>
      </c>
      <c r="BZ120" s="14">
        <f>BY120*VLOOKUP('Données projet'!$B$12,Paramètres!$A$1:$I$89,3,0)*VLOOKUP('Données projet'!$B$12,Paramètres!$A$1:$I$89,5,0)</f>
        <v>5.4683368944097308E-14</v>
      </c>
      <c r="CA120" s="14">
        <f t="shared" si="93"/>
        <v>8.8129432816788268E-13</v>
      </c>
      <c r="CB120" s="22">
        <f t="shared" si="64"/>
        <v>1.6301611558033651E-12</v>
      </c>
      <c r="CC120" s="62">
        <f t="shared" si="65"/>
        <v>293.33333333333496</v>
      </c>
      <c r="CD120" s="62">
        <f ca="1">AVERAGE(OFFSET($CC$3,0,0,'Données projet'!$E$12+1,1))-AVERAGE(OFFSET($H$3,0,0,'Données projet'!$E$12+1,1))</f>
        <v>409.97612835032567</v>
      </c>
      <c r="CE120" s="62">
        <f t="shared" si="94"/>
        <v>411.87876448092288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5.4584785243071483</v>
      </c>
      <c r="CL120" s="23">
        <f>EXP(-LN(2)/25)*CL119+(1-EXP(-LN(2)/25))/(LN(2)/25)*Calculateur!CG120*Calculateur!CI120*VLOOKUP('Données projet'!$B$12,Paramètres!$A$1:$I$89,3,0)*0.475*44/12</f>
        <v>4.6684167442208864</v>
      </c>
      <c r="CM120" s="23">
        <f>EXP(-LN(2)/2)*CM119+(1-EXP(-LN(2)/2))/(LN(2)/2)*CG120*CJ120*VLOOKUP('Données projet'!$B$12,Paramètres!$A$1:$I$89,3,0)*0.475*44/12</f>
        <v>7.8238015148106951E-11</v>
      </c>
      <c r="CN120" s="24">
        <f t="shared" si="66"/>
        <v>10.126895268606273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-4.5474735088646412E-13</v>
      </c>
      <c r="CU120" s="18">
        <f>CT120*VLOOKUP('Données projet'!$B$13,Paramètres!$A$1:$I$89,3,0)*VLOOKUP('Données projet'!$B$13,Paramètres!$A$1:$I$89,5,0)</f>
        <v>-2.7193891583010558E-13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463.3255103386889</v>
      </c>
      <c r="CZ120" s="62">
        <f t="shared" si="96"/>
        <v>474.73210558736127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0.89226843423522462</v>
      </c>
      <c r="DG120" s="23">
        <f>EXP(-LN(2)/25)*DG119+(1-EXP(-LN(2)/25))/(LN(2)/25)*Calculateur!DB120*Calculateur!DD120*VLOOKUP('Données projet'!$B$13,Paramètres!$A$1:$I$89,3,0)*0.475*44/12</f>
        <v>3.1064988753727683</v>
      </c>
      <c r="DH120" s="23">
        <f>EXP(-LN(2)/2)*DH119+(1-EXP(-LN(2)/2))/(LN(2)/2)*DB120*DE120*VLOOKUP('Données projet'!$B$13,Paramètres!$A$1:$I$89,3,0)*0.475*44/12</f>
        <v>3.5064308014803921E-12</v>
      </c>
      <c r="DI120" s="24">
        <f t="shared" si="69"/>
        <v>3.9987673096114995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-1.1368683772161603E-13</v>
      </c>
      <c r="DP120" s="18">
        <f>DO120*VLOOKUP('Données projet'!$B$14,Paramètres!$A$1:$I$89,3,0)*VLOOKUP('Données projet'!$B$14,Paramètres!$A$1:$I$89,5,0)</f>
        <v>-5.3205440053716299E-14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215.23235148064941</v>
      </c>
      <c r="DU120" s="62">
        <f t="shared" si="98"/>
        <v>184.07239726900434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0.55963519558430452</v>
      </c>
      <c r="EB120" s="23">
        <f>EXP(-LN(2)/25)*EB119+(1-EXP(-LN(2)/25))/(LN(2)/25)*Calculateur!DW120*Calculateur!DY120*VLOOKUP('Données projet'!$B$14,Paramètres!$A$1:$I$89,3,0)*0.475*44/12</f>
        <v>0.70402402100061556</v>
      </c>
      <c r="EC120" s="23">
        <f>EXP(-LN(2)/2)*EC119+(1-EXP(-LN(2)/2))/(LN(2)/2)*DW120*DZ120*VLOOKUP('Données projet'!$B$14,Paramètres!$A$1:$I$89,3,0)*0.475*44/12</f>
        <v>7.9039621858102885E-13</v>
      </c>
      <c r="ED120" s="24">
        <f t="shared" si="72"/>
        <v>1.2636592165857106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525.07558121698594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1.1368683772161603E-12</v>
      </c>
      <c r="O121" s="14">
        <f>N121*VLOOKUP('Données projet'!$B$9,Paramètres!$A$1:$I$89,3,0)*VLOOKUP('Données projet'!$B$9,Paramètres!$A$1:$I$89,5,0)</f>
        <v>6.3550942286383359E-13</v>
      </c>
      <c r="P121" s="14">
        <f t="shared" si="87"/>
        <v>7.6982260417614606E-12</v>
      </c>
      <c r="Q121" s="22">
        <f t="shared" si="107"/>
        <v>1.4514589267555721E-11</v>
      </c>
      <c r="R121" s="62">
        <f t="shared" si="55"/>
        <v>293.33333333334781</v>
      </c>
      <c r="S121" s="62">
        <f ca="1">AVERAGE(OFFSET($R$3,0,0,'Données projet'!$E$9+1,1))-AVERAGE(OFFSET($H$3,0,0,'Données projet'!$E$9+1,1))</f>
        <v>460.40450534123659</v>
      </c>
      <c r="T121" s="62">
        <f t="shared" si="88"/>
        <v>467.77477728479198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2.198761645423565</v>
      </c>
      <c r="AA121" s="23">
        <f>EXP(-LN(2)/25)*AA120+(1-EXP(-LN(2)/25))/(LN(2)/25)*Calculateur!V121*Calculateur!X121*VLOOKUP('Données projet'!$B$9,Paramètres!$A$1:$I$89,3,0)*0.475*44/12</f>
        <v>3.8588285984828059</v>
      </c>
      <c r="AB121" s="23">
        <f>EXP(-LN(2)/2)*AB120+(1-EXP(-LN(2)/2))/(LN(2)/2)*V121*Y121*VLOOKUP('Données projet'!$B$9,Paramètres!$A$1:$I$89,3,0)*0.475*44/12</f>
        <v>2.2864644228183581E-12</v>
      </c>
      <c r="AC121" s="24">
        <f t="shared" si="57"/>
        <v>6.0575902439086571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5.4</v>
      </c>
      <c r="AI121" s="14">
        <f>IF('Données projet'!$A$62&gt;35,AI120+AH121-AQ120,IF(A121&lt;'Données projet'!$A$62,$AF$205^A121,IF(A121='Données projet'!$A$62,'Données projet'!$B$62,AI120+AH121-AQ120)))</f>
        <v>350.19999999999948</v>
      </c>
      <c r="AJ121" s="14">
        <f>AI121*VLOOKUP('Données projet'!$B$10,Paramètres!$A$1:$I$89,3,0)*VLOOKUP('Données projet'!$B$10,Paramètres!$A$1:$I$89,5,0)</f>
        <v>316.86095999999952</v>
      </c>
      <c r="AK121" s="14">
        <f t="shared" si="89"/>
        <v>74.699841090006444</v>
      </c>
      <c r="AL121" s="22">
        <f t="shared" si="58"/>
        <v>681.96839523176038</v>
      </c>
      <c r="AM121" s="62">
        <f t="shared" si="59"/>
        <v>975.30172856509375</v>
      </c>
      <c r="AN121" s="62">
        <f ca="1">AVERAGE(OFFSET($AM$3,0,0,'Données projet'!$E$10+1,1))-AVERAGE(OFFSET($H$3,0,0,'Données projet'!$E$10+1,1))</f>
        <v>321.03881567735544</v>
      </c>
      <c r="AO121" s="62">
        <f t="shared" si="90"/>
        <v>234.87694492493506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0.42158074523823708</v>
      </c>
      <c r="AV121" s="23">
        <f>EXP(-LN(2)/25)*AV120+(1-EXP(-LN(2)/25))/(LN(2)/25)*Calculateur!AQ121*Calculateur!AS121*VLOOKUP('Données projet'!$B$10,Paramètres!$A$1:$I$89,3,0)*0.475*44/12</f>
        <v>1.1816540100245985</v>
      </c>
      <c r="AW121" s="23">
        <f>EXP(-LN(2)/2)*AW120+(1-EXP(-LN(2)/2))/(LN(2)/2)*AQ121*AT121*VLOOKUP('Données projet'!$B$10,Paramètres!$A$1:$I$89,3,0)*0.475*44/12</f>
        <v>1.2357807201328731E-12</v>
      </c>
      <c r="AX121" s="23">
        <f t="shared" si="60"/>
        <v>1.6032347552640711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255.41017495879987</v>
      </c>
      <c r="BJ121" s="62">
        <f t="shared" si="92"/>
        <v>297.50513563712764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1.4604882272888415</v>
      </c>
      <c r="BQ121" s="23">
        <f>EXP(-LN(2)/25)*BQ120+(1-EXP(-LN(2)/25))/(LN(2)/25)*Calculateur!BL121*Calculateur!BN121*VLOOKUP('Données projet'!$B$11,Paramètres!$A$1:$I$89,3,0)*0.475*44/12</f>
        <v>2.4294575918968824</v>
      </c>
      <c r="BR121" s="23">
        <f>EXP(-LN(2)/2)*BR120+(1-EXP(-LN(2)/2))/(LN(2)/2)*BL121*BO121*VLOOKUP('Données projet'!$B$11,Paramètres!$A$1:$I$89,3,0)*0.475*44/12</f>
        <v>1.3870471284981181E-12</v>
      </c>
      <c r="BS121" s="24">
        <f t="shared" si="63"/>
        <v>3.8899458191871106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1.1368683772161603E-13</v>
      </c>
      <c r="BZ121" s="14">
        <f>BY121*VLOOKUP('Données projet'!$B$12,Paramètres!$A$1:$I$89,3,0)*VLOOKUP('Données projet'!$B$12,Paramètres!$A$1:$I$89,5,0)</f>
        <v>5.4683368944097308E-14</v>
      </c>
      <c r="CA121" s="14">
        <f t="shared" si="93"/>
        <v>8.8129432816788268E-13</v>
      </c>
      <c r="CB121" s="22">
        <f t="shared" si="64"/>
        <v>1.6301611558033651E-12</v>
      </c>
      <c r="CC121" s="62">
        <f t="shared" si="65"/>
        <v>293.33333333333496</v>
      </c>
      <c r="CD121" s="62">
        <f ca="1">AVERAGE(OFFSET($CC$3,0,0,'Données projet'!$E$12+1,1))-AVERAGE(OFFSET($H$3,0,0,'Données projet'!$E$12+1,1))</f>
        <v>409.97612835032567</v>
      </c>
      <c r="CE121" s="62">
        <f t="shared" si="94"/>
        <v>411.87876448092288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5.35144108978864</v>
      </c>
      <c r="CL121" s="23">
        <f>EXP(-LN(2)/25)*CL120+(1-EXP(-LN(2)/25))/(LN(2)/25)*Calculateur!CG121*Calculateur!CI121*VLOOKUP('Données projet'!$B$12,Paramètres!$A$1:$I$89,3,0)*0.475*44/12</f>
        <v>4.5407586428487994</v>
      </c>
      <c r="CM121" s="23">
        <f>EXP(-LN(2)/2)*CM120+(1-EXP(-LN(2)/2))/(LN(2)/2)*CG121*CJ121*VLOOKUP('Données projet'!$B$12,Paramètres!$A$1:$I$89,3,0)*0.475*44/12</f>
        <v>5.5322631057802253E-11</v>
      </c>
      <c r="CN121" s="24">
        <f t="shared" si="66"/>
        <v>9.8921997326927631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-4.5474735088646412E-13</v>
      </c>
      <c r="CU121" s="18">
        <f>CT121*VLOOKUP('Données projet'!$B$13,Paramètres!$A$1:$I$89,3,0)*VLOOKUP('Données projet'!$B$13,Paramètres!$A$1:$I$89,5,0)</f>
        <v>-2.7193891583010558E-13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463.3255103386889</v>
      </c>
      <c r="CZ121" s="62">
        <f t="shared" si="96"/>
        <v>474.73210558736127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0.87477159446987851</v>
      </c>
      <c r="DG121" s="23">
        <f>EXP(-LN(2)/25)*DG120+(1-EXP(-LN(2)/25))/(LN(2)/25)*Calculateur!DB121*Calculateur!DD121*VLOOKUP('Données projet'!$B$13,Paramètres!$A$1:$I$89,3,0)*0.475*44/12</f>
        <v>3.0215515002620239</v>
      </c>
      <c r="DH121" s="23">
        <f>EXP(-LN(2)/2)*DH120+(1-EXP(-LN(2)/2))/(LN(2)/2)*DB121*DE121*VLOOKUP('Données projet'!$B$13,Paramètres!$A$1:$I$89,3,0)*0.475*44/12</f>
        <v>2.479420997488166E-12</v>
      </c>
      <c r="DI121" s="24">
        <f t="shared" si="69"/>
        <v>3.8963230947343819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-1.1368683772161603E-13</v>
      </c>
      <c r="DP121" s="18">
        <f>DO121*VLOOKUP('Données projet'!$B$14,Paramètres!$A$1:$I$89,3,0)*VLOOKUP('Données projet'!$B$14,Paramètres!$A$1:$I$89,5,0)</f>
        <v>-5.3205440053716299E-14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215.23235148064941</v>
      </c>
      <c r="DU121" s="62">
        <f t="shared" si="98"/>
        <v>184.07239726900434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0.54866109074266067</v>
      </c>
      <c r="EB121" s="23">
        <f>EXP(-LN(2)/25)*EB120+(1-EXP(-LN(2)/25))/(LN(2)/25)*Calculateur!DW121*Calculateur!DY121*VLOOKUP('Données projet'!$B$14,Paramètres!$A$1:$I$89,3,0)*0.475*44/12</f>
        <v>0.68477244712333951</v>
      </c>
      <c r="EC121" s="23">
        <f>EXP(-LN(2)/2)*EC120+(1-EXP(-LN(2)/2))/(LN(2)/2)*DW121*DZ121*VLOOKUP('Données projet'!$B$14,Paramètres!$A$1:$I$89,3,0)*0.475*44/12</f>
        <v>5.5889452598285015E-13</v>
      </c>
      <c r="ED121" s="24">
        <f t="shared" si="72"/>
        <v>1.2334335378665591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526.9909857159372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1.1368683772161603E-12</v>
      </c>
      <c r="O122" s="14">
        <f>N122*VLOOKUP('Données projet'!$B$9,Paramètres!$A$1:$I$89,3,0)*VLOOKUP('Données projet'!$B$9,Paramètres!$A$1:$I$89,5,0)</f>
        <v>6.3550942286383359E-13</v>
      </c>
      <c r="P122" s="14">
        <f t="shared" si="87"/>
        <v>7.6982260417614606E-12</v>
      </c>
      <c r="Q122" s="22">
        <f t="shared" si="107"/>
        <v>1.4514589267555721E-11</v>
      </c>
      <c r="R122" s="62">
        <f t="shared" si="55"/>
        <v>293.33333333334781</v>
      </c>
      <c r="S122" s="62">
        <f ca="1">AVERAGE(OFFSET($R$3,0,0,'Données projet'!$E$9+1,1))-AVERAGE(OFFSET($H$3,0,0,'Données projet'!$E$9+1,1))</f>
        <v>460.40450534123659</v>
      </c>
      <c r="T122" s="62">
        <f t="shared" si="88"/>
        <v>467.77477728479198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2.1556452706689888</v>
      </c>
      <c r="AA122" s="23">
        <f>EXP(-LN(2)/25)*AA121+(1-EXP(-LN(2)/25))/(LN(2)/25)*Calculateur!V122*Calculateur!X122*VLOOKUP('Données projet'!$B$9,Paramètres!$A$1:$I$89,3,0)*0.475*44/12</f>
        <v>3.753308727530317</v>
      </c>
      <c r="AB122" s="23">
        <f>EXP(-LN(2)/2)*AB121+(1-EXP(-LN(2)/2))/(LN(2)/2)*V122*Y122*VLOOKUP('Données projet'!$B$9,Paramètres!$A$1:$I$89,3,0)*0.475*44/12</f>
        <v>1.6167744983166464E-12</v>
      </c>
      <c r="AC122" s="24">
        <f t="shared" si="57"/>
        <v>5.9089539982009223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5.4</v>
      </c>
      <c r="AI122" s="14">
        <f>IF('Données projet'!$A$62&gt;35,AI121+AH122-AQ121,IF(A122&lt;'Données projet'!$A$62,$AF$205^A122,IF(A122='Données projet'!$A$62,'Données projet'!$B$62,AI121+AH122-AQ121)))</f>
        <v>355.59999999999945</v>
      </c>
      <c r="AJ122" s="14">
        <f>AI122*VLOOKUP('Données projet'!$B$10,Paramètres!$A$1:$I$89,3,0)*VLOOKUP('Données projet'!$B$10,Paramètres!$A$1:$I$89,5,0)</f>
        <v>321.74687999999952</v>
      </c>
      <c r="AK122" s="14">
        <f t="shared" si="89"/>
        <v>75.716710773540626</v>
      </c>
      <c r="AL122" s="22">
        <f t="shared" si="58"/>
        <v>692.24908726391561</v>
      </c>
      <c r="AM122" s="62">
        <f t="shared" si="59"/>
        <v>985.58242059724898</v>
      </c>
      <c r="AN122" s="62">
        <f ca="1">AVERAGE(OFFSET($AM$3,0,0,'Données projet'!$E$10+1,1))-AVERAGE(OFFSET($H$3,0,0,'Données projet'!$E$10+1,1))</f>
        <v>321.03881567735544</v>
      </c>
      <c r="AO122" s="62">
        <f t="shared" si="90"/>
        <v>234.87694492493506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0.41331380396297951</v>
      </c>
      <c r="AV122" s="23">
        <f>EXP(-LN(2)/25)*AV121+(1-EXP(-LN(2)/25))/(LN(2)/25)*Calculateur!AQ122*Calculateur!AS122*VLOOKUP('Données projet'!$B$10,Paramètres!$A$1:$I$89,3,0)*0.475*44/12</f>
        <v>1.1493416189799921</v>
      </c>
      <c r="AW122" s="23">
        <f>EXP(-LN(2)/2)*AW121+(1-EXP(-LN(2)/2))/(LN(2)/2)*AQ122*AT122*VLOOKUP('Données projet'!$B$10,Paramètres!$A$1:$I$89,3,0)*0.475*44/12</f>
        <v>8.7382892726554966E-13</v>
      </c>
      <c r="AX122" s="23">
        <f t="shared" si="60"/>
        <v>1.5626554229438454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255.41017495879987</v>
      </c>
      <c r="BJ122" s="62">
        <f t="shared" si="92"/>
        <v>297.50513563712764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1.4318489439615658</v>
      </c>
      <c r="BQ122" s="23">
        <f>EXP(-LN(2)/25)*BQ121+(1-EXP(-LN(2)/25))/(LN(2)/25)*Calculateur!BL122*Calculateur!BN122*VLOOKUP('Données projet'!$B$11,Paramètres!$A$1:$I$89,3,0)*0.475*44/12</f>
        <v>2.3630239462868401</v>
      </c>
      <c r="BR122" s="23">
        <f>EXP(-LN(2)/2)*BR121+(1-EXP(-LN(2)/2))/(LN(2)/2)*BL122*BO122*VLOOKUP('Données projet'!$B$11,Paramètres!$A$1:$I$89,3,0)*0.475*44/12</f>
        <v>9.8079043038634786E-13</v>
      </c>
      <c r="BS122" s="24">
        <f t="shared" si="63"/>
        <v>3.7948728902493869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1.1368683772161603E-13</v>
      </c>
      <c r="BZ122" s="14">
        <f>BY122*VLOOKUP('Données projet'!$B$12,Paramètres!$A$1:$I$89,3,0)*VLOOKUP('Données projet'!$B$12,Paramètres!$A$1:$I$89,5,0)</f>
        <v>5.4683368944097308E-14</v>
      </c>
      <c r="CA122" s="14">
        <f t="shared" si="93"/>
        <v>8.8129432816788268E-13</v>
      </c>
      <c r="CB122" s="22">
        <f t="shared" si="64"/>
        <v>1.6301611558033651E-12</v>
      </c>
      <c r="CC122" s="62">
        <f t="shared" si="65"/>
        <v>293.33333333333496</v>
      </c>
      <c r="CD122" s="62">
        <f ca="1">AVERAGE(OFFSET($CC$3,0,0,'Données projet'!$E$12+1,1))-AVERAGE(OFFSET($H$3,0,0,'Données projet'!$E$12+1,1))</f>
        <v>409.97612835032567</v>
      </c>
      <c r="CE122" s="62">
        <f t="shared" si="94"/>
        <v>411.87876448092288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5.2465025940746504</v>
      </c>
      <c r="CL122" s="23">
        <f>EXP(-LN(2)/25)*CL121+(1-EXP(-LN(2)/25))/(LN(2)/25)*Calculateur!CG122*Calculateur!CI122*VLOOKUP('Données projet'!$B$12,Paramètres!$A$1:$I$89,3,0)*0.475*44/12</f>
        <v>4.4165913589719796</v>
      </c>
      <c r="CM122" s="23">
        <f>EXP(-LN(2)/2)*CM121+(1-EXP(-LN(2)/2))/(LN(2)/2)*CG122*CJ122*VLOOKUP('Données projet'!$B$12,Paramètres!$A$1:$I$89,3,0)*0.475*44/12</f>
        <v>3.9119007574053476E-11</v>
      </c>
      <c r="CN122" s="24">
        <f t="shared" si="66"/>
        <v>9.6630939530857489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-4.5474735088646412E-13</v>
      </c>
      <c r="CU122" s="18">
        <f>CT122*VLOOKUP('Données projet'!$B$13,Paramètres!$A$1:$I$89,3,0)*VLOOKUP('Données projet'!$B$13,Paramètres!$A$1:$I$89,5,0)</f>
        <v>-2.7193891583010558E-13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463.3255103386889</v>
      </c>
      <c r="CZ122" s="62">
        <f t="shared" si="96"/>
        <v>474.73210558736127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0.85761785706031235</v>
      </c>
      <c r="DG122" s="23">
        <f>EXP(-LN(2)/25)*DG121+(1-EXP(-LN(2)/25))/(LN(2)/25)*Calculateur!DB122*Calculateur!DD122*VLOOKUP('Données projet'!$B$13,Paramètres!$A$1:$I$89,3,0)*0.475*44/12</f>
        <v>2.9389270155908713</v>
      </c>
      <c r="DH122" s="23">
        <f>EXP(-LN(2)/2)*DH121+(1-EXP(-LN(2)/2))/(LN(2)/2)*DB122*DE122*VLOOKUP('Données projet'!$B$13,Paramètres!$A$1:$I$89,3,0)*0.475*44/12</f>
        <v>1.753215400740196E-12</v>
      </c>
      <c r="DI122" s="24">
        <f t="shared" si="69"/>
        <v>3.7965448726529369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-1.1368683772161603E-13</v>
      </c>
      <c r="DP122" s="18">
        <f>DO122*VLOOKUP('Données projet'!$B$14,Paramètres!$A$1:$I$89,3,0)*VLOOKUP('Données projet'!$B$14,Paramètres!$A$1:$I$89,5,0)</f>
        <v>-5.3205440053716299E-14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215.23235148064941</v>
      </c>
      <c r="DU122" s="62">
        <f t="shared" si="98"/>
        <v>184.07239726900434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0.5379021814034185</v>
      </c>
      <c r="EB122" s="23">
        <f>EXP(-LN(2)/25)*EB121+(1-EXP(-LN(2)/25))/(LN(2)/25)*Calculateur!DW122*Calculateur!DY122*VLOOKUP('Données projet'!$B$14,Paramètres!$A$1:$I$89,3,0)*0.475*44/12</f>
        <v>0.66604730854613392</v>
      </c>
      <c r="EC122" s="23">
        <f>EXP(-LN(2)/2)*EC121+(1-EXP(-LN(2)/2))/(LN(2)/2)*DW122*DZ122*VLOOKUP('Données projet'!$B$14,Paramètres!$A$1:$I$89,3,0)*0.475*44/12</f>
        <v>3.9519810929051443E-13</v>
      </c>
      <c r="ED122" s="24">
        <f t="shared" si="72"/>
        <v>1.2039494899499477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528.90603168355119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1.1368683772161603E-12</v>
      </c>
      <c r="O123" s="14">
        <f>N123*VLOOKUP('Données projet'!$B$9,Paramètres!$A$1:$I$89,3,0)*VLOOKUP('Données projet'!$B$9,Paramètres!$A$1:$I$89,5,0)</f>
        <v>6.3550942286383359E-13</v>
      </c>
      <c r="P123" s="14">
        <f t="shared" si="87"/>
        <v>7.6982260417614606E-12</v>
      </c>
      <c r="Q123" s="22">
        <f t="shared" si="107"/>
        <v>1.4514589267555721E-11</v>
      </c>
      <c r="R123" s="62">
        <f t="shared" si="55"/>
        <v>293.33333333334781</v>
      </c>
      <c r="S123" s="62">
        <f ca="1">AVERAGE(OFFSET($R$3,0,0,'Données projet'!$E$9+1,1))-AVERAGE(OFFSET($H$3,0,0,'Données projet'!$E$9+1,1))</f>
        <v>460.40450534123659</v>
      </c>
      <c r="T123" s="62">
        <f t="shared" si="88"/>
        <v>467.77477728479198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2.1133743817249582</v>
      </c>
      <c r="AA123" s="23">
        <f>EXP(-LN(2)/25)*AA122+(1-EXP(-LN(2)/25))/(LN(2)/25)*Calculateur!V123*Calculateur!X123*VLOOKUP('Données projet'!$B$9,Paramètres!$A$1:$I$89,3,0)*0.475*44/12</f>
        <v>3.6506743029980728</v>
      </c>
      <c r="AB123" s="23">
        <f>EXP(-LN(2)/2)*AB122+(1-EXP(-LN(2)/2))/(LN(2)/2)*V123*Y123*VLOOKUP('Données projet'!$B$9,Paramètres!$A$1:$I$89,3,0)*0.475*44/12</f>
        <v>1.143232211409179E-12</v>
      </c>
      <c r="AC123" s="24">
        <f t="shared" si="57"/>
        <v>5.7640486847241741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361</v>
      </c>
      <c r="AG123" s="13">
        <f>VLOOKUP(A123,'Données projet'!$A$61:$I$81,9,0)</f>
        <v>5.4</v>
      </c>
      <c r="AH123" s="13">
        <f t="array" ref="AH123">INDEX(AG:AG,MIN(IF(ISNUMBER(AG123:AG319),ROW(AG123:AG319),"")))</f>
        <v>5.4</v>
      </c>
      <c r="AI123" s="14">
        <f>IF('Données projet'!$A$62&gt;35,AI122+AH123-AQ122,IF(A123&lt;'Données projet'!$A$62,$AF$205^A123,IF(A123='Données projet'!$A$62,'Données projet'!$B$62,AI122+AH123-AQ122)))</f>
        <v>360.99999999999943</v>
      </c>
      <c r="AJ123" s="14">
        <f>AI123*VLOOKUP('Données projet'!$B$10,Paramètres!$A$1:$I$89,3,0)*VLOOKUP('Données projet'!$B$10,Paramètres!$A$1:$I$89,5,0)</f>
        <v>326.63279999999946</v>
      </c>
      <c r="AK123" s="14">
        <f t="shared" si="89"/>
        <v>76.731784548754774</v>
      </c>
      <c r="AL123" s="22">
        <f t="shared" si="58"/>
        <v>702.52665142241358</v>
      </c>
      <c r="AM123" s="62">
        <f t="shared" si="59"/>
        <v>995.85998475574684</v>
      </c>
      <c r="AN123" s="62">
        <f ca="1">AVERAGE(OFFSET($AM$3,0,0,'Données projet'!$E$10+1,1))-AVERAGE(OFFSET($H$3,0,0,'Données projet'!$E$10+1,1))</f>
        <v>321.03881567735544</v>
      </c>
      <c r="AO123" s="62">
        <f t="shared" si="90"/>
        <v>234.87694492493506</v>
      </c>
      <c r="AP123" s="16">
        <f>IF(ISNA(VLOOKUP(A123,'Données projet'!$A$61:$I$81,3,0)),0,VLOOKUP(A123,'Données projet'!$A$61:$I$81,3,0))</f>
        <v>11</v>
      </c>
      <c r="AQ123" s="16">
        <f>IF(ISNA(VLOOKUP(A123,'Données projet'!$A$61:$I$81,4,0)),0,VLOOKUP(A123,'Données projet'!$A$61:$I$81,4,0))</f>
        <v>361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0.40520897236379344</v>
      </c>
      <c r="AV123" s="23">
        <f>EXP(-LN(2)/25)*AV122+(1-EXP(-LN(2)/25))/(LN(2)/25)*Calculateur!AQ123*Calculateur!AS123*VLOOKUP('Données projet'!$B$10,Paramètres!$A$1:$I$89,3,0)*0.475*44/12</f>
        <v>1.1179128119677353</v>
      </c>
      <c r="AW123" s="23">
        <f>EXP(-LN(2)/2)*AW122+(1-EXP(-LN(2)/2))/(LN(2)/2)*AQ123*AT123*VLOOKUP('Données projet'!$B$10,Paramètres!$A$1:$I$89,3,0)*0.475*44/12</f>
        <v>6.1789036006643657E-13</v>
      </c>
      <c r="AX123" s="23">
        <f t="shared" si="60"/>
        <v>1.5231217843321467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255.41017495879987</v>
      </c>
      <c r="BJ123" s="62">
        <f t="shared" si="92"/>
        <v>297.50513563712764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1.4037712595120999</v>
      </c>
      <c r="BQ123" s="23">
        <f>EXP(-LN(2)/25)*BQ122+(1-EXP(-LN(2)/25))/(LN(2)/25)*Calculateur!BL123*Calculateur!BN123*VLOOKUP('Données projet'!$B$11,Paramètres!$A$1:$I$89,3,0)*0.475*44/12</f>
        <v>2.2984069322095979</v>
      </c>
      <c r="BR123" s="23">
        <f>EXP(-LN(2)/2)*BR122+(1-EXP(-LN(2)/2))/(LN(2)/2)*BL123*BO123*VLOOKUP('Données projet'!$B$11,Paramètres!$A$1:$I$89,3,0)*0.475*44/12</f>
        <v>6.9352356424905906E-13</v>
      </c>
      <c r="BS123" s="24">
        <f t="shared" si="63"/>
        <v>3.7021781917223917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1.1368683772161603E-13</v>
      </c>
      <c r="BZ123" s="14">
        <f>BY123*VLOOKUP('Données projet'!$B$12,Paramètres!$A$1:$I$89,3,0)*VLOOKUP('Données projet'!$B$12,Paramètres!$A$1:$I$89,5,0)</f>
        <v>5.4683368944097308E-14</v>
      </c>
      <c r="CA123" s="14">
        <f t="shared" si="93"/>
        <v>8.8129432816788268E-13</v>
      </c>
      <c r="CB123" s="22">
        <f t="shared" si="64"/>
        <v>1.6301611558033651E-12</v>
      </c>
      <c r="CC123" s="62">
        <f t="shared" si="65"/>
        <v>293.33333333333496</v>
      </c>
      <c r="CD123" s="62">
        <f ca="1">AVERAGE(OFFSET($CC$3,0,0,'Données projet'!$E$12+1,1))-AVERAGE(OFFSET($H$3,0,0,'Données projet'!$E$12+1,1))</f>
        <v>409.97612835032567</v>
      </c>
      <c r="CE123" s="62">
        <f t="shared" si="94"/>
        <v>411.87876448092288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5.1436218782554501</v>
      </c>
      <c r="CL123" s="23">
        <f>EXP(-LN(2)/25)*CL122+(1-EXP(-LN(2)/25))/(LN(2)/25)*Calculateur!CG123*Calculateur!CI123*VLOOKUP('Données projet'!$B$12,Paramètres!$A$1:$I$89,3,0)*0.475*44/12</f>
        <v>4.2958194360024455</v>
      </c>
      <c r="CM123" s="23">
        <f>EXP(-LN(2)/2)*CM122+(1-EXP(-LN(2)/2))/(LN(2)/2)*CG123*CJ123*VLOOKUP('Données projet'!$B$12,Paramètres!$A$1:$I$89,3,0)*0.475*44/12</f>
        <v>2.7661315528901127E-11</v>
      </c>
      <c r="CN123" s="24">
        <f t="shared" si="66"/>
        <v>9.4394413142855562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-4.5474735088646412E-13</v>
      </c>
      <c r="CU123" s="18">
        <f>CT123*VLOOKUP('Données projet'!$B$13,Paramètres!$A$1:$I$89,3,0)*VLOOKUP('Données projet'!$B$13,Paramètres!$A$1:$I$89,5,0)</f>
        <v>-2.7193891583010558E-13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463.3255103386889</v>
      </c>
      <c r="CZ123" s="62">
        <f t="shared" si="96"/>
        <v>474.73210558736127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0.84080049397860102</v>
      </c>
      <c r="DG123" s="23">
        <f>EXP(-LN(2)/25)*DG122+(1-EXP(-LN(2)/25))/(LN(2)/25)*Calculateur!DB123*Calculateur!DD123*VLOOKUP('Données projet'!$B$13,Paramètres!$A$1:$I$89,3,0)*0.475*44/12</f>
        <v>2.8585619017980841</v>
      </c>
      <c r="DH123" s="23">
        <f>EXP(-LN(2)/2)*DH122+(1-EXP(-LN(2)/2))/(LN(2)/2)*DB123*DE123*VLOOKUP('Données projet'!$B$13,Paramètres!$A$1:$I$89,3,0)*0.475*44/12</f>
        <v>1.239710498744083E-12</v>
      </c>
      <c r="DI123" s="24">
        <f t="shared" si="69"/>
        <v>3.6993623957779249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-1.1368683772161603E-13</v>
      </c>
      <c r="DP123" s="18">
        <f>DO123*VLOOKUP('Données projet'!$B$14,Paramètres!$A$1:$I$89,3,0)*VLOOKUP('Données projet'!$B$14,Paramètres!$A$1:$I$89,5,0)</f>
        <v>-5.3205440053716299E-14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215.23235148064941</v>
      </c>
      <c r="DU123" s="62">
        <f t="shared" si="98"/>
        <v>184.07239726900434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0.52735424771403216</v>
      </c>
      <c r="EB123" s="23">
        <f>EXP(-LN(2)/25)*EB122+(1-EXP(-LN(2)/25))/(LN(2)/25)*Calculateur!DW123*Calculateur!DY123*VLOOKUP('Données projet'!$B$14,Paramètres!$A$1:$I$89,3,0)*0.475*44/12</f>
        <v>0.64783420986803419</v>
      </c>
      <c r="EC123" s="23">
        <f>EXP(-LN(2)/2)*EC122+(1-EXP(-LN(2)/2))/(LN(2)/2)*DW123*DZ123*VLOOKUP('Données projet'!$B$14,Paramètres!$A$1:$I$89,3,0)*0.475*44/12</f>
        <v>2.7944726299142507E-13</v>
      </c>
      <c r="ED123" s="24">
        <f t="shared" si="72"/>
        <v>1.1751884575823459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530.8207224538246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1.1368683772161603E-12</v>
      </c>
      <c r="O124" s="14">
        <f>N124*VLOOKUP('Données projet'!$B$9,Paramètres!$A$1:$I$89,3,0)*VLOOKUP('Données projet'!$B$9,Paramètres!$A$1:$I$89,5,0)</f>
        <v>6.3550942286383359E-13</v>
      </c>
      <c r="P124" s="14">
        <f t="shared" si="87"/>
        <v>7.6982260417614606E-12</v>
      </c>
      <c r="Q124" s="22">
        <f t="shared" si="107"/>
        <v>1.4514589267555721E-11</v>
      </c>
      <c r="R124" s="62">
        <f t="shared" si="55"/>
        <v>293.33333333334781</v>
      </c>
      <c r="S124" s="62">
        <f ca="1">AVERAGE(OFFSET($R$3,0,0,'Données projet'!$E$9+1,1))-AVERAGE(OFFSET($H$3,0,0,'Données projet'!$E$9+1,1))</f>
        <v>460.40450534123659</v>
      </c>
      <c r="T124" s="62">
        <f t="shared" si="88"/>
        <v>467.77477728479198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2.0719323991304233</v>
      </c>
      <c r="AA124" s="23">
        <f>EXP(-LN(2)/25)*AA123+(1-EXP(-LN(2)/25))/(LN(2)/25)*Calculateur!V124*Calculateur!X124*VLOOKUP('Données projet'!$B$9,Paramètres!$A$1:$I$89,3,0)*0.475*44/12</f>
        <v>3.5508464222019724</v>
      </c>
      <c r="AB124" s="23">
        <f>EXP(-LN(2)/2)*AB123+(1-EXP(-LN(2)/2))/(LN(2)/2)*V124*Y124*VLOOKUP('Données projet'!$B$9,Paramètres!$A$1:$I$89,3,0)*0.475*44/12</f>
        <v>8.0838724915832321E-13</v>
      </c>
      <c r="AC124" s="24">
        <f t="shared" si="57"/>
        <v>5.6227788213332044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-5.6843418860808015E-13</v>
      </c>
      <c r="AJ124" s="14">
        <f>AI124*VLOOKUP('Données projet'!$B$10,Paramètres!$A$1:$I$89,3,0)*VLOOKUP('Données projet'!$B$10,Paramètres!$A$1:$I$89,5,0)</f>
        <v>-5.1431925385259092E-13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321.03881567735544</v>
      </c>
      <c r="AO124" s="62">
        <f t="shared" si="90"/>
        <v>234.87694492493506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0.39726307156880825</v>
      </c>
      <c r="AV124" s="23">
        <f>EXP(-LN(2)/25)*AV123+(1-EXP(-LN(2)/25))/(LN(2)/25)*Calculateur!AQ124*Calculateur!AS124*VLOOKUP('Données projet'!$B$10,Paramètres!$A$1:$I$89,3,0)*0.475*44/12</f>
        <v>1.0873434273359979</v>
      </c>
      <c r="AW124" s="23">
        <f>EXP(-LN(2)/2)*AW123+(1-EXP(-LN(2)/2))/(LN(2)/2)*AQ124*AT124*VLOOKUP('Données projet'!$B$10,Paramètres!$A$1:$I$89,3,0)*0.475*44/12</f>
        <v>4.3691446363277483E-13</v>
      </c>
      <c r="AX124" s="23">
        <f t="shared" si="60"/>
        <v>1.4846064989052432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255.41017495879987</v>
      </c>
      <c r="BJ124" s="62">
        <f t="shared" si="92"/>
        <v>297.50513563712764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1.3762441613289917</v>
      </c>
      <c r="BQ124" s="23">
        <f>EXP(-LN(2)/25)*BQ123+(1-EXP(-LN(2)/25))/(LN(2)/25)*Calculateur!BL124*Calculateur!BN124*VLOOKUP('Données projet'!$B$11,Paramètres!$A$1:$I$89,3,0)*0.475*44/12</f>
        <v>2.2355568737803591</v>
      </c>
      <c r="BR124" s="23">
        <f>EXP(-LN(2)/2)*BR123+(1-EXP(-LN(2)/2))/(LN(2)/2)*BL124*BO124*VLOOKUP('Données projet'!$B$11,Paramètres!$A$1:$I$89,3,0)*0.475*44/12</f>
        <v>4.9039521519317393E-13</v>
      </c>
      <c r="BS124" s="24">
        <f t="shared" si="63"/>
        <v>3.6118010351098411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5.4683368944097308E-14</v>
      </c>
      <c r="CA124" s="14">
        <f t="shared" si="93"/>
        <v>8.8129432816788268E-13</v>
      </c>
      <c r="CB124" s="22">
        <f t="shared" si="64"/>
        <v>1.6301611558033651E-12</v>
      </c>
      <c r="CC124" s="62">
        <f t="shared" si="65"/>
        <v>293.33333333333496</v>
      </c>
      <c r="CD124" s="62">
        <f ca="1">AVERAGE(OFFSET($CC$3,0,0,'Données projet'!$E$12+1,1))-AVERAGE(OFFSET($H$3,0,0,'Données projet'!$E$12+1,1))</f>
        <v>409.97612835032567</v>
      </c>
      <c r="CE124" s="62">
        <f t="shared" si="94"/>
        <v>411.87876448092288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5.0427585905224239</v>
      </c>
      <c r="CL124" s="23">
        <f>EXP(-LN(2)/25)*CL123+(1-EXP(-LN(2)/25))/(LN(2)/25)*Calculateur!CG124*Calculateur!CI124*VLOOKUP('Données projet'!$B$12,Paramètres!$A$1:$I$89,3,0)*0.475*44/12</f>
        <v>4.1783500276176326</v>
      </c>
      <c r="CM124" s="23">
        <f>EXP(-LN(2)/2)*CM123+(1-EXP(-LN(2)/2))/(LN(2)/2)*CG124*CJ124*VLOOKUP('Données projet'!$B$12,Paramètres!$A$1:$I$89,3,0)*0.475*44/12</f>
        <v>1.9559503787026738E-11</v>
      </c>
      <c r="CN124" s="24">
        <f t="shared" si="66"/>
        <v>9.2211086181596169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-4.5474735088646412E-13</v>
      </c>
      <c r="CU124" s="18">
        <f>CT124*VLOOKUP('Données projet'!$B$13,Paramètres!$A$1:$I$89,3,0)*VLOOKUP('Données projet'!$B$13,Paramètres!$A$1:$I$89,5,0)</f>
        <v>-2.7193891583010558E-13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463.3255103386889</v>
      </c>
      <c r="CZ124" s="62">
        <f t="shared" si="96"/>
        <v>474.73210558736127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0.82431290912934352</v>
      </c>
      <c r="DG124" s="23">
        <f>EXP(-LN(2)/25)*DG123+(1-EXP(-LN(2)/25))/(LN(2)/25)*Calculateur!DB124*Calculateur!DD124*VLOOKUP('Données projet'!$B$13,Paramètres!$A$1:$I$89,3,0)*0.475*44/12</f>
        <v>2.7803943762681782</v>
      </c>
      <c r="DH124" s="23">
        <f>EXP(-LN(2)/2)*DH123+(1-EXP(-LN(2)/2))/(LN(2)/2)*DB124*DE124*VLOOKUP('Données projet'!$B$13,Paramètres!$A$1:$I$89,3,0)*0.475*44/12</f>
        <v>8.7660770037009802E-13</v>
      </c>
      <c r="DI124" s="24">
        <f t="shared" si="69"/>
        <v>3.6047072853983986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-1.1368683772161603E-13</v>
      </c>
      <c r="DP124" s="18">
        <f>DO124*VLOOKUP('Données projet'!$B$14,Paramètres!$A$1:$I$89,3,0)*VLOOKUP('Données projet'!$B$14,Paramètres!$A$1:$I$89,5,0)</f>
        <v>-5.3205440053716299E-14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215.23235148064941</v>
      </c>
      <c r="DU124" s="62">
        <f t="shared" si="98"/>
        <v>184.07239726900434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0.51701315257069036</v>
      </c>
      <c r="EB124" s="23">
        <f>EXP(-LN(2)/25)*EB123+(1-EXP(-LN(2)/25))/(LN(2)/25)*Calculateur!DW124*Calculateur!DY124*VLOOKUP('Données projet'!$B$14,Paramètres!$A$1:$I$89,3,0)*0.475*44/12</f>
        <v>0.63011914933107238</v>
      </c>
      <c r="EC124" s="23">
        <f>EXP(-LN(2)/2)*EC123+(1-EXP(-LN(2)/2))/(LN(2)/2)*DW124*DZ124*VLOOKUP('Données projet'!$B$14,Paramètres!$A$1:$I$89,3,0)*0.475*44/12</f>
        <v>1.9759905464525721E-13</v>
      </c>
      <c r="ED124" s="24">
        <f t="shared" si="72"/>
        <v>1.1471323019019604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532.73506130246597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1.1368683772161603E-12</v>
      </c>
      <c r="O125" s="14">
        <f>N125*VLOOKUP('Données projet'!$B$9,Paramètres!$A$1:$I$89,3,0)*VLOOKUP('Données projet'!$B$9,Paramètres!$A$1:$I$89,5,0)</f>
        <v>6.3550942286383359E-13</v>
      </c>
      <c r="P125" s="14">
        <f t="shared" si="87"/>
        <v>7.6982260417614606E-12</v>
      </c>
      <c r="Q125" s="22">
        <f t="shared" si="107"/>
        <v>1.4514589267555721E-11</v>
      </c>
      <c r="R125" s="62">
        <f t="shared" si="55"/>
        <v>293.33333333334781</v>
      </c>
      <c r="S125" s="62">
        <f ca="1">AVERAGE(OFFSET($R$3,0,0,'Données projet'!$E$9+1,1))-AVERAGE(OFFSET($H$3,0,0,'Données projet'!$E$9+1,1))</f>
        <v>460.40450534123659</v>
      </c>
      <c r="T125" s="62">
        <f t="shared" si="88"/>
        <v>467.77477728479198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2.0313030685374538</v>
      </c>
      <c r="AA125" s="23">
        <f>EXP(-LN(2)/25)*AA124+(1-EXP(-LN(2)/25))/(LN(2)/25)*Calculateur!V125*Calculateur!X125*VLOOKUP('Données projet'!$B$9,Paramètres!$A$1:$I$89,3,0)*0.475*44/12</f>
        <v>3.4537483400559617</v>
      </c>
      <c r="AB125" s="23">
        <f>EXP(-LN(2)/2)*AB124+(1-EXP(-LN(2)/2))/(LN(2)/2)*V125*Y125*VLOOKUP('Données projet'!$B$9,Paramètres!$A$1:$I$89,3,0)*0.475*44/12</f>
        <v>5.7161610570458951E-13</v>
      </c>
      <c r="AC125" s="24">
        <f t="shared" si="57"/>
        <v>5.4850514085939874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-5.6843418860808015E-13</v>
      </c>
      <c r="AJ125" s="14">
        <f>AI125*VLOOKUP('Données projet'!$B$10,Paramètres!$A$1:$I$89,3,0)*VLOOKUP('Données projet'!$B$10,Paramètres!$A$1:$I$89,5,0)</f>
        <v>-5.1431925385259092E-13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321.03881567735544</v>
      </c>
      <c r="AO125" s="62">
        <f t="shared" si="90"/>
        <v>234.87694492493506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0.38947298504189176</v>
      </c>
      <c r="AV125" s="23">
        <f>EXP(-LN(2)/25)*AV124+(1-EXP(-LN(2)/25))/(LN(2)/25)*Calculateur!AQ125*Calculateur!AS125*VLOOKUP('Données projet'!$B$10,Paramètres!$A$1:$I$89,3,0)*0.475*44/12</f>
        <v>1.0576099641345893</v>
      </c>
      <c r="AW125" s="23">
        <f>EXP(-LN(2)/2)*AW124+(1-EXP(-LN(2)/2))/(LN(2)/2)*AQ125*AT125*VLOOKUP('Données projet'!$B$10,Paramètres!$A$1:$I$89,3,0)*0.475*44/12</f>
        <v>3.0894518003321828E-13</v>
      </c>
      <c r="AX125" s="23">
        <f t="shared" si="60"/>
        <v>1.4470829491767898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255.41017495879987</v>
      </c>
      <c r="BJ125" s="62">
        <f t="shared" si="92"/>
        <v>297.50513563712764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1.3492568527513822</v>
      </c>
      <c r="BQ125" s="23">
        <f>EXP(-LN(2)/25)*BQ124+(1-EXP(-LN(2)/25))/(LN(2)/25)*Calculateur!BL125*Calculateur!BN125*VLOOKUP('Données projet'!$B$11,Paramètres!$A$1:$I$89,3,0)*0.475*44/12</f>
        <v>2.1744254535040084</v>
      </c>
      <c r="BR125" s="23">
        <f>EXP(-LN(2)/2)*BR124+(1-EXP(-LN(2)/2))/(LN(2)/2)*BL125*BO125*VLOOKUP('Données projet'!$B$11,Paramètres!$A$1:$I$89,3,0)*0.475*44/12</f>
        <v>3.4676178212452953E-13</v>
      </c>
      <c r="BS125" s="24">
        <f t="shared" si="63"/>
        <v>3.5236823062557376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5.4683368944097308E-14</v>
      </c>
      <c r="CA125" s="14">
        <f t="shared" si="93"/>
        <v>8.8129432816788268E-13</v>
      </c>
      <c r="CB125" s="22">
        <f t="shared" si="64"/>
        <v>1.6301611558033651E-12</v>
      </c>
      <c r="CC125" s="62">
        <f t="shared" si="65"/>
        <v>293.33333333333496</v>
      </c>
      <c r="CD125" s="62">
        <f ca="1">AVERAGE(OFFSET($CC$3,0,0,'Données projet'!$E$12+1,1))-AVERAGE(OFFSET($H$3,0,0,'Données projet'!$E$12+1,1))</f>
        <v>409.97612835032567</v>
      </c>
      <c r="CE125" s="62">
        <f t="shared" si="94"/>
        <v>411.87876448092288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4.9438731703413117</v>
      </c>
      <c r="CL125" s="23">
        <f>EXP(-LN(2)/25)*CL124+(1-EXP(-LN(2)/25))/(LN(2)/25)*Calculateur!CG125*Calculateur!CI125*VLOOKUP('Données projet'!$B$12,Paramètres!$A$1:$I$89,3,0)*0.475*44/12</f>
        <v>4.0640928263825504</v>
      </c>
      <c r="CM125" s="23">
        <f>EXP(-LN(2)/2)*CM124+(1-EXP(-LN(2)/2))/(LN(2)/2)*CG125*CJ125*VLOOKUP('Données projet'!$B$12,Paramètres!$A$1:$I$89,3,0)*0.475*44/12</f>
        <v>1.3830657764450563E-11</v>
      </c>
      <c r="CN125" s="24">
        <f t="shared" si="66"/>
        <v>9.0079659967376919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-4.5474735088646412E-13</v>
      </c>
      <c r="CU125" s="18">
        <f>CT125*VLOOKUP('Données projet'!$B$13,Paramètres!$A$1:$I$89,3,0)*VLOOKUP('Données projet'!$B$13,Paramètres!$A$1:$I$89,5,0)</f>
        <v>-2.7193891583010558E-13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463.3255103386889</v>
      </c>
      <c r="CZ125" s="62">
        <f t="shared" si="96"/>
        <v>474.73210558736127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0.80814863576254614</v>
      </c>
      <c r="DG125" s="23">
        <f>EXP(-LN(2)/25)*DG124+(1-EXP(-LN(2)/25))/(LN(2)/25)*Calculateur!DB125*Calculateur!DD125*VLOOKUP('Données projet'!$B$13,Paramètres!$A$1:$I$89,3,0)*0.475*44/12</f>
        <v>2.7043643458345392</v>
      </c>
      <c r="DH125" s="23">
        <f>EXP(-LN(2)/2)*DH124+(1-EXP(-LN(2)/2))/(LN(2)/2)*DB125*DE125*VLOOKUP('Données projet'!$B$13,Paramètres!$A$1:$I$89,3,0)*0.475*44/12</f>
        <v>6.1985524937204151E-13</v>
      </c>
      <c r="DI125" s="24">
        <f t="shared" si="69"/>
        <v>3.5125129815977054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-1.1368683772161603E-13</v>
      </c>
      <c r="DP125" s="18">
        <f>DO125*VLOOKUP('Données projet'!$B$14,Paramètres!$A$1:$I$89,3,0)*VLOOKUP('Données projet'!$B$14,Paramètres!$A$1:$I$89,5,0)</f>
        <v>-5.3205440053716299E-14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215.23235148064941</v>
      </c>
      <c r="DU125" s="62">
        <f t="shared" si="98"/>
        <v>184.07239726900434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0.50687483999566429</v>
      </c>
      <c r="EB125" s="23">
        <f>EXP(-LN(2)/25)*EB124+(1-EXP(-LN(2)/25))/(LN(2)/25)*Calculateur!DW125*Calculateur!DY125*VLOOKUP('Données projet'!$B$14,Paramètres!$A$1:$I$89,3,0)*0.475*44/12</f>
        <v>0.6128885080560883</v>
      </c>
      <c r="EC125" s="23">
        <f>EXP(-LN(2)/2)*EC124+(1-EXP(-LN(2)/2))/(LN(2)/2)*DW125*DZ125*VLOOKUP('Données projet'!$B$14,Paramètres!$A$1:$I$89,3,0)*0.475*44/12</f>
        <v>1.3972363149571254E-13</v>
      </c>
      <c r="ED125" s="24">
        <f t="shared" si="72"/>
        <v>1.1197633480518923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534.64905144838292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1.1368683772161603E-12</v>
      </c>
      <c r="O126" s="14">
        <f>N126*VLOOKUP('Données projet'!$B$9,Paramètres!$A$1:$I$89,3,0)*VLOOKUP('Données projet'!$B$9,Paramètres!$A$1:$I$89,5,0)</f>
        <v>6.3550942286383359E-13</v>
      </c>
      <c r="P126" s="14">
        <f t="shared" si="87"/>
        <v>7.6982260417614606E-12</v>
      </c>
      <c r="Q126" s="22">
        <f t="shared" si="107"/>
        <v>1.4514589267555721E-11</v>
      </c>
      <c r="R126" s="62">
        <f t="shared" si="55"/>
        <v>293.33333333334781</v>
      </c>
      <c r="S126" s="62">
        <f ca="1">AVERAGE(OFFSET($R$3,0,0,'Données projet'!$E$9+1,1))-AVERAGE(OFFSET($H$3,0,0,'Données projet'!$E$9+1,1))</f>
        <v>460.40450534123659</v>
      </c>
      <c r="T126" s="62">
        <f t="shared" si="88"/>
        <v>467.77477728479198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1.9914704543359678</v>
      </c>
      <c r="AA126" s="23">
        <f>EXP(-LN(2)/25)*AA125+(1-EXP(-LN(2)/25))/(LN(2)/25)*Calculateur!V126*Calculateur!X126*VLOOKUP('Données projet'!$B$9,Paramètres!$A$1:$I$89,3,0)*0.475*44/12</f>
        <v>3.3593054100724</v>
      </c>
      <c r="AB126" s="23">
        <f>EXP(-LN(2)/2)*AB125+(1-EXP(-LN(2)/2))/(LN(2)/2)*V126*Y126*VLOOKUP('Données projet'!$B$9,Paramètres!$A$1:$I$89,3,0)*0.475*44/12</f>
        <v>4.041936245791616E-13</v>
      </c>
      <c r="AC126" s="24">
        <f t="shared" si="57"/>
        <v>5.3507758644087717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-5.6843418860808015E-13</v>
      </c>
      <c r="AJ126" s="14">
        <f>AI126*VLOOKUP('Données projet'!$B$10,Paramètres!$A$1:$I$89,3,0)*VLOOKUP('Données projet'!$B$10,Paramètres!$A$1:$I$89,5,0)</f>
        <v>-5.1431925385259092E-13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321.03881567735544</v>
      </c>
      <c r="AO126" s="62">
        <f t="shared" si="90"/>
        <v>234.87694492493506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0.38183565736028452</v>
      </c>
      <c r="AV126" s="23">
        <f>EXP(-LN(2)/25)*AV125+(1-EXP(-LN(2)/25))/(LN(2)/25)*Calculateur!AQ126*Calculateur!AS126*VLOOKUP('Données projet'!$B$10,Paramètres!$A$1:$I$89,3,0)*0.475*44/12</f>
        <v>1.0286895640480382</v>
      </c>
      <c r="AW126" s="23">
        <f>EXP(-LN(2)/2)*AW125+(1-EXP(-LN(2)/2))/(LN(2)/2)*AQ126*AT126*VLOOKUP('Données projet'!$B$10,Paramètres!$A$1:$I$89,3,0)*0.475*44/12</f>
        <v>2.1845723181638742E-13</v>
      </c>
      <c r="AX126" s="23">
        <f t="shared" si="60"/>
        <v>1.4105252214085413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255.41017495879987</v>
      </c>
      <c r="BJ126" s="62">
        <f t="shared" si="92"/>
        <v>297.50513563712764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1.3227987488343467</v>
      </c>
      <c r="BQ126" s="23">
        <f>EXP(-LN(2)/25)*BQ125+(1-EXP(-LN(2)/25))/(LN(2)/25)*Calculateur!BL126*Calculateur!BN126*VLOOKUP('Données projet'!$B$11,Paramètres!$A$1:$I$89,3,0)*0.475*44/12</f>
        <v>2.1149656751298762</v>
      </c>
      <c r="BR126" s="23">
        <f>EXP(-LN(2)/2)*BR125+(1-EXP(-LN(2)/2))/(LN(2)/2)*BL126*BO126*VLOOKUP('Données projet'!$B$11,Paramètres!$A$1:$I$89,3,0)*0.475*44/12</f>
        <v>2.4519760759658697E-13</v>
      </c>
      <c r="BS126" s="24">
        <f t="shared" si="63"/>
        <v>3.437764423964468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5.4683368944097308E-14</v>
      </c>
      <c r="CA126" s="14">
        <f t="shared" si="93"/>
        <v>8.8129432816788268E-13</v>
      </c>
      <c r="CB126" s="22">
        <f t="shared" si="64"/>
        <v>1.6301611558033651E-12</v>
      </c>
      <c r="CC126" s="62">
        <f t="shared" si="65"/>
        <v>293.33333333333496</v>
      </c>
      <c r="CD126" s="62">
        <f ca="1">AVERAGE(OFFSET($CC$3,0,0,'Données projet'!$E$12+1,1))-AVERAGE(OFFSET($H$3,0,0,'Données projet'!$E$12+1,1))</f>
        <v>409.97612835032567</v>
      </c>
      <c r="CE126" s="62">
        <f t="shared" si="94"/>
        <v>411.87876448092288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4.8469268329358002</v>
      </c>
      <c r="CL126" s="23">
        <f>EXP(-LN(2)/25)*CL125+(1-EXP(-LN(2)/25))/(LN(2)/25)*Calculateur!CG126*Calculateur!CI126*VLOOKUP('Données projet'!$B$12,Paramètres!$A$1:$I$89,3,0)*0.475*44/12</f>
        <v>3.9529599943237663</v>
      </c>
      <c r="CM126" s="23">
        <f>EXP(-LN(2)/2)*CM125+(1-EXP(-LN(2)/2))/(LN(2)/2)*CG126*CJ126*VLOOKUP('Données projet'!$B$12,Paramètres!$A$1:$I$89,3,0)*0.475*44/12</f>
        <v>9.7797518935133689E-12</v>
      </c>
      <c r="CN126" s="24">
        <f t="shared" si="66"/>
        <v>8.7998868272693471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-4.5474735088646412E-13</v>
      </c>
      <c r="CU126" s="18">
        <f>CT126*VLOOKUP('Données projet'!$B$13,Paramètres!$A$1:$I$89,3,0)*VLOOKUP('Données projet'!$B$13,Paramètres!$A$1:$I$89,5,0)</f>
        <v>-2.7193891583010558E-13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463.3255103386889</v>
      </c>
      <c r="CZ126" s="62">
        <f t="shared" si="96"/>
        <v>474.73210558736127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0.79230133393723845</v>
      </c>
      <c r="DG126" s="23">
        <f>EXP(-LN(2)/25)*DG125+(1-EXP(-LN(2)/25))/(LN(2)/25)*Calculateur!DB126*Calculateur!DD126*VLOOKUP('Données projet'!$B$13,Paramètres!$A$1:$I$89,3,0)*0.475*44/12</f>
        <v>2.6304133605813536</v>
      </c>
      <c r="DH126" s="23">
        <f>EXP(-LN(2)/2)*DH125+(1-EXP(-LN(2)/2))/(LN(2)/2)*DB126*DE126*VLOOKUP('Données projet'!$B$13,Paramètres!$A$1:$I$89,3,0)*0.475*44/12</f>
        <v>4.3830385018504901E-13</v>
      </c>
      <c r="DI126" s="24">
        <f t="shared" si="69"/>
        <v>3.4227146945190303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-1.1368683772161603E-13</v>
      </c>
      <c r="DP126" s="18">
        <f>DO126*VLOOKUP('Données projet'!$B$14,Paramètres!$A$1:$I$89,3,0)*VLOOKUP('Données projet'!$B$14,Paramètres!$A$1:$I$89,5,0)</f>
        <v>-5.3205440053716299E-14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215.23235148064941</v>
      </c>
      <c r="DU126" s="62">
        <f t="shared" si="98"/>
        <v>184.07239726900434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0.4969353335464744</v>
      </c>
      <c r="EB126" s="23">
        <f>EXP(-LN(2)/25)*EB125+(1-EXP(-LN(2)/25))/(LN(2)/25)*Calculateur!DW126*Calculateur!DY126*VLOOKUP('Données projet'!$B$14,Paramètres!$A$1:$I$89,3,0)*0.475*44/12</f>
        <v>0.59612903957288865</v>
      </c>
      <c r="EC126" s="23">
        <f>EXP(-LN(2)/2)*EC125+(1-EXP(-LN(2)/2))/(LN(2)/2)*DW126*DZ126*VLOOKUP('Données projet'!$B$14,Paramètres!$A$1:$I$89,3,0)*0.475*44/12</f>
        <v>9.8799527322628607E-14</v>
      </c>
      <c r="ED126" s="24">
        <f t="shared" si="72"/>
        <v>1.0930643731194618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536.56269605512193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1.1368683772161603E-12</v>
      </c>
      <c r="O127" s="14">
        <f>N127*VLOOKUP('Données projet'!$B$9,Paramètres!$A$1:$I$89,3,0)*VLOOKUP('Données projet'!$B$9,Paramètres!$A$1:$I$89,5,0)</f>
        <v>6.3550942286383359E-13</v>
      </c>
      <c r="P127" s="14">
        <f t="shared" si="87"/>
        <v>7.6982260417614606E-12</v>
      </c>
      <c r="Q127" s="22">
        <f t="shared" si="107"/>
        <v>1.4514589267555721E-11</v>
      </c>
      <c r="R127" s="62">
        <f t="shared" si="55"/>
        <v>293.33333333334781</v>
      </c>
      <c r="S127" s="62">
        <f ca="1">AVERAGE(OFFSET($R$3,0,0,'Données projet'!$E$9+1,1))-AVERAGE(OFFSET($H$3,0,0,'Données projet'!$E$9+1,1))</f>
        <v>460.40450534123659</v>
      </c>
      <c r="T127" s="62">
        <f t="shared" si="88"/>
        <v>467.77477728479198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1.9524189334034772</v>
      </c>
      <c r="AA127" s="23">
        <f>EXP(-LN(2)/25)*AA126+(1-EXP(-LN(2)/25))/(LN(2)/25)*Calculateur!V127*Calculateur!X127*VLOOKUP('Données projet'!$B$9,Paramètres!$A$1:$I$89,3,0)*0.475*44/12</f>
        <v>3.2674450269757767</v>
      </c>
      <c r="AB127" s="23">
        <f>EXP(-LN(2)/2)*AB126+(1-EXP(-LN(2)/2))/(LN(2)/2)*V127*Y127*VLOOKUP('Données projet'!$B$9,Paramètres!$A$1:$I$89,3,0)*0.475*44/12</f>
        <v>2.8580805285229476E-13</v>
      </c>
      <c r="AC127" s="24">
        <f t="shared" si="57"/>
        <v>5.2198639603795396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-5.6843418860808015E-13</v>
      </c>
      <c r="AJ127" s="14">
        <f>AI127*VLOOKUP('Données projet'!$B$10,Paramètres!$A$1:$I$89,3,0)*VLOOKUP('Données projet'!$B$10,Paramètres!$A$1:$I$89,5,0)</f>
        <v>-5.1431925385259092E-13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321.03881567735544</v>
      </c>
      <c r="AO127" s="62">
        <f t="shared" si="90"/>
        <v>234.87694492493506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0.3743480930162037</v>
      </c>
      <c r="AV127" s="23">
        <f>EXP(-LN(2)/25)*AV126+(1-EXP(-LN(2)/25))/(LN(2)/25)*Calculateur!AQ127*Calculateur!AS127*VLOOKUP('Données projet'!$B$10,Paramètres!$A$1:$I$89,3,0)*0.475*44/12</f>
        <v>1.0005599938227117</v>
      </c>
      <c r="AW127" s="23">
        <f>EXP(-LN(2)/2)*AW126+(1-EXP(-LN(2)/2))/(LN(2)/2)*AQ127*AT127*VLOOKUP('Données projet'!$B$10,Paramètres!$A$1:$I$89,3,0)*0.475*44/12</f>
        <v>1.5447259001660914E-13</v>
      </c>
      <c r="AX127" s="23">
        <f t="shared" si="60"/>
        <v>1.37490808683907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255.41017495879987</v>
      </c>
      <c r="BJ127" s="62">
        <f t="shared" si="92"/>
        <v>297.50513563712764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1.2968594721972744</v>
      </c>
      <c r="BQ127" s="23">
        <f>EXP(-LN(2)/25)*BQ126+(1-EXP(-LN(2)/25))/(LN(2)/25)*Calculateur!BL127*Calculateur!BN127*VLOOKUP('Données projet'!$B$11,Paramètres!$A$1:$I$89,3,0)*0.475*44/12</f>
        <v>2.0571318275222388</v>
      </c>
      <c r="BR127" s="23">
        <f>EXP(-LN(2)/2)*BR126+(1-EXP(-LN(2)/2))/(LN(2)/2)*BL127*BO127*VLOOKUP('Données projet'!$B$11,Paramètres!$A$1:$I$89,3,0)*0.475*44/12</f>
        <v>1.7338089106226477E-13</v>
      </c>
      <c r="BS127" s="24">
        <f t="shared" si="63"/>
        <v>3.3539912997196861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5.4683368944097308E-14</v>
      </c>
      <c r="CA127" s="14">
        <f t="shared" si="93"/>
        <v>8.8129432816788268E-13</v>
      </c>
      <c r="CB127" s="22">
        <f t="shared" si="64"/>
        <v>1.6301611558033651E-12</v>
      </c>
      <c r="CC127" s="62">
        <f t="shared" si="65"/>
        <v>293.33333333333496</v>
      </c>
      <c r="CD127" s="62">
        <f ca="1">AVERAGE(OFFSET($CC$3,0,0,'Données projet'!$E$12+1,1))-AVERAGE(OFFSET($H$3,0,0,'Données projet'!$E$12+1,1))</f>
        <v>409.97612835032567</v>
      </c>
      <c r="CE127" s="62">
        <f t="shared" si="94"/>
        <v>411.87876448092288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4.7518815540753838</v>
      </c>
      <c r="CL127" s="23">
        <f>EXP(-LN(2)/25)*CL126+(1-EXP(-LN(2)/25))/(LN(2)/25)*Calculateur!CG127*Calculateur!CI127*VLOOKUP('Données projet'!$B$12,Paramètres!$A$1:$I$89,3,0)*0.475*44/12</f>
        <v>3.8448660954018514</v>
      </c>
      <c r="CM127" s="23">
        <f>EXP(-LN(2)/2)*CM126+(1-EXP(-LN(2)/2))/(LN(2)/2)*CG127*CJ127*VLOOKUP('Données projet'!$B$12,Paramètres!$A$1:$I$89,3,0)*0.475*44/12</f>
        <v>6.9153288822252816E-12</v>
      </c>
      <c r="CN127" s="24">
        <f t="shared" si="66"/>
        <v>8.5967476494841506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-4.5474735088646412E-13</v>
      </c>
      <c r="CU127" s="18">
        <f>CT127*VLOOKUP('Données projet'!$B$13,Paramètres!$A$1:$I$89,3,0)*VLOOKUP('Données projet'!$B$13,Paramètres!$A$1:$I$89,5,0)</f>
        <v>-2.7193891583010558E-13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463.3255103386889</v>
      </c>
      <c r="CZ127" s="62">
        <f t="shared" si="96"/>
        <v>474.73210558736127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0.77676478803482529</v>
      </c>
      <c r="DG127" s="23">
        <f>EXP(-LN(2)/25)*DG126+(1-EXP(-LN(2)/25))/(LN(2)/25)*Calculateur!DB127*Calculateur!DD127*VLOOKUP('Données projet'!$B$13,Paramètres!$A$1:$I$89,3,0)*0.475*44/12</f>
        <v>2.5584845689088298</v>
      </c>
      <c r="DH127" s="23">
        <f>EXP(-LN(2)/2)*DH126+(1-EXP(-LN(2)/2))/(LN(2)/2)*DB127*DE127*VLOOKUP('Données projet'!$B$13,Paramètres!$A$1:$I$89,3,0)*0.475*44/12</f>
        <v>3.0992762468602075E-13</v>
      </c>
      <c r="DI127" s="24">
        <f t="shared" si="69"/>
        <v>3.3352493569439652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-1.1368683772161603E-13</v>
      </c>
      <c r="DP127" s="18">
        <f>DO127*VLOOKUP('Données projet'!$B$14,Paramètres!$A$1:$I$89,3,0)*VLOOKUP('Données projet'!$B$14,Paramètres!$A$1:$I$89,5,0)</f>
        <v>-5.3205440053716299E-14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215.23235148064941</v>
      </c>
      <c r="DU127" s="62">
        <f t="shared" si="98"/>
        <v>184.07239726900434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0.4871907347562528</v>
      </c>
      <c r="EB127" s="23">
        <f>EXP(-LN(2)/25)*EB126+(1-EXP(-LN(2)/25))/(LN(2)/25)*Calculateur!DW127*Calculateur!DY127*VLOOKUP('Données projet'!$B$14,Paramètres!$A$1:$I$89,3,0)*0.475*44/12</f>
        <v>0.57982785963670425</v>
      </c>
      <c r="EC127" s="23">
        <f>EXP(-LN(2)/2)*EC126+(1-EXP(-LN(2)/2))/(LN(2)/2)*DW127*DZ127*VLOOKUP('Données projet'!$B$14,Paramètres!$A$1:$I$89,3,0)*0.475*44/12</f>
        <v>6.9861815747856269E-14</v>
      </c>
      <c r="ED127" s="24">
        <f t="shared" si="72"/>
        <v>1.067018594393027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538.47599823225801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1.1368683772161603E-12</v>
      </c>
      <c r="O128" s="14">
        <f>N128*VLOOKUP('Données projet'!$B$9,Paramètres!$A$1:$I$89,3,0)*VLOOKUP('Données projet'!$B$9,Paramètres!$A$1:$I$89,5,0)</f>
        <v>6.3550942286383359E-13</v>
      </c>
      <c r="P128" s="14">
        <f t="shared" si="87"/>
        <v>7.6982260417614606E-12</v>
      </c>
      <c r="Q128" s="22">
        <f t="shared" si="107"/>
        <v>1.4514589267555721E-11</v>
      </c>
      <c r="R128" s="62">
        <f t="shared" si="55"/>
        <v>293.33333333334781</v>
      </c>
      <c r="S128" s="62">
        <f ca="1">AVERAGE(OFFSET($R$3,0,0,'Données projet'!$E$9+1,1))-AVERAGE(OFFSET($H$3,0,0,'Données projet'!$E$9+1,1))</f>
        <v>460.40450534123659</v>
      </c>
      <c r="T128" s="62">
        <f t="shared" si="88"/>
        <v>467.77477728479198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1.9141331889773969</v>
      </c>
      <c r="AA128" s="23">
        <f>EXP(-LN(2)/25)*AA127+(1-EXP(-LN(2)/25))/(LN(2)/25)*Calculateur!V128*Calculateur!X128*VLOOKUP('Données projet'!$B$9,Paramètres!$A$1:$I$89,3,0)*0.475*44/12</f>
        <v>3.1780965708856579</v>
      </c>
      <c r="AB128" s="23">
        <f>EXP(-LN(2)/2)*AB127+(1-EXP(-LN(2)/2))/(LN(2)/2)*V128*Y128*VLOOKUP('Données projet'!$B$9,Paramètres!$A$1:$I$89,3,0)*0.475*44/12</f>
        <v>2.020968122895808E-13</v>
      </c>
      <c r="AC128" s="24">
        <f t="shared" si="57"/>
        <v>5.0922297598632573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-5.6843418860808015E-13</v>
      </c>
      <c r="AJ128" s="14">
        <f>AI128*VLOOKUP('Données projet'!$B$10,Paramètres!$A$1:$I$89,3,0)*VLOOKUP('Données projet'!$B$10,Paramètres!$A$1:$I$89,5,0)</f>
        <v>-5.1431925385259092E-13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321.03881567735544</v>
      </c>
      <c r="AO128" s="62">
        <f t="shared" si="90"/>
        <v>234.87694492493506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0.367007355241947</v>
      </c>
      <c r="AV128" s="23">
        <f>EXP(-LN(2)/25)*AV127+(1-EXP(-LN(2)/25))/(LN(2)/25)*Calculateur!AQ128*Calculateur!AS128*VLOOKUP('Données projet'!$B$10,Paramètres!$A$1:$I$89,3,0)*0.475*44/12</f>
        <v>0.97319962817446637</v>
      </c>
      <c r="AW128" s="23">
        <f>EXP(-LN(2)/2)*AW127+(1-EXP(-LN(2)/2))/(LN(2)/2)*AQ128*AT128*VLOOKUP('Données projet'!$B$10,Paramètres!$A$1:$I$89,3,0)*0.475*44/12</f>
        <v>1.0922861590819371E-13</v>
      </c>
      <c r="AX128" s="23">
        <f t="shared" si="60"/>
        <v>1.3402069834165227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255.41017495879987</v>
      </c>
      <c r="BJ128" s="62">
        <f t="shared" si="92"/>
        <v>297.50513563712764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1.2714288489536585</v>
      </c>
      <c r="BQ128" s="23">
        <f>EXP(-LN(2)/25)*BQ127+(1-EXP(-LN(2)/25))/(LN(2)/25)*Calculateur!BL128*Calculateur!BN128*VLOOKUP('Données projet'!$B$11,Paramètres!$A$1:$I$89,3,0)*0.475*44/12</f>
        <v>2.000879449518782</v>
      </c>
      <c r="BR128" s="23">
        <f>EXP(-LN(2)/2)*BR127+(1-EXP(-LN(2)/2))/(LN(2)/2)*BL128*BO128*VLOOKUP('Données projet'!$B$11,Paramètres!$A$1:$I$89,3,0)*0.475*44/12</f>
        <v>1.2259880379829348E-13</v>
      </c>
      <c r="BS128" s="24">
        <f t="shared" si="63"/>
        <v>3.2723082984725629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5.4683368944097308E-14</v>
      </c>
      <c r="CA128" s="14">
        <f t="shared" si="93"/>
        <v>8.8129432816788268E-13</v>
      </c>
      <c r="CB128" s="22">
        <f t="shared" si="64"/>
        <v>1.6301611558033651E-12</v>
      </c>
      <c r="CC128" s="62">
        <f t="shared" si="65"/>
        <v>293.33333333333496</v>
      </c>
      <c r="CD128" s="62">
        <f ca="1">AVERAGE(OFFSET($CC$3,0,0,'Données projet'!$E$12+1,1))-AVERAGE(OFFSET($H$3,0,0,'Données projet'!$E$12+1,1))</f>
        <v>409.97612835032567</v>
      </c>
      <c r="CE128" s="62">
        <f t="shared" si="94"/>
        <v>411.87876448092288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4.6587000551615239</v>
      </c>
      <c r="CL128" s="23">
        <f>EXP(-LN(2)/25)*CL127+(1-EXP(-LN(2)/25))/(LN(2)/25)*Calculateur!CG128*Calculateur!CI128*VLOOKUP('Données projet'!$B$12,Paramètres!$A$1:$I$89,3,0)*0.475*44/12</f>
        <v>3.7397280298303675</v>
      </c>
      <c r="CM128" s="23">
        <f>EXP(-LN(2)/2)*CM127+(1-EXP(-LN(2)/2))/(LN(2)/2)*CG128*CJ128*VLOOKUP('Données projet'!$B$12,Paramètres!$A$1:$I$89,3,0)*0.475*44/12</f>
        <v>4.8898759467566844E-12</v>
      </c>
      <c r="CN128" s="24">
        <f t="shared" si="66"/>
        <v>8.3984280849967821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-4.5474735088646412E-13</v>
      </c>
      <c r="CU128" s="18">
        <f>CT128*VLOOKUP('Données projet'!$B$13,Paramètres!$A$1:$I$89,3,0)*VLOOKUP('Données projet'!$B$13,Paramètres!$A$1:$I$89,5,0)</f>
        <v>-2.7193891583010558E-13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463.3255103386889</v>
      </c>
      <c r="CZ128" s="62">
        <f t="shared" si="96"/>
        <v>474.73210558736127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0.76153290432120124</v>
      </c>
      <c r="DG128" s="23">
        <f>EXP(-LN(2)/25)*DG127+(1-EXP(-LN(2)/25))/(LN(2)/25)*Calculateur!DB128*Calculateur!DD128*VLOOKUP('Données projet'!$B$13,Paramètres!$A$1:$I$89,3,0)*0.475*44/12</f>
        <v>2.4885226738271617</v>
      </c>
      <c r="DH128" s="23">
        <f>EXP(-LN(2)/2)*DH127+(1-EXP(-LN(2)/2))/(LN(2)/2)*DB128*DE128*VLOOKUP('Données projet'!$B$13,Paramètres!$A$1:$I$89,3,0)*0.475*44/12</f>
        <v>2.191519250925245E-13</v>
      </c>
      <c r="DI128" s="24">
        <f t="shared" si="69"/>
        <v>3.250055578148582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-1.1368683772161603E-13</v>
      </c>
      <c r="DP128" s="18">
        <f>DO128*VLOOKUP('Données projet'!$B$14,Paramètres!$A$1:$I$89,3,0)*VLOOKUP('Données projet'!$B$14,Paramètres!$A$1:$I$89,5,0)</f>
        <v>-5.3205440053716299E-14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215.23235148064941</v>
      </c>
      <c r="DU128" s="62">
        <f t="shared" si="98"/>
        <v>184.07239726900434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0.47763722160468908</v>
      </c>
      <c r="EB128" s="23">
        <f>EXP(-LN(2)/25)*EB127+(1-EXP(-LN(2)/25))/(LN(2)/25)*Calculateur!DW128*Calculateur!DY128*VLOOKUP('Données projet'!$B$14,Paramètres!$A$1:$I$89,3,0)*0.475*44/12</f>
        <v>0.56397243632311667</v>
      </c>
      <c r="EC128" s="23">
        <f>EXP(-LN(2)/2)*EC127+(1-EXP(-LN(2)/2))/(LN(2)/2)*DW128*DZ128*VLOOKUP('Données projet'!$B$14,Paramètres!$A$1:$I$89,3,0)*0.475*44/12</f>
        <v>4.9399763661314303E-14</v>
      </c>
      <c r="ED128" s="24">
        <f t="shared" si="72"/>
        <v>1.0416096579278551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540.38896103674051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1.1368683772161603E-12</v>
      </c>
      <c r="O129" s="14">
        <f>N129*VLOOKUP('Données projet'!$B$9,Paramètres!$A$1:$I$89,3,0)*VLOOKUP('Données projet'!$B$9,Paramètres!$A$1:$I$89,5,0)</f>
        <v>6.3550942286383359E-13</v>
      </c>
      <c r="P129" s="14">
        <f t="shared" si="87"/>
        <v>7.6982260417614606E-12</v>
      </c>
      <c r="Q129" s="22">
        <f t="shared" si="107"/>
        <v>1.4514589267555721E-11</v>
      </c>
      <c r="R129" s="62">
        <f t="shared" si="55"/>
        <v>293.33333333334781</v>
      </c>
      <c r="S129" s="62">
        <f ca="1">AVERAGE(OFFSET($R$3,0,0,'Données projet'!$E$9+1,1))-AVERAGE(OFFSET($H$3,0,0,'Données projet'!$E$9+1,1))</f>
        <v>460.40450534123659</v>
      </c>
      <c r="T129" s="62">
        <f t="shared" si="88"/>
        <v>467.77477728479198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1.8765982046475138</v>
      </c>
      <c r="AA129" s="23">
        <f>EXP(-LN(2)/25)*AA128+(1-EXP(-LN(2)/25))/(LN(2)/25)*Calculateur!V129*Calculateur!X129*VLOOKUP('Données projet'!$B$9,Paramètres!$A$1:$I$89,3,0)*0.475*44/12</f>
        <v>3.0911913530259545</v>
      </c>
      <c r="AB129" s="23">
        <f>EXP(-LN(2)/2)*AB128+(1-EXP(-LN(2)/2))/(LN(2)/2)*V129*Y129*VLOOKUP('Données projet'!$B$9,Paramètres!$A$1:$I$89,3,0)*0.475*44/12</f>
        <v>1.4290402642614738E-13</v>
      </c>
      <c r="AC129" s="24">
        <f t="shared" si="57"/>
        <v>4.9677895576736111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-5.6843418860808015E-13</v>
      </c>
      <c r="AJ129" s="14">
        <f>AI129*VLOOKUP('Données projet'!$B$10,Paramètres!$A$1:$I$89,3,0)*VLOOKUP('Données projet'!$B$10,Paramètres!$A$1:$I$89,5,0)</f>
        <v>-5.1431925385259092E-13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321.03881567735544</v>
      </c>
      <c r="AO129" s="62">
        <f t="shared" si="90"/>
        <v>234.87694492493506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0.35981056485803553</v>
      </c>
      <c r="AV129" s="23">
        <f>EXP(-LN(2)/25)*AV128+(1-EXP(-LN(2)/25))/(LN(2)/25)*Calculateur!AQ129*Calculateur!AS129*VLOOKUP('Données projet'!$B$10,Paramètres!$A$1:$I$89,3,0)*0.475*44/12</f>
        <v>0.94658743316369143</v>
      </c>
      <c r="AW129" s="23">
        <f>EXP(-LN(2)/2)*AW128+(1-EXP(-LN(2)/2))/(LN(2)/2)*AQ129*AT129*VLOOKUP('Données projet'!$B$10,Paramètres!$A$1:$I$89,3,0)*0.475*44/12</f>
        <v>7.7236295008304571E-14</v>
      </c>
      <c r="AX129" s="23">
        <f t="shared" si="60"/>
        <v>1.3063979980218043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255.41017495879987</v>
      </c>
      <c r="BJ129" s="62">
        <f t="shared" si="92"/>
        <v>297.50513563712764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1.2464969047207013</v>
      </c>
      <c r="BQ129" s="23">
        <f>EXP(-LN(2)/25)*BQ128+(1-EXP(-LN(2)/25))/(LN(2)/25)*Calculateur!BL129*Calculateur!BN129*VLOOKUP('Données projet'!$B$11,Paramètres!$A$1:$I$89,3,0)*0.475*44/12</f>
        <v>1.9461652957500137</v>
      </c>
      <c r="BR129" s="23">
        <f>EXP(-LN(2)/2)*BR128+(1-EXP(-LN(2)/2))/(LN(2)/2)*BL129*BO129*VLOOKUP('Données projet'!$B$11,Paramètres!$A$1:$I$89,3,0)*0.475*44/12</f>
        <v>8.6690445531132383E-14</v>
      </c>
      <c r="BS129" s="24">
        <f t="shared" si="63"/>
        <v>3.1926622004708016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5.4683368944097308E-14</v>
      </c>
      <c r="CA129" s="14">
        <f t="shared" si="93"/>
        <v>8.8129432816788268E-13</v>
      </c>
      <c r="CB129" s="22">
        <f t="shared" si="64"/>
        <v>1.6301611558033651E-12</v>
      </c>
      <c r="CC129" s="62">
        <f t="shared" si="65"/>
        <v>293.33333333333496</v>
      </c>
      <c r="CD129" s="62">
        <f ca="1">AVERAGE(OFFSET($CC$3,0,0,'Données projet'!$E$12+1,1))-AVERAGE(OFFSET($H$3,0,0,'Données projet'!$E$12+1,1))</f>
        <v>409.97612835032567</v>
      </c>
      <c r="CE129" s="62">
        <f t="shared" si="94"/>
        <v>411.87876448092288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4.5673457886062625</v>
      </c>
      <c r="CL129" s="23">
        <f>EXP(-LN(2)/25)*CL128+(1-EXP(-LN(2)/25))/(LN(2)/25)*Calculateur!CG129*Calculateur!CI129*VLOOKUP('Données projet'!$B$12,Paramètres!$A$1:$I$89,3,0)*0.475*44/12</f>
        <v>3.6374649701909063</v>
      </c>
      <c r="CM129" s="23">
        <f>EXP(-LN(2)/2)*CM128+(1-EXP(-LN(2)/2))/(LN(2)/2)*CG129*CJ129*VLOOKUP('Données projet'!$B$12,Paramètres!$A$1:$I$89,3,0)*0.475*44/12</f>
        <v>3.4576644411126408E-12</v>
      </c>
      <c r="CN129" s="24">
        <f t="shared" si="66"/>
        <v>8.204810758800626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-4.5474735088646412E-13</v>
      </c>
      <c r="CU129" s="18">
        <f>CT129*VLOOKUP('Données projet'!$B$13,Paramètres!$A$1:$I$89,3,0)*VLOOKUP('Données projet'!$B$13,Paramètres!$A$1:$I$89,5,0)</f>
        <v>-2.7193891583010558E-13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463.3255103386889</v>
      </c>
      <c r="CZ129" s="62">
        <f t="shared" si="96"/>
        <v>474.73210558736127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0.74659970855666957</v>
      </c>
      <c r="DG129" s="23">
        <f>EXP(-LN(2)/25)*DG128+(1-EXP(-LN(2)/25))/(LN(2)/25)*Calculateur!DB129*Calculateur!DD129*VLOOKUP('Données projet'!$B$13,Paramètres!$A$1:$I$89,3,0)*0.475*44/12</f>
        <v>2.420473890445638</v>
      </c>
      <c r="DH129" s="23">
        <f>EXP(-LN(2)/2)*DH128+(1-EXP(-LN(2)/2))/(LN(2)/2)*DB129*DE129*VLOOKUP('Données projet'!$B$13,Paramètres!$A$1:$I$89,3,0)*0.475*44/12</f>
        <v>1.5496381234301038E-13</v>
      </c>
      <c r="DI129" s="24">
        <f t="shared" si="69"/>
        <v>3.1670735990024625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-1.1368683772161603E-13</v>
      </c>
      <c r="DP129" s="18">
        <f>DO129*VLOOKUP('Données projet'!$B$14,Paramètres!$A$1:$I$89,3,0)*VLOOKUP('Données projet'!$B$14,Paramètres!$A$1:$I$89,5,0)</f>
        <v>-5.3205440053716299E-14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215.23235148064941</v>
      </c>
      <c r="DU129" s="62">
        <f t="shared" si="98"/>
        <v>184.07239726900434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0.46827104701895989</v>
      </c>
      <c r="EB129" s="23">
        <f>EXP(-LN(2)/25)*EB128+(1-EXP(-LN(2)/25))/(LN(2)/25)*Calculateur!DW129*Calculateur!DY129*VLOOKUP('Données projet'!$B$14,Paramètres!$A$1:$I$89,3,0)*0.475*44/12</f>
        <v>0.54855058039383964</v>
      </c>
      <c r="EC129" s="23">
        <f>EXP(-LN(2)/2)*EC128+(1-EXP(-LN(2)/2))/(LN(2)/2)*DW129*DZ129*VLOOKUP('Données projet'!$B$14,Paramètres!$A$1:$I$89,3,0)*0.475*44/12</f>
        <v>3.4930907873928134E-14</v>
      </c>
      <c r="ED129" s="24">
        <f t="shared" si="72"/>
        <v>1.0168216274128343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542.30158747419375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1.1368683772161603E-12</v>
      </c>
      <c r="O130" s="14">
        <f>N130*VLOOKUP('Données projet'!$B$9,Paramètres!$A$1:$I$89,3,0)*VLOOKUP('Données projet'!$B$9,Paramètres!$A$1:$I$89,5,0)</f>
        <v>6.3550942286383359E-13</v>
      </c>
      <c r="P130" s="14">
        <f t="shared" si="87"/>
        <v>7.6982260417614606E-12</v>
      </c>
      <c r="Q130" s="22">
        <f t="shared" si="107"/>
        <v>1.4514589267555721E-11</v>
      </c>
      <c r="R130" s="62">
        <f t="shared" si="55"/>
        <v>293.33333333334781</v>
      </c>
      <c r="S130" s="62">
        <f ca="1">AVERAGE(OFFSET($R$3,0,0,'Données projet'!$E$9+1,1))-AVERAGE(OFFSET($H$3,0,0,'Données projet'!$E$9+1,1))</f>
        <v>460.40450534123659</v>
      </c>
      <c r="T130" s="62">
        <f t="shared" si="88"/>
        <v>467.77477728479198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1.8397992584662599</v>
      </c>
      <c r="AA130" s="23">
        <f>EXP(-LN(2)/25)*AA129+(1-EXP(-LN(2)/25))/(LN(2)/25)*Calculateur!V130*Calculateur!X130*VLOOKUP('Données projet'!$B$9,Paramètres!$A$1:$I$89,3,0)*0.475*44/12</f>
        <v>3.0066625629187715</v>
      </c>
      <c r="AB130" s="23">
        <f>EXP(-LN(2)/2)*AB129+(1-EXP(-LN(2)/2))/(LN(2)/2)*V130*Y130*VLOOKUP('Données projet'!$B$9,Paramètres!$A$1:$I$89,3,0)*0.475*44/12</f>
        <v>1.010484061447904E-13</v>
      </c>
      <c r="AC130" s="24">
        <f t="shared" si="57"/>
        <v>4.8464618213851329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-5.6843418860808015E-13</v>
      </c>
      <c r="AJ130" s="14">
        <f>AI130*VLOOKUP('Données projet'!$B$10,Paramètres!$A$1:$I$89,3,0)*VLOOKUP('Données projet'!$B$10,Paramètres!$A$1:$I$89,5,0)</f>
        <v>-5.1431925385259092E-13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321.03881567735544</v>
      </c>
      <c r="AO130" s="62">
        <f t="shared" si="90"/>
        <v>234.87694492493506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0.35275489914394387</v>
      </c>
      <c r="AV130" s="23">
        <f>EXP(-LN(2)/25)*AV129+(1-EXP(-LN(2)/25))/(LN(2)/25)*Calculateur!AQ130*Calculateur!AS130*VLOOKUP('Données projet'!$B$10,Paramètres!$A$1:$I$89,3,0)*0.475*44/12</f>
        <v>0.92070295002496061</v>
      </c>
      <c r="AW130" s="23">
        <f>EXP(-LN(2)/2)*AW129+(1-EXP(-LN(2)/2))/(LN(2)/2)*AQ130*AT130*VLOOKUP('Données projet'!$B$10,Paramètres!$A$1:$I$89,3,0)*0.475*44/12</f>
        <v>5.4614307954096854E-14</v>
      </c>
      <c r="AX130" s="23">
        <f t="shared" si="60"/>
        <v>1.2734578491689592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255.41017495879987</v>
      </c>
      <c r="BJ130" s="62">
        <f t="shared" si="92"/>
        <v>297.50513563712764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1.222053860707168</v>
      </c>
      <c r="BQ130" s="23">
        <f>EXP(-LN(2)/25)*BQ129+(1-EXP(-LN(2)/25))/(LN(2)/25)*Calculateur!BL130*Calculateur!BN130*VLOOKUP('Données projet'!$B$11,Paramètres!$A$1:$I$89,3,0)*0.475*44/12</f>
        <v>1.8929473033933448</v>
      </c>
      <c r="BR130" s="23">
        <f>EXP(-LN(2)/2)*BR129+(1-EXP(-LN(2)/2))/(LN(2)/2)*BL130*BO130*VLOOKUP('Données projet'!$B$11,Paramètres!$A$1:$I$89,3,0)*0.475*44/12</f>
        <v>6.1299401899146741E-14</v>
      </c>
      <c r="BS130" s="24">
        <f t="shared" si="63"/>
        <v>3.1150011641005744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5.4683368944097308E-14</v>
      </c>
      <c r="CA130" s="14">
        <f t="shared" si="93"/>
        <v>8.8129432816788268E-13</v>
      </c>
      <c r="CB130" s="22">
        <f t="shared" si="64"/>
        <v>1.6301611558033651E-12</v>
      </c>
      <c r="CC130" s="62">
        <f t="shared" si="65"/>
        <v>293.33333333333496</v>
      </c>
      <c r="CD130" s="62">
        <f ca="1">AVERAGE(OFFSET($CC$3,0,0,'Données projet'!$E$12+1,1))-AVERAGE(OFFSET($H$3,0,0,'Données projet'!$E$12+1,1))</f>
        <v>409.97612835032567</v>
      </c>
      <c r="CE130" s="62">
        <f t="shared" si="94"/>
        <v>411.87876448092288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4.477782923497549</v>
      </c>
      <c r="CL130" s="23">
        <f>EXP(-LN(2)/25)*CL129+(1-EXP(-LN(2)/25))/(LN(2)/25)*Calculateur!CG130*Calculateur!CI130*VLOOKUP('Données projet'!$B$12,Paramètres!$A$1:$I$89,3,0)*0.475*44/12</f>
        <v>3.5379982992950669</v>
      </c>
      <c r="CM130" s="23">
        <f>EXP(-LN(2)/2)*CM129+(1-EXP(-LN(2)/2))/(LN(2)/2)*CG130*CJ130*VLOOKUP('Données projet'!$B$12,Paramètres!$A$1:$I$89,3,0)*0.475*44/12</f>
        <v>2.4449379733783422E-12</v>
      </c>
      <c r="CN130" s="24">
        <f t="shared" si="66"/>
        <v>8.0157812227950593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-4.5474735088646412E-13</v>
      </c>
      <c r="CU130" s="18">
        <f>CT130*VLOOKUP('Données projet'!$B$13,Paramètres!$A$1:$I$89,3,0)*VLOOKUP('Données projet'!$B$13,Paramètres!$A$1:$I$89,5,0)</f>
        <v>-2.7193891583010558E-13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463.3255103386889</v>
      </c>
      <c r="CZ130" s="62">
        <f t="shared" si="96"/>
        <v>474.73210558736127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0.73195934365273041</v>
      </c>
      <c r="DG130" s="23">
        <f>EXP(-LN(2)/25)*DG129+(1-EXP(-LN(2)/25))/(LN(2)/25)*Calculateur!DB130*Calculateur!DD130*VLOOKUP('Données projet'!$B$13,Paramètres!$A$1:$I$89,3,0)*0.475*44/12</f>
        <v>2.3542859046242124</v>
      </c>
      <c r="DH130" s="23">
        <f>EXP(-LN(2)/2)*DH129+(1-EXP(-LN(2)/2))/(LN(2)/2)*DB130*DE130*VLOOKUP('Données projet'!$B$13,Paramètres!$A$1:$I$89,3,0)*0.475*44/12</f>
        <v>1.0957596254626225E-13</v>
      </c>
      <c r="DI130" s="24">
        <f t="shared" si="69"/>
        <v>3.0862452482770526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-1.1368683772161603E-13</v>
      </c>
      <c r="DP130" s="18">
        <f>DO130*VLOOKUP('Données projet'!$B$14,Paramètres!$A$1:$I$89,3,0)*VLOOKUP('Données projet'!$B$14,Paramètres!$A$1:$I$89,5,0)</f>
        <v>-5.3205440053716299E-14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215.23235148064941</v>
      </c>
      <c r="DU130" s="62">
        <f t="shared" si="98"/>
        <v>184.07239726900434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0.45908853740405442</v>
      </c>
      <c r="EB130" s="23">
        <f>EXP(-LN(2)/25)*EB129+(1-EXP(-LN(2)/25))/(LN(2)/25)*Calculateur!DW130*Calculateur!DY130*VLOOKUP('Données projet'!$B$14,Paramètres!$A$1:$I$89,3,0)*0.475*44/12</f>
        <v>0.53355043592594875</v>
      </c>
      <c r="EC130" s="23">
        <f>EXP(-LN(2)/2)*EC129+(1-EXP(-LN(2)/2))/(LN(2)/2)*DW130*DZ130*VLOOKUP('Données projet'!$B$14,Paramètres!$A$1:$I$89,3,0)*0.475*44/12</f>
        <v>2.4699881830657152E-14</v>
      </c>
      <c r="ED130" s="24">
        <f t="shared" si="72"/>
        <v>0.99263897333002782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544.21388050017583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1.1368683772161603E-12</v>
      </c>
      <c r="O131" s="14">
        <f>N131*VLOOKUP('Données projet'!$B$9,Paramètres!$A$1:$I$89,3,0)*VLOOKUP('Données projet'!$B$9,Paramètres!$A$1:$I$89,5,0)</f>
        <v>6.3550942286383359E-13</v>
      </c>
      <c r="P131" s="14">
        <f t="shared" si="87"/>
        <v>7.6982260417614606E-12</v>
      </c>
      <c r="Q131" s="22">
        <f t="shared" ref="Q131:Q153" si="108">(O131+P131)*0.475*44/12</f>
        <v>1.4514589267555721E-11</v>
      </c>
      <c r="R131" s="62">
        <f t="shared" ref="R131:R194" si="109">Q131+(I131+J131)*44/12</f>
        <v>293.33333333334781</v>
      </c>
      <c r="S131" s="62">
        <f ca="1">AVERAGE(OFFSET($R$3,0,0,'Données projet'!$E$9+1,1))-AVERAGE(OFFSET($H$3,0,0,'Données projet'!$E$9+1,1))</f>
        <v>460.40450534123659</v>
      </c>
      <c r="T131" s="62">
        <f t="shared" si="88"/>
        <v>467.77477728479198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1.8037219171744794</v>
      </c>
      <c r="AA131" s="23">
        <f>EXP(-LN(2)/25)*AA130+(1-EXP(-LN(2)/25))/(LN(2)/25)*Calculateur!V131*Calculateur!X131*VLOOKUP('Données projet'!$B$9,Paramètres!$A$1:$I$89,3,0)*0.475*44/12</f>
        <v>2.9244452170222455</v>
      </c>
      <c r="AB131" s="23">
        <f>EXP(-LN(2)/2)*AB130+(1-EXP(-LN(2)/2))/(LN(2)/2)*V131*Y131*VLOOKUP('Données projet'!$B$9,Paramètres!$A$1:$I$89,3,0)*0.475*44/12</f>
        <v>7.1452013213073689E-14</v>
      </c>
      <c r="AC131" s="24">
        <f t="shared" si="57"/>
        <v>4.7281671341967959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-5.6843418860808015E-13</v>
      </c>
      <c r="AJ131" s="14">
        <f>AI131*VLOOKUP('Données projet'!$B$10,Paramètres!$A$1:$I$89,3,0)*VLOOKUP('Données projet'!$B$10,Paramètres!$A$1:$I$89,5,0)</f>
        <v>-5.1431925385259092E-13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321.03881567735544</v>
      </c>
      <c r="AO131" s="62">
        <f t="shared" si="90"/>
        <v>234.87694492493506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0.34583759073097442</v>
      </c>
      <c r="AV131" s="23">
        <f>EXP(-LN(2)/25)*AV130+(1-EXP(-LN(2)/25))/(LN(2)/25)*Calculateur!AQ131*Calculateur!AS131*VLOOKUP('Données projet'!$B$10,Paramètres!$A$1:$I$89,3,0)*0.475*44/12</f>
        <v>0.8955262794388642</v>
      </c>
      <c r="AW131" s="23">
        <f>EXP(-LN(2)/2)*AW130+(1-EXP(-LN(2)/2))/(LN(2)/2)*AQ131*AT131*VLOOKUP('Données projet'!$B$10,Paramètres!$A$1:$I$89,3,0)*0.475*44/12</f>
        <v>3.8618147504152286E-14</v>
      </c>
      <c r="AX131" s="23">
        <f t="shared" si="60"/>
        <v>1.2413638701698773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255.41017495879987</v>
      </c>
      <c r="BJ131" s="62">
        <f t="shared" si="92"/>
        <v>297.50513563712764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1.1980901298779554</v>
      </c>
      <c r="BQ131" s="23">
        <f>EXP(-LN(2)/25)*BQ130+(1-EXP(-LN(2)/25))/(LN(2)/25)*Calculateur!BL131*Calculateur!BN131*VLOOKUP('Données projet'!$B$11,Paramètres!$A$1:$I$89,3,0)*0.475*44/12</f>
        <v>1.8411845598362815</v>
      </c>
      <c r="BR131" s="23">
        <f>EXP(-LN(2)/2)*BR130+(1-EXP(-LN(2)/2))/(LN(2)/2)*BL131*BO131*VLOOKUP('Données projet'!$B$11,Paramètres!$A$1:$I$89,3,0)*0.475*44/12</f>
        <v>4.3345222765566191E-14</v>
      </c>
      <c r="BS131" s="24">
        <f t="shared" si="63"/>
        <v>3.0392746897142802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5.4683368944097308E-14</v>
      </c>
      <c r="CA131" s="14">
        <f t="shared" si="93"/>
        <v>8.8129432816788268E-13</v>
      </c>
      <c r="CB131" s="22">
        <f t="shared" si="64"/>
        <v>1.6301611558033651E-12</v>
      </c>
      <c r="CC131" s="62">
        <f t="shared" si="65"/>
        <v>293.33333333333496</v>
      </c>
      <c r="CD131" s="62">
        <f ca="1">AVERAGE(OFFSET($CC$3,0,0,'Données projet'!$E$12+1,1))-AVERAGE(OFFSET($H$3,0,0,'Données projet'!$E$12+1,1))</f>
        <v>409.97612835032567</v>
      </c>
      <c r="CE131" s="62">
        <f t="shared" si="94"/>
        <v>411.87876448092288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4.3899763315456637</v>
      </c>
      <c r="CL131" s="23">
        <f>EXP(-LN(2)/25)*CL130+(1-EXP(-LN(2)/25))/(LN(2)/25)*Calculateur!CG131*Calculateur!CI131*VLOOKUP('Données projet'!$B$12,Paramètres!$A$1:$I$89,3,0)*0.475*44/12</f>
        <v>3.4412515497455991</v>
      </c>
      <c r="CM131" s="23">
        <f>EXP(-LN(2)/2)*CM130+(1-EXP(-LN(2)/2))/(LN(2)/2)*CG131*CJ131*VLOOKUP('Données projet'!$B$12,Paramètres!$A$1:$I$89,3,0)*0.475*44/12</f>
        <v>1.7288322205563204E-12</v>
      </c>
      <c r="CN131" s="24">
        <f t="shared" si="66"/>
        <v>7.8312278812929907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-4.5474735088646412E-13</v>
      </c>
      <c r="CU131" s="18">
        <f>CT131*VLOOKUP('Données projet'!$B$13,Paramètres!$A$1:$I$89,3,0)*VLOOKUP('Données projet'!$B$13,Paramètres!$A$1:$I$89,5,0)</f>
        <v>-2.7193891583010558E-13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463.3255103386889</v>
      </c>
      <c r="CZ131" s="62">
        <f t="shared" si="96"/>
        <v>474.73210558736127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0.71760606737481658</v>
      </c>
      <c r="DG131" s="23">
        <f>EXP(-LN(2)/25)*DG130+(1-EXP(-LN(2)/25))/(LN(2)/25)*Calculateur!DB131*Calculateur!DD131*VLOOKUP('Données projet'!$B$13,Paramètres!$A$1:$I$89,3,0)*0.475*44/12</f>
        <v>2.2899078327557483</v>
      </c>
      <c r="DH131" s="23">
        <f>EXP(-LN(2)/2)*DH130+(1-EXP(-LN(2)/2))/(LN(2)/2)*DB131*DE131*VLOOKUP('Données projet'!$B$13,Paramètres!$A$1:$I$89,3,0)*0.475*44/12</f>
        <v>7.7481906171505188E-14</v>
      </c>
      <c r="DI131" s="24">
        <f t="shared" si="69"/>
        <v>3.0075139001306423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-1.1368683772161603E-13</v>
      </c>
      <c r="DP131" s="18">
        <f>DO131*VLOOKUP('Données projet'!$B$14,Paramètres!$A$1:$I$89,3,0)*VLOOKUP('Données projet'!$B$14,Paramètres!$A$1:$I$89,5,0)</f>
        <v>-5.3205440053716299E-14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215.23235148064941</v>
      </c>
      <c r="DU131" s="62">
        <f t="shared" si="98"/>
        <v>184.07239726900434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0.45008609120191939</v>
      </c>
      <c r="EB131" s="23">
        <f>EXP(-LN(2)/25)*EB130+(1-EXP(-LN(2)/25))/(LN(2)/25)*Calculateur!DW131*Calculateur!DY131*VLOOKUP('Données projet'!$B$14,Paramètres!$A$1:$I$89,3,0)*0.475*44/12</f>
        <v>0.51896047119735567</v>
      </c>
      <c r="EC131" s="23">
        <f>EXP(-LN(2)/2)*EC130+(1-EXP(-LN(2)/2))/(LN(2)/2)*DW131*DZ131*VLOOKUP('Données projet'!$B$14,Paramètres!$A$1:$I$89,3,0)*0.475*44/12</f>
        <v>1.7465453936964067E-14</v>
      </c>
      <c r="ED131" s="24">
        <f t="shared" si="72"/>
        <v>0.96904656239929243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546.12584302139749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1.1368683772161603E-12</v>
      </c>
      <c r="O132" s="14">
        <f>N132*VLOOKUP('Données projet'!$B$9,Paramètres!$A$1:$I$89,3,0)*VLOOKUP('Données projet'!$B$9,Paramètres!$A$1:$I$89,5,0)</f>
        <v>6.3550942286383359E-13</v>
      </c>
      <c r="P132" s="14">
        <f t="shared" si="87"/>
        <v>7.6982260417614606E-12</v>
      </c>
      <c r="Q132" s="22">
        <f t="shared" si="108"/>
        <v>1.4514589267555721E-11</v>
      </c>
      <c r="R132" s="62">
        <f t="shared" si="109"/>
        <v>293.33333333334781</v>
      </c>
      <c r="S132" s="62">
        <f ca="1">AVERAGE(OFFSET($R$3,0,0,'Données projet'!$E$9+1,1))-AVERAGE(OFFSET($H$3,0,0,'Données projet'!$E$9+1,1))</f>
        <v>460.40450534123659</v>
      </c>
      <c r="T132" s="62">
        <f t="shared" si="88"/>
        <v>467.77477728479198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1.7683520305404254</v>
      </c>
      <c r="AA132" s="23">
        <f>EXP(-LN(2)/25)*AA131+(1-EXP(-LN(2)/25))/(LN(2)/25)*Calculateur!V132*Calculateur!X132*VLOOKUP('Données projet'!$B$9,Paramètres!$A$1:$I$89,3,0)*0.475*44/12</f>
        <v>2.844476108772882</v>
      </c>
      <c r="AB132" s="23">
        <f>EXP(-LN(2)/2)*AB131+(1-EXP(-LN(2)/2))/(LN(2)/2)*V132*Y132*VLOOKUP('Données projet'!$B$9,Paramètres!$A$1:$I$89,3,0)*0.475*44/12</f>
        <v>5.0524203072395201E-14</v>
      </c>
      <c r="AC132" s="24">
        <f t="shared" ref="AC132:AC153" si="111">SUM(Z132:AB132)</f>
        <v>4.6128281393133586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-5.6843418860808015E-13</v>
      </c>
      <c r="AJ132" s="14">
        <f>AI132*VLOOKUP('Données projet'!$B$10,Paramètres!$A$1:$I$89,3,0)*VLOOKUP('Données projet'!$B$10,Paramètres!$A$1:$I$89,5,0)</f>
        <v>-5.1431925385259092E-13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321.03881567735544</v>
      </c>
      <c r="AO132" s="62">
        <f t="shared" si="90"/>
        <v>234.87694492493506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0.33905592651684174</v>
      </c>
      <c r="AV132" s="23">
        <f>EXP(-LN(2)/25)*AV131+(1-EXP(-LN(2)/25))/(LN(2)/25)*Calculateur!AQ132*Calculateur!AS132*VLOOKUP('Données projet'!$B$10,Paramètres!$A$1:$I$89,3,0)*0.475*44/12</f>
        <v>0.87103806623392821</v>
      </c>
      <c r="AW132" s="23">
        <f>EXP(-LN(2)/2)*AW131+(1-EXP(-LN(2)/2))/(LN(2)/2)*AQ132*AT132*VLOOKUP('Données projet'!$B$10,Paramètres!$A$1:$I$89,3,0)*0.475*44/12</f>
        <v>2.7307153977048427E-14</v>
      </c>
      <c r="AX132" s="23">
        <f t="shared" ref="AX132:AX153" si="114">SUM(AU132:AW132)</f>
        <v>1.2100939927507972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255.41017495879987</v>
      </c>
      <c r="BJ132" s="62">
        <f t="shared" si="92"/>
        <v>297.50513563712764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1.174596313193871</v>
      </c>
      <c r="BQ132" s="23">
        <f>EXP(-LN(2)/25)*BQ131+(1-EXP(-LN(2)/25))/(LN(2)/25)*Calculateur!BL132*Calculateur!BN132*VLOOKUP('Données projet'!$B$11,Paramètres!$A$1:$I$89,3,0)*0.475*44/12</f>
        <v>1.7908372712238705</v>
      </c>
      <c r="BR132" s="23">
        <f>EXP(-LN(2)/2)*BR131+(1-EXP(-LN(2)/2))/(LN(2)/2)*BL132*BO132*VLOOKUP('Données projet'!$B$11,Paramètres!$A$1:$I$89,3,0)*0.475*44/12</f>
        <v>3.0649700949573371E-14</v>
      </c>
      <c r="BS132" s="24">
        <f t="shared" ref="BS132:BS153" si="117">SUM(BP132:BR132)</f>
        <v>2.9654335844177724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5.4683368944097308E-14</v>
      </c>
      <c r="CA132" s="14">
        <f t="shared" si="93"/>
        <v>8.8129432816788268E-13</v>
      </c>
      <c r="CB132" s="22">
        <f t="shared" ref="CB132:CB153" si="118">(BZ132+CA132)*0.475*44/12</f>
        <v>1.6301611558033651E-12</v>
      </c>
      <c r="CC132" s="62">
        <f t="shared" ref="CC132:CC195" si="119">CB132+(BT132+BU132)*44/12</f>
        <v>293.33333333333496</v>
      </c>
      <c r="CD132" s="62">
        <f ca="1">AVERAGE(OFFSET($CC$3,0,0,'Données projet'!$E$12+1,1))-AVERAGE(OFFSET($H$3,0,0,'Données projet'!$E$12+1,1))</f>
        <v>409.97612835032567</v>
      </c>
      <c r="CE132" s="62">
        <f t="shared" si="94"/>
        <v>411.87876448092288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4.3038915733052221</v>
      </c>
      <c r="CL132" s="23">
        <f>EXP(-LN(2)/25)*CL131+(1-EXP(-LN(2)/25))/(LN(2)/25)*Calculateur!CG132*Calculateur!CI132*VLOOKUP('Données projet'!$B$12,Paramètres!$A$1:$I$89,3,0)*0.475*44/12</f>
        <v>3.3471503451502516</v>
      </c>
      <c r="CM132" s="23">
        <f>EXP(-LN(2)/2)*CM131+(1-EXP(-LN(2)/2))/(LN(2)/2)*CG132*CJ132*VLOOKUP('Données projet'!$B$12,Paramètres!$A$1:$I$89,3,0)*0.475*44/12</f>
        <v>1.2224689866891711E-12</v>
      </c>
      <c r="CN132" s="24">
        <f t="shared" ref="CN132:CN153" si="120">SUM(CK132:CM132)</f>
        <v>7.6510419184566958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-4.5474735088646412E-13</v>
      </c>
      <c r="CU132" s="18">
        <f>CT132*VLOOKUP('Données projet'!$B$13,Paramètres!$A$1:$I$89,3,0)*VLOOKUP('Données projet'!$B$13,Paramètres!$A$1:$I$89,5,0)</f>
        <v>-2.7193891583010558E-13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463.3255103386889</v>
      </c>
      <c r="CZ132" s="62">
        <f t="shared" si="96"/>
        <v>474.73210558736127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0.70353425009007864</v>
      </c>
      <c r="DG132" s="23">
        <f>EXP(-LN(2)/25)*DG131+(1-EXP(-LN(2)/25))/(LN(2)/25)*Calculateur!DB132*Calculateur!DD132*VLOOKUP('Données projet'!$B$13,Paramètres!$A$1:$I$89,3,0)*0.475*44/12</f>
        <v>2.2272901826480229</v>
      </c>
      <c r="DH132" s="23">
        <f>EXP(-LN(2)/2)*DH131+(1-EXP(-LN(2)/2))/(LN(2)/2)*DB132*DE132*VLOOKUP('Données projet'!$B$13,Paramètres!$A$1:$I$89,3,0)*0.475*44/12</f>
        <v>5.4787981273131126E-14</v>
      </c>
      <c r="DI132" s="24">
        <f t="shared" ref="DI132:DI153" si="123">SUM(DF132:DH132)</f>
        <v>2.9308244327381563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-1.1368683772161603E-13</v>
      </c>
      <c r="DP132" s="18">
        <f>DO132*VLOOKUP('Données projet'!$B$14,Paramètres!$A$1:$I$89,3,0)*VLOOKUP('Données projet'!$B$14,Paramètres!$A$1:$I$89,5,0)</f>
        <v>-5.3205440053716299E-14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215.23235148064941</v>
      </c>
      <c r="DU132" s="62">
        <f t="shared" si="98"/>
        <v>184.07239726900434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0.44126017747885826</v>
      </c>
      <c r="EB132" s="23">
        <f>EXP(-LN(2)/25)*EB131+(1-EXP(-LN(2)/25))/(LN(2)/25)*Calculateur!DW132*Calculateur!DY132*VLOOKUP('Données projet'!$B$14,Paramètres!$A$1:$I$89,3,0)*0.475*44/12</f>
        <v>0.50476946982151893</v>
      </c>
      <c r="EC132" s="23">
        <f>EXP(-LN(2)/2)*EC131+(1-EXP(-LN(2)/2))/(LN(2)/2)*DW132*DZ132*VLOOKUP('Données projet'!$B$14,Paramètres!$A$1:$I$89,3,0)*0.475*44/12</f>
        <v>1.2349940915328576E-14</v>
      </c>
      <c r="ED132" s="24">
        <f t="shared" ref="ED132:ED153" si="126">SUM(EA132:EC132)</f>
        <v>0.94602964730038952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548.03747789690146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1.1368683772161603E-12</v>
      </c>
      <c r="O133" s="14">
        <f>N133*VLOOKUP('Données projet'!$B$9,Paramètres!$A$1:$I$89,3,0)*VLOOKUP('Données projet'!$B$9,Paramètres!$A$1:$I$89,5,0)</f>
        <v>6.3550942286383359E-13</v>
      </c>
      <c r="P133" s="14">
        <f t="shared" ref="P133:P196" si="141">EXP(-1.0587+0.8836*LN(O133)+0.284)</f>
        <v>7.6982260417614606E-12</v>
      </c>
      <c r="Q133" s="22">
        <f t="shared" si="108"/>
        <v>1.4514589267555721E-11</v>
      </c>
      <c r="R133" s="62">
        <f t="shared" si="109"/>
        <v>293.33333333334781</v>
      </c>
      <c r="S133" s="62">
        <f ca="1">AVERAGE(OFFSET($R$3,0,0,'Données projet'!$E$9+1,1))-AVERAGE(OFFSET($H$3,0,0,'Données projet'!$E$9+1,1))</f>
        <v>460.40450534123659</v>
      </c>
      <c r="T133" s="62">
        <f t="shared" ref="T133:T196" si="142">$T$3</f>
        <v>467.77477728479198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1.7336757258097646</v>
      </c>
      <c r="AA133" s="23">
        <f>EXP(-LN(2)/25)*AA132+(1-EXP(-LN(2)/25))/(LN(2)/25)*Calculateur!V133*Calculateur!X133*VLOOKUP('Données projet'!$B$9,Paramètres!$A$1:$I$89,3,0)*0.475*44/12</f>
        <v>2.76669375999399</v>
      </c>
      <c r="AB133" s="23">
        <f>EXP(-LN(2)/2)*AB132+(1-EXP(-LN(2)/2))/(LN(2)/2)*V133*Y133*VLOOKUP('Données projet'!$B$9,Paramètres!$A$1:$I$89,3,0)*0.475*44/12</f>
        <v>3.5726006606536845E-14</v>
      </c>
      <c r="AC133" s="24">
        <f t="shared" si="111"/>
        <v>4.5003694858037901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-5.6843418860808015E-13</v>
      </c>
      <c r="AJ133" s="14">
        <f>AI133*VLOOKUP('Données projet'!$B$10,Paramètres!$A$1:$I$89,3,0)*VLOOKUP('Données projet'!$B$10,Paramètres!$A$1:$I$89,5,0)</f>
        <v>-5.1431925385259092E-13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321.03881567735544</v>
      </c>
      <c r="AO133" s="62">
        <f t="shared" ref="AO133:AO196" si="144">$AO$3</f>
        <v>234.87694492493506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0.33240724660154147</v>
      </c>
      <c r="AV133" s="23">
        <f>EXP(-LN(2)/25)*AV132+(1-EXP(-LN(2)/25))/(LN(2)/25)*Calculateur!AQ133*Calculateur!AS133*VLOOKUP('Données projet'!$B$10,Paramètres!$A$1:$I$89,3,0)*0.475*44/12</f>
        <v>0.84721948450686035</v>
      </c>
      <c r="AW133" s="23">
        <f>EXP(-LN(2)/2)*AW132+(1-EXP(-LN(2)/2))/(LN(2)/2)*AQ133*AT133*VLOOKUP('Données projet'!$B$10,Paramètres!$A$1:$I$89,3,0)*0.475*44/12</f>
        <v>1.9309073752076143E-14</v>
      </c>
      <c r="AX133" s="23">
        <f t="shared" si="114"/>
        <v>1.1796267311084212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255.41017495879987</v>
      </c>
      <c r="BJ133" s="62">
        <f t="shared" ref="BJ133:BJ196" si="146">$BJ$3</f>
        <v>297.50513563712764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1.1515631959251484</v>
      </c>
      <c r="BQ133" s="23">
        <f>EXP(-LN(2)/25)*BQ132+(1-EXP(-LN(2)/25))/(LN(2)/25)*Calculateur!BL133*Calculateur!BN133*VLOOKUP('Données projet'!$B$11,Paramètres!$A$1:$I$89,3,0)*0.475*44/12</f>
        <v>1.7418667318662147</v>
      </c>
      <c r="BR133" s="23">
        <f>EXP(-LN(2)/2)*BR132+(1-EXP(-LN(2)/2))/(LN(2)/2)*BL133*BO133*VLOOKUP('Données projet'!$B$11,Paramètres!$A$1:$I$89,3,0)*0.475*44/12</f>
        <v>2.1672611382783096E-14</v>
      </c>
      <c r="BS133" s="24">
        <f t="shared" si="117"/>
        <v>2.8934299277913849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5.4683368944097308E-14</v>
      </c>
      <c r="CA133" s="14">
        <f t="shared" ref="CA133:CA153" si="147">EXP(-1.0587+0.8836*LN(BZ133)+0.284)</f>
        <v>8.8129432816788268E-13</v>
      </c>
      <c r="CB133" s="22">
        <f t="shared" si="118"/>
        <v>1.6301611558033651E-12</v>
      </c>
      <c r="CC133" s="62">
        <f t="shared" si="119"/>
        <v>293.33333333333496</v>
      </c>
      <c r="CD133" s="62">
        <f ca="1">AVERAGE(OFFSET($CC$3,0,0,'Données projet'!$E$12+1,1))-AVERAGE(OFFSET($H$3,0,0,'Données projet'!$E$12+1,1))</f>
        <v>409.97612835032567</v>
      </c>
      <c r="CE133" s="62">
        <f t="shared" ref="CE133:CE196" si="148">$CE$3</f>
        <v>411.87876448092288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4.2194948846673581</v>
      </c>
      <c r="CL133" s="23">
        <f>EXP(-LN(2)/25)*CL132+(1-EXP(-LN(2)/25))/(LN(2)/25)*Calculateur!CG133*Calculateur!CI133*VLOOKUP('Données projet'!$B$12,Paramètres!$A$1:$I$89,3,0)*0.475*44/12</f>
        <v>3.2556223429431315</v>
      </c>
      <c r="CM133" s="23">
        <f>EXP(-LN(2)/2)*CM132+(1-EXP(-LN(2)/2))/(LN(2)/2)*CG133*CJ133*VLOOKUP('Données projet'!$B$12,Paramètres!$A$1:$I$89,3,0)*0.475*44/12</f>
        <v>8.644161102781602E-13</v>
      </c>
      <c r="CN133" s="24">
        <f t="shared" si="120"/>
        <v>7.4751172276113538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-4.5474735088646412E-13</v>
      </c>
      <c r="CU133" s="18">
        <f>CT133*VLOOKUP('Données projet'!$B$13,Paramètres!$A$1:$I$89,3,0)*VLOOKUP('Données projet'!$B$13,Paramètres!$A$1:$I$89,5,0)</f>
        <v>-2.7193891583010558E-13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463.3255103386889</v>
      </c>
      <c r="CZ133" s="62">
        <f t="shared" ref="CZ133:CZ196" si="150">$CZ$3</f>
        <v>474.73210558736127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0.68973837255933335</v>
      </c>
      <c r="DG133" s="23">
        <f>EXP(-LN(2)/25)*DG132+(1-EXP(-LN(2)/25))/(LN(2)/25)*Calculateur!DB133*Calculateur!DD133*VLOOKUP('Données projet'!$B$13,Paramètres!$A$1:$I$89,3,0)*0.475*44/12</f>
        <v>2.1663848154754124</v>
      </c>
      <c r="DH133" s="23">
        <f>EXP(-LN(2)/2)*DH132+(1-EXP(-LN(2)/2))/(LN(2)/2)*DB133*DE133*VLOOKUP('Données projet'!$B$13,Paramètres!$A$1:$I$89,3,0)*0.475*44/12</f>
        <v>3.8740953085752594E-14</v>
      </c>
      <c r="DI133" s="24">
        <f t="shared" si="123"/>
        <v>2.8561231880347844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-1.1368683772161603E-13</v>
      </c>
      <c r="DP133" s="18">
        <f>DO133*VLOOKUP('Données projet'!$B$14,Paramètres!$A$1:$I$89,3,0)*VLOOKUP('Données projet'!$B$14,Paramètres!$A$1:$I$89,5,0)</f>
        <v>-5.3205440053716299E-14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215.23235148064941</v>
      </c>
      <c r="DU133" s="62">
        <f t="shared" ref="DU133:DU196" si="152">$DU$3</f>
        <v>184.07239726900434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0.43260733454063055</v>
      </c>
      <c r="EB133" s="23">
        <f>EXP(-LN(2)/25)*EB132+(1-EXP(-LN(2)/25))/(LN(2)/25)*Calculateur!DW133*Calculateur!DY133*VLOOKUP('Données projet'!$B$14,Paramètres!$A$1:$I$89,3,0)*0.475*44/12</f>
        <v>0.49096652212457675</v>
      </c>
      <c r="EC133" s="23">
        <f>EXP(-LN(2)/2)*EC132+(1-EXP(-LN(2)/2))/(LN(2)/2)*DW133*DZ133*VLOOKUP('Données projet'!$B$14,Paramètres!$A$1:$I$89,3,0)*0.475*44/12</f>
        <v>8.7327269684820336E-15</v>
      </c>
      <c r="ED133" s="24">
        <f t="shared" si="126"/>
        <v>0.92357385666521608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549.94878793920475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1.1368683772161603E-12</v>
      </c>
      <c r="O134" s="14">
        <f>N134*VLOOKUP('Données projet'!$B$9,Paramètres!$A$1:$I$89,3,0)*VLOOKUP('Données projet'!$B$9,Paramètres!$A$1:$I$89,5,0)</f>
        <v>6.3550942286383359E-13</v>
      </c>
      <c r="P134" s="14">
        <f t="shared" si="141"/>
        <v>7.6982260417614606E-12</v>
      </c>
      <c r="Q134" s="22">
        <f t="shared" si="108"/>
        <v>1.4514589267555721E-11</v>
      </c>
      <c r="R134" s="62">
        <f t="shared" si="109"/>
        <v>293.33333333334781</v>
      </c>
      <c r="S134" s="62">
        <f ca="1">AVERAGE(OFFSET($R$3,0,0,'Données projet'!$E$9+1,1))-AVERAGE(OFFSET($H$3,0,0,'Données projet'!$E$9+1,1))</f>
        <v>460.40450534123659</v>
      </c>
      <c r="T134" s="62">
        <f t="shared" si="142"/>
        <v>467.77477728479198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1.6996794022644146</v>
      </c>
      <c r="AA134" s="23">
        <f>EXP(-LN(2)/25)*AA133+(1-EXP(-LN(2)/25))/(LN(2)/25)*Calculateur!V134*Calculateur!X134*VLOOKUP('Données projet'!$B$9,Paramètres!$A$1:$I$89,3,0)*0.475*44/12</f>
        <v>2.6910383736328529</v>
      </c>
      <c r="AB134" s="23">
        <f>EXP(-LN(2)/2)*AB133+(1-EXP(-LN(2)/2))/(LN(2)/2)*V134*Y134*VLOOKUP('Données projet'!$B$9,Paramètres!$A$1:$I$89,3,0)*0.475*44/12</f>
        <v>2.52621015361976E-14</v>
      </c>
      <c r="AC134" s="24">
        <f t="shared" si="111"/>
        <v>4.3907177758972926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-5.6843418860808015E-13</v>
      </c>
      <c r="AJ134" s="14">
        <f>AI134*VLOOKUP('Données projet'!$B$10,Paramètres!$A$1:$I$89,3,0)*VLOOKUP('Données projet'!$B$10,Paramètres!$A$1:$I$89,5,0)</f>
        <v>-5.1431925385259092E-13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321.03881567735544</v>
      </c>
      <c r="AO134" s="62">
        <f t="shared" si="144"/>
        <v>234.87694492493506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0.3258889432440859</v>
      </c>
      <c r="AV134" s="23">
        <f>EXP(-LN(2)/25)*AV133+(1-EXP(-LN(2)/25))/(LN(2)/25)*Calculateur!AQ134*Calculateur!AS134*VLOOKUP('Données projet'!$B$10,Paramètres!$A$1:$I$89,3,0)*0.475*44/12</f>
        <v>0.82405222314968396</v>
      </c>
      <c r="AW134" s="23">
        <f>EXP(-LN(2)/2)*AW133+(1-EXP(-LN(2)/2))/(LN(2)/2)*AQ134*AT134*VLOOKUP('Données projet'!$B$10,Paramètres!$A$1:$I$89,3,0)*0.475*44/12</f>
        <v>1.3653576988524213E-14</v>
      </c>
      <c r="AX134" s="23">
        <f t="shared" si="114"/>
        <v>1.1499411663937835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255.41017495879987</v>
      </c>
      <c r="BJ134" s="62">
        <f t="shared" si="146"/>
        <v>297.50513563712764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1.1289817440372512</v>
      </c>
      <c r="BQ134" s="23">
        <f>EXP(-LN(2)/25)*BQ133+(1-EXP(-LN(2)/25))/(LN(2)/25)*Calculateur!BL134*Calculateur!BN134*VLOOKUP('Données projet'!$B$11,Paramètres!$A$1:$I$89,3,0)*0.475*44/12</f>
        <v>1.6942352944825427</v>
      </c>
      <c r="BR134" s="23">
        <f>EXP(-LN(2)/2)*BR133+(1-EXP(-LN(2)/2))/(LN(2)/2)*BL134*BO134*VLOOKUP('Données projet'!$B$11,Paramètres!$A$1:$I$89,3,0)*0.475*44/12</f>
        <v>1.5324850474786685E-14</v>
      </c>
      <c r="BS134" s="24">
        <f t="shared" si="117"/>
        <v>2.8232170385198097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5.4683368944097308E-14</v>
      </c>
      <c r="CA134" s="14">
        <f t="shared" si="147"/>
        <v>8.8129432816788268E-13</v>
      </c>
      <c r="CB134" s="22">
        <f t="shared" si="118"/>
        <v>1.6301611558033651E-12</v>
      </c>
      <c r="CC134" s="62">
        <f t="shared" si="119"/>
        <v>293.33333333333496</v>
      </c>
      <c r="CD134" s="62">
        <f ca="1">AVERAGE(OFFSET($CC$3,0,0,'Données projet'!$E$12+1,1))-AVERAGE(OFFSET($H$3,0,0,'Données projet'!$E$12+1,1))</f>
        <v>409.97612835032567</v>
      </c>
      <c r="CE134" s="62">
        <f t="shared" si="148"/>
        <v>411.87876448092288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4.1367531636167856</v>
      </c>
      <c r="CL134" s="23">
        <f>EXP(-LN(2)/25)*CL133+(1-EXP(-LN(2)/25))/(LN(2)/25)*Calculateur!CG134*Calculateur!CI134*VLOOKUP('Données projet'!$B$12,Paramètres!$A$1:$I$89,3,0)*0.475*44/12</f>
        <v>3.1665971787696132</v>
      </c>
      <c r="CM134" s="23">
        <f>EXP(-LN(2)/2)*CM133+(1-EXP(-LN(2)/2))/(LN(2)/2)*CG134*CJ134*VLOOKUP('Données projet'!$B$12,Paramètres!$A$1:$I$89,3,0)*0.475*44/12</f>
        <v>6.1123449334458555E-13</v>
      </c>
      <c r="CN134" s="24">
        <f t="shared" si="120"/>
        <v>7.3033503423870094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-4.5474735088646412E-13</v>
      </c>
      <c r="CU134" s="18">
        <f>CT134*VLOOKUP('Données projet'!$B$13,Paramètres!$A$1:$I$89,3,0)*VLOOKUP('Données projet'!$B$13,Paramètres!$A$1:$I$89,5,0)</f>
        <v>-2.7193891583010558E-13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463.3255103386889</v>
      </c>
      <c r="CZ134" s="62">
        <f t="shared" si="150"/>
        <v>474.73210558736127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0.67621302377231152</v>
      </c>
      <c r="DG134" s="23">
        <f>EXP(-LN(2)/25)*DG133+(1-EXP(-LN(2)/25))/(LN(2)/25)*Calculateur!DB134*Calculateur!DD134*VLOOKUP('Données projet'!$B$13,Paramètres!$A$1:$I$89,3,0)*0.475*44/12</f>
        <v>2.1071449087710112</v>
      </c>
      <c r="DH134" s="23">
        <f>EXP(-LN(2)/2)*DH133+(1-EXP(-LN(2)/2))/(LN(2)/2)*DB134*DE134*VLOOKUP('Données projet'!$B$13,Paramètres!$A$1:$I$89,3,0)*0.475*44/12</f>
        <v>2.7393990636565563E-14</v>
      </c>
      <c r="DI134" s="24">
        <f t="shared" si="123"/>
        <v>2.7833579325433502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-1.1368683772161603E-13</v>
      </c>
      <c r="DP134" s="18">
        <f>DO134*VLOOKUP('Données projet'!$B$14,Paramètres!$A$1:$I$89,3,0)*VLOOKUP('Données projet'!$B$14,Paramètres!$A$1:$I$89,5,0)</f>
        <v>-5.3205440053716299E-14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215.23235148064941</v>
      </c>
      <c r="DU134" s="62">
        <f t="shared" si="152"/>
        <v>184.07239726900434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0.42412416857470842</v>
      </c>
      <c r="EB134" s="23">
        <f>EXP(-LN(2)/25)*EB133+(1-EXP(-LN(2)/25))/(LN(2)/25)*Calculateur!DW134*Calculateur!DY134*VLOOKUP('Données projet'!$B$14,Paramètres!$A$1:$I$89,3,0)*0.475*44/12</f>
        <v>0.47754101675827293</v>
      </c>
      <c r="EC134" s="23">
        <f>EXP(-LN(2)/2)*EC133+(1-EXP(-LN(2)/2))/(LN(2)/2)*DW134*DZ134*VLOOKUP('Données projet'!$B$14,Paramètres!$A$1:$I$89,3,0)*0.475*44/12</f>
        <v>6.1749704576642879E-15</v>
      </c>
      <c r="ED134" s="24">
        <f t="shared" si="126"/>
        <v>0.90166518533298756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551.85977591540495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1.1368683772161603E-12</v>
      </c>
      <c r="O135" s="14">
        <f>N135*VLOOKUP('Données projet'!$B$9,Paramètres!$A$1:$I$89,3,0)*VLOOKUP('Données projet'!$B$9,Paramètres!$A$1:$I$89,5,0)</f>
        <v>6.3550942286383359E-13</v>
      </c>
      <c r="P135" s="14">
        <f t="shared" si="141"/>
        <v>7.6982260417614606E-12</v>
      </c>
      <c r="Q135" s="22">
        <f t="shared" si="108"/>
        <v>1.4514589267555721E-11</v>
      </c>
      <c r="R135" s="62">
        <f t="shared" si="109"/>
        <v>293.33333333334781</v>
      </c>
      <c r="S135" s="62">
        <f ca="1">AVERAGE(OFFSET($R$3,0,0,'Données projet'!$E$9+1,1))-AVERAGE(OFFSET($H$3,0,0,'Données projet'!$E$9+1,1))</f>
        <v>460.40450534123659</v>
      </c>
      <c r="T135" s="62">
        <f t="shared" si="142"/>
        <v>467.77477728479198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1.6663497258880791</v>
      </c>
      <c r="AA135" s="23">
        <f>EXP(-LN(2)/25)*AA134+(1-EXP(-LN(2)/25))/(LN(2)/25)*Calculateur!V135*Calculateur!X135*VLOOKUP('Données projet'!$B$9,Paramètres!$A$1:$I$89,3,0)*0.475*44/12</f>
        <v>2.617451787790305</v>
      </c>
      <c r="AB135" s="23">
        <f>EXP(-LN(2)/2)*AB134+(1-EXP(-LN(2)/2))/(LN(2)/2)*V135*Y135*VLOOKUP('Données projet'!$B$9,Paramètres!$A$1:$I$89,3,0)*0.475*44/12</f>
        <v>1.7863003303268422E-14</v>
      </c>
      <c r="AC135" s="24">
        <f t="shared" si="111"/>
        <v>4.2838015136784016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-5.6843418860808015E-13</v>
      </c>
      <c r="AJ135" s="14">
        <f>AI135*VLOOKUP('Données projet'!$B$10,Paramètres!$A$1:$I$89,3,0)*VLOOKUP('Données projet'!$B$10,Paramètres!$A$1:$I$89,5,0)</f>
        <v>-5.1431925385259092E-13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321.03881567735544</v>
      </c>
      <c r="AO135" s="62">
        <f t="shared" si="144"/>
        <v>234.87694492493506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0.3194984598396976</v>
      </c>
      <c r="AV135" s="23">
        <f>EXP(-LN(2)/25)*AV134+(1-EXP(-LN(2)/25))/(LN(2)/25)*Calculateur!AQ135*Calculateur!AS135*VLOOKUP('Données projet'!$B$10,Paramètres!$A$1:$I$89,3,0)*0.475*44/12</f>
        <v>0.8015184717726328</v>
      </c>
      <c r="AW135" s="23">
        <f>EXP(-LN(2)/2)*AW134+(1-EXP(-LN(2)/2))/(LN(2)/2)*AQ135*AT135*VLOOKUP('Données projet'!$B$10,Paramètres!$A$1:$I$89,3,0)*0.475*44/12</f>
        <v>9.6545368760380714E-15</v>
      </c>
      <c r="AX135" s="23">
        <f t="shared" si="114"/>
        <v>1.12101693161234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255.41017495879987</v>
      </c>
      <c r="BJ135" s="62">
        <f t="shared" si="146"/>
        <v>297.50513563712764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1.1068431006475499</v>
      </c>
      <c r="BQ135" s="23">
        <f>EXP(-LN(2)/25)*BQ134+(1-EXP(-LN(2)/25))/(LN(2)/25)*Calculateur!BL135*Calculateur!BN135*VLOOKUP('Données projet'!$B$11,Paramètres!$A$1:$I$89,3,0)*0.475*44/12</f>
        <v>1.6479063412589556</v>
      </c>
      <c r="BR135" s="23">
        <f>EXP(-LN(2)/2)*BR134+(1-EXP(-LN(2)/2))/(LN(2)/2)*BL135*BO135*VLOOKUP('Données projet'!$B$11,Paramètres!$A$1:$I$89,3,0)*0.475*44/12</f>
        <v>1.0836305691391548E-14</v>
      </c>
      <c r="BS135" s="24">
        <f t="shared" si="117"/>
        <v>2.7547494419065162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5.4683368944097308E-14</v>
      </c>
      <c r="CA135" s="14">
        <f t="shared" si="147"/>
        <v>8.8129432816788268E-13</v>
      </c>
      <c r="CB135" s="22">
        <f t="shared" si="118"/>
        <v>1.6301611558033651E-12</v>
      </c>
      <c r="CC135" s="62">
        <f t="shared" si="119"/>
        <v>293.33333333333496</v>
      </c>
      <c r="CD135" s="62">
        <f ca="1">AVERAGE(OFFSET($CC$3,0,0,'Données projet'!$E$12+1,1))-AVERAGE(OFFSET($H$3,0,0,'Données projet'!$E$12+1,1))</f>
        <v>409.97612835032567</v>
      </c>
      <c r="CE135" s="62">
        <f t="shared" si="148"/>
        <v>411.87876448092288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4.0556339572485482</v>
      </c>
      <c r="CL135" s="23">
        <f>EXP(-LN(2)/25)*CL134+(1-EXP(-LN(2)/25))/(LN(2)/25)*Calculateur!CG135*Calculateur!CI135*VLOOKUP('Données projet'!$B$12,Paramètres!$A$1:$I$89,3,0)*0.475*44/12</f>
        <v>3.0800064123920499</v>
      </c>
      <c r="CM135" s="23">
        <f>EXP(-LN(2)/2)*CM134+(1-EXP(-LN(2)/2))/(LN(2)/2)*CG135*CJ135*VLOOKUP('Données projet'!$B$12,Paramètres!$A$1:$I$89,3,0)*0.475*44/12</f>
        <v>4.322080551390801E-13</v>
      </c>
      <c r="CN135" s="24">
        <f t="shared" si="120"/>
        <v>7.1356403696410302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-4.5474735088646412E-13</v>
      </c>
      <c r="CU135" s="18">
        <f>CT135*VLOOKUP('Données projet'!$B$13,Paramètres!$A$1:$I$89,3,0)*VLOOKUP('Données projet'!$B$13,Paramètres!$A$1:$I$89,5,0)</f>
        <v>-2.7193891583010558E-13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463.3255103386889</v>
      </c>
      <c r="CZ135" s="62">
        <f t="shared" si="150"/>
        <v>474.73210558736127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0.66295289882535502</v>
      </c>
      <c r="DG135" s="23">
        <f>EXP(-LN(2)/25)*DG134+(1-EXP(-LN(2)/25))/(LN(2)/25)*Calculateur!DB135*Calculateur!DD135*VLOOKUP('Données projet'!$B$13,Paramètres!$A$1:$I$89,3,0)*0.475*44/12</f>
        <v>2.0495249204307333</v>
      </c>
      <c r="DH135" s="23">
        <f>EXP(-LN(2)/2)*DH134+(1-EXP(-LN(2)/2))/(LN(2)/2)*DB135*DE135*VLOOKUP('Données projet'!$B$13,Paramètres!$A$1:$I$89,3,0)*0.475*44/12</f>
        <v>1.9370476542876297E-14</v>
      </c>
      <c r="DI135" s="24">
        <f t="shared" si="123"/>
        <v>2.7124778192561081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-1.1368683772161603E-13</v>
      </c>
      <c r="DP135" s="18">
        <f>DO135*VLOOKUP('Données projet'!$B$14,Paramètres!$A$1:$I$89,3,0)*VLOOKUP('Données projet'!$B$14,Paramètres!$A$1:$I$89,5,0)</f>
        <v>-5.3205440053716299E-14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215.23235148064941</v>
      </c>
      <c r="DU135" s="62">
        <f t="shared" si="152"/>
        <v>184.07239726900434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0.41580735231915766</v>
      </c>
      <c r="EB135" s="23">
        <f>EXP(-LN(2)/25)*EB134+(1-EXP(-LN(2)/25))/(LN(2)/25)*Calculateur!DW135*Calculateur!DY135*VLOOKUP('Données projet'!$B$14,Paramètres!$A$1:$I$89,3,0)*0.475*44/12</f>
        <v>0.46448263254222732</v>
      </c>
      <c r="EC135" s="23">
        <f>EXP(-LN(2)/2)*EC134+(1-EXP(-LN(2)/2))/(LN(2)/2)*DW135*DZ135*VLOOKUP('Données projet'!$B$14,Paramètres!$A$1:$I$89,3,0)*0.475*44/12</f>
        <v>4.3663634842410168E-15</v>
      </c>
      <c r="ED135" s="24">
        <f t="shared" si="126"/>
        <v>0.88028998486138932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553.77044454825227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1.1368683772161603E-12</v>
      </c>
      <c r="O136" s="14">
        <f>N136*VLOOKUP('Données projet'!$B$9,Paramètres!$A$1:$I$89,3,0)*VLOOKUP('Données projet'!$B$9,Paramètres!$A$1:$I$89,5,0)</f>
        <v>6.3550942286383359E-13</v>
      </c>
      <c r="P136" s="14">
        <f t="shared" si="141"/>
        <v>7.6982260417614606E-12</v>
      </c>
      <c r="Q136" s="22">
        <f t="shared" si="108"/>
        <v>1.4514589267555721E-11</v>
      </c>
      <c r="R136" s="62">
        <f t="shared" si="109"/>
        <v>293.33333333334781</v>
      </c>
      <c r="S136" s="62">
        <f ca="1">AVERAGE(OFFSET($R$3,0,0,'Données projet'!$E$9+1,1))-AVERAGE(OFFSET($H$3,0,0,'Données projet'!$E$9+1,1))</f>
        <v>460.40450534123659</v>
      </c>
      <c r="T136" s="62">
        <f t="shared" si="142"/>
        <v>467.77477728479198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1.6336736241363881</v>
      </c>
      <c r="AA136" s="23">
        <f>EXP(-LN(2)/25)*AA135+(1-EXP(-LN(2)/25))/(LN(2)/25)*Calculateur!V136*Calculateur!X136*VLOOKUP('Données projet'!$B$9,Paramètres!$A$1:$I$89,3,0)*0.475*44/12</f>
        <v>2.545877431007372</v>
      </c>
      <c r="AB136" s="23">
        <f>EXP(-LN(2)/2)*AB135+(1-EXP(-LN(2)/2))/(LN(2)/2)*V136*Y136*VLOOKUP('Données projet'!$B$9,Paramètres!$A$1:$I$89,3,0)*0.475*44/12</f>
        <v>1.26310507680988E-14</v>
      </c>
      <c r="AC136" s="24">
        <f t="shared" si="111"/>
        <v>4.1795510551437722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-5.6843418860808015E-13</v>
      </c>
      <c r="AJ136" s="14">
        <f>AI136*VLOOKUP('Données projet'!$B$10,Paramètres!$A$1:$I$89,3,0)*VLOOKUP('Données projet'!$B$10,Paramètres!$A$1:$I$89,5,0)</f>
        <v>-5.1431925385259092E-13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321.03881567735544</v>
      </c>
      <c r="AO136" s="62">
        <f t="shared" si="144"/>
        <v>234.87694492493506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0.31323328991705934</v>
      </c>
      <c r="AV136" s="23">
        <f>EXP(-LN(2)/25)*AV135+(1-EXP(-LN(2)/25))/(LN(2)/25)*Calculateur!AQ136*Calculateur!AS136*VLOOKUP('Données projet'!$B$10,Paramètres!$A$1:$I$89,3,0)*0.475*44/12</f>
        <v>0.77960090701198559</v>
      </c>
      <c r="AW136" s="23">
        <f>EXP(-LN(2)/2)*AW135+(1-EXP(-LN(2)/2))/(LN(2)/2)*AQ136*AT136*VLOOKUP('Données projet'!$B$10,Paramètres!$A$1:$I$89,3,0)*0.475*44/12</f>
        <v>6.8267884942621067E-15</v>
      </c>
      <c r="AX136" s="23">
        <f t="shared" si="114"/>
        <v>1.0928341969290518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255.41017495879987</v>
      </c>
      <c r="BJ136" s="62">
        <f t="shared" si="146"/>
        <v>297.50513563712764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1.0851385825514814</v>
      </c>
      <c r="BQ136" s="23">
        <f>EXP(-LN(2)/25)*BQ135+(1-EXP(-LN(2)/25))/(LN(2)/25)*Calculateur!BL136*Calculateur!BN136*VLOOKUP('Données projet'!$B$11,Paramètres!$A$1:$I$89,3,0)*0.475*44/12</f>
        <v>1.6028442556976013</v>
      </c>
      <c r="BR136" s="23">
        <f>EXP(-LN(2)/2)*BR135+(1-EXP(-LN(2)/2))/(LN(2)/2)*BL136*BO136*VLOOKUP('Données projet'!$B$11,Paramètres!$A$1:$I$89,3,0)*0.475*44/12</f>
        <v>7.6624252373933427E-15</v>
      </c>
      <c r="BS136" s="24">
        <f t="shared" si="117"/>
        <v>2.68798283824909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5.4683368944097308E-14</v>
      </c>
      <c r="CA136" s="14">
        <f t="shared" si="147"/>
        <v>8.8129432816788268E-13</v>
      </c>
      <c r="CB136" s="22">
        <f t="shared" si="118"/>
        <v>1.6301611558033651E-12</v>
      </c>
      <c r="CC136" s="62">
        <f t="shared" si="119"/>
        <v>293.33333333333496</v>
      </c>
      <c r="CD136" s="62">
        <f ca="1">AVERAGE(OFFSET($CC$3,0,0,'Données projet'!$E$12+1,1))-AVERAGE(OFFSET($H$3,0,0,'Données projet'!$E$12+1,1))</f>
        <v>409.97612835032567</v>
      </c>
      <c r="CE136" s="62">
        <f t="shared" si="148"/>
        <v>411.87876448092288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3.9761054490393613</v>
      </c>
      <c r="CL136" s="23">
        <f>EXP(-LN(2)/25)*CL135+(1-EXP(-LN(2)/25))/(LN(2)/25)*Calculateur!CG136*Calculateur!CI136*VLOOKUP('Données projet'!$B$12,Paramètres!$A$1:$I$89,3,0)*0.475*44/12</f>
        <v>2.9957834750746914</v>
      </c>
      <c r="CM136" s="23">
        <f>EXP(-LN(2)/2)*CM135+(1-EXP(-LN(2)/2))/(LN(2)/2)*CG136*CJ136*VLOOKUP('Données projet'!$B$12,Paramètres!$A$1:$I$89,3,0)*0.475*44/12</f>
        <v>3.0561724667229278E-13</v>
      </c>
      <c r="CN136" s="24">
        <f t="shared" si="120"/>
        <v>6.9718889241143582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-4.5474735088646412E-13</v>
      </c>
      <c r="CU136" s="18">
        <f>CT136*VLOOKUP('Données projet'!$B$13,Paramètres!$A$1:$I$89,3,0)*VLOOKUP('Données projet'!$B$13,Paramètres!$A$1:$I$89,5,0)</f>
        <v>-2.7193891583010558E-13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463.3255103386889</v>
      </c>
      <c r="CZ136" s="62">
        <f t="shared" si="150"/>
        <v>474.73210558736127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0.64995279684073071</v>
      </c>
      <c r="DG136" s="23">
        <f>EXP(-LN(2)/25)*DG135+(1-EXP(-LN(2)/25))/(LN(2)/25)*Calculateur!DB136*Calculateur!DD136*VLOOKUP('Données projet'!$B$13,Paramètres!$A$1:$I$89,3,0)*0.475*44/12</f>
        <v>1.9934805537017235</v>
      </c>
      <c r="DH136" s="23">
        <f>EXP(-LN(2)/2)*DH135+(1-EXP(-LN(2)/2))/(LN(2)/2)*DB136*DE136*VLOOKUP('Données projet'!$B$13,Paramètres!$A$1:$I$89,3,0)*0.475*44/12</f>
        <v>1.3696995318282782E-14</v>
      </c>
      <c r="DI136" s="24">
        <f t="shared" si="123"/>
        <v>2.6434333505424679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-1.1368683772161603E-13</v>
      </c>
      <c r="DP136" s="18">
        <f>DO136*VLOOKUP('Données projet'!$B$14,Paramètres!$A$1:$I$89,3,0)*VLOOKUP('Données projet'!$B$14,Paramètres!$A$1:$I$89,5,0)</f>
        <v>-5.3205440053716299E-14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215.23235148064941</v>
      </c>
      <c r="DU136" s="62">
        <f t="shared" si="152"/>
        <v>184.07239726900434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0.40765362375762126</v>
      </c>
      <c r="EB136" s="23">
        <f>EXP(-LN(2)/25)*EB135+(1-EXP(-LN(2)/25))/(LN(2)/25)*Calculateur!DW136*Calculateur!DY136*VLOOKUP('Données projet'!$B$14,Paramètres!$A$1:$I$89,3,0)*0.475*44/12</f>
        <v>0.45178133052928005</v>
      </c>
      <c r="EC136" s="23">
        <f>EXP(-LN(2)/2)*EC135+(1-EXP(-LN(2)/2))/(LN(2)/2)*DW136*DZ136*VLOOKUP('Données projet'!$B$14,Paramètres!$A$1:$I$89,3,0)*0.475*44/12</f>
        <v>3.087485228832144E-15</v>
      </c>
      <c r="ED136" s="24">
        <f t="shared" si="126"/>
        <v>0.85943495428690442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555.68079651718767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1.1368683772161603E-12</v>
      </c>
      <c r="O137" s="14">
        <f>N137*VLOOKUP('Données projet'!$B$9,Paramètres!$A$1:$I$89,3,0)*VLOOKUP('Données projet'!$B$9,Paramètres!$A$1:$I$89,5,0)</f>
        <v>6.3550942286383359E-13</v>
      </c>
      <c r="P137" s="14">
        <f t="shared" si="141"/>
        <v>7.6982260417614606E-12</v>
      </c>
      <c r="Q137" s="22">
        <f t="shared" si="108"/>
        <v>1.4514589267555721E-11</v>
      </c>
      <c r="R137" s="62">
        <f t="shared" si="109"/>
        <v>293.33333333334781</v>
      </c>
      <c r="S137" s="62">
        <f ca="1">AVERAGE(OFFSET($R$3,0,0,'Données projet'!$E$9+1,1))-AVERAGE(OFFSET($H$3,0,0,'Données projet'!$E$9+1,1))</f>
        <v>460.40450534123659</v>
      </c>
      <c r="T137" s="62">
        <f t="shared" si="142"/>
        <v>467.77477728479198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1.6016382808095937</v>
      </c>
      <c r="AA137" s="23">
        <f>EXP(-LN(2)/25)*AA136+(1-EXP(-LN(2)/25))/(LN(2)/25)*Calculateur!V137*Calculateur!X137*VLOOKUP('Données projet'!$B$9,Paramètres!$A$1:$I$89,3,0)*0.475*44/12</f>
        <v>2.4762602787745998</v>
      </c>
      <c r="AB137" s="23">
        <f>EXP(-LN(2)/2)*AB136+(1-EXP(-LN(2)/2))/(LN(2)/2)*V137*Y137*VLOOKUP('Données projet'!$B$9,Paramètres!$A$1:$I$89,3,0)*0.475*44/12</f>
        <v>8.9315016516342111E-15</v>
      </c>
      <c r="AC137" s="24">
        <f t="shared" si="111"/>
        <v>4.0778985595842023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-5.6843418860808015E-13</v>
      </c>
      <c r="AJ137" s="14">
        <f>AI137*VLOOKUP('Données projet'!$B$10,Paramètres!$A$1:$I$89,3,0)*VLOOKUP('Données projet'!$B$10,Paramètres!$A$1:$I$89,5,0)</f>
        <v>-5.1431925385259092E-13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321.03881567735544</v>
      </c>
      <c r="AO137" s="62">
        <f t="shared" si="144"/>
        <v>234.87694492493506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0.30709097615522768</v>
      </c>
      <c r="AV137" s="23">
        <f>EXP(-LN(2)/25)*AV136+(1-EXP(-LN(2)/25))/(LN(2)/25)*Calculateur!AQ137*Calculateur!AS137*VLOOKUP('Données projet'!$B$10,Paramètres!$A$1:$I$89,3,0)*0.475*44/12</f>
        <v>0.75828267921231296</v>
      </c>
      <c r="AW137" s="23">
        <f>EXP(-LN(2)/2)*AW136+(1-EXP(-LN(2)/2))/(LN(2)/2)*AQ137*AT137*VLOOKUP('Données projet'!$B$10,Paramètres!$A$1:$I$89,3,0)*0.475*44/12</f>
        <v>4.8272684380190357E-15</v>
      </c>
      <c r="AX137" s="23">
        <f t="shared" si="114"/>
        <v>1.0653736553675455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255.41017495879987</v>
      </c>
      <c r="BJ137" s="62">
        <f t="shared" si="146"/>
        <v>297.50513563712764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1.063859676816828</v>
      </c>
      <c r="BQ137" s="23">
        <f>EXP(-LN(2)/25)*BQ136+(1-EXP(-LN(2)/25))/(LN(2)/25)*Calculateur!BL137*Calculateur!BN137*VLOOKUP('Données projet'!$B$11,Paramètres!$A$1:$I$89,3,0)*0.475*44/12</f>
        <v>1.5590143952356343</v>
      </c>
      <c r="BR137" s="23">
        <f>EXP(-LN(2)/2)*BR136+(1-EXP(-LN(2)/2))/(LN(2)/2)*BL137*BO137*VLOOKUP('Données projet'!$B$11,Paramètres!$A$1:$I$89,3,0)*0.475*44/12</f>
        <v>5.4181528456957739E-15</v>
      </c>
      <c r="BS137" s="24">
        <f t="shared" si="117"/>
        <v>2.6228740720524675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5.4683368944097308E-14</v>
      </c>
      <c r="CA137" s="14">
        <f t="shared" si="147"/>
        <v>8.8129432816788268E-13</v>
      </c>
      <c r="CB137" s="22">
        <f t="shared" si="118"/>
        <v>1.6301611558033651E-12</v>
      </c>
      <c r="CC137" s="62">
        <f t="shared" si="119"/>
        <v>293.33333333333496</v>
      </c>
      <c r="CD137" s="62">
        <f ca="1">AVERAGE(OFFSET($CC$3,0,0,'Données projet'!$E$12+1,1))-AVERAGE(OFFSET($H$3,0,0,'Données projet'!$E$12+1,1))</f>
        <v>409.97612835032567</v>
      </c>
      <c r="CE137" s="62">
        <f t="shared" si="148"/>
        <v>411.87876448092288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3.8981364463685564</v>
      </c>
      <c r="CL137" s="23">
        <f>EXP(-LN(2)/25)*CL136+(1-EXP(-LN(2)/25))/(LN(2)/25)*Calculateur!CG137*Calculateur!CI137*VLOOKUP('Données projet'!$B$12,Paramètres!$A$1:$I$89,3,0)*0.475*44/12</f>
        <v>2.9138636184073681</v>
      </c>
      <c r="CM137" s="23">
        <f>EXP(-LN(2)/2)*CM136+(1-EXP(-LN(2)/2))/(LN(2)/2)*CG137*CJ137*VLOOKUP('Données projet'!$B$12,Paramètres!$A$1:$I$89,3,0)*0.475*44/12</f>
        <v>2.1610402756954005E-13</v>
      </c>
      <c r="CN137" s="24">
        <f t="shared" si="120"/>
        <v>6.8120000647761403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-4.5474735088646412E-13</v>
      </c>
      <c r="CU137" s="18">
        <f>CT137*VLOOKUP('Données projet'!$B$13,Paramètres!$A$1:$I$89,3,0)*VLOOKUP('Données projet'!$B$13,Paramètres!$A$1:$I$89,5,0)</f>
        <v>-2.7193891583010558E-13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463.3255103386889</v>
      </c>
      <c r="CZ137" s="62">
        <f t="shared" si="150"/>
        <v>474.73210558736127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0.6372076189267456</v>
      </c>
      <c r="DG137" s="23">
        <f>EXP(-LN(2)/25)*DG136+(1-EXP(-LN(2)/25))/(LN(2)/25)*Calculateur!DB137*Calculateur!DD137*VLOOKUP('Données projet'!$B$13,Paramètres!$A$1:$I$89,3,0)*0.475*44/12</f>
        <v>1.9389687231281638</v>
      </c>
      <c r="DH137" s="23">
        <f>EXP(-LN(2)/2)*DH136+(1-EXP(-LN(2)/2))/(LN(2)/2)*DB137*DE137*VLOOKUP('Données projet'!$B$13,Paramètres!$A$1:$I$89,3,0)*0.475*44/12</f>
        <v>9.6852382714381485E-15</v>
      </c>
      <c r="DI137" s="24">
        <f t="shared" si="123"/>
        <v>2.5761763420549193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-1.1368683772161603E-13</v>
      </c>
      <c r="DP137" s="18">
        <f>DO137*VLOOKUP('Données projet'!$B$14,Paramètres!$A$1:$I$89,3,0)*VLOOKUP('Données projet'!$B$14,Paramètres!$A$1:$I$89,5,0)</f>
        <v>-5.3205440053716299E-14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215.23235148064941</v>
      </c>
      <c r="DU137" s="62">
        <f t="shared" si="152"/>
        <v>184.07239726900434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0.39965978483989323</v>
      </c>
      <c r="EB137" s="23">
        <f>EXP(-LN(2)/25)*EB136+(1-EXP(-LN(2)/25))/(LN(2)/25)*Calculateur!DW137*Calculateur!DY137*VLOOKUP('Données projet'!$B$14,Paramètres!$A$1:$I$89,3,0)*0.475*44/12</f>
        <v>0.43942734628780927</v>
      </c>
      <c r="EC137" s="23">
        <f>EXP(-LN(2)/2)*EC136+(1-EXP(-LN(2)/2))/(LN(2)/2)*DW137*DZ137*VLOOKUP('Données projet'!$B$14,Paramètres!$A$1:$I$89,3,0)*0.475*44/12</f>
        <v>2.1831817421205084E-15</v>
      </c>
      <c r="ED137" s="24">
        <f t="shared" si="126"/>
        <v>0.83908713112770472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557.59083445935073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1.1368683772161603E-12</v>
      </c>
      <c r="O138" s="14">
        <f>N138*VLOOKUP('Données projet'!$B$9,Paramètres!$A$1:$I$89,3,0)*VLOOKUP('Données projet'!$B$9,Paramètres!$A$1:$I$89,5,0)</f>
        <v>6.3550942286383359E-13</v>
      </c>
      <c r="P138" s="14">
        <f t="shared" si="141"/>
        <v>7.6982260417614606E-12</v>
      </c>
      <c r="Q138" s="22">
        <f t="shared" si="108"/>
        <v>1.4514589267555721E-11</v>
      </c>
      <c r="R138" s="62">
        <f t="shared" si="109"/>
        <v>293.33333333334781</v>
      </c>
      <c r="S138" s="62">
        <f ca="1">AVERAGE(OFFSET($R$3,0,0,'Données projet'!$E$9+1,1))-AVERAGE(OFFSET($H$3,0,0,'Données projet'!$E$9+1,1))</f>
        <v>460.40450534123659</v>
      </c>
      <c r="T138" s="62">
        <f t="shared" si="142"/>
        <v>467.77477728479198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1.5702311310258077</v>
      </c>
      <c r="AA138" s="23">
        <f>EXP(-LN(2)/25)*AA137+(1-EXP(-LN(2)/25))/(LN(2)/25)*Calculateur!V138*Calculateur!X138*VLOOKUP('Données projet'!$B$9,Paramètres!$A$1:$I$89,3,0)*0.475*44/12</f>
        <v>2.4085468112306399</v>
      </c>
      <c r="AB138" s="23">
        <f>EXP(-LN(2)/2)*AB137+(1-EXP(-LN(2)/2))/(LN(2)/2)*V138*Y138*VLOOKUP('Données projet'!$B$9,Paramètres!$A$1:$I$89,3,0)*0.475*44/12</f>
        <v>6.3155253840494001E-15</v>
      </c>
      <c r="AC138" s="24">
        <f t="shared" si="111"/>
        <v>3.9787779422564538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-5.6843418860808015E-13</v>
      </c>
      <c r="AJ138" s="14">
        <f>AI138*VLOOKUP('Données projet'!$B$10,Paramètres!$A$1:$I$89,3,0)*VLOOKUP('Données projet'!$B$10,Paramètres!$A$1:$I$89,5,0)</f>
        <v>-5.1431925385259092E-13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321.03881567735544</v>
      </c>
      <c r="AO138" s="62">
        <f t="shared" si="144"/>
        <v>234.87694492493506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0.30106910941982407</v>
      </c>
      <c r="AV138" s="23">
        <f>EXP(-LN(2)/25)*AV137+(1-EXP(-LN(2)/25))/(LN(2)/25)*Calculateur!AQ138*Calculateur!AS138*VLOOKUP('Données projet'!$B$10,Paramètres!$A$1:$I$89,3,0)*0.475*44/12</f>
        <v>0.73754739947289927</v>
      </c>
      <c r="AW138" s="23">
        <f>EXP(-LN(2)/2)*AW137+(1-EXP(-LN(2)/2))/(LN(2)/2)*AQ138*AT138*VLOOKUP('Données projet'!$B$10,Paramètres!$A$1:$I$89,3,0)*0.475*44/12</f>
        <v>3.4133942471310534E-15</v>
      </c>
      <c r="AX138" s="23">
        <f t="shared" si="114"/>
        <v>1.0386165088927266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255.41017495879987</v>
      </c>
      <c r="BJ138" s="62">
        <f t="shared" si="146"/>
        <v>297.50513563712764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1.0429980374447803</v>
      </c>
      <c r="BQ138" s="23">
        <f>EXP(-LN(2)/25)*BQ137+(1-EXP(-LN(2)/25))/(LN(2)/25)*Calculateur!BL138*Calculateur!BN138*VLOOKUP('Données projet'!$B$11,Paramètres!$A$1:$I$89,3,0)*0.475*44/12</f>
        <v>1.5163830646129119</v>
      </c>
      <c r="BR138" s="23">
        <f>EXP(-LN(2)/2)*BR137+(1-EXP(-LN(2)/2))/(LN(2)/2)*BL138*BO138*VLOOKUP('Données projet'!$B$11,Paramètres!$A$1:$I$89,3,0)*0.475*44/12</f>
        <v>3.8312126186966713E-15</v>
      </c>
      <c r="BS138" s="24">
        <f t="shared" si="117"/>
        <v>2.5593811020576962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5.4683368944097308E-14</v>
      </c>
      <c r="CA138" s="14">
        <f t="shared" si="147"/>
        <v>8.8129432816788268E-13</v>
      </c>
      <c r="CB138" s="22">
        <f t="shared" si="118"/>
        <v>1.6301611558033651E-12</v>
      </c>
      <c r="CC138" s="62">
        <f t="shared" si="119"/>
        <v>293.33333333333496</v>
      </c>
      <c r="CD138" s="62">
        <f ca="1">AVERAGE(OFFSET($CC$3,0,0,'Données projet'!$E$12+1,1))-AVERAGE(OFFSET($H$3,0,0,'Données projet'!$E$12+1,1))</f>
        <v>409.97612835032567</v>
      </c>
      <c r="CE138" s="62">
        <f t="shared" si="148"/>
        <v>411.87876448092288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3.8216963682837299</v>
      </c>
      <c r="CL138" s="23">
        <f>EXP(-LN(2)/25)*CL137+(1-EXP(-LN(2)/25))/(LN(2)/25)*Calculateur!CG138*Calculateur!CI138*VLOOKUP('Données projet'!$B$12,Paramètres!$A$1:$I$89,3,0)*0.475*44/12</f>
        <v>2.8341838645285908</v>
      </c>
      <c r="CM138" s="23">
        <f>EXP(-LN(2)/2)*CM137+(1-EXP(-LN(2)/2))/(LN(2)/2)*CG138*CJ138*VLOOKUP('Données projet'!$B$12,Paramètres!$A$1:$I$89,3,0)*0.475*44/12</f>
        <v>1.5280862333614639E-13</v>
      </c>
      <c r="CN138" s="24">
        <f t="shared" si="120"/>
        <v>6.6558802328124731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-4.5474735088646412E-13</v>
      </c>
      <c r="CU138" s="18">
        <f>CT138*VLOOKUP('Données projet'!$B$13,Paramètres!$A$1:$I$89,3,0)*VLOOKUP('Données projet'!$B$13,Paramètres!$A$1:$I$89,5,0)</f>
        <v>-2.7193891583010558E-13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463.3255103386889</v>
      </c>
      <c r="CZ138" s="62">
        <f t="shared" si="150"/>
        <v>474.73210558736127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0.62471236617786285</v>
      </c>
      <c r="DG138" s="23">
        <f>EXP(-LN(2)/25)*DG137+(1-EXP(-LN(2)/25))/(LN(2)/25)*Calculateur!DB138*Calculateur!DD138*VLOOKUP('Données projet'!$B$13,Paramètres!$A$1:$I$89,3,0)*0.475*44/12</f>
        <v>1.8859475214282906</v>
      </c>
      <c r="DH138" s="23">
        <f>EXP(-LN(2)/2)*DH137+(1-EXP(-LN(2)/2))/(LN(2)/2)*DB138*DE138*VLOOKUP('Données projet'!$B$13,Paramètres!$A$1:$I$89,3,0)*0.475*44/12</f>
        <v>6.8484976591413908E-15</v>
      </c>
      <c r="DI138" s="24">
        <f t="shared" si="123"/>
        <v>2.5106598876061601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-1.1368683772161603E-13</v>
      </c>
      <c r="DP138" s="18">
        <f>DO138*VLOOKUP('Données projet'!$B$14,Paramètres!$A$1:$I$89,3,0)*VLOOKUP('Données projet'!$B$14,Paramètres!$A$1:$I$89,5,0)</f>
        <v>-5.3205440053716299E-14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215.23235148064941</v>
      </c>
      <c r="DU138" s="62">
        <f t="shared" si="152"/>
        <v>184.07239726900434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0.39182270022758153</v>
      </c>
      <c r="EB138" s="23">
        <f>EXP(-LN(2)/25)*EB137+(1-EXP(-LN(2)/25))/(LN(2)/25)*Calculateur!DW138*Calculateur!DY138*VLOOKUP('Données projet'!$B$14,Paramètres!$A$1:$I$89,3,0)*0.475*44/12</f>
        <v>0.4274111823950893</v>
      </c>
      <c r="EC138" s="23">
        <f>EXP(-LN(2)/2)*EC137+(1-EXP(-LN(2)/2))/(LN(2)/2)*DW138*DZ138*VLOOKUP('Données projet'!$B$14,Paramètres!$A$1:$I$89,3,0)*0.475*44/12</f>
        <v>1.543742614416072E-15</v>
      </c>
      <c r="ED138" s="24">
        <f t="shared" si="126"/>
        <v>0.81923388262267238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559.50056097055494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1.1368683772161603E-12</v>
      </c>
      <c r="O139" s="14">
        <f>N139*VLOOKUP('Données projet'!$B$9,Paramètres!$A$1:$I$89,3,0)*VLOOKUP('Données projet'!$B$9,Paramètres!$A$1:$I$89,5,0)</f>
        <v>6.3550942286383359E-13</v>
      </c>
      <c r="P139" s="14">
        <f t="shared" si="141"/>
        <v>7.6982260417614606E-12</v>
      </c>
      <c r="Q139" s="22">
        <f t="shared" si="108"/>
        <v>1.4514589267555721E-11</v>
      </c>
      <c r="R139" s="62">
        <f t="shared" si="109"/>
        <v>293.33333333334781</v>
      </c>
      <c r="S139" s="62">
        <f ca="1">AVERAGE(OFFSET($R$3,0,0,'Données projet'!$E$9+1,1))-AVERAGE(OFFSET($H$3,0,0,'Données projet'!$E$9+1,1))</f>
        <v>460.40450534123659</v>
      </c>
      <c r="T139" s="62">
        <f t="shared" si="142"/>
        <v>467.77477728479198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1.539439856292812</v>
      </c>
      <c r="AA139" s="23">
        <f>EXP(-LN(2)/25)*AA138+(1-EXP(-LN(2)/25))/(LN(2)/25)*Calculateur!V139*Calculateur!X139*VLOOKUP('Données projet'!$B$9,Paramètres!$A$1:$I$89,3,0)*0.475*44/12</f>
        <v>2.3426849720175662</v>
      </c>
      <c r="AB139" s="23">
        <f>EXP(-LN(2)/2)*AB138+(1-EXP(-LN(2)/2))/(LN(2)/2)*V139*Y139*VLOOKUP('Données projet'!$B$9,Paramètres!$A$1:$I$89,3,0)*0.475*44/12</f>
        <v>4.4657508258171056E-15</v>
      </c>
      <c r="AC139" s="24">
        <f t="shared" si="111"/>
        <v>3.8821248283103826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-5.6843418860808015E-13</v>
      </c>
      <c r="AJ139" s="14">
        <f>AI139*VLOOKUP('Données projet'!$B$10,Paramètres!$A$1:$I$89,3,0)*VLOOKUP('Données projet'!$B$10,Paramètres!$A$1:$I$89,5,0)</f>
        <v>-5.1431925385259092E-13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321.03881567735544</v>
      </c>
      <c r="AO139" s="62">
        <f t="shared" si="144"/>
        <v>234.87694492493506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0.29516532781812571</v>
      </c>
      <c r="AV139" s="23">
        <f>EXP(-LN(2)/25)*AV138+(1-EXP(-LN(2)/25))/(LN(2)/25)*Calculateur!AQ139*Calculateur!AS139*VLOOKUP('Données projet'!$B$10,Paramètres!$A$1:$I$89,3,0)*0.475*44/12</f>
        <v>0.7173791270483808</v>
      </c>
      <c r="AW139" s="23">
        <f>EXP(-LN(2)/2)*AW138+(1-EXP(-LN(2)/2))/(LN(2)/2)*AQ139*AT139*VLOOKUP('Données projet'!$B$10,Paramètres!$A$1:$I$89,3,0)*0.475*44/12</f>
        <v>2.4136342190095178E-15</v>
      </c>
      <c r="AX139" s="23">
        <f t="shared" si="114"/>
        <v>1.012544454866509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255.41017495879987</v>
      </c>
      <c r="BJ139" s="62">
        <f t="shared" si="146"/>
        <v>297.50513563712764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1.0225454820964748</v>
      </c>
      <c r="BQ139" s="23">
        <f>EXP(-LN(2)/25)*BQ138+(1-EXP(-LN(2)/25))/(LN(2)/25)*Calculateur!BL139*Calculateur!BN139*VLOOKUP('Données projet'!$B$11,Paramètres!$A$1:$I$89,3,0)*0.475*44/12</f>
        <v>1.4749174899679522</v>
      </c>
      <c r="BR139" s="23">
        <f>EXP(-LN(2)/2)*BR138+(1-EXP(-LN(2)/2))/(LN(2)/2)*BL139*BO139*VLOOKUP('Données projet'!$B$11,Paramètres!$A$1:$I$89,3,0)*0.475*44/12</f>
        <v>2.709076422847887E-15</v>
      </c>
      <c r="BS139" s="24">
        <f t="shared" si="117"/>
        <v>2.4974629720644295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5.4683368944097308E-14</v>
      </c>
      <c r="CA139" s="14">
        <f t="shared" si="147"/>
        <v>8.8129432816788268E-13</v>
      </c>
      <c r="CB139" s="22">
        <f t="shared" si="118"/>
        <v>1.6301611558033651E-12</v>
      </c>
      <c r="CC139" s="62">
        <f t="shared" si="119"/>
        <v>293.33333333333496</v>
      </c>
      <c r="CD139" s="62">
        <f ca="1">AVERAGE(OFFSET($CC$3,0,0,'Données projet'!$E$12+1,1))-AVERAGE(OFFSET($H$3,0,0,'Données projet'!$E$12+1,1))</f>
        <v>409.97612835032567</v>
      </c>
      <c r="CE139" s="62">
        <f t="shared" si="148"/>
        <v>411.87876448092288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3.746755233506303</v>
      </c>
      <c r="CL139" s="23">
        <f>EXP(-LN(2)/25)*CL138+(1-EXP(-LN(2)/25))/(LN(2)/25)*Calculateur!CG139*Calculateur!CI139*VLOOKUP('Données projet'!$B$12,Paramètres!$A$1:$I$89,3,0)*0.475*44/12</f>
        <v>2.7566829577098049</v>
      </c>
      <c r="CM139" s="23">
        <f>EXP(-LN(2)/2)*CM138+(1-EXP(-LN(2)/2))/(LN(2)/2)*CG139*CJ139*VLOOKUP('Données projet'!$B$12,Paramètres!$A$1:$I$89,3,0)*0.475*44/12</f>
        <v>1.0805201378477003E-13</v>
      </c>
      <c r="CN139" s="24">
        <f t="shared" si="120"/>
        <v>6.5034381912162162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-4.5474735088646412E-13</v>
      </c>
      <c r="CU139" s="18">
        <f>CT139*VLOOKUP('Données projet'!$B$13,Paramètres!$A$1:$I$89,3,0)*VLOOKUP('Données projet'!$B$13,Paramètres!$A$1:$I$89,5,0)</f>
        <v>-2.7193891583010558E-13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463.3255103386889</v>
      </c>
      <c r="CZ139" s="62">
        <f t="shared" si="150"/>
        <v>474.73210558736127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0.61246213771403402</v>
      </c>
      <c r="DG139" s="23">
        <f>EXP(-LN(2)/25)*DG138+(1-EXP(-LN(2)/25))/(LN(2)/25)*Calculateur!DB139*Calculateur!DD139*VLOOKUP('Données projet'!$B$13,Paramètres!$A$1:$I$89,3,0)*0.475*44/12</f>
        <v>1.8343761872771642</v>
      </c>
      <c r="DH139" s="23">
        <f>EXP(-LN(2)/2)*DH138+(1-EXP(-LN(2)/2))/(LN(2)/2)*DB139*DE139*VLOOKUP('Données projet'!$B$13,Paramètres!$A$1:$I$89,3,0)*0.475*44/12</f>
        <v>4.8426191357190743E-15</v>
      </c>
      <c r="DI139" s="24">
        <f t="shared" si="123"/>
        <v>2.4468383249912029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-1.1368683772161603E-13</v>
      </c>
      <c r="DP139" s="18">
        <f>DO139*VLOOKUP('Données projet'!$B$14,Paramètres!$A$1:$I$89,3,0)*VLOOKUP('Données projet'!$B$14,Paramètres!$A$1:$I$89,5,0)</f>
        <v>-5.3205440053716299E-14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215.23235148064941</v>
      </c>
      <c r="DU139" s="62">
        <f t="shared" si="152"/>
        <v>184.07239726900434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0.38413929606436764</v>
      </c>
      <c r="EB139" s="23">
        <f>EXP(-LN(2)/25)*EB138+(1-EXP(-LN(2)/25))/(LN(2)/25)*Calculateur!DW139*Calculateur!DY139*VLOOKUP('Données projet'!$B$14,Paramètres!$A$1:$I$89,3,0)*0.475*44/12</f>
        <v>0.41572360113591833</v>
      </c>
      <c r="EC139" s="23">
        <f>EXP(-LN(2)/2)*EC138+(1-EXP(-LN(2)/2))/(LN(2)/2)*DW139*DZ139*VLOOKUP('Données projet'!$B$14,Paramètres!$A$1:$I$89,3,0)*0.475*44/12</f>
        <v>1.0915908710602542E-15</v>
      </c>
      <c r="ED139" s="24">
        <f t="shared" si="126"/>
        <v>0.79986289720028703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561.40997860623452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1.1368683772161603E-12</v>
      </c>
      <c r="O140" s="14">
        <f>N140*VLOOKUP('Données projet'!$B$9,Paramètres!$A$1:$I$89,3,0)*VLOOKUP('Données projet'!$B$9,Paramètres!$A$1:$I$89,5,0)</f>
        <v>6.3550942286383359E-13</v>
      </c>
      <c r="P140" s="14">
        <f t="shared" si="141"/>
        <v>7.6982260417614606E-12</v>
      </c>
      <c r="Q140" s="22">
        <f t="shared" si="108"/>
        <v>1.4514589267555721E-11</v>
      </c>
      <c r="R140" s="62">
        <f t="shared" si="109"/>
        <v>293.33333333334781</v>
      </c>
      <c r="S140" s="62">
        <f ca="1">AVERAGE(OFFSET($R$3,0,0,'Données projet'!$E$9+1,1))-AVERAGE(OFFSET($H$3,0,0,'Données projet'!$E$9+1,1))</f>
        <v>460.40450534123659</v>
      </c>
      <c r="T140" s="62">
        <f t="shared" si="142"/>
        <v>467.77477728479198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1.5092523796765072</v>
      </c>
      <c r="AA140" s="23">
        <f>EXP(-LN(2)/25)*AA139+(1-EXP(-LN(2)/25))/(LN(2)/25)*Calculateur!V140*Calculateur!X140*VLOOKUP('Données projet'!$B$9,Paramètres!$A$1:$I$89,3,0)*0.475*44/12</f>
        <v>2.2786241282612973</v>
      </c>
      <c r="AB140" s="23">
        <f>EXP(-LN(2)/2)*AB139+(1-EXP(-LN(2)/2))/(LN(2)/2)*V140*Y140*VLOOKUP('Données projet'!$B$9,Paramètres!$A$1:$I$89,3,0)*0.475*44/12</f>
        <v>3.1577626920247E-15</v>
      </c>
      <c r="AC140" s="24">
        <f t="shared" si="111"/>
        <v>3.7878765079378076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-5.6843418860808015E-13</v>
      </c>
      <c r="AJ140" s="14">
        <f>AI140*VLOOKUP('Données projet'!$B$10,Paramètres!$A$1:$I$89,3,0)*VLOOKUP('Données projet'!$B$10,Paramètres!$A$1:$I$89,5,0)</f>
        <v>-5.1431925385259092E-13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321.03881567735544</v>
      </c>
      <c r="AO140" s="62">
        <f t="shared" si="144"/>
        <v>234.87694492493506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0.28937731577268544</v>
      </c>
      <c r="AV140" s="23">
        <f>EXP(-LN(2)/25)*AV139+(1-EXP(-LN(2)/25))/(LN(2)/25)*Calculateur!AQ140*Calculateur!AS140*VLOOKUP('Données projet'!$B$10,Paramètres!$A$1:$I$89,3,0)*0.475*44/12</f>
        <v>0.6977623570939141</v>
      </c>
      <c r="AW140" s="23">
        <f>EXP(-LN(2)/2)*AW139+(1-EXP(-LN(2)/2))/(LN(2)/2)*AQ140*AT140*VLOOKUP('Données projet'!$B$10,Paramètres!$A$1:$I$89,3,0)*0.475*44/12</f>
        <v>1.7066971235655267E-15</v>
      </c>
      <c r="AX140" s="23">
        <f t="shared" si="114"/>
        <v>0.9871396728666012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255.41017495879987</v>
      </c>
      <c r="BJ140" s="62">
        <f t="shared" si="146"/>
        <v>297.50513563712764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1.0024939888837225</v>
      </c>
      <c r="BQ140" s="23">
        <f>EXP(-LN(2)/25)*BQ139+(1-EXP(-LN(2)/25))/(LN(2)/25)*Calculateur!BL140*Calculateur!BN140*VLOOKUP('Données projet'!$B$11,Paramètres!$A$1:$I$89,3,0)*0.475*44/12</f>
        <v>1.4345857936422388</v>
      </c>
      <c r="BR140" s="23">
        <f>EXP(-LN(2)/2)*BR139+(1-EXP(-LN(2)/2))/(LN(2)/2)*BL140*BO140*VLOOKUP('Données projet'!$B$11,Paramètres!$A$1:$I$89,3,0)*0.475*44/12</f>
        <v>1.9156063093483357E-15</v>
      </c>
      <c r="BS140" s="24">
        <f t="shared" si="117"/>
        <v>2.4370797825259629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5.4683368944097308E-14</v>
      </c>
      <c r="CA140" s="14">
        <f t="shared" si="147"/>
        <v>8.8129432816788268E-13</v>
      </c>
      <c r="CB140" s="22">
        <f t="shared" si="118"/>
        <v>1.6301611558033651E-12</v>
      </c>
      <c r="CC140" s="62">
        <f t="shared" si="119"/>
        <v>293.33333333333496</v>
      </c>
      <c r="CD140" s="62">
        <f ca="1">AVERAGE(OFFSET($CC$3,0,0,'Données projet'!$E$12+1,1))-AVERAGE(OFFSET($H$3,0,0,'Données projet'!$E$12+1,1))</f>
        <v>409.97612835032567</v>
      </c>
      <c r="CE140" s="62">
        <f t="shared" si="148"/>
        <v>411.87876448092288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3.6732836486722826</v>
      </c>
      <c r="CL140" s="23">
        <f>EXP(-LN(2)/25)*CL139+(1-EXP(-LN(2)/25))/(LN(2)/25)*Calculateur!CG140*Calculateur!CI140*VLOOKUP('Données projet'!$B$12,Paramètres!$A$1:$I$89,3,0)*0.475*44/12</f>
        <v>2.681301317263574</v>
      </c>
      <c r="CM140" s="23">
        <f>EXP(-LN(2)/2)*CM139+(1-EXP(-LN(2)/2))/(LN(2)/2)*CG140*CJ140*VLOOKUP('Données projet'!$B$12,Paramètres!$A$1:$I$89,3,0)*0.475*44/12</f>
        <v>7.6404311668073194E-14</v>
      </c>
      <c r="CN140" s="24">
        <f t="shared" si="120"/>
        <v>6.354584965935933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-4.5474735088646412E-13</v>
      </c>
      <c r="CU140" s="18">
        <f>CT140*VLOOKUP('Données projet'!$B$13,Paramètres!$A$1:$I$89,3,0)*VLOOKUP('Données projet'!$B$13,Paramètres!$A$1:$I$89,5,0)</f>
        <v>-2.7193891583010558E-13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463.3255103386889</v>
      </c>
      <c r="CZ140" s="62">
        <f t="shared" si="150"/>
        <v>474.73210558736127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0.60045212875847931</v>
      </c>
      <c r="DG140" s="23">
        <f>EXP(-LN(2)/25)*DG139+(1-EXP(-LN(2)/25))/(LN(2)/25)*Calculateur!DB140*Calculateur!DD140*VLOOKUP('Données projet'!$B$13,Paramètres!$A$1:$I$89,3,0)*0.475*44/12</f>
        <v>1.784215073970419</v>
      </c>
      <c r="DH140" s="23">
        <f>EXP(-LN(2)/2)*DH139+(1-EXP(-LN(2)/2))/(LN(2)/2)*DB140*DE140*VLOOKUP('Données projet'!$B$13,Paramètres!$A$1:$I$89,3,0)*0.475*44/12</f>
        <v>3.4242488295706954E-15</v>
      </c>
      <c r="DI140" s="24">
        <f t="shared" si="123"/>
        <v>2.384667202728902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-1.1368683772161603E-13</v>
      </c>
      <c r="DP140" s="18">
        <f>DO140*VLOOKUP('Données projet'!$B$14,Paramètres!$A$1:$I$89,3,0)*VLOOKUP('Données projet'!$B$14,Paramètres!$A$1:$I$89,5,0)</f>
        <v>-5.3205440053716299E-14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215.23235148064941</v>
      </c>
      <c r="DU140" s="62">
        <f t="shared" si="152"/>
        <v>184.07239726900434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0.37660655877038063</v>
      </c>
      <c r="EB140" s="23">
        <f>EXP(-LN(2)/25)*EB139+(1-EXP(-LN(2)/25))/(LN(2)/25)*Calculateur!DW140*Calculateur!DY140*VLOOKUP('Données projet'!$B$14,Paramètres!$A$1:$I$89,3,0)*0.475*44/12</f>
        <v>0.40435561740090259</v>
      </c>
      <c r="EC140" s="23">
        <f>EXP(-LN(2)/2)*EC139+(1-EXP(-LN(2)/2))/(LN(2)/2)*DW140*DZ140*VLOOKUP('Données projet'!$B$14,Paramètres!$A$1:$I$89,3,0)*0.475*44/12</f>
        <v>7.7187130720803599E-16</v>
      </c>
      <c r="ED140" s="24">
        <f t="shared" si="126"/>
        <v>0.78096217617128405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563.31908988236285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1.1368683772161603E-12</v>
      </c>
      <c r="O141" s="14">
        <f>N141*VLOOKUP('Données projet'!$B$9,Paramètres!$A$1:$I$89,3,0)*VLOOKUP('Données projet'!$B$9,Paramètres!$A$1:$I$89,5,0)</f>
        <v>6.3550942286383359E-13</v>
      </c>
      <c r="P141" s="14">
        <f t="shared" si="141"/>
        <v>7.6982260417614606E-12</v>
      </c>
      <c r="Q141" s="22">
        <f t="shared" si="108"/>
        <v>1.4514589267555721E-11</v>
      </c>
      <c r="R141" s="62">
        <f t="shared" si="109"/>
        <v>293.33333333334781</v>
      </c>
      <c r="S141" s="62">
        <f ca="1">AVERAGE(OFFSET($R$3,0,0,'Données projet'!$E$9+1,1))-AVERAGE(OFFSET($H$3,0,0,'Données projet'!$E$9+1,1))</f>
        <v>460.40450534123659</v>
      </c>
      <c r="T141" s="62">
        <f t="shared" si="142"/>
        <v>467.77477728479198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1.4796568610641054</v>
      </c>
      <c r="AA141" s="23">
        <f>EXP(-LN(2)/25)*AA140+(1-EXP(-LN(2)/25))/(LN(2)/25)*Calculateur!V141*Calculateur!X141*VLOOKUP('Données projet'!$B$9,Paramètres!$A$1:$I$89,3,0)*0.475*44/12</f>
        <v>2.2163150316463573</v>
      </c>
      <c r="AB141" s="23">
        <f>EXP(-LN(2)/2)*AB140+(1-EXP(-LN(2)/2))/(LN(2)/2)*V141*Y141*VLOOKUP('Données projet'!$B$9,Paramètres!$A$1:$I$89,3,0)*0.475*44/12</f>
        <v>2.2328754129085528E-15</v>
      </c>
      <c r="AC141" s="24">
        <f t="shared" si="111"/>
        <v>3.6959718927104652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-5.6843418860808015E-13</v>
      </c>
      <c r="AJ141" s="14">
        <f>AI141*VLOOKUP('Données projet'!$B$10,Paramètres!$A$1:$I$89,3,0)*VLOOKUP('Données projet'!$B$10,Paramètres!$A$1:$I$89,5,0)</f>
        <v>-5.1431925385259092E-13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321.03881567735544</v>
      </c>
      <c r="AO141" s="62">
        <f t="shared" si="144"/>
        <v>234.87694492493506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0.28370280311311752</v>
      </c>
      <c r="AV141" s="23">
        <f>EXP(-LN(2)/25)*AV140+(1-EXP(-LN(2)/25))/(LN(2)/25)*Calculateur!AQ141*Calculateur!AS141*VLOOKUP('Données projet'!$B$10,Paramètres!$A$1:$I$89,3,0)*0.475*44/12</f>
        <v>0.67868200874545337</v>
      </c>
      <c r="AW141" s="23">
        <f>EXP(-LN(2)/2)*AW140+(1-EXP(-LN(2)/2))/(LN(2)/2)*AQ141*AT141*VLOOKUP('Données projet'!$B$10,Paramètres!$A$1:$I$89,3,0)*0.475*44/12</f>
        <v>1.2068171095047589E-15</v>
      </c>
      <c r="AX141" s="23">
        <f t="shared" si="114"/>
        <v>0.96238481185857216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255.41017495879987</v>
      </c>
      <c r="BJ141" s="62">
        <f t="shared" si="146"/>
        <v>297.50513563712764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0.98283569322266917</v>
      </c>
      <c r="BQ141" s="23">
        <f>EXP(-LN(2)/25)*BQ140+(1-EXP(-LN(2)/25))/(LN(2)/25)*Calculateur!BL141*Calculateur!BN141*VLOOKUP('Données projet'!$B$11,Paramètres!$A$1:$I$89,3,0)*0.475*44/12</f>
        <v>1.3953569696735038</v>
      </c>
      <c r="BR141" s="23">
        <f>EXP(-LN(2)/2)*BR140+(1-EXP(-LN(2)/2))/(LN(2)/2)*BL141*BO141*VLOOKUP('Données projet'!$B$11,Paramètres!$A$1:$I$89,3,0)*0.475*44/12</f>
        <v>1.3545382114239435E-15</v>
      </c>
      <c r="BS141" s="24">
        <f t="shared" si="117"/>
        <v>2.3781926628961743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5.4683368944097308E-14</v>
      </c>
      <c r="CA141" s="14">
        <f t="shared" si="147"/>
        <v>8.8129432816788268E-13</v>
      </c>
      <c r="CB141" s="22">
        <f t="shared" si="118"/>
        <v>1.6301611558033651E-12</v>
      </c>
      <c r="CC141" s="62">
        <f t="shared" si="119"/>
        <v>293.33333333333496</v>
      </c>
      <c r="CD141" s="62">
        <f ca="1">AVERAGE(OFFSET($CC$3,0,0,'Données projet'!$E$12+1,1))-AVERAGE(OFFSET($H$3,0,0,'Données projet'!$E$12+1,1))</f>
        <v>409.97612835032567</v>
      </c>
      <c r="CE141" s="62">
        <f t="shared" si="148"/>
        <v>411.87876448092288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3.6012527968036157</v>
      </c>
      <c r="CL141" s="23">
        <f>EXP(-LN(2)/25)*CL140+(1-EXP(-LN(2)/25))/(LN(2)/25)*Calculateur!CG141*Calculateur!CI141*VLOOKUP('Données projet'!$B$12,Paramètres!$A$1:$I$89,3,0)*0.475*44/12</f>
        <v>2.6079809917394936</v>
      </c>
      <c r="CM141" s="23">
        <f>EXP(-LN(2)/2)*CM140+(1-EXP(-LN(2)/2))/(LN(2)/2)*CG141*CJ141*VLOOKUP('Données projet'!$B$12,Paramètres!$A$1:$I$89,3,0)*0.475*44/12</f>
        <v>5.4026006892385013E-14</v>
      </c>
      <c r="CN141" s="24">
        <f t="shared" si="120"/>
        <v>6.2092337885431634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-4.5474735088646412E-13</v>
      </c>
      <c r="CU141" s="18">
        <f>CT141*VLOOKUP('Données projet'!$B$13,Paramètres!$A$1:$I$89,3,0)*VLOOKUP('Données projet'!$B$13,Paramètres!$A$1:$I$89,5,0)</f>
        <v>-2.7193891583010558E-13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463.3255103386889</v>
      </c>
      <c r="CZ141" s="62">
        <f t="shared" si="150"/>
        <v>474.73210558736127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0.58867762875316088</v>
      </c>
      <c r="DG141" s="23">
        <f>EXP(-LN(2)/25)*DG140+(1-EXP(-LN(2)/25))/(LN(2)/25)*Calculateur!DB141*Calculateur!DD141*VLOOKUP('Données projet'!$B$13,Paramètres!$A$1:$I$89,3,0)*0.475*44/12</f>
        <v>1.7354256189449051</v>
      </c>
      <c r="DH141" s="23">
        <f>EXP(-LN(2)/2)*DH140+(1-EXP(-LN(2)/2))/(LN(2)/2)*DB141*DE141*VLOOKUP('Données projet'!$B$13,Paramètres!$A$1:$I$89,3,0)*0.475*44/12</f>
        <v>2.4213095678595371E-15</v>
      </c>
      <c r="DI141" s="24">
        <f t="shared" si="123"/>
        <v>2.3241032476980683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-1.1368683772161603E-13</v>
      </c>
      <c r="DP141" s="18">
        <f>DO141*VLOOKUP('Données projet'!$B$14,Paramètres!$A$1:$I$89,3,0)*VLOOKUP('Données projet'!$B$14,Paramètres!$A$1:$I$89,5,0)</f>
        <v>-5.3205440053716299E-14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215.23235148064941</v>
      </c>
      <c r="DU141" s="62">
        <f t="shared" si="152"/>
        <v>184.07239726900434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0.36922153386021261</v>
      </c>
      <c r="EB141" s="23">
        <f>EXP(-LN(2)/25)*EB140+(1-EXP(-LN(2)/25))/(LN(2)/25)*Calculateur!DW141*Calculateur!DY141*VLOOKUP('Données projet'!$B$14,Paramètres!$A$1:$I$89,3,0)*0.475*44/12</f>
        <v>0.39329849177893716</v>
      </c>
      <c r="EC141" s="23">
        <f>EXP(-LN(2)/2)*EC140+(1-EXP(-LN(2)/2))/(LN(2)/2)*DW141*DZ141*VLOOKUP('Données projet'!$B$14,Paramètres!$A$1:$I$89,3,0)*0.475*44/12</f>
        <v>5.457954355301271E-16</v>
      </c>
      <c r="ED141" s="24">
        <f t="shared" si="126"/>
        <v>0.76252002563915033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565.22789727634256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1.1368683772161603E-12</v>
      </c>
      <c r="O142" s="14">
        <f>N142*VLOOKUP('Données projet'!$B$9,Paramètres!$A$1:$I$89,3,0)*VLOOKUP('Données projet'!$B$9,Paramètres!$A$1:$I$89,5,0)</f>
        <v>6.3550942286383359E-13</v>
      </c>
      <c r="P142" s="14">
        <f t="shared" si="141"/>
        <v>7.6982260417614606E-12</v>
      </c>
      <c r="Q142" s="22">
        <f t="shared" si="108"/>
        <v>1.4514589267555721E-11</v>
      </c>
      <c r="R142" s="62">
        <f t="shared" si="109"/>
        <v>293.33333333334781</v>
      </c>
      <c r="S142" s="62">
        <f ca="1">AVERAGE(OFFSET($R$3,0,0,'Données projet'!$E$9+1,1))-AVERAGE(OFFSET($H$3,0,0,'Données projet'!$E$9+1,1))</f>
        <v>460.40450534123659</v>
      </c>
      <c r="T142" s="62">
        <f t="shared" si="142"/>
        <v>467.77477728479198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1.450641692520209</v>
      </c>
      <c r="AA142" s="23">
        <f>EXP(-LN(2)/25)*AA141+(1-EXP(-LN(2)/25))/(LN(2)/25)*Calculateur!V142*Calculateur!X142*VLOOKUP('Données projet'!$B$9,Paramètres!$A$1:$I$89,3,0)*0.475*44/12</f>
        <v>2.1557097805550458</v>
      </c>
      <c r="AB142" s="23">
        <f>EXP(-LN(2)/2)*AB141+(1-EXP(-LN(2)/2))/(LN(2)/2)*V142*Y142*VLOOKUP('Données projet'!$B$9,Paramètres!$A$1:$I$89,3,0)*0.475*44/12</f>
        <v>1.57888134601235E-15</v>
      </c>
      <c r="AC142" s="24">
        <f t="shared" si="111"/>
        <v>3.6063514730752564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-5.6843418860808015E-13</v>
      </c>
      <c r="AJ142" s="14">
        <f>AI142*VLOOKUP('Données projet'!$B$10,Paramètres!$A$1:$I$89,3,0)*VLOOKUP('Données projet'!$B$10,Paramètres!$A$1:$I$89,5,0)</f>
        <v>-5.1431925385259092E-13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321.03881567735544</v>
      </c>
      <c r="AO142" s="62">
        <f t="shared" si="144"/>
        <v>234.87694492493506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0.27813956418569274</v>
      </c>
      <c r="AV142" s="23">
        <f>EXP(-LN(2)/25)*AV141+(1-EXP(-LN(2)/25))/(LN(2)/25)*Calculateur!AQ142*Calculateur!AS142*VLOOKUP('Données projet'!$B$10,Paramètres!$A$1:$I$89,3,0)*0.475*44/12</f>
        <v>0.66012341352597326</v>
      </c>
      <c r="AW142" s="23">
        <f>EXP(-LN(2)/2)*AW141+(1-EXP(-LN(2)/2))/(LN(2)/2)*AQ142*AT142*VLOOKUP('Données projet'!$B$10,Paramètres!$A$1:$I$89,3,0)*0.475*44/12</f>
        <v>8.5334856178276334E-16</v>
      </c>
      <c r="AX142" s="23">
        <f t="shared" si="114"/>
        <v>0.93826297771166689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255.41017495879987</v>
      </c>
      <c r="BJ142" s="62">
        <f t="shared" si="146"/>
        <v>297.50513563712764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0.96356288474915264</v>
      </c>
      <c r="BQ142" s="23">
        <f>EXP(-LN(2)/25)*BQ141+(1-EXP(-LN(2)/25))/(LN(2)/25)*Calculateur!BL142*Calculateur!BN142*VLOOKUP('Données projet'!$B$11,Paramètres!$A$1:$I$89,3,0)*0.475*44/12</f>
        <v>1.3572008599591479</v>
      </c>
      <c r="BR142" s="23">
        <f>EXP(-LN(2)/2)*BR141+(1-EXP(-LN(2)/2))/(LN(2)/2)*BL142*BO142*VLOOKUP('Données projet'!$B$11,Paramètres!$A$1:$I$89,3,0)*0.475*44/12</f>
        <v>9.5780315467416783E-16</v>
      </c>
      <c r="BS142" s="24">
        <f t="shared" si="117"/>
        <v>2.3207637447083016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5.4683368944097308E-14</v>
      </c>
      <c r="CA142" s="14">
        <f t="shared" si="147"/>
        <v>8.8129432816788268E-13</v>
      </c>
      <c r="CB142" s="22">
        <f t="shared" si="118"/>
        <v>1.6301611558033651E-12</v>
      </c>
      <c r="CC142" s="62">
        <f t="shared" si="119"/>
        <v>293.33333333333496</v>
      </c>
      <c r="CD142" s="62">
        <f ca="1">AVERAGE(OFFSET($CC$3,0,0,'Données projet'!$E$12+1,1))-AVERAGE(OFFSET($H$3,0,0,'Données projet'!$E$12+1,1))</f>
        <v>409.97612835032567</v>
      </c>
      <c r="CE142" s="62">
        <f t="shared" si="148"/>
        <v>411.87876448092288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3.5306344260056117</v>
      </c>
      <c r="CL142" s="23">
        <f>EXP(-LN(2)/25)*CL141+(1-EXP(-LN(2)/25))/(LN(2)/25)*Calculateur!CG142*Calculateur!CI142*VLOOKUP('Données projet'!$B$12,Paramètres!$A$1:$I$89,3,0)*0.475*44/12</f>
        <v>2.5366656143726174</v>
      </c>
      <c r="CM142" s="23">
        <f>EXP(-LN(2)/2)*CM141+(1-EXP(-LN(2)/2))/(LN(2)/2)*CG142*CJ142*VLOOKUP('Données projet'!$B$12,Paramètres!$A$1:$I$89,3,0)*0.475*44/12</f>
        <v>3.8202155834036597E-14</v>
      </c>
      <c r="CN142" s="24">
        <f t="shared" si="120"/>
        <v>6.0673000403782673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-4.5474735088646412E-13</v>
      </c>
      <c r="CU142" s="18">
        <f>CT142*VLOOKUP('Données projet'!$B$13,Paramètres!$A$1:$I$89,3,0)*VLOOKUP('Données projet'!$B$13,Paramètres!$A$1:$I$89,5,0)</f>
        <v>-2.7193891583010558E-13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463.3255103386889</v>
      </c>
      <c r="CZ142" s="62">
        <f t="shared" si="150"/>
        <v>474.73210558736127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0.57713401951121091</v>
      </c>
      <c r="DG142" s="23">
        <f>EXP(-LN(2)/25)*DG141+(1-EXP(-LN(2)/25))/(LN(2)/25)*Calculateur!DB142*Calculateur!DD142*VLOOKUP('Données projet'!$B$13,Paramètres!$A$1:$I$89,3,0)*0.475*44/12</f>
        <v>1.6879703141327898</v>
      </c>
      <c r="DH142" s="23">
        <f>EXP(-LN(2)/2)*DH141+(1-EXP(-LN(2)/2))/(LN(2)/2)*DB142*DE142*VLOOKUP('Données projet'!$B$13,Paramètres!$A$1:$I$89,3,0)*0.475*44/12</f>
        <v>1.7121244147853477E-15</v>
      </c>
      <c r="DI142" s="24">
        <f t="shared" si="123"/>
        <v>2.2651043336440022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-1.1368683772161603E-13</v>
      </c>
      <c r="DP142" s="18">
        <f>DO142*VLOOKUP('Données projet'!$B$14,Paramètres!$A$1:$I$89,3,0)*VLOOKUP('Données projet'!$B$14,Paramètres!$A$1:$I$89,5,0)</f>
        <v>-5.3205440053716299E-14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215.23235148064941</v>
      </c>
      <c r="DU142" s="62">
        <f t="shared" si="152"/>
        <v>184.07239726900434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0.36198132478411255</v>
      </c>
      <c r="EB142" s="23">
        <f>EXP(-LN(2)/25)*EB141+(1-EXP(-LN(2)/25))/(LN(2)/25)*Calculateur!DW142*Calculateur!DY142*VLOOKUP('Données projet'!$B$14,Paramètres!$A$1:$I$89,3,0)*0.475*44/12</f>
        <v>0.38254372383857332</v>
      </c>
      <c r="EC142" s="23">
        <f>EXP(-LN(2)/2)*EC141+(1-EXP(-LN(2)/2))/(LN(2)/2)*DW142*DZ142*VLOOKUP('Données projet'!$B$14,Paramètres!$A$1:$I$89,3,0)*0.475*44/12</f>
        <v>3.85935653604018E-16</v>
      </c>
      <c r="ED142" s="24">
        <f t="shared" si="126"/>
        <v>0.7445250486226862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567.13640322787103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1.1368683772161603E-12</v>
      </c>
      <c r="O143" s="14">
        <f>N143*VLOOKUP('Données projet'!$B$9,Paramètres!$A$1:$I$89,3,0)*VLOOKUP('Données projet'!$B$9,Paramètres!$A$1:$I$89,5,0)</f>
        <v>6.3550942286383359E-13</v>
      </c>
      <c r="P143" s="14">
        <f t="shared" si="141"/>
        <v>7.6982260417614606E-12</v>
      </c>
      <c r="Q143" s="22">
        <f t="shared" si="108"/>
        <v>1.4514589267555721E-11</v>
      </c>
      <c r="R143" s="62">
        <f t="shared" si="109"/>
        <v>293.33333333334781</v>
      </c>
      <c r="S143" s="62">
        <f ca="1">AVERAGE(OFFSET($R$3,0,0,'Données projet'!$E$9+1,1))-AVERAGE(OFFSET($H$3,0,0,'Données projet'!$E$9+1,1))</f>
        <v>460.40450534123659</v>
      </c>
      <c r="T143" s="62">
        <f t="shared" si="142"/>
        <v>467.77477728479198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1.4221954937339529</v>
      </c>
      <c r="AA143" s="23">
        <f>EXP(-LN(2)/25)*AA142+(1-EXP(-LN(2)/25))/(LN(2)/25)*Calculateur!V143*Calculateur!X143*VLOOKUP('Données projet'!$B$9,Paramètres!$A$1:$I$89,3,0)*0.475*44/12</f>
        <v>2.0967617832419179</v>
      </c>
      <c r="AB143" s="23">
        <f>EXP(-LN(2)/2)*AB142+(1-EXP(-LN(2)/2))/(LN(2)/2)*V143*Y143*VLOOKUP('Données projet'!$B$9,Paramètres!$A$1:$I$89,3,0)*0.475*44/12</f>
        <v>1.1164377064542764E-15</v>
      </c>
      <c r="AC143" s="24">
        <f t="shared" si="111"/>
        <v>3.5189572769758724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-5.6843418860808015E-13</v>
      </c>
      <c r="AJ143" s="14">
        <f>AI143*VLOOKUP('Données projet'!$B$10,Paramètres!$A$1:$I$89,3,0)*VLOOKUP('Données projet'!$B$10,Paramètres!$A$1:$I$89,5,0)</f>
        <v>-5.1431925385259092E-13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321.03881567735544</v>
      </c>
      <c r="AO143" s="62">
        <f t="shared" si="144"/>
        <v>234.87694492493506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0.27268541698039406</v>
      </c>
      <c r="AV143" s="23">
        <f>EXP(-LN(2)/25)*AV142+(1-EXP(-LN(2)/25))/(LN(2)/25)*Calculateur!AQ143*Calculateur!AS143*VLOOKUP('Données projet'!$B$10,Paramètres!$A$1:$I$89,3,0)*0.475*44/12</f>
        <v>0.64207230406872395</v>
      </c>
      <c r="AW143" s="23">
        <f>EXP(-LN(2)/2)*AW142+(1-EXP(-LN(2)/2))/(LN(2)/2)*AQ143*AT143*VLOOKUP('Données projet'!$B$10,Paramètres!$A$1:$I$89,3,0)*0.475*44/12</f>
        <v>6.0340855475237946E-16</v>
      </c>
      <c r="AX143" s="23">
        <f t="shared" si="114"/>
        <v>0.91475772104911857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255.41017495879987</v>
      </c>
      <c r="BJ143" s="62">
        <f t="shared" si="146"/>
        <v>297.50513563712764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0.94466800429454933</v>
      </c>
      <c r="BQ143" s="23">
        <f>EXP(-LN(2)/25)*BQ142+(1-EXP(-LN(2)/25))/(LN(2)/25)*Calculateur!BL143*Calculateur!BN143*VLOOKUP('Données projet'!$B$11,Paramètres!$A$1:$I$89,3,0)*0.475*44/12</f>
        <v>1.3200881310714736</v>
      </c>
      <c r="BR143" s="23">
        <f>EXP(-LN(2)/2)*BR142+(1-EXP(-LN(2)/2))/(LN(2)/2)*BL143*BO143*VLOOKUP('Données projet'!$B$11,Paramètres!$A$1:$I$89,3,0)*0.475*44/12</f>
        <v>6.7726910571197174E-16</v>
      </c>
      <c r="BS143" s="24">
        <f t="shared" si="117"/>
        <v>2.2647561353660239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5.4683368944097308E-14</v>
      </c>
      <c r="CA143" s="14">
        <f t="shared" si="147"/>
        <v>8.8129432816788268E-13</v>
      </c>
      <c r="CB143" s="22">
        <f t="shared" si="118"/>
        <v>1.6301611558033651E-12</v>
      </c>
      <c r="CC143" s="62">
        <f t="shared" si="119"/>
        <v>293.33333333333496</v>
      </c>
      <c r="CD143" s="62">
        <f ca="1">AVERAGE(OFFSET($CC$3,0,0,'Données projet'!$E$12+1,1))-AVERAGE(OFFSET($H$3,0,0,'Données projet'!$E$12+1,1))</f>
        <v>409.97612835032567</v>
      </c>
      <c r="CE143" s="62">
        <f t="shared" si="148"/>
        <v>411.87876448092288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3.4614008383860035</v>
      </c>
      <c r="CL143" s="23">
        <f>EXP(-LN(2)/25)*CL142+(1-EXP(-LN(2)/25))/(LN(2)/25)*Calculateur!CG143*Calculateur!CI143*VLOOKUP('Données projet'!$B$12,Paramètres!$A$1:$I$89,3,0)*0.475*44/12</f>
        <v>2.4673003597501513</v>
      </c>
      <c r="CM143" s="23">
        <f>EXP(-LN(2)/2)*CM142+(1-EXP(-LN(2)/2))/(LN(2)/2)*CG143*CJ143*VLOOKUP('Données projet'!$B$12,Paramètres!$A$1:$I$89,3,0)*0.475*44/12</f>
        <v>2.7013003446192506E-14</v>
      </c>
      <c r="CN143" s="24">
        <f t="shared" si="120"/>
        <v>5.9287011981361815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-4.5474735088646412E-13</v>
      </c>
      <c r="CU143" s="18">
        <f>CT143*VLOOKUP('Données projet'!$B$13,Paramètres!$A$1:$I$89,3,0)*VLOOKUP('Données projet'!$B$13,Paramètres!$A$1:$I$89,5,0)</f>
        <v>-2.7193891583010558E-13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463.3255103386889</v>
      </c>
      <c r="CZ143" s="62">
        <f t="shared" si="150"/>
        <v>474.73210558736127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0.56581677340558922</v>
      </c>
      <c r="DG143" s="23">
        <f>EXP(-LN(2)/25)*DG142+(1-EXP(-LN(2)/25))/(LN(2)/25)*Calculateur!DB143*Calculateur!DD143*VLOOKUP('Données projet'!$B$13,Paramètres!$A$1:$I$89,3,0)*0.475*44/12</f>
        <v>1.6418126771263277</v>
      </c>
      <c r="DH143" s="23">
        <f>EXP(-LN(2)/2)*DH142+(1-EXP(-LN(2)/2))/(LN(2)/2)*DB143*DE143*VLOOKUP('Données projet'!$B$13,Paramètres!$A$1:$I$89,3,0)*0.475*44/12</f>
        <v>1.2106547839297686E-15</v>
      </c>
      <c r="DI143" s="24">
        <f t="shared" si="123"/>
        <v>2.2076294505319183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-1.1368683772161603E-13</v>
      </c>
      <c r="DP143" s="18">
        <f>DO143*VLOOKUP('Données projet'!$B$14,Paramètres!$A$1:$I$89,3,0)*VLOOKUP('Données projet'!$B$14,Paramètres!$A$1:$I$89,5,0)</f>
        <v>-5.3205440053716299E-14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215.23235148064941</v>
      </c>
      <c r="DU143" s="62">
        <f t="shared" si="152"/>
        <v>184.07239726900434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0.3548830917919033</v>
      </c>
      <c r="EB143" s="23">
        <f>EXP(-LN(2)/25)*EB142+(1-EXP(-LN(2)/25))/(LN(2)/25)*Calculateur!DW143*Calculateur!DY143*VLOOKUP('Données projet'!$B$14,Paramètres!$A$1:$I$89,3,0)*0.475*44/12</f>
        <v>0.3720830455931074</v>
      </c>
      <c r="EC143" s="23">
        <f>EXP(-LN(2)/2)*EC142+(1-EXP(-LN(2)/2))/(LN(2)/2)*DW143*DZ143*VLOOKUP('Données projet'!$B$14,Paramètres!$A$1:$I$89,3,0)*0.475*44/12</f>
        <v>2.7289771776506355E-16</v>
      </c>
      <c r="ED143" s="24">
        <f t="shared" si="126"/>
        <v>0.72696613738501092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569.04461013977823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1.1368683772161603E-12</v>
      </c>
      <c r="O144" s="14">
        <f>N144*VLOOKUP('Données projet'!$B$9,Paramètres!$A$1:$I$89,3,0)*VLOOKUP('Données projet'!$B$9,Paramètres!$A$1:$I$89,5,0)</f>
        <v>6.3550942286383359E-13</v>
      </c>
      <c r="P144" s="14">
        <f t="shared" si="141"/>
        <v>7.6982260417614606E-12</v>
      </c>
      <c r="Q144" s="22">
        <f t="shared" si="108"/>
        <v>1.4514589267555721E-11</v>
      </c>
      <c r="R144" s="62">
        <f t="shared" si="109"/>
        <v>293.33333333334781</v>
      </c>
      <c r="S144" s="62">
        <f ca="1">AVERAGE(OFFSET($R$3,0,0,'Données projet'!$E$9+1,1))-AVERAGE(OFFSET($H$3,0,0,'Données projet'!$E$9+1,1))</f>
        <v>460.40450534123659</v>
      </c>
      <c r="T144" s="62">
        <f t="shared" si="142"/>
        <v>467.77477728479198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1.3943071075554274</v>
      </c>
      <c r="AA144" s="23">
        <f>EXP(-LN(2)/25)*AA143+(1-EXP(-LN(2)/25))/(LN(2)/25)*Calculateur!V144*Calculateur!X144*VLOOKUP('Données projet'!$B$9,Paramètres!$A$1:$I$89,3,0)*0.475*44/12</f>
        <v>2.0394257220152578</v>
      </c>
      <c r="AB144" s="23">
        <f>EXP(-LN(2)/2)*AB143+(1-EXP(-LN(2)/2))/(LN(2)/2)*V144*Y144*VLOOKUP('Données projet'!$B$9,Paramètres!$A$1:$I$89,3,0)*0.475*44/12</f>
        <v>7.8944067300617501E-16</v>
      </c>
      <c r="AC144" s="24">
        <f t="shared" si="111"/>
        <v>3.4337328295706859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-5.6843418860808015E-13</v>
      </c>
      <c r="AJ144" s="14">
        <f>AI144*VLOOKUP('Données projet'!$B$10,Paramètres!$A$1:$I$89,3,0)*VLOOKUP('Données projet'!$B$10,Paramètres!$A$1:$I$89,5,0)</f>
        <v>-5.1431925385259092E-13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321.03881567735544</v>
      </c>
      <c r="AO144" s="62">
        <f t="shared" si="144"/>
        <v>234.87694492493506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0.26733822227508997</v>
      </c>
      <c r="AV144" s="23">
        <f>EXP(-LN(2)/25)*AV143+(1-EXP(-LN(2)/25))/(LN(2)/25)*Calculateur!AQ144*Calculateur!AS144*VLOOKUP('Données projet'!$B$10,Paramètres!$A$1:$I$89,3,0)*0.475*44/12</f>
        <v>0.62451480314884966</v>
      </c>
      <c r="AW144" s="23">
        <f>EXP(-LN(2)/2)*AW143+(1-EXP(-LN(2)/2))/(LN(2)/2)*AQ144*AT144*VLOOKUP('Données projet'!$B$10,Paramètres!$A$1:$I$89,3,0)*0.475*44/12</f>
        <v>4.2667428089138167E-16</v>
      </c>
      <c r="AX144" s="23">
        <f t="shared" si="114"/>
        <v>0.89185302542394007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255.41017495879987</v>
      </c>
      <c r="BJ144" s="62">
        <f t="shared" si="146"/>
        <v>297.50513563712764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0.92614364092092172</v>
      </c>
      <c r="BQ144" s="23">
        <f>EXP(-LN(2)/25)*BQ143+(1-EXP(-LN(2)/25))/(LN(2)/25)*Calculateur!BL144*Calculateur!BN144*VLOOKUP('Données projet'!$B$11,Paramètres!$A$1:$I$89,3,0)*0.475*44/12</f>
        <v>1.2839902517069064</v>
      </c>
      <c r="BR144" s="23">
        <f>EXP(-LN(2)/2)*BR143+(1-EXP(-LN(2)/2))/(LN(2)/2)*BL144*BO144*VLOOKUP('Données projet'!$B$11,Paramètres!$A$1:$I$89,3,0)*0.475*44/12</f>
        <v>4.7890157733708392E-16</v>
      </c>
      <c r="BS144" s="24">
        <f t="shared" si="117"/>
        <v>2.2101338926278284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5.4683368944097308E-14</v>
      </c>
      <c r="CA144" s="14">
        <f t="shared" si="147"/>
        <v>8.8129432816788268E-13</v>
      </c>
      <c r="CB144" s="22">
        <f t="shared" si="118"/>
        <v>1.6301611558033651E-12</v>
      </c>
      <c r="CC144" s="62">
        <f t="shared" si="119"/>
        <v>293.33333333333496</v>
      </c>
      <c r="CD144" s="62">
        <f ca="1">AVERAGE(OFFSET($CC$3,0,0,'Données projet'!$E$12+1,1))-AVERAGE(OFFSET($H$3,0,0,'Données projet'!$E$12+1,1))</f>
        <v>409.97612835032567</v>
      </c>
      <c r="CE144" s="62">
        <f t="shared" si="148"/>
        <v>411.87876448092288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3.3935248791912973</v>
      </c>
      <c r="CL144" s="23">
        <f>EXP(-LN(2)/25)*CL143+(1-EXP(-LN(2)/25))/(LN(2)/25)*Calculateur!CG144*Calculateur!CI144*VLOOKUP('Données projet'!$B$12,Paramètres!$A$1:$I$89,3,0)*0.475*44/12</f>
        <v>2.3998319016630965</v>
      </c>
      <c r="CM144" s="23">
        <f>EXP(-LN(2)/2)*CM143+(1-EXP(-LN(2)/2))/(LN(2)/2)*CG144*CJ144*VLOOKUP('Données projet'!$B$12,Paramètres!$A$1:$I$89,3,0)*0.475*44/12</f>
        <v>1.9101077917018299E-14</v>
      </c>
      <c r="CN144" s="24">
        <f t="shared" si="120"/>
        <v>5.7933567808544133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-4.5474735088646412E-13</v>
      </c>
      <c r="CU144" s="18">
        <f>CT144*VLOOKUP('Données projet'!$B$13,Paramètres!$A$1:$I$89,3,0)*VLOOKUP('Données projet'!$B$13,Paramètres!$A$1:$I$89,5,0)</f>
        <v>-2.7193891583010558E-13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463.3255103386889</v>
      </c>
      <c r="CZ144" s="62">
        <f t="shared" si="150"/>
        <v>474.73210558736127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0.55472145159326025</v>
      </c>
      <c r="DG144" s="23">
        <f>EXP(-LN(2)/25)*DG143+(1-EXP(-LN(2)/25))/(LN(2)/25)*Calculateur!DB144*Calculateur!DD144*VLOOKUP('Données projet'!$B$13,Paramètres!$A$1:$I$89,3,0)*0.475*44/12</f>
        <v>1.5969172231311319</v>
      </c>
      <c r="DH144" s="23">
        <f>EXP(-LN(2)/2)*DH143+(1-EXP(-LN(2)/2))/(LN(2)/2)*DB144*DE144*VLOOKUP('Données projet'!$B$13,Paramètres!$A$1:$I$89,3,0)*0.475*44/12</f>
        <v>8.5606220739267384E-16</v>
      </c>
      <c r="DI144" s="24">
        <f t="shared" si="123"/>
        <v>2.151638674724393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-1.1368683772161603E-13</v>
      </c>
      <c r="DP144" s="18">
        <f>DO144*VLOOKUP('Données projet'!$B$14,Paramètres!$A$1:$I$89,3,0)*VLOOKUP('Données projet'!$B$14,Paramètres!$A$1:$I$89,5,0)</f>
        <v>-5.3205440053716299E-14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215.23235148064941</v>
      </c>
      <c r="DU144" s="62">
        <f t="shared" si="152"/>
        <v>184.07239726900434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0.34792405081917671</v>
      </c>
      <c r="EB144" s="23">
        <f>EXP(-LN(2)/25)*EB143+(1-EXP(-LN(2)/25))/(LN(2)/25)*Calculateur!DW144*Calculateur!DY144*VLOOKUP('Données projet'!$B$14,Paramètres!$A$1:$I$89,3,0)*0.475*44/12</f>
        <v>0.36190841514436689</v>
      </c>
      <c r="EC144" s="23">
        <f>EXP(-LN(2)/2)*EC143+(1-EXP(-LN(2)/2))/(LN(2)/2)*DW144*DZ144*VLOOKUP('Données projet'!$B$14,Paramètres!$A$1:$I$89,3,0)*0.475*44/12</f>
        <v>1.92967826802009E-16</v>
      </c>
      <c r="ED144" s="24">
        <f t="shared" si="126"/>
        <v>0.70983246596354377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570.95252037884222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1.1368683772161603E-12</v>
      </c>
      <c r="O145" s="14">
        <f>N145*VLOOKUP('Données projet'!$B$9,Paramètres!$A$1:$I$89,3,0)*VLOOKUP('Données projet'!$B$9,Paramètres!$A$1:$I$89,5,0)</f>
        <v>6.3550942286383359E-13</v>
      </c>
      <c r="P145" s="14">
        <f t="shared" si="141"/>
        <v>7.6982260417614606E-12</v>
      </c>
      <c r="Q145" s="22">
        <f t="shared" si="108"/>
        <v>1.4514589267555721E-11</v>
      </c>
      <c r="R145" s="62">
        <f t="shared" si="109"/>
        <v>293.33333333334781</v>
      </c>
      <c r="S145" s="62">
        <f ca="1">AVERAGE(OFFSET($R$3,0,0,'Données projet'!$E$9+1,1))-AVERAGE(OFFSET($H$3,0,0,'Données projet'!$E$9+1,1))</f>
        <v>460.40450534123659</v>
      </c>
      <c r="T145" s="62">
        <f t="shared" si="142"/>
        <v>467.77477728479198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1.3669655956196267</v>
      </c>
      <c r="AA145" s="23">
        <f>EXP(-LN(2)/25)*AA144+(1-EXP(-LN(2)/25))/(LN(2)/25)*Calculateur!V145*Calculateur!X145*VLOOKUP('Données projet'!$B$9,Paramètres!$A$1:$I$89,3,0)*0.475*44/12</f>
        <v>1.983657518398013</v>
      </c>
      <c r="AB145" s="23">
        <f>EXP(-LN(2)/2)*AB144+(1-EXP(-LN(2)/2))/(LN(2)/2)*V145*Y145*VLOOKUP('Données projet'!$B$9,Paramètres!$A$1:$I$89,3,0)*0.475*44/12</f>
        <v>5.582188532271382E-16</v>
      </c>
      <c r="AC145" s="24">
        <f t="shared" si="111"/>
        <v>3.3506231140176399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-5.6843418860808015E-13</v>
      </c>
      <c r="AJ145" s="14">
        <f>AI145*VLOOKUP('Données projet'!$B$10,Paramètres!$A$1:$I$89,3,0)*VLOOKUP('Données projet'!$B$10,Paramètres!$A$1:$I$89,5,0)</f>
        <v>-5.1431925385259092E-13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321.03881567735544</v>
      </c>
      <c r="AO145" s="62">
        <f t="shared" si="144"/>
        <v>234.87694492493506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0.26209588279649015</v>
      </c>
      <c r="AV145" s="23">
        <f>EXP(-LN(2)/25)*AV144+(1-EXP(-LN(2)/25))/(LN(2)/25)*Calculateur!AQ145*Calculateur!AS145*VLOOKUP('Données projet'!$B$10,Paramètres!$A$1:$I$89,3,0)*0.475*44/12</f>
        <v>0.60743741301493825</v>
      </c>
      <c r="AW145" s="23">
        <f>EXP(-LN(2)/2)*AW144+(1-EXP(-LN(2)/2))/(LN(2)/2)*AQ145*AT145*VLOOKUP('Données projet'!$B$10,Paramètres!$A$1:$I$89,3,0)*0.475*44/12</f>
        <v>3.0170427737618973E-16</v>
      </c>
      <c r="AX145" s="23">
        <f t="shared" si="114"/>
        <v>0.86953329581142869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255.41017495879987</v>
      </c>
      <c r="BJ145" s="62">
        <f t="shared" si="146"/>
        <v>297.50513563712764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0.90798252901430498</v>
      </c>
      <c r="BQ145" s="23">
        <f>EXP(-LN(2)/25)*BQ144+(1-EXP(-LN(2)/25))/(LN(2)/25)*Calculateur!BL145*Calculateur!BN145*VLOOKUP('Données projet'!$B$11,Paramètres!$A$1:$I$89,3,0)*0.475*44/12</f>
        <v>1.2488794707518682</v>
      </c>
      <c r="BR145" s="23">
        <f>EXP(-LN(2)/2)*BR144+(1-EXP(-LN(2)/2))/(LN(2)/2)*BL145*BO145*VLOOKUP('Données projet'!$B$11,Paramètres!$A$1:$I$89,3,0)*0.475*44/12</f>
        <v>3.3863455285598587E-16</v>
      </c>
      <c r="BS145" s="24">
        <f t="shared" si="117"/>
        <v>2.1568619997661735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5.4683368944097308E-14</v>
      </c>
      <c r="CA145" s="14">
        <f t="shared" si="147"/>
        <v>8.8129432816788268E-13</v>
      </c>
      <c r="CB145" s="22">
        <f t="shared" si="118"/>
        <v>1.6301611558033651E-12</v>
      </c>
      <c r="CC145" s="62">
        <f t="shared" si="119"/>
        <v>293.33333333333496</v>
      </c>
      <c r="CD145" s="62">
        <f ca="1">AVERAGE(OFFSET($CC$3,0,0,'Données projet'!$E$12+1,1))-AVERAGE(OFFSET($H$3,0,0,'Données projet'!$E$12+1,1))</f>
        <v>409.97612835032567</v>
      </c>
      <c r="CE145" s="62">
        <f t="shared" si="148"/>
        <v>411.87876448092288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3.3269799261561519</v>
      </c>
      <c r="CL145" s="23">
        <f>EXP(-LN(2)/25)*CL144+(1-EXP(-LN(2)/25))/(LN(2)/25)*Calculateur!CG145*Calculateur!CI145*VLOOKUP('Données projet'!$B$12,Paramètres!$A$1:$I$89,3,0)*0.475*44/12</f>
        <v>2.3342083721104441</v>
      </c>
      <c r="CM145" s="23">
        <f>EXP(-LN(2)/2)*CM144+(1-EXP(-LN(2)/2))/(LN(2)/2)*CG145*CJ145*VLOOKUP('Données projet'!$B$12,Paramètres!$A$1:$I$89,3,0)*0.475*44/12</f>
        <v>1.3506501723096253E-14</v>
      </c>
      <c r="CN145" s="24">
        <f t="shared" si="120"/>
        <v>5.6611882982666097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-4.5474735088646412E-13</v>
      </c>
      <c r="CU145" s="18">
        <f>CT145*VLOOKUP('Données projet'!$B$13,Paramètres!$A$1:$I$89,3,0)*VLOOKUP('Données projet'!$B$13,Paramètres!$A$1:$I$89,5,0)</f>
        <v>-2.7193891583010558E-13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463.3255103386889</v>
      </c>
      <c r="CZ145" s="62">
        <f t="shared" si="150"/>
        <v>474.73210558736127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0.54384370227419288</v>
      </c>
      <c r="DG145" s="23">
        <f>EXP(-LN(2)/25)*DG144+(1-EXP(-LN(2)/25))/(LN(2)/25)*Calculateur!DB145*Calculateur!DD145*VLOOKUP('Données projet'!$B$13,Paramètres!$A$1:$I$89,3,0)*0.475*44/12</f>
        <v>1.5532494376863841</v>
      </c>
      <c r="DH145" s="23">
        <f>EXP(-LN(2)/2)*DH144+(1-EXP(-LN(2)/2))/(LN(2)/2)*DB145*DE145*VLOOKUP('Données projet'!$B$13,Paramètres!$A$1:$I$89,3,0)*0.475*44/12</f>
        <v>6.0532739196488428E-16</v>
      </c>
      <c r="DI145" s="24">
        <f t="shared" si="123"/>
        <v>2.0970931399605774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-1.1368683772161603E-13</v>
      </c>
      <c r="DP145" s="18">
        <f>DO145*VLOOKUP('Données projet'!$B$14,Paramètres!$A$1:$I$89,3,0)*VLOOKUP('Données projet'!$B$14,Paramètres!$A$1:$I$89,5,0)</f>
        <v>-5.3205440053716299E-14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215.23235148064941</v>
      </c>
      <c r="DU145" s="62">
        <f t="shared" si="152"/>
        <v>184.07239726900434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0.3411014723953294</v>
      </c>
      <c r="EB145" s="23">
        <f>EXP(-LN(2)/25)*EB144+(1-EXP(-LN(2)/25))/(LN(2)/25)*Calculateur!DW145*Calculateur!DY145*VLOOKUP('Données projet'!$B$14,Paramètres!$A$1:$I$89,3,0)*0.475*44/12</f>
        <v>0.35201201050030778</v>
      </c>
      <c r="EC145" s="23">
        <f>EXP(-LN(2)/2)*EC144+(1-EXP(-LN(2)/2))/(LN(2)/2)*DW145*DZ145*VLOOKUP('Données projet'!$B$14,Paramètres!$A$1:$I$89,3,0)*0.475*44/12</f>
        <v>1.3644885888253177E-16</v>
      </c>
      <c r="ED145" s="24">
        <f t="shared" si="126"/>
        <v>0.69311348289563723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572.8601362765794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1.1368683772161603E-12</v>
      </c>
      <c r="O146" s="14">
        <f>N146*VLOOKUP('Données projet'!$B$9,Paramètres!$A$1:$I$89,3,0)*VLOOKUP('Données projet'!$B$9,Paramètres!$A$1:$I$89,5,0)</f>
        <v>6.3550942286383359E-13</v>
      </c>
      <c r="P146" s="14">
        <f t="shared" si="141"/>
        <v>7.6982260417614606E-12</v>
      </c>
      <c r="Q146" s="22">
        <f t="shared" si="108"/>
        <v>1.4514589267555721E-11</v>
      </c>
      <c r="R146" s="62">
        <f t="shared" si="109"/>
        <v>293.33333333334781</v>
      </c>
      <c r="S146" s="62">
        <f ca="1">AVERAGE(OFFSET($R$3,0,0,'Données projet'!$E$9+1,1))-AVERAGE(OFFSET($H$3,0,0,'Données projet'!$E$9+1,1))</f>
        <v>460.40450534123659</v>
      </c>
      <c r="T146" s="62">
        <f t="shared" si="142"/>
        <v>467.77477728479198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1.3401602340562115</v>
      </c>
      <c r="AA146" s="23">
        <f>EXP(-LN(2)/25)*AA145+(1-EXP(-LN(2)/25))/(LN(2)/25)*Calculateur!V146*Calculateur!X146*VLOOKUP('Données projet'!$B$9,Paramètres!$A$1:$I$89,3,0)*0.475*44/12</f>
        <v>1.9294142992414041</v>
      </c>
      <c r="AB146" s="23">
        <f>EXP(-LN(2)/2)*AB145+(1-EXP(-LN(2)/2))/(LN(2)/2)*V146*Y146*VLOOKUP('Données projet'!$B$9,Paramètres!$A$1:$I$89,3,0)*0.475*44/12</f>
        <v>3.947203365030875E-16</v>
      </c>
      <c r="AC146" s="24">
        <f t="shared" si="111"/>
        <v>3.2695745332976158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-5.6843418860808015E-13</v>
      </c>
      <c r="AJ146" s="14">
        <f>AI146*VLOOKUP('Données projet'!$B$10,Paramètres!$A$1:$I$89,3,0)*VLOOKUP('Données projet'!$B$10,Paramètres!$A$1:$I$89,5,0)</f>
        <v>-5.1431925385259092E-13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321.03881567735544</v>
      </c>
      <c r="AO146" s="62">
        <f t="shared" si="144"/>
        <v>234.87694492493506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0.25695634239755438</v>
      </c>
      <c r="AV146" s="23">
        <f>EXP(-LN(2)/25)*AV145+(1-EXP(-LN(2)/25))/(LN(2)/25)*Calculateur!AQ146*Calculateur!AS146*VLOOKUP('Données projet'!$B$10,Paramètres!$A$1:$I$89,3,0)*0.475*44/12</f>
        <v>0.59082700501229957</v>
      </c>
      <c r="AW146" s="23">
        <f>EXP(-LN(2)/2)*AW145+(1-EXP(-LN(2)/2))/(LN(2)/2)*AQ146*AT146*VLOOKUP('Données projet'!$B$10,Paramètres!$A$1:$I$89,3,0)*0.475*44/12</f>
        <v>2.1333714044569084E-16</v>
      </c>
      <c r="AX146" s="23">
        <f t="shared" si="114"/>
        <v>0.84778334740985417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255.41017495879987</v>
      </c>
      <c r="BJ146" s="62">
        <f t="shared" si="146"/>
        <v>297.50513563712764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0.8901775454349925</v>
      </c>
      <c r="BQ146" s="23">
        <f>EXP(-LN(2)/25)*BQ145+(1-EXP(-LN(2)/25))/(LN(2)/25)*Calculateur!BL146*Calculateur!BN146*VLOOKUP('Données projet'!$B$11,Paramètres!$A$1:$I$89,3,0)*0.475*44/12</f>
        <v>1.2147287959484414</v>
      </c>
      <c r="BR146" s="23">
        <f>EXP(-LN(2)/2)*BR145+(1-EXP(-LN(2)/2))/(LN(2)/2)*BL146*BO146*VLOOKUP('Données projet'!$B$11,Paramètres!$A$1:$I$89,3,0)*0.475*44/12</f>
        <v>2.3945078866854196E-16</v>
      </c>
      <c r="BS146" s="24">
        <f t="shared" si="117"/>
        <v>2.1049063413834346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5.4683368944097308E-14</v>
      </c>
      <c r="CA146" s="14">
        <f t="shared" si="147"/>
        <v>8.8129432816788268E-13</v>
      </c>
      <c r="CB146" s="22">
        <f t="shared" si="118"/>
        <v>1.6301611558033651E-12</v>
      </c>
      <c r="CC146" s="62">
        <f t="shared" si="119"/>
        <v>293.33333333333496</v>
      </c>
      <c r="CD146" s="62">
        <f ca="1">AVERAGE(OFFSET($CC$3,0,0,'Données projet'!$E$12+1,1))-AVERAGE(OFFSET($H$3,0,0,'Données projet'!$E$12+1,1))</f>
        <v>409.97612835032567</v>
      </c>
      <c r="CE146" s="62">
        <f t="shared" si="148"/>
        <v>411.87876448092288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3.2617398790616123</v>
      </c>
      <c r="CL146" s="23">
        <f>EXP(-LN(2)/25)*CL145+(1-EXP(-LN(2)/25))/(LN(2)/25)*Calculateur!CG146*Calculateur!CI146*VLOOKUP('Données projet'!$B$12,Paramètres!$A$1:$I$89,3,0)*0.475*44/12</f>
        <v>2.2703793214244006</v>
      </c>
      <c r="CM146" s="23">
        <f>EXP(-LN(2)/2)*CM145+(1-EXP(-LN(2)/2))/(LN(2)/2)*CG146*CJ146*VLOOKUP('Données projet'!$B$12,Paramètres!$A$1:$I$89,3,0)*0.475*44/12</f>
        <v>9.5505389585091493E-15</v>
      </c>
      <c r="CN146" s="24">
        <f t="shared" si="120"/>
        <v>5.5321192004860231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-4.5474735088646412E-13</v>
      </c>
      <c r="CU146" s="18">
        <f>CT146*VLOOKUP('Données projet'!$B$13,Paramètres!$A$1:$I$89,3,0)*VLOOKUP('Données projet'!$B$13,Paramètres!$A$1:$I$89,5,0)</f>
        <v>-2.7193891583010558E-13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463.3255103386889</v>
      </c>
      <c r="CZ146" s="62">
        <f t="shared" si="150"/>
        <v>474.73210558736127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0.53317925898450047</v>
      </c>
      <c r="DG146" s="23">
        <f>EXP(-LN(2)/25)*DG145+(1-EXP(-LN(2)/25))/(LN(2)/25)*Calculateur!DB146*Calculateur!DD146*VLOOKUP('Données projet'!$B$13,Paramètres!$A$1:$I$89,3,0)*0.475*44/12</f>
        <v>1.510775750131012</v>
      </c>
      <c r="DH146" s="23">
        <f>EXP(-LN(2)/2)*DH145+(1-EXP(-LN(2)/2))/(LN(2)/2)*DB146*DE146*VLOOKUP('Données projet'!$B$13,Paramètres!$A$1:$I$89,3,0)*0.475*44/12</f>
        <v>4.2803110369633692E-16</v>
      </c>
      <c r="DI146" s="24">
        <f t="shared" si="123"/>
        <v>2.0439550091155128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-1.1368683772161603E-13</v>
      </c>
      <c r="DP146" s="18">
        <f>DO146*VLOOKUP('Données projet'!$B$14,Paramètres!$A$1:$I$89,3,0)*VLOOKUP('Données projet'!$B$14,Paramètres!$A$1:$I$89,5,0)</f>
        <v>-5.3205440053716299E-14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215.23235148064941</v>
      </c>
      <c r="DU146" s="62">
        <f t="shared" si="152"/>
        <v>184.07239726900434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0.33441268057301177</v>
      </c>
      <c r="EB146" s="23">
        <f>EXP(-LN(2)/25)*EB145+(1-EXP(-LN(2)/25))/(LN(2)/25)*Calculateur!DW146*Calculateur!DY146*VLOOKUP('Données projet'!$B$14,Paramètres!$A$1:$I$89,3,0)*0.475*44/12</f>
        <v>0.34238622356166976</v>
      </c>
      <c r="EC146" s="23">
        <f>EXP(-LN(2)/2)*EC145+(1-EXP(-LN(2)/2))/(LN(2)/2)*DW146*DZ146*VLOOKUP('Données projet'!$B$14,Paramètres!$A$1:$I$89,3,0)*0.475*44/12</f>
        <v>9.6483913401004499E-17</v>
      </c>
      <c r="ED146" s="24">
        <f t="shared" si="126"/>
        <v>0.67679890413468169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574.76746013001298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1.1368683772161603E-12</v>
      </c>
      <c r="O147" s="14">
        <f>N147*VLOOKUP('Données projet'!$B$9,Paramètres!$A$1:$I$89,3,0)*VLOOKUP('Données projet'!$B$9,Paramètres!$A$1:$I$89,5,0)</f>
        <v>6.3550942286383359E-13</v>
      </c>
      <c r="P147" s="14">
        <f t="shared" si="141"/>
        <v>7.6982260417614606E-12</v>
      </c>
      <c r="Q147" s="22">
        <f t="shared" si="108"/>
        <v>1.4514589267555721E-11</v>
      </c>
      <c r="R147" s="62">
        <f t="shared" si="109"/>
        <v>293.33333333334781</v>
      </c>
      <c r="S147" s="62">
        <f ca="1">AVERAGE(OFFSET($R$3,0,0,'Données projet'!$E$9+1,1))-AVERAGE(OFFSET($H$3,0,0,'Données projet'!$E$9+1,1))</f>
        <v>460.40450534123659</v>
      </c>
      <c r="T147" s="62">
        <f t="shared" si="142"/>
        <v>467.77477728479198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1.3138805092833987</v>
      </c>
      <c r="AA147" s="23">
        <f>EXP(-LN(2)/25)*AA146+(1-EXP(-LN(2)/25))/(LN(2)/25)*Calculateur!V147*Calculateur!X147*VLOOKUP('Données projet'!$B$9,Paramètres!$A$1:$I$89,3,0)*0.475*44/12</f>
        <v>1.8766543637651596</v>
      </c>
      <c r="AB147" s="23">
        <f>EXP(-LN(2)/2)*AB146+(1-EXP(-LN(2)/2))/(LN(2)/2)*V147*Y147*VLOOKUP('Données projet'!$B$9,Paramètres!$A$1:$I$89,3,0)*0.475*44/12</f>
        <v>2.791094266135691E-16</v>
      </c>
      <c r="AC147" s="24">
        <f t="shared" si="111"/>
        <v>3.1905348730485588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-5.6843418860808015E-13</v>
      </c>
      <c r="AJ147" s="14">
        <f>AI147*VLOOKUP('Données projet'!$B$10,Paramètres!$A$1:$I$89,3,0)*VLOOKUP('Données projet'!$B$10,Paramètres!$A$1:$I$89,5,0)</f>
        <v>-5.1431925385259092E-13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321.03881567735544</v>
      </c>
      <c r="AO147" s="62">
        <f t="shared" si="144"/>
        <v>234.87694492493506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0.25191758525103158</v>
      </c>
      <c r="AV147" s="23">
        <f>EXP(-LN(2)/25)*AV146+(1-EXP(-LN(2)/25))/(LN(2)/25)*Calculateur!AQ147*Calculateur!AS147*VLOOKUP('Données projet'!$B$10,Paramètres!$A$1:$I$89,3,0)*0.475*44/12</f>
        <v>0.57467080948999638</v>
      </c>
      <c r="AW147" s="23">
        <f>EXP(-LN(2)/2)*AW146+(1-EXP(-LN(2)/2))/(LN(2)/2)*AQ147*AT147*VLOOKUP('Données projet'!$B$10,Paramètres!$A$1:$I$89,3,0)*0.475*44/12</f>
        <v>1.5085213868809487E-16</v>
      </c>
      <c r="AX147" s="23">
        <f t="shared" si="114"/>
        <v>0.82658839474102808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255.41017495879987</v>
      </c>
      <c r="BJ147" s="62">
        <f t="shared" si="146"/>
        <v>297.50513563712764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0.87272170672370264</v>
      </c>
      <c r="BQ147" s="23">
        <f>EXP(-LN(2)/25)*BQ146+(1-EXP(-LN(2)/25))/(LN(2)/25)*Calculateur!BL147*Calculateur!BN147*VLOOKUP('Données projet'!$B$11,Paramètres!$A$1:$I$89,3,0)*0.475*44/12</f>
        <v>1.1815119731434203</v>
      </c>
      <c r="BR147" s="23">
        <f>EXP(-LN(2)/2)*BR146+(1-EXP(-LN(2)/2))/(LN(2)/2)*BL147*BO147*VLOOKUP('Données projet'!$B$11,Paramètres!$A$1:$I$89,3,0)*0.475*44/12</f>
        <v>1.6931727642799293E-16</v>
      </c>
      <c r="BS147" s="24">
        <f t="shared" si="117"/>
        <v>2.054233679867123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5.4683368944097308E-14</v>
      </c>
      <c r="CA147" s="14">
        <f t="shared" si="147"/>
        <v>8.8129432816788268E-13</v>
      </c>
      <c r="CB147" s="22">
        <f t="shared" si="118"/>
        <v>1.6301611558033651E-12</v>
      </c>
      <c r="CC147" s="62">
        <f t="shared" si="119"/>
        <v>293.33333333333496</v>
      </c>
      <c r="CD147" s="62">
        <f ca="1">AVERAGE(OFFSET($CC$3,0,0,'Données projet'!$E$12+1,1))-AVERAGE(OFFSET($H$3,0,0,'Données projet'!$E$12+1,1))</f>
        <v>409.97612835032567</v>
      </c>
      <c r="CE147" s="62">
        <f t="shared" si="148"/>
        <v>411.87876448092288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3.1977791494980972</v>
      </c>
      <c r="CL147" s="23">
        <f>EXP(-LN(2)/25)*CL146+(1-EXP(-LN(2)/25))/(LN(2)/25)*Calculateur!CG147*Calculateur!CI147*VLOOKUP('Données projet'!$B$12,Paramètres!$A$1:$I$89,3,0)*0.475*44/12</f>
        <v>2.2082956794859907</v>
      </c>
      <c r="CM147" s="23">
        <f>EXP(-LN(2)/2)*CM146+(1-EXP(-LN(2)/2))/(LN(2)/2)*CG147*CJ147*VLOOKUP('Données projet'!$B$12,Paramètres!$A$1:$I$89,3,0)*0.475*44/12</f>
        <v>6.7532508615481266E-15</v>
      </c>
      <c r="CN147" s="24">
        <f t="shared" si="120"/>
        <v>5.406074828984095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-4.5474735088646412E-13</v>
      </c>
      <c r="CU147" s="18">
        <f>CT147*VLOOKUP('Données projet'!$B$13,Paramètres!$A$1:$I$89,3,0)*VLOOKUP('Données projet'!$B$13,Paramètres!$A$1:$I$89,5,0)</f>
        <v>-2.7193891583010558E-13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463.3255103386889</v>
      </c>
      <c r="CZ147" s="62">
        <f t="shared" si="150"/>
        <v>474.73210558736127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0.5227239389230508</v>
      </c>
      <c r="DG147" s="23">
        <f>EXP(-LN(2)/25)*DG146+(1-EXP(-LN(2)/25))/(LN(2)/25)*Calculateur!DB147*Calculateur!DD147*VLOOKUP('Données projet'!$B$13,Paramètres!$A$1:$I$89,3,0)*0.475*44/12</f>
        <v>1.4694635077954357</v>
      </c>
      <c r="DH147" s="23">
        <f>EXP(-LN(2)/2)*DH146+(1-EXP(-LN(2)/2))/(LN(2)/2)*DB147*DE147*VLOOKUP('Données projet'!$B$13,Paramètres!$A$1:$I$89,3,0)*0.475*44/12</f>
        <v>3.0266369598244214E-16</v>
      </c>
      <c r="DI147" s="24">
        <f t="shared" si="123"/>
        <v>1.9921874467184868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-1.1368683772161603E-13</v>
      </c>
      <c r="DP147" s="18">
        <f>DO147*VLOOKUP('Données projet'!$B$14,Paramètres!$A$1:$I$89,3,0)*VLOOKUP('Données projet'!$B$14,Paramètres!$A$1:$I$89,5,0)</f>
        <v>-5.3205440053716299E-14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215.23235148064941</v>
      </c>
      <c r="DU147" s="62">
        <f t="shared" si="152"/>
        <v>184.07239726900434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0.32785505187856961</v>
      </c>
      <c r="EB147" s="23">
        <f>EXP(-LN(2)/25)*EB146+(1-EXP(-LN(2)/25))/(LN(2)/25)*Calculateur!DW147*Calculateur!DY147*VLOOKUP('Données projet'!$B$14,Paramètres!$A$1:$I$89,3,0)*0.475*44/12</f>
        <v>0.33302365427306696</v>
      </c>
      <c r="EC147" s="23">
        <f>EXP(-LN(2)/2)*EC146+(1-EXP(-LN(2)/2))/(LN(2)/2)*DW147*DZ147*VLOOKUP('Données projet'!$B$14,Paramètres!$A$1:$I$89,3,0)*0.475*44/12</f>
        <v>6.8224429441265887E-17</v>
      </c>
      <c r="ED147" s="24">
        <f t="shared" si="126"/>
        <v>0.66087870615163669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576.6744942024194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1.1368683772161603E-12</v>
      </c>
      <c r="O148" s="14">
        <f>N148*VLOOKUP('Données projet'!$B$9,Paramètres!$A$1:$I$89,3,0)*VLOOKUP('Données projet'!$B$9,Paramètres!$A$1:$I$89,5,0)</f>
        <v>6.3550942286383359E-13</v>
      </c>
      <c r="P148" s="14">
        <f t="shared" si="141"/>
        <v>7.6982260417614606E-12</v>
      </c>
      <c r="Q148" s="22">
        <f t="shared" si="108"/>
        <v>1.4514589267555721E-11</v>
      </c>
      <c r="R148" s="62">
        <f t="shared" si="109"/>
        <v>293.33333333334781</v>
      </c>
      <c r="S148" s="62">
        <f ca="1">AVERAGE(OFFSET($R$3,0,0,'Données projet'!$E$9+1,1))-AVERAGE(OFFSET($H$3,0,0,'Données projet'!$E$9+1,1))</f>
        <v>460.40450534123659</v>
      </c>
      <c r="T148" s="62">
        <f t="shared" si="142"/>
        <v>467.77477728479198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1.2881161138843313</v>
      </c>
      <c r="AA148" s="23">
        <f>EXP(-LN(2)/25)*AA147+(1-EXP(-LN(2)/25))/(LN(2)/25)*Calculateur!V148*Calculateur!X148*VLOOKUP('Données projet'!$B$9,Paramètres!$A$1:$I$89,3,0)*0.475*44/12</f>
        <v>1.8253371514990375</v>
      </c>
      <c r="AB148" s="23">
        <f>EXP(-LN(2)/2)*AB147+(1-EXP(-LN(2)/2))/(LN(2)/2)*V148*Y148*VLOOKUP('Données projet'!$B$9,Paramètres!$A$1:$I$89,3,0)*0.475*44/12</f>
        <v>1.9736016825154375E-16</v>
      </c>
      <c r="AC148" s="24">
        <f t="shared" si="111"/>
        <v>3.1134532653833689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-5.6843418860808015E-13</v>
      </c>
      <c r="AJ148" s="14">
        <f>AI148*VLOOKUP('Données projet'!$B$10,Paramètres!$A$1:$I$89,3,0)*VLOOKUP('Données projet'!$B$10,Paramètres!$A$1:$I$89,5,0)</f>
        <v>-5.1431925385259092E-13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321.03881567735544</v>
      </c>
      <c r="AO148" s="62">
        <f t="shared" si="144"/>
        <v>234.87694492493506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0.24697763505881373</v>
      </c>
      <c r="AV148" s="23">
        <f>EXP(-LN(2)/25)*AV147+(1-EXP(-LN(2)/25))/(LN(2)/25)*Calculateur!AQ148*Calculateur!AS148*VLOOKUP('Données projet'!$B$10,Paramètres!$A$1:$I$89,3,0)*0.475*44/12</f>
        <v>0.55895640598386798</v>
      </c>
      <c r="AW148" s="23">
        <f>EXP(-LN(2)/2)*AW147+(1-EXP(-LN(2)/2))/(LN(2)/2)*AQ148*AT148*VLOOKUP('Données projet'!$B$10,Paramètres!$A$1:$I$89,3,0)*0.475*44/12</f>
        <v>1.0666857022284542E-16</v>
      </c>
      <c r="AX148" s="23">
        <f t="shared" si="114"/>
        <v>0.80593404104268185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255.41017495879987</v>
      </c>
      <c r="BJ148" s="62">
        <f t="shared" si="146"/>
        <v>297.50513563712764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0.8556081663625309</v>
      </c>
      <c r="BQ148" s="23">
        <f>EXP(-LN(2)/25)*BQ147+(1-EXP(-LN(2)/25))/(LN(2)/25)*Calculateur!BL148*Calculateur!BN148*VLOOKUP('Données projet'!$B$11,Paramètres!$A$1:$I$89,3,0)*0.475*44/12</f>
        <v>1.1492034661047992</v>
      </c>
      <c r="BR148" s="23">
        <f>EXP(-LN(2)/2)*BR147+(1-EXP(-LN(2)/2))/(LN(2)/2)*BL148*BO148*VLOOKUP('Données projet'!$B$11,Paramètres!$A$1:$I$89,3,0)*0.475*44/12</f>
        <v>1.1972539433427098E-16</v>
      </c>
      <c r="BS148" s="24">
        <f t="shared" si="117"/>
        <v>2.0048116324673302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5.4683368944097308E-14</v>
      </c>
      <c r="CA148" s="14">
        <f t="shared" si="147"/>
        <v>8.8129432816788268E-13</v>
      </c>
      <c r="CB148" s="22">
        <f t="shared" si="118"/>
        <v>1.6301611558033651E-12</v>
      </c>
      <c r="CC148" s="62">
        <f t="shared" si="119"/>
        <v>293.33333333333496</v>
      </c>
      <c r="CD148" s="62">
        <f ca="1">AVERAGE(OFFSET($CC$3,0,0,'Données projet'!$E$12+1,1))-AVERAGE(OFFSET($H$3,0,0,'Données projet'!$E$12+1,1))</f>
        <v>409.97612835032567</v>
      </c>
      <c r="CE148" s="62">
        <f t="shared" si="148"/>
        <v>411.87876448092288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3.1350726508291293</v>
      </c>
      <c r="CL148" s="23">
        <f>EXP(-LN(2)/25)*CL147+(1-EXP(-LN(2)/25))/(LN(2)/25)*Calculateur!CG148*Calculateur!CI148*VLOOKUP('Données projet'!$B$12,Paramètres!$A$1:$I$89,3,0)*0.475*44/12</f>
        <v>2.1479097180012237</v>
      </c>
      <c r="CM148" s="23">
        <f>EXP(-LN(2)/2)*CM147+(1-EXP(-LN(2)/2))/(LN(2)/2)*CG148*CJ148*VLOOKUP('Données projet'!$B$12,Paramètres!$A$1:$I$89,3,0)*0.475*44/12</f>
        <v>4.7752694792545746E-15</v>
      </c>
      <c r="CN148" s="24">
        <f t="shared" si="120"/>
        <v>5.2829823688303579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-4.5474735088646412E-13</v>
      </c>
      <c r="CU148" s="18">
        <f>CT148*VLOOKUP('Données projet'!$B$13,Paramètres!$A$1:$I$89,3,0)*VLOOKUP('Données projet'!$B$13,Paramètres!$A$1:$I$89,5,0)</f>
        <v>-2.7193891583010558E-13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463.3255103386889</v>
      </c>
      <c r="CZ148" s="62">
        <f t="shared" si="150"/>
        <v>474.73210558736127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0.51247364131089068</v>
      </c>
      <c r="DG148" s="23">
        <f>EXP(-LN(2)/25)*DG147+(1-EXP(-LN(2)/25))/(LN(2)/25)*Calculateur!DB148*Calculateur!DD148*VLOOKUP('Données projet'!$B$13,Paramètres!$A$1:$I$89,3,0)*0.475*44/12</f>
        <v>1.4292809508990421</v>
      </c>
      <c r="DH148" s="23">
        <f>EXP(-LN(2)/2)*DH147+(1-EXP(-LN(2)/2))/(LN(2)/2)*DB148*DE148*VLOOKUP('Données projet'!$B$13,Paramètres!$A$1:$I$89,3,0)*0.475*44/12</f>
        <v>2.1401555184816846E-16</v>
      </c>
      <c r="DI148" s="24">
        <f t="shared" si="123"/>
        <v>1.9417545922099329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-1.1368683772161603E-13</v>
      </c>
      <c r="DP148" s="18">
        <f>DO148*VLOOKUP('Données projet'!$B$14,Paramètres!$A$1:$I$89,3,0)*VLOOKUP('Données projet'!$B$14,Paramètres!$A$1:$I$89,5,0)</f>
        <v>-5.3205440053716299E-14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215.23235148064941</v>
      </c>
      <c r="DU148" s="62">
        <f t="shared" si="152"/>
        <v>184.07239726900434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0.32142601428306694</v>
      </c>
      <c r="EB148" s="23">
        <f>EXP(-LN(2)/25)*EB147+(1-EXP(-LN(2)/25))/(LN(2)/25)*Calculateur!DW148*Calculateur!DY148*VLOOKUP('Données projet'!$B$14,Paramètres!$A$1:$I$89,3,0)*0.475*44/12</f>
        <v>0.3239171049340171</v>
      </c>
      <c r="EC148" s="23">
        <f>EXP(-LN(2)/2)*EC147+(1-EXP(-LN(2)/2))/(LN(2)/2)*DW148*DZ148*VLOOKUP('Données projet'!$B$14,Paramètres!$A$1:$I$89,3,0)*0.475*44/12</f>
        <v>4.8241956700502249E-17</v>
      </c>
      <c r="ED148" s="24">
        <f t="shared" si="126"/>
        <v>0.64534311921708398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578.58124072405269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1.1368683772161603E-12</v>
      </c>
      <c r="O149" s="14">
        <f>N149*VLOOKUP('Données projet'!$B$9,Paramètres!$A$1:$I$89,3,0)*VLOOKUP('Données projet'!$B$9,Paramètres!$A$1:$I$89,5,0)</f>
        <v>6.3550942286383359E-13</v>
      </c>
      <c r="P149" s="14">
        <f t="shared" si="141"/>
        <v>7.6982260417614606E-12</v>
      </c>
      <c r="Q149" s="22">
        <f t="shared" si="108"/>
        <v>1.4514589267555721E-11</v>
      </c>
      <c r="R149" s="62">
        <f t="shared" si="109"/>
        <v>293.33333333334781</v>
      </c>
      <c r="S149" s="62">
        <f ca="1">AVERAGE(OFFSET($R$3,0,0,'Données projet'!$E$9+1,1))-AVERAGE(OFFSET($H$3,0,0,'Données projet'!$E$9+1,1))</f>
        <v>460.40450534123659</v>
      </c>
      <c r="T149" s="62">
        <f t="shared" si="142"/>
        <v>467.77477728479198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1.2628569425643104</v>
      </c>
      <c r="AA149" s="23">
        <f>EXP(-LN(2)/25)*AA148+(1-EXP(-LN(2)/25))/(LN(2)/25)*Calculateur!V149*Calculateur!X149*VLOOKUP('Données projet'!$B$9,Paramètres!$A$1:$I$89,3,0)*0.475*44/12</f>
        <v>1.7754232111009873</v>
      </c>
      <c r="AB149" s="23">
        <f>EXP(-LN(2)/2)*AB148+(1-EXP(-LN(2)/2))/(LN(2)/2)*V149*Y149*VLOOKUP('Données projet'!$B$9,Paramètres!$A$1:$I$89,3,0)*0.475*44/12</f>
        <v>1.3955471330678455E-16</v>
      </c>
      <c r="AC149" s="24">
        <f t="shared" si="111"/>
        <v>3.0382801536652977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-5.6843418860808015E-13</v>
      </c>
      <c r="AJ149" s="14">
        <f>AI149*VLOOKUP('Données projet'!$B$10,Paramètres!$A$1:$I$89,3,0)*VLOOKUP('Données projet'!$B$10,Paramètres!$A$1:$I$89,5,0)</f>
        <v>-5.1431925385259092E-13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321.03881567735544</v>
      </c>
      <c r="AO149" s="62">
        <f t="shared" si="144"/>
        <v>234.87694492493506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0.24213455427679317</v>
      </c>
      <c r="AV149" s="23">
        <f>EXP(-LN(2)/25)*AV148+(1-EXP(-LN(2)/25))/(LN(2)/25)*Calculateur!AQ149*Calculateur!AS149*VLOOKUP('Données projet'!$B$10,Paramètres!$A$1:$I$89,3,0)*0.475*44/12</f>
        <v>0.54367171366799927</v>
      </c>
      <c r="AW149" s="23">
        <f>EXP(-LN(2)/2)*AW148+(1-EXP(-LN(2)/2))/(LN(2)/2)*AQ149*AT149*VLOOKUP('Données projet'!$B$10,Paramètres!$A$1:$I$89,3,0)*0.475*44/12</f>
        <v>7.5426069344047433E-17</v>
      </c>
      <c r="AX149" s="23">
        <f t="shared" si="114"/>
        <v>0.78580626794479258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255.41017495879987</v>
      </c>
      <c r="BJ149" s="62">
        <f t="shared" si="146"/>
        <v>297.50513563712764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0.83883021208961284</v>
      </c>
      <c r="BQ149" s="23">
        <f>EXP(-LN(2)/25)*BQ148+(1-EXP(-LN(2)/25))/(LN(2)/25)*Calculateur!BL149*Calculateur!BN149*VLOOKUP('Données projet'!$B$11,Paramètres!$A$1:$I$89,3,0)*0.475*44/12</f>
        <v>1.1177784368901797</v>
      </c>
      <c r="BR149" s="23">
        <f>EXP(-LN(2)/2)*BR148+(1-EXP(-LN(2)/2))/(LN(2)/2)*BL149*BO149*VLOOKUP('Données projet'!$B$11,Paramètres!$A$1:$I$89,3,0)*0.475*44/12</f>
        <v>8.4658638213996467E-17</v>
      </c>
      <c r="BS149" s="24">
        <f t="shared" si="117"/>
        <v>1.9566086489797927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5.4683368944097308E-14</v>
      </c>
      <c r="CA149" s="14">
        <f t="shared" si="147"/>
        <v>8.8129432816788268E-13</v>
      </c>
      <c r="CB149" s="22">
        <f t="shared" si="118"/>
        <v>1.6301611558033651E-12</v>
      </c>
      <c r="CC149" s="62">
        <f t="shared" si="119"/>
        <v>293.33333333333496</v>
      </c>
      <c r="CD149" s="62">
        <f ca="1">AVERAGE(OFFSET($CC$3,0,0,'Données projet'!$E$12+1,1))-AVERAGE(OFFSET($H$3,0,0,'Données projet'!$E$12+1,1))</f>
        <v>409.97612835032567</v>
      </c>
      <c r="CE149" s="62">
        <f t="shared" si="148"/>
        <v>411.87876448092288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3.0735957883518723</v>
      </c>
      <c r="CL149" s="23">
        <f>EXP(-LN(2)/25)*CL148+(1-EXP(-LN(2)/25))/(LN(2)/25)*Calculateur!CG149*Calculateur!CI149*VLOOKUP('Données projet'!$B$12,Paramètres!$A$1:$I$89,3,0)*0.475*44/12</f>
        <v>2.0891750138088172</v>
      </c>
      <c r="CM149" s="23">
        <f>EXP(-LN(2)/2)*CM148+(1-EXP(-LN(2)/2))/(LN(2)/2)*CG149*CJ149*VLOOKUP('Données projet'!$B$12,Paramètres!$A$1:$I$89,3,0)*0.475*44/12</f>
        <v>3.3766254307740633E-15</v>
      </c>
      <c r="CN149" s="24">
        <f t="shared" si="120"/>
        <v>5.1627708021606935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-4.5474735088646412E-13</v>
      </c>
      <c r="CU149" s="18">
        <f>CT149*VLOOKUP('Données projet'!$B$13,Paramètres!$A$1:$I$89,3,0)*VLOOKUP('Données projet'!$B$13,Paramètres!$A$1:$I$89,5,0)</f>
        <v>-2.7193891583010558E-13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463.3255103386889</v>
      </c>
      <c r="CZ149" s="62">
        <f t="shared" si="150"/>
        <v>474.73210558736127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0.50242434578284079</v>
      </c>
      <c r="DG149" s="23">
        <f>EXP(-LN(2)/25)*DG148+(1-EXP(-LN(2)/25))/(LN(2)/25)*Calculateur!DB149*Calculateur!DD149*VLOOKUP('Données projet'!$B$13,Paramètres!$A$1:$I$89,3,0)*0.475*44/12</f>
        <v>1.3901971881340891</v>
      </c>
      <c r="DH149" s="23">
        <f>EXP(-LN(2)/2)*DH148+(1-EXP(-LN(2)/2))/(LN(2)/2)*DB149*DE149*VLOOKUP('Données projet'!$B$13,Paramètres!$A$1:$I$89,3,0)*0.475*44/12</f>
        <v>1.5133184799122107E-16</v>
      </c>
      <c r="DI149" s="24">
        <f t="shared" si="123"/>
        <v>1.8926215339169301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-1.1368683772161603E-13</v>
      </c>
      <c r="DP149" s="18">
        <f>DO149*VLOOKUP('Données projet'!$B$14,Paramètres!$A$1:$I$89,3,0)*VLOOKUP('Données projet'!$B$14,Paramètres!$A$1:$I$89,5,0)</f>
        <v>-5.3205440053716299E-14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215.23235148064941</v>
      </c>
      <c r="DU149" s="62">
        <f t="shared" si="152"/>
        <v>184.07239726900434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0.31512304619348636</v>
      </c>
      <c r="EB149" s="23">
        <f>EXP(-LN(2)/25)*EB148+(1-EXP(-LN(2)/25))/(LN(2)/25)*Calculateur!DW149*Calculateur!DY149*VLOOKUP('Données projet'!$B$14,Paramètres!$A$1:$I$89,3,0)*0.475*44/12</f>
        <v>0.31505957466553619</v>
      </c>
      <c r="EC149" s="23">
        <f>EXP(-LN(2)/2)*EC148+(1-EXP(-LN(2)/2))/(LN(2)/2)*DW149*DZ149*VLOOKUP('Données projet'!$B$14,Paramètres!$A$1:$I$89,3,0)*0.475*44/12</f>
        <v>3.4112214720632944E-17</v>
      </c>
      <c r="ED149" s="24">
        <f t="shared" si="126"/>
        <v>0.63018262085902255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580.48770189284971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1.1368683772161603E-12</v>
      </c>
      <c r="O150" s="14">
        <f>N150*VLOOKUP('Données projet'!$B$9,Paramètres!$A$1:$I$89,3,0)*VLOOKUP('Données projet'!$B$9,Paramètres!$A$1:$I$89,5,0)</f>
        <v>6.3550942286383359E-13</v>
      </c>
      <c r="P150" s="14">
        <f t="shared" si="141"/>
        <v>7.6982260417614606E-12</v>
      </c>
      <c r="Q150" s="22">
        <f t="shared" si="108"/>
        <v>1.4514589267555721E-11</v>
      </c>
      <c r="R150" s="62">
        <f t="shared" si="109"/>
        <v>293.33333333334781</v>
      </c>
      <c r="S150" s="62">
        <f ca="1">AVERAGE(OFFSET($R$3,0,0,'Données projet'!$E$9+1,1))-AVERAGE(OFFSET($H$3,0,0,'Données projet'!$E$9+1,1))</f>
        <v>460.40450534123659</v>
      </c>
      <c r="T150" s="62">
        <f t="shared" si="142"/>
        <v>467.77477728479198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1.2380930881873016</v>
      </c>
      <c r="AA150" s="23">
        <f>EXP(-LN(2)/25)*AA149+(1-EXP(-LN(2)/25))/(LN(2)/25)*Calculateur!V150*Calculateur!X150*VLOOKUP('Données projet'!$B$9,Paramètres!$A$1:$I$89,3,0)*0.475*44/12</f>
        <v>1.7268741700279819</v>
      </c>
      <c r="AB150" s="23">
        <f>EXP(-LN(2)/2)*AB149+(1-EXP(-LN(2)/2))/(LN(2)/2)*V150*Y150*VLOOKUP('Données projet'!$B$9,Paramètres!$A$1:$I$89,3,0)*0.475*44/12</f>
        <v>9.8680084125771876E-17</v>
      </c>
      <c r="AC150" s="24">
        <f t="shared" si="111"/>
        <v>2.9649672582152835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-5.6843418860808015E-13</v>
      </c>
      <c r="AJ150" s="14">
        <f>AI150*VLOOKUP('Données projet'!$B$10,Paramètres!$A$1:$I$89,3,0)*VLOOKUP('Données projet'!$B$10,Paramètres!$A$1:$I$89,5,0)</f>
        <v>-5.1431925385259092E-13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321.03881567735544</v>
      </c>
      <c r="AO150" s="62">
        <f t="shared" si="144"/>
        <v>234.87694492493506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0.23738644335492043</v>
      </c>
      <c r="AV150" s="23">
        <f>EXP(-LN(2)/25)*AV149+(1-EXP(-LN(2)/25))/(LN(2)/25)*Calculateur!AQ150*Calculateur!AS150*VLOOKUP('Données projet'!$B$10,Paramètres!$A$1:$I$89,3,0)*0.475*44/12</f>
        <v>0.52880498206729498</v>
      </c>
      <c r="AW150" s="23">
        <f>EXP(-LN(2)/2)*AW149+(1-EXP(-LN(2)/2))/(LN(2)/2)*AQ150*AT150*VLOOKUP('Données projet'!$B$10,Paramètres!$A$1:$I$89,3,0)*0.475*44/12</f>
        <v>5.3334285111422709E-17</v>
      </c>
      <c r="AX150" s="23">
        <f t="shared" si="114"/>
        <v>0.76619142542221541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255.41017495879987</v>
      </c>
      <c r="BJ150" s="62">
        <f t="shared" si="146"/>
        <v>297.50513563712764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0.82238126326644501</v>
      </c>
      <c r="BQ150" s="23">
        <f>EXP(-LN(2)/25)*BQ149+(1-EXP(-LN(2)/25))/(LN(2)/25)*Calculateur!BL150*Calculateur!BN150*VLOOKUP('Données projet'!$B$11,Paramètres!$A$1:$I$89,3,0)*0.475*44/12</f>
        <v>1.0872127267520044</v>
      </c>
      <c r="BR150" s="23">
        <f>EXP(-LN(2)/2)*BR149+(1-EXP(-LN(2)/2))/(LN(2)/2)*BL150*BO150*VLOOKUP('Données projet'!$B$11,Paramètres!$A$1:$I$89,3,0)*0.475*44/12</f>
        <v>5.986269716713549E-17</v>
      </c>
      <c r="BS150" s="24">
        <f t="shared" si="117"/>
        <v>1.9095939900184495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5.4683368944097308E-14</v>
      </c>
      <c r="CA150" s="14">
        <f t="shared" si="147"/>
        <v>8.8129432816788268E-13</v>
      </c>
      <c r="CB150" s="22">
        <f t="shared" si="118"/>
        <v>1.6301611558033651E-12</v>
      </c>
      <c r="CC150" s="62">
        <f t="shared" si="119"/>
        <v>293.33333333333496</v>
      </c>
      <c r="CD150" s="62">
        <f ca="1">AVERAGE(OFFSET($CC$3,0,0,'Données projet'!$E$12+1,1))-AVERAGE(OFFSET($H$3,0,0,'Données projet'!$E$12+1,1))</f>
        <v>409.97612835032567</v>
      </c>
      <c r="CE150" s="62">
        <f t="shared" si="148"/>
        <v>411.87876448092288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3.0133244496506109</v>
      </c>
      <c r="CL150" s="23">
        <f>EXP(-LN(2)/25)*CL149+(1-EXP(-LN(2)/25))/(LN(2)/25)*Calculateur!CG150*Calculateur!CI150*VLOOKUP('Données projet'!$B$12,Paramètres!$A$1:$I$89,3,0)*0.475*44/12</f>
        <v>2.0320464131912761</v>
      </c>
      <c r="CM150" s="23">
        <f>EXP(-LN(2)/2)*CM149+(1-EXP(-LN(2)/2))/(LN(2)/2)*CG150*CJ150*VLOOKUP('Données projet'!$B$12,Paramètres!$A$1:$I$89,3,0)*0.475*44/12</f>
        <v>2.3876347396272873E-15</v>
      </c>
      <c r="CN150" s="24">
        <f t="shared" si="120"/>
        <v>5.0453708628418896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-4.5474735088646412E-13</v>
      </c>
      <c r="CU150" s="18">
        <f>CT150*VLOOKUP('Données projet'!$B$13,Paramètres!$A$1:$I$89,3,0)*VLOOKUP('Données projet'!$B$13,Paramètres!$A$1:$I$89,5,0)</f>
        <v>-2.7193891583010558E-13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463.3255103386889</v>
      </c>
      <c r="CZ150" s="62">
        <f t="shared" si="150"/>
        <v>474.73210558736127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0.4925721108106309</v>
      </c>
      <c r="DG150" s="23">
        <f>EXP(-LN(2)/25)*DG149+(1-EXP(-LN(2)/25))/(LN(2)/25)*Calculateur!DB150*Calculateur!DD150*VLOOKUP('Données projet'!$B$13,Paramètres!$A$1:$I$89,3,0)*0.475*44/12</f>
        <v>1.3521821729172696</v>
      </c>
      <c r="DH150" s="23">
        <f>EXP(-LN(2)/2)*DH149+(1-EXP(-LN(2)/2))/(LN(2)/2)*DB150*DE150*VLOOKUP('Données projet'!$B$13,Paramètres!$A$1:$I$89,3,0)*0.475*44/12</f>
        <v>1.0700777592408423E-16</v>
      </c>
      <c r="DI150" s="24">
        <f t="shared" si="123"/>
        <v>1.8447542837279005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-1.1368683772161603E-13</v>
      </c>
      <c r="DP150" s="18">
        <f>DO150*VLOOKUP('Données projet'!$B$14,Paramètres!$A$1:$I$89,3,0)*VLOOKUP('Données projet'!$B$14,Paramètres!$A$1:$I$89,5,0)</f>
        <v>-5.3205440053716299E-14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215.23235148064941</v>
      </c>
      <c r="DU150" s="62">
        <f t="shared" si="152"/>
        <v>184.07239726900434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0.30894367546371149</v>
      </c>
      <c r="EB150" s="23">
        <f>EXP(-LN(2)/25)*EB149+(1-EXP(-LN(2)/25))/(LN(2)/25)*Calculateur!DW150*Calculateur!DY150*VLOOKUP('Données projet'!$B$14,Paramètres!$A$1:$I$89,3,0)*0.475*44/12</f>
        <v>0.30644425402804415</v>
      </c>
      <c r="EC150" s="23">
        <f>EXP(-LN(2)/2)*EC149+(1-EXP(-LN(2)/2))/(LN(2)/2)*DW150*DZ150*VLOOKUP('Données projet'!$B$14,Paramètres!$A$1:$I$89,3,0)*0.475*44/12</f>
        <v>2.4120978350251125E-17</v>
      </c>
      <c r="ED150" s="24">
        <f t="shared" si="126"/>
        <v>0.61538792949175569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582.39387987511509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1.1368683772161603E-12</v>
      </c>
      <c r="O151" s="14">
        <f>N151*VLOOKUP('Données projet'!$B$9,Paramètres!$A$1:$I$89,3,0)*VLOOKUP('Données projet'!$B$9,Paramètres!$A$1:$I$89,5,0)</f>
        <v>6.3550942286383359E-13</v>
      </c>
      <c r="P151" s="14">
        <f t="shared" si="141"/>
        <v>7.6982260417614606E-12</v>
      </c>
      <c r="Q151" s="22">
        <f t="shared" si="108"/>
        <v>1.4514589267555721E-11</v>
      </c>
      <c r="R151" s="62">
        <f t="shared" si="109"/>
        <v>293.33333333334781</v>
      </c>
      <c r="S151" s="62">
        <f ca="1">AVERAGE(OFFSET($R$3,0,0,'Données projet'!$E$9+1,1))-AVERAGE(OFFSET($H$3,0,0,'Données projet'!$E$9+1,1))</f>
        <v>460.40450534123659</v>
      </c>
      <c r="T151" s="62">
        <f t="shared" si="142"/>
        <v>467.77477728479198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1.2138148378901663</v>
      </c>
      <c r="AA151" s="23">
        <f>EXP(-LN(2)/25)*AA150+(1-EXP(-LN(2)/25))/(LN(2)/25)*Calculateur!V151*Calculateur!X151*VLOOKUP('Données projet'!$B$9,Paramètres!$A$1:$I$89,3,0)*0.475*44/12</f>
        <v>1.6796527050362009</v>
      </c>
      <c r="AB151" s="23">
        <f>EXP(-LN(2)/2)*AB150+(1-EXP(-LN(2)/2))/(LN(2)/2)*V151*Y151*VLOOKUP('Données projet'!$B$9,Paramètres!$A$1:$I$89,3,0)*0.475*44/12</f>
        <v>6.9777356653392274E-17</v>
      </c>
      <c r="AC151" s="24">
        <f t="shared" si="111"/>
        <v>2.8934675429263672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-5.6843418860808015E-13</v>
      </c>
      <c r="AJ151" s="14">
        <f>AI151*VLOOKUP('Données projet'!$B$10,Paramètres!$A$1:$I$89,3,0)*VLOOKUP('Données projet'!$B$10,Paramètres!$A$1:$I$89,5,0)</f>
        <v>-5.1431925385259092E-13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321.03881567735544</v>
      </c>
      <c r="AO151" s="62">
        <f t="shared" si="144"/>
        <v>234.87694492493506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0.23273143999216392</v>
      </c>
      <c r="AV151" s="23">
        <f>EXP(-LN(2)/25)*AV150+(1-EXP(-LN(2)/25))/(LN(2)/25)*Calculateur!AQ151*Calculateur!AS151*VLOOKUP('Données projet'!$B$10,Paramètres!$A$1:$I$89,3,0)*0.475*44/12</f>
        <v>0.51434478202401934</v>
      </c>
      <c r="AW151" s="23">
        <f>EXP(-LN(2)/2)*AW150+(1-EXP(-LN(2)/2))/(LN(2)/2)*AQ151*AT151*VLOOKUP('Données projet'!$B$10,Paramètres!$A$1:$I$89,3,0)*0.475*44/12</f>
        <v>3.7713034672023716E-17</v>
      </c>
      <c r="AX151" s="23">
        <f t="shared" si="114"/>
        <v>0.74707622201618329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255.41017495879987</v>
      </c>
      <c r="BJ151" s="62">
        <f t="shared" si="146"/>
        <v>297.50513563712764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0.80625486829683146</v>
      </c>
      <c r="BQ151" s="23">
        <f>EXP(-LN(2)/25)*BQ150+(1-EXP(-LN(2)/25))/(LN(2)/25)*Calculateur!BL151*Calculateur!BN151*VLOOKUP('Données projet'!$B$11,Paramètres!$A$1:$I$89,3,0)*0.475*44/12</f>
        <v>1.0574828375649383</v>
      </c>
      <c r="BR151" s="23">
        <f>EXP(-LN(2)/2)*BR150+(1-EXP(-LN(2)/2))/(LN(2)/2)*BL151*BO151*VLOOKUP('Données projet'!$B$11,Paramètres!$A$1:$I$89,3,0)*0.475*44/12</f>
        <v>4.2329319106998234E-17</v>
      </c>
      <c r="BS151" s="24">
        <f t="shared" si="117"/>
        <v>1.8637377058617699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5.4683368944097308E-14</v>
      </c>
      <c r="CA151" s="14">
        <f t="shared" si="147"/>
        <v>8.8129432816788268E-13</v>
      </c>
      <c r="CB151" s="22">
        <f t="shared" si="118"/>
        <v>1.6301611558033651E-12</v>
      </c>
      <c r="CC151" s="62">
        <f t="shared" si="119"/>
        <v>293.33333333333496</v>
      </c>
      <c r="CD151" s="62">
        <f ca="1">AVERAGE(OFFSET($CC$3,0,0,'Données projet'!$E$12+1,1))-AVERAGE(OFFSET($H$3,0,0,'Données projet'!$E$12+1,1))</f>
        <v>409.97612835032567</v>
      </c>
      <c r="CE151" s="62">
        <f t="shared" si="148"/>
        <v>411.87876448092288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2.9542349951393945</v>
      </c>
      <c r="CL151" s="23">
        <f>EXP(-LN(2)/25)*CL150+(1-EXP(-LN(2)/25))/(LN(2)/25)*Calculateur!CG151*Calculateur!CI151*VLOOKUP('Données projet'!$B$12,Paramètres!$A$1:$I$89,3,0)*0.475*44/12</f>
        <v>1.9764799971618841</v>
      </c>
      <c r="CM151" s="23">
        <f>EXP(-LN(2)/2)*CM150+(1-EXP(-LN(2)/2))/(LN(2)/2)*CG151*CJ151*VLOOKUP('Données projet'!$B$12,Paramètres!$A$1:$I$89,3,0)*0.475*44/12</f>
        <v>1.6883127153870316E-15</v>
      </c>
      <c r="CN151" s="24">
        <f t="shared" si="120"/>
        <v>4.9307149923012803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-4.5474735088646412E-13</v>
      </c>
      <c r="CU151" s="18">
        <f>CT151*VLOOKUP('Données projet'!$B$13,Paramètres!$A$1:$I$89,3,0)*VLOOKUP('Données projet'!$B$13,Paramètres!$A$1:$I$89,5,0)</f>
        <v>-2.7193891583010558E-13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463.3255103386889</v>
      </c>
      <c r="CZ151" s="62">
        <f t="shared" si="150"/>
        <v>474.73210558736127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0.48291307215695611</v>
      </c>
      <c r="DG151" s="23">
        <f>EXP(-LN(2)/25)*DG150+(1-EXP(-LN(2)/25))/(LN(2)/25)*Calculateur!DB151*Calculateur!DD151*VLOOKUP('Données projet'!$B$13,Paramètres!$A$1:$I$89,3,0)*0.475*44/12</f>
        <v>1.3152066802906768</v>
      </c>
      <c r="DH151" s="23">
        <f>EXP(-LN(2)/2)*DH150+(1-EXP(-LN(2)/2))/(LN(2)/2)*DB151*DE151*VLOOKUP('Données projet'!$B$13,Paramètres!$A$1:$I$89,3,0)*0.475*44/12</f>
        <v>7.5665923995610536E-17</v>
      </c>
      <c r="DI151" s="24">
        <f t="shared" si="123"/>
        <v>1.7981197524476329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-1.1368683772161603E-13</v>
      </c>
      <c r="DP151" s="18">
        <f>DO151*VLOOKUP('Données projet'!$B$14,Paramètres!$A$1:$I$89,3,0)*VLOOKUP('Données projet'!$B$14,Paramètres!$A$1:$I$89,5,0)</f>
        <v>-5.3205440053716299E-14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215.23235148064941</v>
      </c>
      <c r="DU151" s="62">
        <f t="shared" si="152"/>
        <v>184.07239726900434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0.30288547842490354</v>
      </c>
      <c r="EB151" s="23">
        <f>EXP(-LN(2)/25)*EB150+(1-EXP(-LN(2)/25))/(LN(2)/25)*Calculateur!DW151*Calculateur!DY151*VLOOKUP('Données projet'!$B$14,Paramètres!$A$1:$I$89,3,0)*0.475*44/12</f>
        <v>0.29806451978644433</v>
      </c>
      <c r="EC151" s="23">
        <f>EXP(-LN(2)/2)*EC150+(1-EXP(-LN(2)/2))/(LN(2)/2)*DW151*DZ151*VLOOKUP('Données projet'!$B$14,Paramètres!$A$1:$I$89,3,0)*0.475*44/12</f>
        <v>1.7056107360316472E-17</v>
      </c>
      <c r="ED151" s="24">
        <f t="shared" si="126"/>
        <v>0.60094999821134787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584.29977680618606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1.1368683772161603E-12</v>
      </c>
      <c r="O152" s="14">
        <f>N152*VLOOKUP('Données projet'!$B$9,Paramètres!$A$1:$I$89,3,0)*VLOOKUP('Données projet'!$B$9,Paramètres!$A$1:$I$89,5,0)</f>
        <v>6.3550942286383359E-13</v>
      </c>
      <c r="P152" s="14">
        <f t="shared" si="141"/>
        <v>7.6982260417614606E-12</v>
      </c>
      <c r="Q152" s="22">
        <f t="shared" si="108"/>
        <v>1.4514589267555721E-11</v>
      </c>
      <c r="R152" s="62">
        <f t="shared" si="109"/>
        <v>293.33333333334781</v>
      </c>
      <c r="S152" s="62">
        <f ca="1">AVERAGE(OFFSET($R$3,0,0,'Données projet'!$E$9+1,1))-AVERAGE(OFFSET($H$3,0,0,'Données projet'!$E$9+1,1))</f>
        <v>460.40450534123659</v>
      </c>
      <c r="T152" s="62">
        <f t="shared" si="142"/>
        <v>467.77477728479198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1.1900126692730875</v>
      </c>
      <c r="AA152" s="23">
        <f>EXP(-LN(2)/25)*AA151+(1-EXP(-LN(2)/25))/(LN(2)/25)*Calculateur!V152*Calculateur!X152*VLOOKUP('Données projet'!$B$9,Paramètres!$A$1:$I$89,3,0)*0.475*44/12</f>
        <v>1.6337225134878892</v>
      </c>
      <c r="AB152" s="23">
        <f>EXP(-LN(2)/2)*AB151+(1-EXP(-LN(2)/2))/(LN(2)/2)*V152*Y152*VLOOKUP('Données projet'!$B$9,Paramètres!$A$1:$I$89,3,0)*0.475*44/12</f>
        <v>4.9340042062885938E-17</v>
      </c>
      <c r="AC152" s="24">
        <f t="shared" si="111"/>
        <v>2.8237351827609767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-5.6843418860808015E-13</v>
      </c>
      <c r="AJ152" s="14">
        <f>AI152*VLOOKUP('Données projet'!$B$10,Paramètres!$A$1:$I$89,3,0)*VLOOKUP('Données projet'!$B$10,Paramètres!$A$1:$I$89,5,0)</f>
        <v>-5.1431925385259092E-13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321.03881567735544</v>
      </c>
      <c r="AO152" s="62">
        <f t="shared" si="144"/>
        <v>234.87694492493506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0.22816771840607936</v>
      </c>
      <c r="AV152" s="23">
        <f>EXP(-LN(2)/25)*AV151+(1-EXP(-LN(2)/25))/(LN(2)/25)*Calculateur!AQ152*Calculateur!AS152*VLOOKUP('Données projet'!$B$10,Paramètres!$A$1:$I$89,3,0)*0.475*44/12</f>
        <v>0.50027999691135605</v>
      </c>
      <c r="AW152" s="23">
        <f>EXP(-LN(2)/2)*AW151+(1-EXP(-LN(2)/2))/(LN(2)/2)*AQ152*AT152*VLOOKUP('Données projet'!$B$10,Paramètres!$A$1:$I$89,3,0)*0.475*44/12</f>
        <v>2.6667142555711354E-17</v>
      </c>
      <c r="AX152" s="23">
        <f t="shared" si="114"/>
        <v>0.72844771531743535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255.41017495879987</v>
      </c>
      <c r="BJ152" s="62">
        <f t="shared" si="146"/>
        <v>297.50513563712764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0.79044470209644235</v>
      </c>
      <c r="BQ152" s="23">
        <f>EXP(-LN(2)/25)*BQ151+(1-EXP(-LN(2)/25))/(LN(2)/25)*Calculateur!BL152*Calculateur!BN152*VLOOKUP('Données projet'!$B$11,Paramètres!$A$1:$I$89,3,0)*0.475*44/12</f>
        <v>1.0285659137611196</v>
      </c>
      <c r="BR152" s="23">
        <f>EXP(-LN(2)/2)*BR151+(1-EXP(-LN(2)/2))/(LN(2)/2)*BL152*BO152*VLOOKUP('Données projet'!$B$11,Paramètres!$A$1:$I$89,3,0)*0.475*44/12</f>
        <v>2.9931348583567745E-17</v>
      </c>
      <c r="BS152" s="24">
        <f t="shared" si="117"/>
        <v>1.8190106158575619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5.4683368944097308E-14</v>
      </c>
      <c r="CA152" s="14">
        <f t="shared" si="147"/>
        <v>8.8129432816788268E-13</v>
      </c>
      <c r="CB152" s="22">
        <f t="shared" si="118"/>
        <v>1.6301611558033651E-12</v>
      </c>
      <c r="CC152" s="62">
        <f t="shared" si="119"/>
        <v>293.33333333333496</v>
      </c>
      <c r="CD152" s="62">
        <f ca="1">AVERAGE(OFFSET($CC$3,0,0,'Données projet'!$E$12+1,1))-AVERAGE(OFFSET($H$3,0,0,'Données projet'!$E$12+1,1))</f>
        <v>409.97612835032567</v>
      </c>
      <c r="CE152" s="62">
        <f t="shared" si="148"/>
        <v>411.87876448092288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2.8963042487901345</v>
      </c>
      <c r="CL152" s="23">
        <f>EXP(-LN(2)/25)*CL151+(1-EXP(-LN(2)/25))/(LN(2)/25)*Calculateur!CG152*Calculateur!CI152*VLOOKUP('Données projet'!$B$12,Paramètres!$A$1:$I$89,3,0)*0.475*44/12</f>
        <v>1.9224330477009266</v>
      </c>
      <c r="CM152" s="23">
        <f>EXP(-LN(2)/2)*CM151+(1-EXP(-LN(2)/2))/(LN(2)/2)*CG152*CJ152*VLOOKUP('Données projet'!$B$12,Paramètres!$A$1:$I$89,3,0)*0.475*44/12</f>
        <v>1.1938173698136437E-15</v>
      </c>
      <c r="CN152" s="24">
        <f t="shared" si="120"/>
        <v>4.8187372964910624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-4.5474735088646412E-13</v>
      </c>
      <c r="CU152" s="18">
        <f>CT152*VLOOKUP('Données projet'!$B$13,Paramètres!$A$1:$I$89,3,0)*VLOOKUP('Données projet'!$B$13,Paramètres!$A$1:$I$89,5,0)</f>
        <v>-2.7193891583010558E-13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463.3255103386889</v>
      </c>
      <c r="CZ152" s="62">
        <f t="shared" si="150"/>
        <v>474.73210558736127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0.47344344135984801</v>
      </c>
      <c r="DG152" s="23">
        <f>EXP(-LN(2)/25)*DG151+(1-EXP(-LN(2)/25))/(LN(2)/25)*Calculateur!DB152*Calculateur!DD152*VLOOKUP('Données projet'!$B$13,Paramètres!$A$1:$I$89,3,0)*0.475*44/12</f>
        <v>1.2792422844544149</v>
      </c>
      <c r="DH152" s="23">
        <f>EXP(-LN(2)/2)*DH151+(1-EXP(-LN(2)/2))/(LN(2)/2)*DB152*DE152*VLOOKUP('Données projet'!$B$13,Paramètres!$A$1:$I$89,3,0)*0.475*44/12</f>
        <v>5.3503887962042115E-17</v>
      </c>
      <c r="DI152" s="24">
        <f t="shared" si="123"/>
        <v>1.752685725814263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-1.1368683772161603E-13</v>
      </c>
      <c r="DP152" s="18">
        <f>DO152*VLOOKUP('Données projet'!$B$14,Paramètres!$A$1:$I$89,3,0)*VLOOKUP('Données projet'!$B$14,Paramètres!$A$1:$I$89,5,0)</f>
        <v>-5.3205440053716299E-14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215.23235148064941</v>
      </c>
      <c r="DU152" s="62">
        <f t="shared" si="152"/>
        <v>184.07239726900434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0.29694607893489128</v>
      </c>
      <c r="EB152" s="23">
        <f>EXP(-LN(2)/25)*EB151+(1-EXP(-LN(2)/25))/(LN(2)/25)*Calculateur!DW152*Calculateur!DY152*VLOOKUP('Données projet'!$B$14,Paramètres!$A$1:$I$89,3,0)*0.475*44/12</f>
        <v>0.28991392981835212</v>
      </c>
      <c r="EC152" s="23">
        <f>EXP(-LN(2)/2)*EC151+(1-EXP(-LN(2)/2))/(LN(2)/2)*DW152*DZ152*VLOOKUP('Données projet'!$B$14,Paramètres!$A$1:$I$89,3,0)*0.475*44/12</f>
        <v>1.2060489175125562E-17</v>
      </c>
      <c r="ED152" s="24">
        <f t="shared" si="126"/>
        <v>0.5868600087532434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586.20539479108152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1.1368683772161603E-12</v>
      </c>
      <c r="O153" s="14">
        <f>N153*VLOOKUP('Données projet'!$B$9,Paramètres!$A$1:$I$89,3,0)*VLOOKUP('Données projet'!$B$9,Paramètres!$A$1:$I$89,5,0)</f>
        <v>6.3550942286383359E-13</v>
      </c>
      <c r="P153" s="14">
        <f t="shared" si="141"/>
        <v>7.6982260417614606E-12</v>
      </c>
      <c r="Q153" s="22">
        <f t="shared" si="108"/>
        <v>1.4514589267555721E-11</v>
      </c>
      <c r="R153" s="62">
        <f t="shared" si="109"/>
        <v>293.33333333334781</v>
      </c>
      <c r="S153" s="62">
        <f ca="1">AVERAGE(OFFSET($R$3,0,0,'Données projet'!$E$9+1,1))-AVERAGE(OFFSET($H$3,0,0,'Données projet'!$E$9+1,1))</f>
        <v>460.40450534123659</v>
      </c>
      <c r="T153" s="62">
        <f t="shared" si="142"/>
        <v>467.77477728479198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1.1666772466647002</v>
      </c>
      <c r="AA153" s="23">
        <f>EXP(-LN(2)/25)*AA152+(1-EXP(-LN(2)/25))/(LN(2)/25)*Calculateur!V153*Calculateur!X153*VLOOKUP('Données projet'!$B$9,Paramètres!$A$1:$I$89,3,0)*0.475*44/12</f>
        <v>1.5890482854428298</v>
      </c>
      <c r="AB153" s="23">
        <f>EXP(-LN(2)/2)*AB152+(1-EXP(-LN(2)/2))/(LN(2)/2)*V153*Y153*VLOOKUP('Données projet'!$B$9,Paramètres!$A$1:$I$89,3,0)*0.475*44/12</f>
        <v>3.4888678326696137E-17</v>
      </c>
      <c r="AC153" s="24">
        <f t="shared" si="111"/>
        <v>2.75572553210753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-5.6843418860808015E-13</v>
      </c>
      <c r="AJ153" s="14">
        <f>AI153*VLOOKUP('Données projet'!$B$10,Paramètres!$A$1:$I$89,3,0)*VLOOKUP('Données projet'!$B$10,Paramètres!$A$1:$I$89,5,0)</f>
        <v>-5.1431925385259092E-13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321.03881567735544</v>
      </c>
      <c r="AO153" s="62">
        <f t="shared" si="144"/>
        <v>234.87694492493506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0.2236934886167026</v>
      </c>
      <c r="AV153" s="23">
        <f>EXP(-LN(2)/25)*AV152+(1-EXP(-LN(2)/25))/(LN(2)/25)*Calculateur!AQ153*Calculateur!AS153*VLOOKUP('Données projet'!$B$10,Paramètres!$A$1:$I$89,3,0)*0.475*44/12</f>
        <v>0.48659981408723341</v>
      </c>
      <c r="AW153" s="23">
        <f>EXP(-LN(2)/2)*AW152+(1-EXP(-LN(2)/2))/(LN(2)/2)*AQ153*AT153*VLOOKUP('Données projet'!$B$10,Paramètres!$A$1:$I$89,3,0)*0.475*44/12</f>
        <v>1.8856517336011858E-17</v>
      </c>
      <c r="AX153" s="23">
        <f t="shared" si="114"/>
        <v>0.71029330270393598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255.41017495879987</v>
      </c>
      <c r="BJ153" s="62">
        <f t="shared" si="146"/>
        <v>297.50513563712764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0.7749445636119936</v>
      </c>
      <c r="BQ153" s="23">
        <f>EXP(-LN(2)/25)*BQ152+(1-EXP(-LN(2)/25))/(LN(2)/25)*Calculateur!BL153*Calculateur!BN153*VLOOKUP('Données projet'!$B$11,Paramètres!$A$1:$I$89,3,0)*0.475*44/12</f>
        <v>1.0004397247593912</v>
      </c>
      <c r="BR153" s="23">
        <f>EXP(-LN(2)/2)*BR152+(1-EXP(-LN(2)/2))/(LN(2)/2)*BL153*BO153*VLOOKUP('Données projet'!$B$11,Paramètres!$A$1:$I$89,3,0)*0.475*44/12</f>
        <v>2.1164659553499117E-17</v>
      </c>
      <c r="BS153" s="24">
        <f t="shared" si="117"/>
        <v>1.7753842883713848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5.4683368944097308E-14</v>
      </c>
      <c r="CA153" s="14">
        <f t="shared" si="147"/>
        <v>8.8129432816788268E-13</v>
      </c>
      <c r="CB153" s="22">
        <f t="shared" si="118"/>
        <v>1.6301611558033651E-12</v>
      </c>
      <c r="CC153" s="62">
        <f t="shared" si="119"/>
        <v>293.33333333333496</v>
      </c>
      <c r="CD153" s="62">
        <f ca="1">AVERAGE(OFFSET($CC$3,0,0,'Données projet'!$E$12+1,1))-AVERAGE(OFFSET($H$3,0,0,'Données projet'!$E$12+1,1))</f>
        <v>409.97612835032567</v>
      </c>
      <c r="CE153" s="62">
        <f t="shared" si="148"/>
        <v>411.87876448092288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2.8395094890425172</v>
      </c>
      <c r="CL153" s="23">
        <f>EXP(-LN(2)/25)*CL152+(1-EXP(-LN(2)/25))/(LN(2)/25)*Calculateur!CG153*Calculateur!CI153*VLOOKUP('Données projet'!$B$12,Paramètres!$A$1:$I$89,3,0)*0.475*44/12</f>
        <v>1.8698640149151846</v>
      </c>
      <c r="CM153" s="23">
        <f>EXP(-LN(2)/2)*CM152+(1-EXP(-LN(2)/2))/(LN(2)/2)*CG153*CJ153*VLOOKUP('Données projet'!$B$12,Paramètres!$A$1:$I$89,3,0)*0.475*44/12</f>
        <v>8.4415635769351582E-16</v>
      </c>
      <c r="CN153" s="24">
        <f t="shared" si="120"/>
        <v>4.7093735039577025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-4.5474735088646412E-13</v>
      </c>
      <c r="CU153" s="18">
        <f>CT153*VLOOKUP('Données projet'!$B$13,Paramètres!$A$1:$I$89,3,0)*VLOOKUP('Données projet'!$B$13,Paramètres!$A$1:$I$89,5,0)</f>
        <v>-2.7193891583010558E-13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463.3255103386889</v>
      </c>
      <c r="CZ153" s="62">
        <f t="shared" si="150"/>
        <v>474.73210558736127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0.46415950424676677</v>
      </c>
      <c r="DG153" s="23">
        <f>EXP(-LN(2)/25)*DG152+(1-EXP(-LN(2)/25))/(LN(2)/25)*Calculateur!DB153*Calculateur!DD153*VLOOKUP('Données projet'!$B$13,Paramètres!$A$1:$I$89,3,0)*0.475*44/12</f>
        <v>1.2442613369135809</v>
      </c>
      <c r="DH153" s="23">
        <f>EXP(-LN(2)/2)*DH152+(1-EXP(-LN(2)/2))/(LN(2)/2)*DB153*DE153*VLOOKUP('Données projet'!$B$13,Paramètres!$A$1:$I$89,3,0)*0.475*44/12</f>
        <v>3.7832961997805268E-17</v>
      </c>
      <c r="DI153" s="24">
        <f t="shared" si="123"/>
        <v>1.7084208411603476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-1.1368683772161603E-13</v>
      </c>
      <c r="DP153" s="18">
        <f>DO153*VLOOKUP('Données projet'!$B$14,Paramètres!$A$1:$I$89,3,0)*VLOOKUP('Données projet'!$B$14,Paramètres!$A$1:$I$89,5,0)</f>
        <v>-5.3205440053716299E-14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215.23235148064941</v>
      </c>
      <c r="DU153" s="62">
        <f t="shared" si="152"/>
        <v>184.07239726900434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0.29112314744620216</v>
      </c>
      <c r="EB153" s="23">
        <f>EXP(-LN(2)/25)*EB152+(1-EXP(-LN(2)/25))/(LN(2)/25)*Calculateur!DW153*Calculateur!DY153*VLOOKUP('Données projet'!$B$14,Paramètres!$A$1:$I$89,3,0)*0.475*44/12</f>
        <v>0.28198621816155833</v>
      </c>
      <c r="EC153" s="23">
        <f>EXP(-LN(2)/2)*EC152+(1-EXP(-LN(2)/2))/(LN(2)/2)*DW153*DZ153*VLOOKUP('Données projet'!$B$14,Paramètres!$A$1:$I$89,3,0)*0.475*44/12</f>
        <v>8.5280536801582359E-18</v>
      </c>
      <c r="ED153" s="24">
        <f t="shared" si="126"/>
        <v>0.57310936560776049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588.11073590513013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1.1368683772161603E-12</v>
      </c>
      <c r="O154" s="14">
        <f>N154*VLOOKUP('Données projet'!$B$9,Paramètres!$A$1:$I$89,3,0)*VLOOKUP('Données projet'!$B$9,Paramètres!$A$1:$I$89,5,0)</f>
        <v>6.3550942286383359E-13</v>
      </c>
      <c r="P154" s="14">
        <f t="shared" si="141"/>
        <v>7.6982260417614606E-12</v>
      </c>
      <c r="Q154" s="22">
        <f t="shared" ref="Q154:Q203" si="162">(O154+P154)*0.475*44/12</f>
        <v>1.4514589267555721E-11</v>
      </c>
      <c r="R154" s="62">
        <f t="shared" si="109"/>
        <v>293.33333333334781</v>
      </c>
      <c r="S154" s="62">
        <f ca="1">AVERAGE(OFFSET($R$3,0,0,'Données projet'!$E$9+1,1))-AVERAGE(OFFSET($H$3,0,0,'Données projet'!$E$9+1,1))</f>
        <v>460.40450534123659</v>
      </c>
      <c r="T154" s="62">
        <f t="shared" si="142"/>
        <v>467.77477728479198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1.1437994174604609</v>
      </c>
      <c r="AA154" s="23">
        <f>EXP(-LN(2)/25)*AA153+(1-EXP(-LN(2)/25))/(LN(2)/25)*Calculateur!V154*Calculateur!X154*VLOOKUP('Données projet'!$B$9,Paramètres!$A$1:$I$89,3,0)*0.475*44/12</f>
        <v>1.5455956765129781</v>
      </c>
      <c r="AB154" s="23">
        <f>EXP(-LN(2)/2)*AB153+(1-EXP(-LN(2)/2))/(LN(2)/2)*V154*Y154*VLOOKUP('Données projet'!$B$9,Paramètres!$A$1:$I$89,3,0)*0.475*44/12</f>
        <v>2.4670021031442969E-17</v>
      </c>
      <c r="AC154" s="24">
        <f t="shared" ref="AC154:AC203" si="163">SUM(Z154:AB154)</f>
        <v>2.689395093973439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-5.6843418860808015E-13</v>
      </c>
      <c r="AJ154" s="14">
        <f>AI154*VLOOKUP('Données projet'!$B$10,Paramètres!$A$1:$I$89,3,0)*VLOOKUP('Données projet'!$B$10,Paramètres!$A$1:$I$89,5,0)</f>
        <v>-5.1431925385259092E-13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321.03881567735544</v>
      </c>
      <c r="AO154" s="62">
        <f t="shared" si="144"/>
        <v>234.87694492493506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0.21930699574448484</v>
      </c>
      <c r="AV154" s="23">
        <f>EXP(-LN(2)/25)*AV153+(1-EXP(-LN(2)/25))/(LN(2)/25)*Calculateur!AQ154*Calculateur!AS154*VLOOKUP('Données projet'!$B$10,Paramètres!$A$1:$I$89,3,0)*0.475*44/12</f>
        <v>0.47329371658184594</v>
      </c>
      <c r="AW154" s="23">
        <f>EXP(-LN(2)/2)*AW153+(1-EXP(-LN(2)/2))/(LN(2)/2)*AQ154*AT154*VLOOKUP('Données projet'!$B$10,Paramètres!$A$1:$I$89,3,0)*0.475*44/12</f>
        <v>1.3333571277855677E-17</v>
      </c>
      <c r="AX154" s="23">
        <f t="shared" ref="AX154:AX203" si="166">SUM(AU154:AW154)</f>
        <v>0.6926007123263308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255.41017495879987</v>
      </c>
      <c r="BJ154" s="62">
        <f t="shared" si="146"/>
        <v>297.50513563712764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0.75974837338907397</v>
      </c>
      <c r="BQ154" s="23">
        <f>EXP(-LN(2)/25)*BQ153+(1-EXP(-LN(2)/25))/(LN(2)/25)*Calculateur!BL154*Calculateur!BN154*VLOOKUP('Données projet'!$B$11,Paramètres!$A$1:$I$89,3,0)*0.475*44/12</f>
        <v>0.97308264787500709</v>
      </c>
      <c r="BR154" s="23">
        <f>EXP(-LN(2)/2)*BR153+(1-EXP(-LN(2)/2))/(LN(2)/2)*BL154*BO154*VLOOKUP('Données projet'!$B$11,Paramètres!$A$1:$I$89,3,0)*0.475*44/12</f>
        <v>1.4965674291783872E-17</v>
      </c>
      <c r="BS154" s="24">
        <f t="shared" ref="BS154:BS203" si="169">SUM(BP154:BR154)</f>
        <v>1.7328310212640812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5.4683368944097308E-14</v>
      </c>
      <c r="CA154" s="14">
        <f t="shared" ref="CA154:CA203" si="170">EXP(-1.0587+0.8836*LN(BZ154)+0.284)</f>
        <v>8.8129432816788268E-13</v>
      </c>
      <c r="CB154" s="22">
        <f t="shared" ref="CB154:CB203" si="171">(BZ154+CA154)*0.475*44/12</f>
        <v>1.6301611558033651E-12</v>
      </c>
      <c r="CC154" s="62">
        <f t="shared" si="119"/>
        <v>293.33333333333496</v>
      </c>
      <c r="CD154" s="62">
        <f ca="1">AVERAGE(OFFSET($CC$3,0,0,'Données projet'!$E$12+1,1))-AVERAGE(OFFSET($H$3,0,0,'Données projet'!$E$12+1,1))</f>
        <v>409.97612835032567</v>
      </c>
      <c r="CE154" s="62">
        <f t="shared" si="148"/>
        <v>411.87876448092288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2.7838284398921678</v>
      </c>
      <c r="CL154" s="23">
        <f>EXP(-LN(2)/25)*CL153+(1-EXP(-LN(2)/25))/(LN(2)/25)*Calculateur!CG154*Calculateur!CI154*VLOOKUP('Données projet'!$B$12,Paramètres!$A$1:$I$89,3,0)*0.475*44/12</f>
        <v>1.818732485095454</v>
      </c>
      <c r="CM154" s="23">
        <f>EXP(-LN(2)/2)*CM153+(1-EXP(-LN(2)/2))/(LN(2)/2)*CG154*CJ154*VLOOKUP('Données projet'!$B$12,Paramètres!$A$1:$I$89,3,0)*0.475*44/12</f>
        <v>5.9690868490682183E-16</v>
      </c>
      <c r="CN154" s="24">
        <f t="shared" ref="CN154:CN203" si="172">SUM(CK154:CM154)</f>
        <v>4.6025609249876229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-4.5474735088646412E-13</v>
      </c>
      <c r="CU154" s="18">
        <f>CT154*VLOOKUP('Données projet'!$B$13,Paramètres!$A$1:$I$89,3,0)*VLOOKUP('Données projet'!$B$13,Paramètres!$A$1:$I$89,5,0)</f>
        <v>-2.7193891583010558E-13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463.3255103386889</v>
      </c>
      <c r="CZ154" s="62">
        <f t="shared" si="150"/>
        <v>474.73210558736127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0.45505761947783052</v>
      </c>
      <c r="DG154" s="23">
        <f>EXP(-LN(2)/25)*DG153+(1-EXP(-LN(2)/25))/(LN(2)/25)*Calculateur!DB154*Calculateur!DD154*VLOOKUP('Données projet'!$B$13,Paramètres!$A$1:$I$89,3,0)*0.475*44/12</f>
        <v>1.210236945222819</v>
      </c>
      <c r="DH154" s="23">
        <f>EXP(-LN(2)/2)*DH153+(1-EXP(-LN(2)/2))/(LN(2)/2)*DB154*DE154*VLOOKUP('Données projet'!$B$13,Paramètres!$A$1:$I$89,3,0)*0.475*44/12</f>
        <v>2.6751943981021058E-17</v>
      </c>
      <c r="DI154" s="24">
        <f t="shared" ref="DI154:DI203" si="175">SUM(DF154:DH154)</f>
        <v>1.6652945647006496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-1.1368683772161603E-13</v>
      </c>
      <c r="DP154" s="18">
        <f>DO154*VLOOKUP('Données projet'!$B$14,Paramètres!$A$1:$I$89,3,0)*VLOOKUP('Données projet'!$B$14,Paramètres!$A$1:$I$89,5,0)</f>
        <v>-5.3205440053716299E-14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215.23235148064941</v>
      </c>
      <c r="DU154" s="62">
        <f t="shared" si="152"/>
        <v>184.07239726900434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0.28541440009236874</v>
      </c>
      <c r="EB154" s="23">
        <f>EXP(-LN(2)/25)*EB153+(1-EXP(-LN(2)/25))/(LN(2)/25)*Calculateur!DW154*Calculateur!DY154*VLOOKUP('Données projet'!$B$14,Paramètres!$A$1:$I$89,3,0)*0.475*44/12</f>
        <v>0.27427529019691982</v>
      </c>
      <c r="EC154" s="23">
        <f>EXP(-LN(2)/2)*EC153+(1-EXP(-LN(2)/2))/(LN(2)/2)*DW154*DZ154*VLOOKUP('Données projet'!$B$14,Paramètres!$A$1:$I$89,3,0)*0.475*44/12</f>
        <v>6.0302445875627812E-18</v>
      </c>
      <c r="ED154" s="24">
        <f t="shared" ref="ED154:ED203" si="178">SUM(EA154:EC154)</f>
        <v>0.5596896902892885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590.0158021945839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1.1368683772161603E-12</v>
      </c>
      <c r="O155" s="14">
        <f>N155*VLOOKUP('Données projet'!$B$9,Paramètres!$A$1:$I$89,3,0)*VLOOKUP('Données projet'!$B$9,Paramètres!$A$1:$I$89,5,0)</f>
        <v>6.3550942286383359E-13</v>
      </c>
      <c r="P155" s="14">
        <f t="shared" si="141"/>
        <v>7.6982260417614606E-12</v>
      </c>
      <c r="Q155" s="22">
        <f t="shared" si="162"/>
        <v>1.4514589267555721E-11</v>
      </c>
      <c r="R155" s="62">
        <f t="shared" si="109"/>
        <v>293.33333333334781</v>
      </c>
      <c r="S155" s="62">
        <f ca="1">AVERAGE(OFFSET($R$3,0,0,'Données projet'!$E$9+1,1))-AVERAGE(OFFSET($H$3,0,0,'Données projet'!$E$9+1,1))</f>
        <v>460.40450534123659</v>
      </c>
      <c r="T155" s="62">
        <f t="shared" si="142"/>
        <v>467.77477728479198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1.1213702085328188</v>
      </c>
      <c r="AA155" s="23">
        <f>EXP(-LN(2)/25)*AA154+(1-EXP(-LN(2)/25))/(LN(2)/25)*Calculateur!V155*Calculateur!X155*VLOOKUP('Données projet'!$B$9,Paramètres!$A$1:$I$89,3,0)*0.475*44/12</f>
        <v>1.5033312814593867</v>
      </c>
      <c r="AB155" s="23">
        <f>EXP(-LN(2)/2)*AB154+(1-EXP(-LN(2)/2))/(LN(2)/2)*V155*Y155*VLOOKUP('Données projet'!$B$9,Paramètres!$A$1:$I$89,3,0)*0.475*44/12</f>
        <v>1.7444339163348069E-17</v>
      </c>
      <c r="AC155" s="24">
        <f t="shared" si="163"/>
        <v>2.6247014899922054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-5.6843418860808015E-13</v>
      </c>
      <c r="AJ155" s="14">
        <f>AI155*VLOOKUP('Données projet'!$B$10,Paramètres!$A$1:$I$89,3,0)*VLOOKUP('Données projet'!$B$10,Paramètres!$A$1:$I$89,5,0)</f>
        <v>-5.1431925385259092E-13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321.03881567735544</v>
      </c>
      <c r="AO155" s="62">
        <f t="shared" si="144"/>
        <v>234.87694492493506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0.2150065193219948</v>
      </c>
      <c r="AV155" s="23">
        <f>EXP(-LN(2)/25)*AV154+(1-EXP(-LN(2)/25))/(LN(2)/25)*Calculateur!AQ155*Calculateur!AS155*VLOOKUP('Données projet'!$B$10,Paramètres!$A$1:$I$89,3,0)*0.475*44/12</f>
        <v>0.46035147501248053</v>
      </c>
      <c r="AW155" s="23">
        <f>EXP(-LN(2)/2)*AW154+(1-EXP(-LN(2)/2))/(LN(2)/2)*AQ155*AT155*VLOOKUP('Données projet'!$B$10,Paramètres!$A$1:$I$89,3,0)*0.475*44/12</f>
        <v>9.4282586680059291E-18</v>
      </c>
      <c r="AX155" s="23">
        <f t="shared" si="166"/>
        <v>0.6753579943344753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255.41017495879987</v>
      </c>
      <c r="BJ155" s="62">
        <f t="shared" si="146"/>
        <v>297.50513563712764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0.74485017118766494</v>
      </c>
      <c r="BQ155" s="23">
        <f>EXP(-LN(2)/25)*BQ154+(1-EXP(-LN(2)/25))/(LN(2)/25)*Calculateur!BL155*Calculateur!BN155*VLOOKUP('Données projet'!$B$11,Paramètres!$A$1:$I$89,3,0)*0.475*44/12</f>
        <v>0.94647365169667252</v>
      </c>
      <c r="BR155" s="23">
        <f>EXP(-LN(2)/2)*BR154+(1-EXP(-LN(2)/2))/(LN(2)/2)*BL155*BO155*VLOOKUP('Données projet'!$B$11,Paramètres!$A$1:$I$89,3,0)*0.475*44/12</f>
        <v>1.0582329776749558E-17</v>
      </c>
      <c r="BS155" s="24">
        <f t="shared" si="169"/>
        <v>1.6913238228843375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5.4683368944097308E-14</v>
      </c>
      <c r="CA155" s="14">
        <f t="shared" si="170"/>
        <v>8.8129432816788268E-13</v>
      </c>
      <c r="CB155" s="22">
        <f t="shared" si="171"/>
        <v>1.6301611558033651E-12</v>
      </c>
      <c r="CC155" s="62">
        <f t="shared" si="119"/>
        <v>293.33333333333496</v>
      </c>
      <c r="CD155" s="62">
        <f ca="1">AVERAGE(OFFSET($CC$3,0,0,'Données projet'!$E$12+1,1))-AVERAGE(OFFSET($H$3,0,0,'Données projet'!$E$12+1,1))</f>
        <v>409.97612835032567</v>
      </c>
      <c r="CE155" s="62">
        <f t="shared" si="148"/>
        <v>411.87876448092288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2.7292392621535702</v>
      </c>
      <c r="CL155" s="23">
        <f>EXP(-LN(2)/25)*CL154+(1-EXP(-LN(2)/25))/(LN(2)/25)*Calculateur!CG155*Calculateur!CI155*VLOOKUP('Données projet'!$B$12,Paramètres!$A$1:$I$89,3,0)*0.475*44/12</f>
        <v>1.7689991496475341</v>
      </c>
      <c r="CM155" s="23">
        <f>EXP(-LN(2)/2)*CM154+(1-EXP(-LN(2)/2))/(LN(2)/2)*CG155*CJ155*VLOOKUP('Données projet'!$B$12,Paramètres!$A$1:$I$89,3,0)*0.475*44/12</f>
        <v>4.2207817884675791E-16</v>
      </c>
      <c r="CN155" s="24">
        <f t="shared" si="172"/>
        <v>4.4982384118011041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-4.5474735088646412E-13</v>
      </c>
      <c r="CU155" s="18">
        <f>CT155*VLOOKUP('Données projet'!$B$13,Paramètres!$A$1:$I$89,3,0)*VLOOKUP('Données projet'!$B$13,Paramètres!$A$1:$I$89,5,0)</f>
        <v>-2.7193891583010558E-13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463.3255103386889</v>
      </c>
      <c r="CZ155" s="62">
        <f t="shared" si="150"/>
        <v>474.73210558736127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0.44613421711761159</v>
      </c>
      <c r="DG155" s="23">
        <f>EXP(-LN(2)/25)*DG154+(1-EXP(-LN(2)/25))/(LN(2)/25)*Calculateur!DB155*Calculateur!DD155*VLOOKUP('Données projet'!$B$13,Paramètres!$A$1:$I$89,3,0)*0.475*44/12</f>
        <v>1.1771429523121062</v>
      </c>
      <c r="DH155" s="23">
        <f>EXP(-LN(2)/2)*DH154+(1-EXP(-LN(2)/2))/(LN(2)/2)*DB155*DE155*VLOOKUP('Données projet'!$B$13,Paramètres!$A$1:$I$89,3,0)*0.475*44/12</f>
        <v>1.8916480998902634E-17</v>
      </c>
      <c r="DI155" s="24">
        <f t="shared" si="175"/>
        <v>1.6232771694297177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-1.1368683772161603E-13</v>
      </c>
      <c r="DP155" s="18">
        <f>DO155*VLOOKUP('Données projet'!$B$14,Paramètres!$A$1:$I$89,3,0)*VLOOKUP('Données projet'!$B$14,Paramètres!$A$1:$I$89,5,0)</f>
        <v>-5.3205440053716299E-14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215.23235148064941</v>
      </c>
      <c r="DU155" s="62">
        <f t="shared" si="152"/>
        <v>184.07239726900434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0.27981759779215193</v>
      </c>
      <c r="EB155" s="23">
        <f>EXP(-LN(2)/25)*EB154+(1-EXP(-LN(2)/25))/(LN(2)/25)*Calculateur!DW155*Calculateur!DY155*VLOOKUP('Données projet'!$B$14,Paramètres!$A$1:$I$89,3,0)*0.475*44/12</f>
        <v>0.26677521796297438</v>
      </c>
      <c r="EC155" s="23">
        <f>EXP(-LN(2)/2)*EC154+(1-EXP(-LN(2)/2))/(LN(2)/2)*DW155*DZ155*VLOOKUP('Données projet'!$B$14,Paramètres!$A$1:$I$89,3,0)*0.475*44/12</f>
        <v>4.264026840079118E-18</v>
      </c>
      <c r="ED155" s="24">
        <f t="shared" si="178"/>
        <v>0.5465928157551263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591.92059567721367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1.1368683772161603E-12</v>
      </c>
      <c r="O156" s="14">
        <f>N156*VLOOKUP('Données projet'!$B$9,Paramètres!$A$1:$I$89,3,0)*VLOOKUP('Données projet'!$B$9,Paramètres!$A$1:$I$89,5,0)</f>
        <v>6.3550942286383359E-13</v>
      </c>
      <c r="P156" s="14">
        <f t="shared" si="141"/>
        <v>7.6982260417614606E-12</v>
      </c>
      <c r="Q156" s="22">
        <f t="shared" si="162"/>
        <v>1.4514589267555721E-11</v>
      </c>
      <c r="R156" s="62">
        <f t="shared" si="109"/>
        <v>293.33333333334781</v>
      </c>
      <c r="S156" s="62">
        <f ca="1">AVERAGE(OFFSET($R$3,0,0,'Données projet'!$E$9+1,1))-AVERAGE(OFFSET($H$3,0,0,'Données projet'!$E$9+1,1))</f>
        <v>460.40450534123659</v>
      </c>
      <c r="T156" s="62">
        <f t="shared" si="142"/>
        <v>467.77477728479198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1.0993808227117812</v>
      </c>
      <c r="AA156" s="23">
        <f>EXP(-LN(2)/25)*AA155+(1-EXP(-LN(2)/25))/(LN(2)/25)*Calculateur!V156*Calculateur!X156*VLOOKUP('Données projet'!$B$9,Paramètres!$A$1:$I$89,3,0)*0.475*44/12</f>
        <v>1.4622226085111236</v>
      </c>
      <c r="AB156" s="23">
        <f>EXP(-LN(2)/2)*AB155+(1-EXP(-LN(2)/2))/(LN(2)/2)*V156*Y156*VLOOKUP('Données projet'!$B$9,Paramètres!$A$1:$I$89,3,0)*0.475*44/12</f>
        <v>1.2335010515721485E-17</v>
      </c>
      <c r="AC156" s="24">
        <f t="shared" si="163"/>
        <v>2.5616034312229048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-5.6843418860808015E-13</v>
      </c>
      <c r="AJ156" s="14">
        <f>AI156*VLOOKUP('Données projet'!$B$10,Paramètres!$A$1:$I$89,3,0)*VLOOKUP('Données projet'!$B$10,Paramètres!$A$1:$I$89,5,0)</f>
        <v>-5.1431925385259092E-13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321.03881567735544</v>
      </c>
      <c r="AO156" s="62">
        <f t="shared" si="144"/>
        <v>234.87694492493506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0.21079037261911818</v>
      </c>
      <c r="AV156" s="23">
        <f>EXP(-LN(2)/25)*AV155+(1-EXP(-LN(2)/25))/(LN(2)/25)*Calculateur!AQ156*Calculateur!AS156*VLOOKUP('Données projet'!$B$10,Paramètres!$A$1:$I$89,3,0)*0.475*44/12</f>
        <v>0.44776313971943232</v>
      </c>
      <c r="AW156" s="23">
        <f>EXP(-LN(2)/2)*AW155+(1-EXP(-LN(2)/2))/(LN(2)/2)*AQ156*AT156*VLOOKUP('Données projet'!$B$10,Paramètres!$A$1:$I$89,3,0)*0.475*44/12</f>
        <v>6.6667856389278386E-18</v>
      </c>
      <c r="AX156" s="23">
        <f t="shared" si="166"/>
        <v>0.65855351233855053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255.41017495879987</v>
      </c>
      <c r="BJ156" s="62">
        <f t="shared" si="146"/>
        <v>297.50513563712764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0.73024411364441955</v>
      </c>
      <c r="BQ156" s="23">
        <f>EXP(-LN(2)/25)*BQ155+(1-EXP(-LN(2)/25))/(LN(2)/25)*Calculateur!BL156*Calculateur!BN156*VLOOKUP('Données projet'!$B$11,Paramètres!$A$1:$I$89,3,0)*0.475*44/12</f>
        <v>0.92059227991814085</v>
      </c>
      <c r="BR156" s="23">
        <f>EXP(-LN(2)/2)*BR155+(1-EXP(-LN(2)/2))/(LN(2)/2)*BL156*BO156*VLOOKUP('Données projet'!$B$11,Paramètres!$A$1:$I$89,3,0)*0.475*44/12</f>
        <v>7.4828371458919362E-18</v>
      </c>
      <c r="BS156" s="24">
        <f t="shared" si="169"/>
        <v>1.6508363935625603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5.4683368944097308E-14</v>
      </c>
      <c r="CA156" s="14">
        <f t="shared" si="170"/>
        <v>8.8129432816788268E-13</v>
      </c>
      <c r="CB156" s="22">
        <f t="shared" si="171"/>
        <v>1.6301611558033651E-12</v>
      </c>
      <c r="CC156" s="62">
        <f t="shared" si="119"/>
        <v>293.33333333333496</v>
      </c>
      <c r="CD156" s="62">
        <f ca="1">AVERAGE(OFFSET($CC$3,0,0,'Données projet'!$E$12+1,1))-AVERAGE(OFFSET($H$3,0,0,'Données projet'!$E$12+1,1))</f>
        <v>409.97612835032567</v>
      </c>
      <c r="CE156" s="62">
        <f t="shared" si="148"/>
        <v>411.87876448092288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2.675720544894316</v>
      </c>
      <c r="CL156" s="23">
        <f>EXP(-LN(2)/25)*CL155+(1-EXP(-LN(2)/25))/(LN(2)/25)*Calculateur!CG156*Calculateur!CI156*VLOOKUP('Données projet'!$B$12,Paramètres!$A$1:$I$89,3,0)*0.475*44/12</f>
        <v>1.7206257748728002</v>
      </c>
      <c r="CM156" s="23">
        <f>EXP(-LN(2)/2)*CM155+(1-EXP(-LN(2)/2))/(LN(2)/2)*CG156*CJ156*VLOOKUP('Données projet'!$B$12,Paramètres!$A$1:$I$89,3,0)*0.475*44/12</f>
        <v>2.9845434245341092E-16</v>
      </c>
      <c r="CN156" s="24">
        <f t="shared" si="172"/>
        <v>4.3963463197671162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-4.5474735088646412E-13</v>
      </c>
      <c r="CU156" s="18">
        <f>CT156*VLOOKUP('Données projet'!$B$13,Paramètres!$A$1:$I$89,3,0)*VLOOKUP('Données projet'!$B$13,Paramètres!$A$1:$I$89,5,0)</f>
        <v>-2.7193891583010558E-13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463.3255103386889</v>
      </c>
      <c r="CZ156" s="62">
        <f t="shared" si="150"/>
        <v>474.73210558736127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0.43738579723493853</v>
      </c>
      <c r="DG156" s="23">
        <f>EXP(-LN(2)/25)*DG155+(1-EXP(-LN(2)/25))/(LN(2)/25)*Calculateur!DB156*Calculateur!DD156*VLOOKUP('Données projet'!$B$13,Paramètres!$A$1:$I$89,3,0)*0.475*44/12</f>
        <v>1.1449539163778741</v>
      </c>
      <c r="DH156" s="23">
        <f>EXP(-LN(2)/2)*DH155+(1-EXP(-LN(2)/2))/(LN(2)/2)*DB156*DE156*VLOOKUP('Données projet'!$B$13,Paramètres!$A$1:$I$89,3,0)*0.475*44/12</f>
        <v>1.3375971990510529E-17</v>
      </c>
      <c r="DI156" s="24">
        <f t="shared" si="175"/>
        <v>1.5823397136128126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-1.1368683772161603E-13</v>
      </c>
      <c r="DP156" s="18">
        <f>DO156*VLOOKUP('Données projet'!$B$14,Paramètres!$A$1:$I$89,3,0)*VLOOKUP('Données projet'!$B$14,Paramètres!$A$1:$I$89,5,0)</f>
        <v>-5.3205440053716299E-14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215.23235148064941</v>
      </c>
      <c r="DU156" s="62">
        <f t="shared" si="152"/>
        <v>184.07239726900434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0.27433054537133006</v>
      </c>
      <c r="EB156" s="23">
        <f>EXP(-LN(2)/25)*EB155+(1-EXP(-LN(2)/25))/(LN(2)/25)*Calculateur!DW156*Calculateur!DY156*VLOOKUP('Données projet'!$B$14,Paramètres!$A$1:$I$89,3,0)*0.475*44/12</f>
        <v>0.25948023559867783</v>
      </c>
      <c r="EC156" s="23">
        <f>EXP(-LN(2)/2)*EC155+(1-EXP(-LN(2)/2))/(LN(2)/2)*DW156*DZ156*VLOOKUP('Données projet'!$B$14,Paramètres!$A$1:$I$89,3,0)*0.475*44/12</f>
        <v>3.0151222937813906E-18</v>
      </c>
      <c r="ED156" s="24">
        <f t="shared" si="178"/>
        <v>0.53381078097000789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593.82511834288903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1.1368683772161603E-12</v>
      </c>
      <c r="O157" s="14">
        <f>N157*VLOOKUP('Données projet'!$B$9,Paramètres!$A$1:$I$89,3,0)*VLOOKUP('Données projet'!$B$9,Paramètres!$A$1:$I$89,5,0)</f>
        <v>6.3550942286383359E-13</v>
      </c>
      <c r="P157" s="14">
        <f t="shared" si="141"/>
        <v>7.6982260417614606E-12</v>
      </c>
      <c r="Q157" s="22">
        <f t="shared" si="162"/>
        <v>1.4514589267555721E-11</v>
      </c>
      <c r="R157" s="62">
        <f t="shared" si="109"/>
        <v>293.33333333334781</v>
      </c>
      <c r="S157" s="62">
        <f ca="1">AVERAGE(OFFSET($R$3,0,0,'Données projet'!$E$9+1,1))-AVERAGE(OFFSET($H$3,0,0,'Données projet'!$E$9+1,1))</f>
        <v>460.40450534123659</v>
      </c>
      <c r="T157" s="62">
        <f t="shared" si="142"/>
        <v>467.77477728479198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1.0778226353344931</v>
      </c>
      <c r="AA157" s="23">
        <f>EXP(-LN(2)/25)*AA156+(1-EXP(-LN(2)/25))/(LN(2)/25)*Calculateur!V157*Calculateur!X157*VLOOKUP('Données projet'!$B$9,Paramètres!$A$1:$I$89,3,0)*0.475*44/12</f>
        <v>1.4222380543864419</v>
      </c>
      <c r="AB157" s="23">
        <f>EXP(-LN(2)/2)*AB156+(1-EXP(-LN(2)/2))/(LN(2)/2)*V157*Y157*VLOOKUP('Données projet'!$B$9,Paramètres!$A$1:$I$89,3,0)*0.475*44/12</f>
        <v>8.7221695816740343E-18</v>
      </c>
      <c r="AC157" s="24">
        <f t="shared" si="163"/>
        <v>2.500060689720935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-5.6843418860808015E-13</v>
      </c>
      <c r="AJ157" s="14">
        <f>AI157*VLOOKUP('Données projet'!$B$10,Paramètres!$A$1:$I$89,3,0)*VLOOKUP('Données projet'!$B$10,Paramètres!$A$1:$I$89,5,0)</f>
        <v>-5.1431925385259092E-13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321.03881567735544</v>
      </c>
      <c r="AO157" s="62">
        <f t="shared" si="144"/>
        <v>234.87694492493506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0.20665690198148939</v>
      </c>
      <c r="AV157" s="23">
        <f>EXP(-LN(2)/25)*AV156+(1-EXP(-LN(2)/25))/(LN(2)/25)*Calculateur!AQ157*Calculateur!AS157*VLOOKUP('Données projet'!$B$10,Paramètres!$A$1:$I$89,3,0)*0.475*44/12</f>
        <v>0.43551903311696433</v>
      </c>
      <c r="AW157" s="23">
        <f>EXP(-LN(2)/2)*AW156+(1-EXP(-LN(2)/2))/(LN(2)/2)*AQ157*AT157*VLOOKUP('Données projet'!$B$10,Paramètres!$A$1:$I$89,3,0)*0.475*44/12</f>
        <v>4.7141293340029645E-18</v>
      </c>
      <c r="AX157" s="23">
        <f t="shared" si="166"/>
        <v>0.64217593509845372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255.41017495879987</v>
      </c>
      <c r="BJ157" s="62">
        <f t="shared" si="146"/>
        <v>297.50513563712764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0.71592447198078168</v>
      </c>
      <c r="BQ157" s="23">
        <f>EXP(-LN(2)/25)*BQ156+(1-EXP(-LN(2)/25))/(LN(2)/25)*Calculateur!BL157*Calculateur!BN157*VLOOKUP('Données projet'!$B$11,Paramètres!$A$1:$I$89,3,0)*0.475*44/12</f>
        <v>0.89541863561193535</v>
      </c>
      <c r="BR157" s="23">
        <f>EXP(-LN(2)/2)*BR156+(1-EXP(-LN(2)/2))/(LN(2)/2)*BL157*BO157*VLOOKUP('Données projet'!$B$11,Paramètres!$A$1:$I$89,3,0)*0.475*44/12</f>
        <v>5.2911648883747792E-18</v>
      </c>
      <c r="BS157" s="24">
        <f t="shared" si="169"/>
        <v>1.6113431075927171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5.4683368944097308E-14</v>
      </c>
      <c r="CA157" s="14">
        <f t="shared" si="170"/>
        <v>8.8129432816788268E-13</v>
      </c>
      <c r="CB157" s="22">
        <f t="shared" si="171"/>
        <v>1.6301611558033651E-12</v>
      </c>
      <c r="CC157" s="62">
        <f t="shared" si="119"/>
        <v>293.33333333333496</v>
      </c>
      <c r="CD157" s="62">
        <f ca="1">AVERAGE(OFFSET($CC$3,0,0,'Données projet'!$E$12+1,1))-AVERAGE(OFFSET($H$3,0,0,'Données projet'!$E$12+1,1))</f>
        <v>409.97612835032567</v>
      </c>
      <c r="CE157" s="62">
        <f t="shared" si="148"/>
        <v>411.87876448092288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2.6232512970373216</v>
      </c>
      <c r="CL157" s="23">
        <f>EXP(-LN(2)/25)*CL156+(1-EXP(-LN(2)/25))/(LN(2)/25)*Calculateur!CG157*Calculateur!CI157*VLOOKUP('Données projet'!$B$12,Paramètres!$A$1:$I$89,3,0)*0.475*44/12</f>
        <v>1.6735751725751264</v>
      </c>
      <c r="CM157" s="23">
        <f>EXP(-LN(2)/2)*CM156+(1-EXP(-LN(2)/2))/(LN(2)/2)*CG157*CJ157*VLOOKUP('Données projet'!$B$12,Paramètres!$A$1:$I$89,3,0)*0.475*44/12</f>
        <v>2.1103908942337896E-16</v>
      </c>
      <c r="CN157" s="24">
        <f t="shared" si="172"/>
        <v>4.2968264696124479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-4.5474735088646412E-13</v>
      </c>
      <c r="CU157" s="18">
        <f>CT157*VLOOKUP('Données projet'!$B$13,Paramètres!$A$1:$I$89,3,0)*VLOOKUP('Données projet'!$B$13,Paramètres!$A$1:$I$89,5,0)</f>
        <v>-2.7193891583010558E-13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463.3255103386889</v>
      </c>
      <c r="CZ157" s="62">
        <f t="shared" si="150"/>
        <v>474.73210558736127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0.42880892853015545</v>
      </c>
      <c r="DG157" s="23">
        <f>EXP(-LN(2)/25)*DG156+(1-EXP(-LN(2)/25))/(LN(2)/25)*Calculateur!DB157*Calculateur!DD157*VLOOKUP('Données projet'!$B$13,Paramètres!$A$1:$I$89,3,0)*0.475*44/12</f>
        <v>1.1136450913240115</v>
      </c>
      <c r="DH157" s="23">
        <f>EXP(-LN(2)/2)*DH156+(1-EXP(-LN(2)/2))/(LN(2)/2)*DB157*DE157*VLOOKUP('Données projet'!$B$13,Paramètres!$A$1:$I$89,3,0)*0.475*44/12</f>
        <v>9.4582404994513169E-18</v>
      </c>
      <c r="DI157" s="24">
        <f t="shared" si="175"/>
        <v>1.542454019854167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-1.1368683772161603E-13</v>
      </c>
      <c r="DP157" s="18">
        <f>DO157*VLOOKUP('Données projet'!$B$14,Paramètres!$A$1:$I$89,3,0)*VLOOKUP('Données projet'!$B$14,Paramètres!$A$1:$I$89,5,0)</f>
        <v>-5.3205440053716299E-14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215.23235148064941</v>
      </c>
      <c r="DU157" s="62">
        <f t="shared" si="152"/>
        <v>184.07239726900434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0.26895109070170897</v>
      </c>
      <c r="EB157" s="23">
        <f>EXP(-LN(2)/25)*EB156+(1-EXP(-LN(2)/25))/(LN(2)/25)*Calculateur!DW157*Calculateur!DY157*VLOOKUP('Données projet'!$B$14,Paramètres!$A$1:$I$89,3,0)*0.475*44/12</f>
        <v>0.25238473491075947</v>
      </c>
      <c r="EC157" s="23">
        <f>EXP(-LN(2)/2)*EC156+(1-EXP(-LN(2)/2))/(LN(2)/2)*DW157*DZ157*VLOOKUP('Données projet'!$B$14,Paramètres!$A$1:$I$89,3,0)*0.475*44/12</f>
        <v>2.132013420039559E-18</v>
      </c>
      <c r="ED157" s="24">
        <f t="shared" si="178"/>
        <v>0.5213358256124685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595.72937215414299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1.1368683772161603E-12</v>
      </c>
      <c r="O158" s="14">
        <f>N158*VLOOKUP('Données projet'!$B$9,Paramètres!$A$1:$I$89,3,0)*VLOOKUP('Données projet'!$B$9,Paramètres!$A$1:$I$89,5,0)</f>
        <v>6.3550942286383359E-13</v>
      </c>
      <c r="P158" s="14">
        <f t="shared" si="141"/>
        <v>7.6982260417614606E-12</v>
      </c>
      <c r="Q158" s="22">
        <f t="shared" si="162"/>
        <v>1.4514589267555721E-11</v>
      </c>
      <c r="R158" s="62">
        <f t="shared" si="109"/>
        <v>293.33333333334781</v>
      </c>
      <c r="S158" s="62">
        <f ca="1">AVERAGE(OFFSET($R$3,0,0,'Données projet'!$E$9+1,1))-AVERAGE(OFFSET($H$3,0,0,'Données projet'!$E$9+1,1))</f>
        <v>460.40450534123659</v>
      </c>
      <c r="T158" s="62">
        <f t="shared" si="142"/>
        <v>467.77477728479198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1.0566871908624778</v>
      </c>
      <c r="AA158" s="23">
        <f>EXP(-LN(2)/25)*AA157+(1-EXP(-LN(2)/25))/(LN(2)/25)*Calculateur!V158*Calculateur!X158*VLOOKUP('Données projet'!$B$9,Paramètres!$A$1:$I$89,3,0)*0.475*44/12</f>
        <v>1.3833468799969959</v>
      </c>
      <c r="AB158" s="23">
        <f>EXP(-LN(2)/2)*AB157+(1-EXP(-LN(2)/2))/(LN(2)/2)*V158*Y158*VLOOKUP('Données projet'!$B$9,Paramètres!$A$1:$I$89,3,0)*0.475*44/12</f>
        <v>6.1675052578607423E-18</v>
      </c>
      <c r="AC158" s="24">
        <f t="shared" si="163"/>
        <v>2.4400340708594737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-5.6843418860808015E-13</v>
      </c>
      <c r="AJ158" s="14">
        <f>AI158*VLOOKUP('Données projet'!$B$10,Paramètres!$A$1:$I$89,3,0)*VLOOKUP('Données projet'!$B$10,Paramètres!$A$1:$I$89,5,0)</f>
        <v>-5.1431925385259092E-13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321.03881567735544</v>
      </c>
      <c r="AO158" s="62">
        <f t="shared" si="144"/>
        <v>234.87694492493506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0.20260448618189636</v>
      </c>
      <c r="AV158" s="23">
        <f>EXP(-LN(2)/25)*AV157+(1-EXP(-LN(2)/25))/(LN(2)/25)*Calculateur!AQ158*Calculateur!AS158*VLOOKUP('Données projet'!$B$10,Paramètres!$A$1:$I$89,3,0)*0.475*44/12</f>
        <v>0.4236097422534304</v>
      </c>
      <c r="AW158" s="23">
        <f>EXP(-LN(2)/2)*AW157+(1-EXP(-LN(2)/2))/(LN(2)/2)*AQ158*AT158*VLOOKUP('Données projet'!$B$10,Paramètres!$A$1:$I$89,3,0)*0.475*44/12</f>
        <v>3.3333928194639193E-18</v>
      </c>
      <c r="AX158" s="23">
        <f t="shared" si="166"/>
        <v>0.6262142284353267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255.41017495879987</v>
      </c>
      <c r="BJ158" s="62">
        <f t="shared" si="146"/>
        <v>297.50513563712764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0.70188562975604885</v>
      </c>
      <c r="BQ158" s="23">
        <f>EXP(-LN(2)/25)*BQ157+(1-EXP(-LN(2)/25))/(LN(2)/25)*Calculateur!BL158*Calculateur!BN158*VLOOKUP('Données projet'!$B$11,Paramètres!$A$1:$I$89,3,0)*0.475*44/12</f>
        <v>0.87093336593310744</v>
      </c>
      <c r="BR158" s="23">
        <f>EXP(-LN(2)/2)*BR157+(1-EXP(-LN(2)/2))/(LN(2)/2)*BL158*BO158*VLOOKUP('Données projet'!$B$11,Paramètres!$A$1:$I$89,3,0)*0.475*44/12</f>
        <v>3.7414185729459681E-18</v>
      </c>
      <c r="BS158" s="24">
        <f t="shared" si="169"/>
        <v>1.5728189956891563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5.4683368944097308E-14</v>
      </c>
      <c r="CA158" s="14">
        <f t="shared" si="170"/>
        <v>8.8129432816788268E-13</v>
      </c>
      <c r="CB158" s="22">
        <f t="shared" si="171"/>
        <v>1.6301611558033651E-12</v>
      </c>
      <c r="CC158" s="62">
        <f t="shared" si="119"/>
        <v>293.33333333333496</v>
      </c>
      <c r="CD158" s="62">
        <f ca="1">AVERAGE(OFFSET($CC$3,0,0,'Données projet'!$E$12+1,1))-AVERAGE(OFFSET($H$3,0,0,'Données projet'!$E$12+1,1))</f>
        <v>409.97612835032567</v>
      </c>
      <c r="CE158" s="62">
        <f t="shared" si="148"/>
        <v>411.87876448092288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2.5718109391277215</v>
      </c>
      <c r="CL158" s="23">
        <f>EXP(-LN(2)/25)*CL157+(1-EXP(-LN(2)/25))/(LN(2)/25)*Calculateur!CG158*Calculateur!CI158*VLOOKUP('Données projet'!$B$12,Paramètres!$A$1:$I$89,3,0)*0.475*44/12</f>
        <v>1.6278111714715664</v>
      </c>
      <c r="CM158" s="23">
        <f>EXP(-LN(2)/2)*CM157+(1-EXP(-LN(2)/2))/(LN(2)/2)*CG158*CJ158*VLOOKUP('Données projet'!$B$12,Paramètres!$A$1:$I$89,3,0)*0.475*44/12</f>
        <v>1.4922717122670546E-16</v>
      </c>
      <c r="CN158" s="24">
        <f t="shared" si="172"/>
        <v>4.1996221105992877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-4.5474735088646412E-13</v>
      </c>
      <c r="CU158" s="18">
        <f>CT158*VLOOKUP('Données projet'!$B$13,Paramètres!$A$1:$I$89,3,0)*VLOOKUP('Données projet'!$B$13,Paramètres!$A$1:$I$89,5,0)</f>
        <v>-2.7193891583010558E-13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463.3255103386889</v>
      </c>
      <c r="CZ158" s="62">
        <f t="shared" si="150"/>
        <v>474.73210558736127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0.42040024698929984</v>
      </c>
      <c r="DG158" s="23">
        <f>EXP(-LN(2)/25)*DG157+(1-EXP(-LN(2)/25))/(LN(2)/25)*Calculateur!DB158*Calculateur!DD158*VLOOKUP('Données projet'!$B$13,Paramètres!$A$1:$I$89,3,0)*0.475*44/12</f>
        <v>1.0831924077377062</v>
      </c>
      <c r="DH158" s="23">
        <f>EXP(-LN(2)/2)*DH157+(1-EXP(-LN(2)/2))/(LN(2)/2)*DB158*DE158*VLOOKUP('Données projet'!$B$13,Paramètres!$A$1:$I$89,3,0)*0.475*44/12</f>
        <v>6.6879859952552644E-18</v>
      </c>
      <c r="DI158" s="24">
        <f t="shared" si="175"/>
        <v>1.503592654727006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-1.1368683772161603E-13</v>
      </c>
      <c r="DP158" s="18">
        <f>DO158*VLOOKUP('Données projet'!$B$14,Paramètres!$A$1:$I$89,3,0)*VLOOKUP('Données projet'!$B$14,Paramètres!$A$1:$I$89,5,0)</f>
        <v>-5.3205440053716299E-14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215.23235148064941</v>
      </c>
      <c r="DU158" s="62">
        <f t="shared" si="152"/>
        <v>184.07239726900434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0.2636771238570158</v>
      </c>
      <c r="EB158" s="23">
        <f>EXP(-LN(2)/25)*EB157+(1-EXP(-LN(2)/25))/(LN(2)/25)*Calculateur!DW158*Calculateur!DY158*VLOOKUP('Données projet'!$B$14,Paramètres!$A$1:$I$89,3,0)*0.475*44/12</f>
        <v>0.24548326106228838</v>
      </c>
      <c r="EC158" s="23">
        <f>EXP(-LN(2)/2)*EC157+(1-EXP(-LN(2)/2))/(LN(2)/2)*DW158*DZ158*VLOOKUP('Données projet'!$B$14,Paramètres!$A$1:$I$89,3,0)*0.475*44/12</f>
        <v>1.5075611468906953E-18</v>
      </c>
      <c r="ED158" s="24">
        <f t="shared" si="178"/>
        <v>0.50916038491930415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597.63335904672135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1.1368683772161603E-12</v>
      </c>
      <c r="O159" s="14">
        <f>N159*VLOOKUP('Données projet'!$B$9,Paramètres!$A$1:$I$89,3,0)*VLOOKUP('Données projet'!$B$9,Paramètres!$A$1:$I$89,5,0)</f>
        <v>6.3550942286383359E-13</v>
      </c>
      <c r="P159" s="14">
        <f t="shared" si="141"/>
        <v>7.6982260417614606E-12</v>
      </c>
      <c r="Q159" s="22">
        <f t="shared" si="162"/>
        <v>1.4514589267555721E-11</v>
      </c>
      <c r="R159" s="62">
        <f t="shared" si="109"/>
        <v>293.33333333334781</v>
      </c>
      <c r="S159" s="62">
        <f ca="1">AVERAGE(OFFSET($R$3,0,0,'Données projet'!$E$9+1,1))-AVERAGE(OFFSET($H$3,0,0,'Données projet'!$E$9+1,1))</f>
        <v>460.40450534123659</v>
      </c>
      <c r="T159" s="62">
        <f t="shared" si="142"/>
        <v>467.77477728479198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1.0359661995652103</v>
      </c>
      <c r="AA159" s="23">
        <f>EXP(-LN(2)/25)*AA158+(1-EXP(-LN(2)/25))/(LN(2)/25)*Calculateur!V159*Calculateur!X159*VLOOKUP('Données projet'!$B$9,Paramètres!$A$1:$I$89,3,0)*0.475*44/12</f>
        <v>1.3455191868164273</v>
      </c>
      <c r="AB159" s="23">
        <f>EXP(-LN(2)/2)*AB158+(1-EXP(-LN(2)/2))/(LN(2)/2)*V159*Y159*VLOOKUP('Données projet'!$B$9,Paramètres!$A$1:$I$89,3,0)*0.475*44/12</f>
        <v>4.3610847908370172E-18</v>
      </c>
      <c r="AC159" s="24">
        <f t="shared" si="163"/>
        <v>2.3814853863816374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-5.6843418860808015E-13</v>
      </c>
      <c r="AJ159" s="14">
        <f>AI159*VLOOKUP('Données projet'!$B$10,Paramètres!$A$1:$I$89,3,0)*VLOOKUP('Données projet'!$B$10,Paramètres!$A$1:$I$89,5,0)</f>
        <v>-5.1431925385259092E-13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321.03881567735544</v>
      </c>
      <c r="AO159" s="62">
        <f t="shared" si="144"/>
        <v>234.87694492493506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0.19863153578440376</v>
      </c>
      <c r="AV159" s="23">
        <f>EXP(-LN(2)/25)*AV158+(1-EXP(-LN(2)/25))/(LN(2)/25)*Calculateur!AQ159*Calculateur!AS159*VLOOKUP('Données projet'!$B$10,Paramètres!$A$1:$I$89,3,0)*0.475*44/12</f>
        <v>0.41202611157484215</v>
      </c>
      <c r="AW159" s="23">
        <f>EXP(-LN(2)/2)*AW158+(1-EXP(-LN(2)/2))/(LN(2)/2)*AQ159*AT159*VLOOKUP('Données projet'!$B$10,Paramètres!$A$1:$I$89,3,0)*0.475*44/12</f>
        <v>2.3570646670014823E-18</v>
      </c>
      <c r="AX159" s="23">
        <f t="shared" si="166"/>
        <v>0.61065764735924588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255.41017495879987</v>
      </c>
      <c r="BJ159" s="62">
        <f t="shared" si="146"/>
        <v>297.50513563712764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0.68812208066449476</v>
      </c>
      <c r="BQ159" s="23">
        <f>EXP(-LN(2)/25)*BQ158+(1-EXP(-LN(2)/25))/(LN(2)/25)*Calculateur!BL159*Calculateur!BN159*VLOOKUP('Données projet'!$B$11,Paramètres!$A$1:$I$89,3,0)*0.475*44/12</f>
        <v>0.84711764724127148</v>
      </c>
      <c r="BR159" s="23">
        <f>EXP(-LN(2)/2)*BR158+(1-EXP(-LN(2)/2))/(LN(2)/2)*BL159*BO159*VLOOKUP('Données projet'!$B$11,Paramètres!$A$1:$I$89,3,0)*0.475*44/12</f>
        <v>2.6455824441873896E-18</v>
      </c>
      <c r="BS159" s="24">
        <f t="shared" si="169"/>
        <v>1.5352397279057661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5.4683368944097308E-14</v>
      </c>
      <c r="CA159" s="14">
        <f t="shared" si="170"/>
        <v>8.8129432816788268E-13</v>
      </c>
      <c r="CB159" s="22">
        <f t="shared" si="171"/>
        <v>1.6301611558033651E-12</v>
      </c>
      <c r="CC159" s="62">
        <f t="shared" si="119"/>
        <v>293.33333333333496</v>
      </c>
      <c r="CD159" s="62">
        <f ca="1">AVERAGE(OFFSET($CC$3,0,0,'Données projet'!$E$12+1,1))-AVERAGE(OFFSET($H$3,0,0,'Données projet'!$E$12+1,1))</f>
        <v>409.97612835032567</v>
      </c>
      <c r="CE159" s="62">
        <f t="shared" si="148"/>
        <v>411.87876448092288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2.5213792952612084</v>
      </c>
      <c r="CL159" s="23">
        <f>EXP(-LN(2)/25)*CL158+(1-EXP(-LN(2)/25))/(LN(2)/25)*Calculateur!CG159*Calculateur!CI159*VLOOKUP('Données projet'!$B$12,Paramètres!$A$1:$I$89,3,0)*0.475*44/12</f>
        <v>1.5832985893848073</v>
      </c>
      <c r="CM159" s="23">
        <f>EXP(-LN(2)/2)*CM158+(1-EXP(-LN(2)/2))/(LN(2)/2)*CG159*CJ159*VLOOKUP('Données projet'!$B$12,Paramètres!$A$1:$I$89,3,0)*0.475*44/12</f>
        <v>1.0551954471168948E-16</v>
      </c>
      <c r="CN159" s="24">
        <f t="shared" si="172"/>
        <v>4.1046778846460157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-4.5474735088646412E-13</v>
      </c>
      <c r="CU159" s="18">
        <f>CT159*VLOOKUP('Données projet'!$B$13,Paramètres!$A$1:$I$89,3,0)*VLOOKUP('Données projet'!$B$13,Paramètres!$A$1:$I$89,5,0)</f>
        <v>-2.7193891583010558E-13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463.3255103386889</v>
      </c>
      <c r="CZ159" s="62">
        <f t="shared" si="150"/>
        <v>474.73210558736127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0.41215645456467109</v>
      </c>
      <c r="DG159" s="23">
        <f>EXP(-LN(2)/25)*DG158+(1-EXP(-LN(2)/25))/(LN(2)/25)*Calculateur!DB159*Calculateur!DD159*VLOOKUP('Données projet'!$B$13,Paramètres!$A$1:$I$89,3,0)*0.475*44/12</f>
        <v>1.0535724543855056</v>
      </c>
      <c r="DH159" s="23">
        <f>EXP(-LN(2)/2)*DH158+(1-EXP(-LN(2)/2))/(LN(2)/2)*DB159*DE159*VLOOKUP('Données projet'!$B$13,Paramètres!$A$1:$I$89,3,0)*0.475*44/12</f>
        <v>4.7291202497256585E-18</v>
      </c>
      <c r="DI159" s="24">
        <f t="shared" si="175"/>
        <v>1.4657289089501768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-1.1368683772161603E-13</v>
      </c>
      <c r="DP159" s="18">
        <f>DO159*VLOOKUP('Données projet'!$B$14,Paramètres!$A$1:$I$89,3,0)*VLOOKUP('Données projet'!$B$14,Paramètres!$A$1:$I$89,5,0)</f>
        <v>-5.3205440053716299E-14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215.23235148064941</v>
      </c>
      <c r="DU159" s="62">
        <f t="shared" si="152"/>
        <v>184.07239726900434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0.2585065762853449</v>
      </c>
      <c r="EB159" s="23">
        <f>EXP(-LN(2)/25)*EB158+(1-EXP(-LN(2)/25))/(LN(2)/25)*Calculateur!DW159*Calculateur!DY159*VLOOKUP('Données projet'!$B$14,Paramètres!$A$1:$I$89,3,0)*0.475*44/12</f>
        <v>0.23877050837913646</v>
      </c>
      <c r="EC159" s="23">
        <f>EXP(-LN(2)/2)*EC158+(1-EXP(-LN(2)/2))/(LN(2)/2)*DW159*DZ159*VLOOKUP('Données projet'!$B$14,Paramètres!$A$1:$I$89,3,0)*0.475*44/12</f>
        <v>1.0660067100197795E-18</v>
      </c>
      <c r="ED159" s="24">
        <f t="shared" si="178"/>
        <v>0.49727708466448139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599.53708093011733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1.1368683772161603E-12</v>
      </c>
      <c r="O160" s="14">
        <f>N160*VLOOKUP('Données projet'!$B$9,Paramètres!$A$1:$I$89,3,0)*VLOOKUP('Données projet'!$B$9,Paramètres!$A$1:$I$89,5,0)</f>
        <v>6.3550942286383359E-13</v>
      </c>
      <c r="P160" s="14">
        <f t="shared" si="141"/>
        <v>7.6982260417614606E-12</v>
      </c>
      <c r="Q160" s="22">
        <f t="shared" si="162"/>
        <v>1.4514589267555721E-11</v>
      </c>
      <c r="R160" s="62">
        <f t="shared" si="109"/>
        <v>293.33333333334781</v>
      </c>
      <c r="S160" s="62">
        <f ca="1">AVERAGE(OFFSET($R$3,0,0,'Données projet'!$E$9+1,1))-AVERAGE(OFFSET($H$3,0,0,'Données projet'!$E$9+1,1))</f>
        <v>460.40450534123659</v>
      </c>
      <c r="T160" s="62">
        <f t="shared" si="142"/>
        <v>467.77477728479198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1.0156515342687256</v>
      </c>
      <c r="AA160" s="23">
        <f>EXP(-LN(2)/25)*AA159+(1-EXP(-LN(2)/25))/(LN(2)/25)*Calculateur!V160*Calculateur!X160*VLOOKUP('Données projet'!$B$9,Paramètres!$A$1:$I$89,3,0)*0.475*44/12</f>
        <v>1.3087258938951534</v>
      </c>
      <c r="AB160" s="23">
        <f>EXP(-LN(2)/2)*AB159+(1-EXP(-LN(2)/2))/(LN(2)/2)*V160*Y160*VLOOKUP('Données projet'!$B$9,Paramètres!$A$1:$I$89,3,0)*0.475*44/12</f>
        <v>3.0837526289303711E-18</v>
      </c>
      <c r="AC160" s="24">
        <f t="shared" si="163"/>
        <v>2.3243774281638787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-5.6843418860808015E-13</v>
      </c>
      <c r="AJ160" s="14">
        <f>AI160*VLOOKUP('Données projet'!$B$10,Paramètres!$A$1:$I$89,3,0)*VLOOKUP('Données projet'!$B$10,Paramètres!$A$1:$I$89,5,0)</f>
        <v>-5.1431925385259092E-13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321.03881567735544</v>
      </c>
      <c r="AO160" s="62">
        <f t="shared" si="144"/>
        <v>234.87694492493506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0.19473649252094555</v>
      </c>
      <c r="AV160" s="23">
        <f>EXP(-LN(2)/25)*AV159+(1-EXP(-LN(2)/25))/(LN(2)/25)*Calculateur!AQ160*Calculateur!AS160*VLOOKUP('Données projet'!$B$10,Paramètres!$A$1:$I$89,3,0)*0.475*44/12</f>
        <v>0.40075923588631657</v>
      </c>
      <c r="AW160" s="23">
        <f>EXP(-LN(2)/2)*AW159+(1-EXP(-LN(2)/2))/(LN(2)/2)*AQ160*AT160*VLOOKUP('Données projet'!$B$10,Paramètres!$A$1:$I$89,3,0)*0.475*44/12</f>
        <v>1.6666964097319596E-18</v>
      </c>
      <c r="AX160" s="23">
        <f t="shared" si="166"/>
        <v>0.59549572840726217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255.41017495879987</v>
      </c>
      <c r="BJ160" s="62">
        <f t="shared" si="146"/>
        <v>297.50513563712764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0.67462842637568998</v>
      </c>
      <c r="BQ160" s="23">
        <f>EXP(-LN(2)/25)*BQ159+(1-EXP(-LN(2)/25))/(LN(2)/25)*Calculateur!BL160*Calculateur!BN160*VLOOKUP('Données projet'!$B$11,Paramètres!$A$1:$I$89,3,0)*0.475*44/12</f>
        <v>0.82395317062947793</v>
      </c>
      <c r="BR160" s="23">
        <f>EXP(-LN(2)/2)*BR159+(1-EXP(-LN(2)/2))/(LN(2)/2)*BL160*BO160*VLOOKUP('Données projet'!$B$11,Paramètres!$A$1:$I$89,3,0)*0.475*44/12</f>
        <v>1.8707092864729841E-18</v>
      </c>
      <c r="BS160" s="24">
        <f t="shared" si="169"/>
        <v>1.4985815970051679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5.4683368944097308E-14</v>
      </c>
      <c r="CA160" s="14">
        <f t="shared" si="170"/>
        <v>8.8129432816788268E-13</v>
      </c>
      <c r="CB160" s="22">
        <f t="shared" si="171"/>
        <v>1.6301611558033651E-12</v>
      </c>
      <c r="CC160" s="62">
        <f t="shared" si="119"/>
        <v>293.33333333333496</v>
      </c>
      <c r="CD160" s="62">
        <f ca="1">AVERAGE(OFFSET($CC$3,0,0,'Données projet'!$E$12+1,1))-AVERAGE(OFFSET($H$3,0,0,'Données projet'!$E$12+1,1))</f>
        <v>409.97612835032567</v>
      </c>
      <c r="CE160" s="62">
        <f t="shared" si="148"/>
        <v>411.87876448092288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2.4719365851706523</v>
      </c>
      <c r="CL160" s="23">
        <f>EXP(-LN(2)/25)*CL159+(1-EXP(-LN(2)/25))/(LN(2)/25)*Calculateur!CG160*Calculateur!CI160*VLOOKUP('Données projet'!$B$12,Paramètres!$A$1:$I$89,3,0)*0.475*44/12</f>
        <v>1.5400032061960256</v>
      </c>
      <c r="CM160" s="23">
        <f>EXP(-LN(2)/2)*CM159+(1-EXP(-LN(2)/2))/(LN(2)/2)*CG160*CJ160*VLOOKUP('Données projet'!$B$12,Paramètres!$A$1:$I$89,3,0)*0.475*44/12</f>
        <v>7.4613585613352729E-17</v>
      </c>
      <c r="CN160" s="24">
        <f t="shared" si="172"/>
        <v>4.0119397913666779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-4.5474735088646412E-13</v>
      </c>
      <c r="CU160" s="18">
        <f>CT160*VLOOKUP('Données projet'!$B$13,Paramètres!$A$1:$I$89,3,0)*VLOOKUP('Données projet'!$B$13,Paramètres!$A$1:$I$89,5,0)</f>
        <v>-2.7193891583010558E-13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463.3255103386889</v>
      </c>
      <c r="CZ160" s="62">
        <f t="shared" si="150"/>
        <v>474.73210558736127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0.4040743178812724</v>
      </c>
      <c r="DG160" s="23">
        <f>EXP(-LN(2)/25)*DG159+(1-EXP(-LN(2)/25))/(LN(2)/25)*Calculateur!DB160*Calculateur!DD160*VLOOKUP('Données projet'!$B$13,Paramètres!$A$1:$I$89,3,0)*0.475*44/12</f>
        <v>1.0247624602153667</v>
      </c>
      <c r="DH160" s="23">
        <f>EXP(-LN(2)/2)*DH159+(1-EXP(-LN(2)/2))/(LN(2)/2)*DB160*DE160*VLOOKUP('Données projet'!$B$13,Paramètres!$A$1:$I$89,3,0)*0.475*44/12</f>
        <v>3.3439929976276322E-18</v>
      </c>
      <c r="DI160" s="24">
        <f t="shared" si="175"/>
        <v>1.4288367780966391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-1.1368683772161603E-13</v>
      </c>
      <c r="DP160" s="18">
        <f>DO160*VLOOKUP('Données projet'!$B$14,Paramètres!$A$1:$I$89,3,0)*VLOOKUP('Données projet'!$B$14,Paramètres!$A$1:$I$89,5,0)</f>
        <v>-5.3205440053716299E-14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215.23235148064941</v>
      </c>
      <c r="DU160" s="62">
        <f t="shared" si="152"/>
        <v>184.07239726900434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0.25343741999783187</v>
      </c>
      <c r="EB160" s="23">
        <f>EXP(-LN(2)/25)*EB159+(1-EXP(-LN(2)/25))/(LN(2)/25)*Calculateur!DW160*Calculateur!DY160*VLOOKUP('Données projet'!$B$14,Paramètres!$A$1:$I$89,3,0)*0.475*44/12</f>
        <v>0.23224131627111366</v>
      </c>
      <c r="EC160" s="23">
        <f>EXP(-LN(2)/2)*EC159+(1-EXP(-LN(2)/2))/(LN(2)/2)*DW160*DZ160*VLOOKUP('Données projet'!$B$14,Paramètres!$A$1:$I$89,3,0)*0.475*44/12</f>
        <v>7.5378057344534765E-19</v>
      </c>
      <c r="ED160" s="24">
        <f t="shared" si="178"/>
        <v>0.48567873626894553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601.44053968809271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1.1368683772161603E-12</v>
      </c>
      <c r="O161" s="14">
        <f>N161*VLOOKUP('Données projet'!$B$9,Paramètres!$A$1:$I$89,3,0)*VLOOKUP('Données projet'!$B$9,Paramètres!$A$1:$I$89,5,0)</f>
        <v>6.3550942286383359E-13</v>
      </c>
      <c r="P161" s="14">
        <f t="shared" si="141"/>
        <v>7.6982260417614606E-12</v>
      </c>
      <c r="Q161" s="22">
        <f t="shared" si="162"/>
        <v>1.4514589267555721E-11</v>
      </c>
      <c r="R161" s="62">
        <f t="shared" si="109"/>
        <v>293.33333333334781</v>
      </c>
      <c r="S161" s="62">
        <f ca="1">AVERAGE(OFFSET($R$3,0,0,'Données projet'!$E$9+1,1))-AVERAGE(OFFSET($H$3,0,0,'Données projet'!$E$9+1,1))</f>
        <v>460.40450534123659</v>
      </c>
      <c r="T161" s="62">
        <f t="shared" si="142"/>
        <v>467.77477728479198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0.99573522716798257</v>
      </c>
      <c r="AA161" s="23">
        <f>EXP(-LN(2)/25)*AA160+(1-EXP(-LN(2)/25))/(LN(2)/25)*Calculateur!V161*Calculateur!X161*VLOOKUP('Données projet'!$B$9,Paramètres!$A$1:$I$89,3,0)*0.475*44/12</f>
        <v>1.2729387155036869</v>
      </c>
      <c r="AB161" s="23">
        <f>EXP(-LN(2)/2)*AB160+(1-EXP(-LN(2)/2))/(LN(2)/2)*V161*Y161*VLOOKUP('Données projet'!$B$9,Paramètres!$A$1:$I$89,3,0)*0.475*44/12</f>
        <v>2.1805423954185086E-18</v>
      </c>
      <c r="AC161" s="24">
        <f t="shared" si="163"/>
        <v>2.2686739426716693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-5.6843418860808015E-13</v>
      </c>
      <c r="AJ161" s="14">
        <f>AI161*VLOOKUP('Données projet'!$B$10,Paramètres!$A$1:$I$89,3,0)*VLOOKUP('Données projet'!$B$10,Paramètres!$A$1:$I$89,5,0)</f>
        <v>-5.1431925385259092E-13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321.03881567735544</v>
      </c>
      <c r="AO161" s="62">
        <f t="shared" si="144"/>
        <v>234.87694492493506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0.19091782868014193</v>
      </c>
      <c r="AV161" s="23">
        <f>EXP(-LN(2)/25)*AV160+(1-EXP(-LN(2)/25))/(LN(2)/25)*Calculateur!AQ161*Calculateur!AS161*VLOOKUP('Données projet'!$B$10,Paramètres!$A$1:$I$89,3,0)*0.475*44/12</f>
        <v>0.38980045350599296</v>
      </c>
      <c r="AW161" s="23">
        <f>EXP(-LN(2)/2)*AW160+(1-EXP(-LN(2)/2))/(LN(2)/2)*AQ161*AT161*VLOOKUP('Données projet'!$B$10,Paramètres!$A$1:$I$89,3,0)*0.475*44/12</f>
        <v>1.1785323335007411E-18</v>
      </c>
      <c r="AX161" s="23">
        <f t="shared" si="166"/>
        <v>0.58071828218613486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255.41017495879987</v>
      </c>
      <c r="BJ161" s="62">
        <f t="shared" si="146"/>
        <v>297.50513563712764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0.66139937441717223</v>
      </c>
      <c r="BQ161" s="23">
        <f>EXP(-LN(2)/25)*BQ160+(1-EXP(-LN(2)/25))/(LN(2)/25)*Calculateur!BL161*Calculateur!BN161*VLOOKUP('Données projet'!$B$11,Paramètres!$A$1:$I$89,3,0)*0.475*44/12</f>
        <v>0.80142212784880074</v>
      </c>
      <c r="BR161" s="23">
        <f>EXP(-LN(2)/2)*BR160+(1-EXP(-LN(2)/2))/(LN(2)/2)*BL161*BO161*VLOOKUP('Données projet'!$B$11,Paramètres!$A$1:$I$89,3,0)*0.475*44/12</f>
        <v>1.3227912220936948E-18</v>
      </c>
      <c r="BS161" s="24">
        <f t="shared" si="169"/>
        <v>1.462821502265973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5.4683368944097308E-14</v>
      </c>
      <c r="CA161" s="14">
        <f t="shared" si="170"/>
        <v>8.8129432816788268E-13</v>
      </c>
      <c r="CB161" s="22">
        <f t="shared" si="171"/>
        <v>1.6301611558033651E-12</v>
      </c>
      <c r="CC161" s="62">
        <f t="shared" si="119"/>
        <v>293.33333333333496</v>
      </c>
      <c r="CD161" s="62">
        <f ca="1">AVERAGE(OFFSET($CC$3,0,0,'Données projet'!$E$12+1,1))-AVERAGE(OFFSET($H$3,0,0,'Données projet'!$E$12+1,1))</f>
        <v>409.97612835032567</v>
      </c>
      <c r="CE161" s="62">
        <f t="shared" si="148"/>
        <v>411.87876448092288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2.4234634164678965</v>
      </c>
      <c r="CL161" s="23">
        <f>EXP(-LN(2)/25)*CL160+(1-EXP(-LN(2)/25))/(LN(2)/25)*Calculateur!CG161*Calculateur!CI161*VLOOKUP('Données projet'!$B$12,Paramètres!$A$1:$I$89,3,0)*0.475*44/12</f>
        <v>1.4978917375373464</v>
      </c>
      <c r="CM161" s="23">
        <f>EXP(-LN(2)/2)*CM160+(1-EXP(-LN(2)/2))/(LN(2)/2)*CG161*CJ161*VLOOKUP('Données projet'!$B$12,Paramètres!$A$1:$I$89,3,0)*0.475*44/12</f>
        <v>5.2759772355844739E-17</v>
      </c>
      <c r="CN161" s="24">
        <f t="shared" si="172"/>
        <v>3.9213551540052429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-4.5474735088646412E-13</v>
      </c>
      <c r="CU161" s="18">
        <f>CT161*VLOOKUP('Données projet'!$B$13,Paramètres!$A$1:$I$89,3,0)*VLOOKUP('Données projet'!$B$13,Paramètres!$A$1:$I$89,5,0)</f>
        <v>-2.7193891583010558E-13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463.3255103386889</v>
      </c>
      <c r="CZ161" s="62">
        <f t="shared" si="150"/>
        <v>474.73210558736127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0.39615066696861856</v>
      </c>
      <c r="DG161" s="23">
        <f>EXP(-LN(2)/25)*DG160+(1-EXP(-LN(2)/25))/(LN(2)/25)*Calculateur!DB161*Calculateur!DD161*VLOOKUP('Données projet'!$B$13,Paramètres!$A$1:$I$89,3,0)*0.475*44/12</f>
        <v>0.99674027685086175</v>
      </c>
      <c r="DH161" s="23">
        <f>EXP(-LN(2)/2)*DH160+(1-EXP(-LN(2)/2))/(LN(2)/2)*DB161*DE161*VLOOKUP('Données projet'!$B$13,Paramètres!$A$1:$I$89,3,0)*0.475*44/12</f>
        <v>2.3645601248628292E-18</v>
      </c>
      <c r="DI161" s="24">
        <f t="shared" si="175"/>
        <v>1.3928909438194803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-1.1368683772161603E-13</v>
      </c>
      <c r="DP161" s="18">
        <f>DO161*VLOOKUP('Données projet'!$B$14,Paramètres!$A$1:$I$89,3,0)*VLOOKUP('Données projet'!$B$14,Paramètres!$A$1:$I$89,5,0)</f>
        <v>-5.3205440053716299E-14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215.23235148064941</v>
      </c>
      <c r="DU161" s="62">
        <f t="shared" si="152"/>
        <v>184.07239726900434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0.24846766677323692</v>
      </c>
      <c r="EB161" s="23">
        <f>EXP(-LN(2)/25)*EB160+(1-EXP(-LN(2)/25))/(LN(2)/25)*Calculateur!DW161*Calculateur!DY161*VLOOKUP('Données projet'!$B$14,Paramètres!$A$1:$I$89,3,0)*0.475*44/12</f>
        <v>0.22589066526464002</v>
      </c>
      <c r="EC161" s="23">
        <f>EXP(-LN(2)/2)*EC160+(1-EXP(-LN(2)/2))/(LN(2)/2)*DW161*DZ161*VLOOKUP('Données projet'!$B$14,Paramètres!$A$1:$I$89,3,0)*0.475*44/12</f>
        <v>5.3300335500988974E-19</v>
      </c>
      <c r="ED161" s="24">
        <f t="shared" si="178"/>
        <v>0.47435833203787692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603.34373717918538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1.1368683772161603E-12</v>
      </c>
      <c r="O162" s="14">
        <f>N162*VLOOKUP('Données projet'!$B$9,Paramètres!$A$1:$I$89,3,0)*VLOOKUP('Données projet'!$B$9,Paramètres!$A$1:$I$89,5,0)</f>
        <v>6.3550942286383359E-13</v>
      </c>
      <c r="P162" s="14">
        <f t="shared" si="141"/>
        <v>7.6982260417614606E-12</v>
      </c>
      <c r="Q162" s="22">
        <f t="shared" si="162"/>
        <v>1.4514589267555721E-11</v>
      </c>
      <c r="R162" s="62">
        <f t="shared" si="109"/>
        <v>293.33333333334781</v>
      </c>
      <c r="S162" s="62">
        <f ca="1">AVERAGE(OFFSET($R$3,0,0,'Données projet'!$E$9+1,1))-AVERAGE(OFFSET($H$3,0,0,'Données projet'!$E$9+1,1))</f>
        <v>460.40450534123659</v>
      </c>
      <c r="T162" s="62">
        <f t="shared" si="142"/>
        <v>467.77477728479198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0.97620946670173736</v>
      </c>
      <c r="AA162" s="23">
        <f>EXP(-LN(2)/25)*AA161+(1-EXP(-LN(2)/25))/(LN(2)/25)*Calculateur!V162*Calculateur!X162*VLOOKUP('Données projet'!$B$9,Paramètres!$A$1:$I$89,3,0)*0.475*44/12</f>
        <v>1.2381301393873008</v>
      </c>
      <c r="AB162" s="23">
        <f>EXP(-LN(2)/2)*AB161+(1-EXP(-LN(2)/2))/(LN(2)/2)*V162*Y162*VLOOKUP('Données projet'!$B$9,Paramètres!$A$1:$I$89,3,0)*0.475*44/12</f>
        <v>1.5418763144651856E-18</v>
      </c>
      <c r="AC162" s="24">
        <f t="shared" si="163"/>
        <v>2.2143396060890383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-5.6843418860808015E-13</v>
      </c>
      <c r="AJ162" s="14">
        <f>AI162*VLOOKUP('Données projet'!$B$10,Paramètres!$A$1:$I$89,3,0)*VLOOKUP('Données projet'!$B$10,Paramètres!$A$1:$I$89,5,0)</f>
        <v>-5.1431925385259092E-13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321.03881567735544</v>
      </c>
      <c r="AO162" s="62">
        <f t="shared" si="144"/>
        <v>234.87694492493506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0.18717404650810152</v>
      </c>
      <c r="AV162" s="23">
        <f>EXP(-LN(2)/25)*AV161+(1-EXP(-LN(2)/25))/(LN(2)/25)*Calculateur!AQ162*Calculateur!AS162*VLOOKUP('Données projet'!$B$10,Paramètres!$A$1:$I$89,3,0)*0.475*44/12</f>
        <v>0.37914133960615665</v>
      </c>
      <c r="AW162" s="23">
        <f>EXP(-LN(2)/2)*AW161+(1-EXP(-LN(2)/2))/(LN(2)/2)*AQ162*AT162*VLOOKUP('Données projet'!$B$10,Paramètres!$A$1:$I$89,3,0)*0.475*44/12</f>
        <v>8.3334820486597982E-19</v>
      </c>
      <c r="AX162" s="23">
        <f t="shared" si="166"/>
        <v>0.56631538611425813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255.41017495879987</v>
      </c>
      <c r="BJ162" s="62">
        <f t="shared" si="146"/>
        <v>297.50513563712764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0.64842973609863608</v>
      </c>
      <c r="BQ162" s="23">
        <f>EXP(-LN(2)/25)*BQ161+(1-EXP(-LN(2)/25))/(LN(2)/25)*Calculateur!BL162*Calculateur!BN162*VLOOKUP('Données projet'!$B$11,Paramètres!$A$1:$I$89,3,0)*0.475*44/12</f>
        <v>0.77950719761781728</v>
      </c>
      <c r="BR162" s="23">
        <f>EXP(-LN(2)/2)*BR161+(1-EXP(-LN(2)/2))/(LN(2)/2)*BL162*BO162*VLOOKUP('Données projet'!$B$11,Paramètres!$A$1:$I$89,3,0)*0.475*44/12</f>
        <v>9.3535464323649203E-19</v>
      </c>
      <c r="BS162" s="24">
        <f t="shared" si="169"/>
        <v>1.4279369337164534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5.4683368944097308E-14</v>
      </c>
      <c r="CA162" s="14">
        <f t="shared" si="170"/>
        <v>8.8129432816788268E-13</v>
      </c>
      <c r="CB162" s="22">
        <f t="shared" si="171"/>
        <v>1.6301611558033651E-12</v>
      </c>
      <c r="CC162" s="62">
        <f t="shared" si="119"/>
        <v>293.33333333333496</v>
      </c>
      <c r="CD162" s="62">
        <f ca="1">AVERAGE(OFFSET($CC$3,0,0,'Données projet'!$E$12+1,1))-AVERAGE(OFFSET($H$3,0,0,'Données projet'!$E$12+1,1))</f>
        <v>409.97612835032567</v>
      </c>
      <c r="CE162" s="62">
        <f t="shared" si="148"/>
        <v>411.87876448092288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2.3759407770376884</v>
      </c>
      <c r="CL162" s="23">
        <f>EXP(-LN(2)/25)*CL161+(1-EXP(-LN(2)/25))/(LN(2)/25)*Calculateur!CG162*Calculateur!CI162*VLOOKUP('Données projet'!$B$12,Paramètres!$A$1:$I$89,3,0)*0.475*44/12</f>
        <v>1.4569318092036847</v>
      </c>
      <c r="CM162" s="23">
        <f>EXP(-LN(2)/2)*CM161+(1-EXP(-LN(2)/2))/(LN(2)/2)*CG162*CJ162*VLOOKUP('Données projet'!$B$12,Paramètres!$A$1:$I$89,3,0)*0.475*44/12</f>
        <v>3.7306792806676364E-17</v>
      </c>
      <c r="CN162" s="24">
        <f t="shared" si="172"/>
        <v>3.8328725862413728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-4.5474735088646412E-13</v>
      </c>
      <c r="CU162" s="18">
        <f>CT162*VLOOKUP('Données projet'!$B$13,Paramètres!$A$1:$I$89,3,0)*VLOOKUP('Données projet'!$B$13,Paramètres!$A$1:$I$89,5,0)</f>
        <v>-2.7193891583010558E-13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463.3255103386889</v>
      </c>
      <c r="CZ162" s="62">
        <f t="shared" si="150"/>
        <v>474.73210558736127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0.38838239401741204</v>
      </c>
      <c r="DG162" s="23">
        <f>EXP(-LN(2)/25)*DG161+(1-EXP(-LN(2)/25))/(LN(2)/25)*Calculateur!DB162*Calculateur!DD162*VLOOKUP('Données projet'!$B$13,Paramètres!$A$1:$I$89,3,0)*0.475*44/12</f>
        <v>0.96948436156408191</v>
      </c>
      <c r="DH162" s="23">
        <f>EXP(-LN(2)/2)*DH161+(1-EXP(-LN(2)/2))/(LN(2)/2)*DB162*DE162*VLOOKUP('Données projet'!$B$13,Paramètres!$A$1:$I$89,3,0)*0.475*44/12</f>
        <v>1.6719964988138161E-18</v>
      </c>
      <c r="DI162" s="24">
        <f t="shared" si="175"/>
        <v>1.3578667555814938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-1.1368683772161603E-13</v>
      </c>
      <c r="DP162" s="18">
        <f>DO162*VLOOKUP('Données projet'!$B$14,Paramètres!$A$1:$I$89,3,0)*VLOOKUP('Données projet'!$B$14,Paramètres!$A$1:$I$89,5,0)</f>
        <v>-5.3205440053716299E-14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215.23235148064941</v>
      </c>
      <c r="DU162" s="62">
        <f t="shared" si="152"/>
        <v>184.07239726900434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0.24359536737812612</v>
      </c>
      <c r="EB162" s="23">
        <f>EXP(-LN(2)/25)*EB161+(1-EXP(-LN(2)/25))/(LN(2)/25)*Calculateur!DW162*Calculateur!DY162*VLOOKUP('Données projet'!$B$14,Paramètres!$A$1:$I$89,3,0)*0.475*44/12</f>
        <v>0.21971367314390464</v>
      </c>
      <c r="EC162" s="23">
        <f>EXP(-LN(2)/2)*EC161+(1-EXP(-LN(2)/2))/(LN(2)/2)*DW162*DZ162*VLOOKUP('Données projet'!$B$14,Paramètres!$A$1:$I$89,3,0)*0.475*44/12</f>
        <v>3.7689028672267382E-19</v>
      </c>
      <c r="ED162" s="24">
        <f t="shared" si="178"/>
        <v>0.46330904052203076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605.24667523720336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1.1368683772161603E-12</v>
      </c>
      <c r="O163" s="14">
        <f>N163*VLOOKUP('Données projet'!$B$9,Paramètres!$A$1:$I$89,3,0)*VLOOKUP('Données projet'!$B$9,Paramètres!$A$1:$I$89,5,0)</f>
        <v>6.3550942286383359E-13</v>
      </c>
      <c r="P163" s="14">
        <f t="shared" si="141"/>
        <v>7.6982260417614606E-12</v>
      </c>
      <c r="Q163" s="22">
        <f t="shared" si="162"/>
        <v>1.4514589267555721E-11</v>
      </c>
      <c r="R163" s="62">
        <f t="shared" si="109"/>
        <v>293.33333333334781</v>
      </c>
      <c r="S163" s="62">
        <f ca="1">AVERAGE(OFFSET($R$3,0,0,'Données projet'!$E$9+1,1))-AVERAGE(OFFSET($H$3,0,0,'Données projet'!$E$9+1,1))</f>
        <v>460.40450534123659</v>
      </c>
      <c r="T163" s="62">
        <f t="shared" si="142"/>
        <v>467.77477728479198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0.95706659448869724</v>
      </c>
      <c r="AA163" s="23">
        <f>EXP(-LN(2)/25)*AA162+(1-EXP(-LN(2)/25))/(LN(2)/25)*Calculateur!V163*Calculateur!X163*VLOOKUP('Données projet'!$B$9,Paramètres!$A$1:$I$89,3,0)*0.475*44/12</f>
        <v>1.2042734056153208</v>
      </c>
      <c r="AB163" s="23">
        <f>EXP(-LN(2)/2)*AB162+(1-EXP(-LN(2)/2))/(LN(2)/2)*V163*Y163*VLOOKUP('Données projet'!$B$9,Paramètres!$A$1:$I$89,3,0)*0.475*44/12</f>
        <v>1.0902711977092543E-18</v>
      </c>
      <c r="AC163" s="24">
        <f t="shared" si="163"/>
        <v>2.1613400001040182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-5.6843418860808015E-13</v>
      </c>
      <c r="AJ163" s="14">
        <f>AI163*VLOOKUP('Données projet'!$B$10,Paramètres!$A$1:$I$89,3,0)*VLOOKUP('Données projet'!$B$10,Paramètres!$A$1:$I$89,5,0)</f>
        <v>-5.1431925385259092E-13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321.03881567735544</v>
      </c>
      <c r="AO163" s="62">
        <f t="shared" si="144"/>
        <v>234.87694492493506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0.18350367762097317</v>
      </c>
      <c r="AV163" s="23">
        <f>EXP(-LN(2)/25)*AV162+(1-EXP(-LN(2)/25))/(LN(2)/25)*Calculateur!AQ163*Calculateur!AS163*VLOOKUP('Données projet'!$B$10,Paramètres!$A$1:$I$89,3,0)*0.475*44/12</f>
        <v>0.3687736997364498</v>
      </c>
      <c r="AW163" s="23">
        <f>EXP(-LN(2)/2)*AW162+(1-EXP(-LN(2)/2))/(LN(2)/2)*AQ163*AT163*VLOOKUP('Données projet'!$B$10,Paramètres!$A$1:$I$89,3,0)*0.475*44/12</f>
        <v>5.8926616675037057E-19</v>
      </c>
      <c r="AX163" s="23">
        <f t="shared" si="166"/>
        <v>0.55227737735742299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255.41017495879987</v>
      </c>
      <c r="BJ163" s="62">
        <f t="shared" si="146"/>
        <v>297.50513563712764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0.63571442447682813</v>
      </c>
      <c r="BQ163" s="23">
        <f>EXP(-LN(2)/25)*BQ162+(1-EXP(-LN(2)/25))/(LN(2)/25)*Calculateur!BL163*Calculateur!BN163*VLOOKUP('Données projet'!$B$11,Paramètres!$A$1:$I$89,3,0)*0.475*44/12</f>
        <v>0.75819153230645608</v>
      </c>
      <c r="BR163" s="23">
        <f>EXP(-LN(2)/2)*BR162+(1-EXP(-LN(2)/2))/(LN(2)/2)*BL163*BO163*VLOOKUP('Données projet'!$B$11,Paramètres!$A$1:$I$89,3,0)*0.475*44/12</f>
        <v>6.613956110468474E-19</v>
      </c>
      <c r="BS163" s="24">
        <f t="shared" si="169"/>
        <v>1.3939059567832843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5.4683368944097308E-14</v>
      </c>
      <c r="CA163" s="14">
        <f t="shared" si="170"/>
        <v>8.8129432816788268E-13</v>
      </c>
      <c r="CB163" s="22">
        <f t="shared" si="171"/>
        <v>1.6301611558033651E-12</v>
      </c>
      <c r="CC163" s="62">
        <f t="shared" si="119"/>
        <v>293.33333333333496</v>
      </c>
      <c r="CD163" s="62">
        <f ca="1">AVERAGE(OFFSET($CC$3,0,0,'Données projet'!$E$12+1,1))-AVERAGE(OFFSET($H$3,0,0,'Données projet'!$E$12+1,1))</f>
        <v>409.97612835032567</v>
      </c>
      <c r="CE163" s="62">
        <f t="shared" si="148"/>
        <v>411.87876448092288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2.3293500275807584</v>
      </c>
      <c r="CL163" s="23">
        <f>EXP(-LN(2)/25)*CL162+(1-EXP(-LN(2)/25))/(LN(2)/25)*Calculateur!CG163*Calculateur!CI163*VLOOKUP('Données projet'!$B$12,Paramètres!$A$1:$I$89,3,0)*0.475*44/12</f>
        <v>1.4170919322642959</v>
      </c>
      <c r="CM163" s="23">
        <f>EXP(-LN(2)/2)*CM162+(1-EXP(-LN(2)/2))/(LN(2)/2)*CG163*CJ163*VLOOKUP('Données projet'!$B$12,Paramètres!$A$1:$I$89,3,0)*0.475*44/12</f>
        <v>2.6379886177922369E-17</v>
      </c>
      <c r="CN163" s="24">
        <f t="shared" si="172"/>
        <v>3.746441959845054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-4.5474735088646412E-13</v>
      </c>
      <c r="CU163" s="18">
        <f>CT163*VLOOKUP('Données projet'!$B$13,Paramètres!$A$1:$I$89,3,0)*VLOOKUP('Données projet'!$B$13,Paramètres!$A$1:$I$89,5,0)</f>
        <v>-2.7193891583010558E-13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463.3255103386889</v>
      </c>
      <c r="CZ163" s="62">
        <f t="shared" si="150"/>
        <v>474.73210558736127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0.38076645216060001</v>
      </c>
      <c r="DG163" s="23">
        <f>EXP(-LN(2)/25)*DG162+(1-EXP(-LN(2)/25))/(LN(2)/25)*Calculateur!DB163*Calculateur!DD163*VLOOKUP('Données projet'!$B$13,Paramètres!$A$1:$I$89,3,0)*0.475*44/12</f>
        <v>0.94297376071414529</v>
      </c>
      <c r="DH163" s="23">
        <f>EXP(-LN(2)/2)*DH162+(1-EXP(-LN(2)/2))/(LN(2)/2)*DB163*DE163*VLOOKUP('Données projet'!$B$13,Paramètres!$A$1:$I$89,3,0)*0.475*44/12</f>
        <v>1.1822800624314146E-18</v>
      </c>
      <c r="DI163" s="24">
        <f t="shared" si="175"/>
        <v>1.3237402128747453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-1.1368683772161603E-13</v>
      </c>
      <c r="DP163" s="18">
        <f>DO163*VLOOKUP('Données projet'!$B$14,Paramètres!$A$1:$I$89,3,0)*VLOOKUP('Données projet'!$B$14,Paramètres!$A$1:$I$89,5,0)</f>
        <v>-5.3205440053716299E-14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215.23235148064941</v>
      </c>
      <c r="DU163" s="62">
        <f t="shared" si="152"/>
        <v>184.07239726900434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0.23881861080234426</v>
      </c>
      <c r="EB163" s="23">
        <f>EXP(-LN(2)/25)*EB162+(1-EXP(-LN(2)/25))/(LN(2)/25)*Calculateur!DW163*Calculateur!DY163*VLOOKUP('Données projet'!$B$14,Paramètres!$A$1:$I$89,3,0)*0.475*44/12</f>
        <v>0.21370559119754465</v>
      </c>
      <c r="EC163" s="23">
        <f>EXP(-LN(2)/2)*EC162+(1-EXP(-LN(2)/2))/(LN(2)/2)*DW163*DZ163*VLOOKUP('Données projet'!$B$14,Paramètres!$A$1:$I$89,3,0)*0.475*44/12</f>
        <v>2.6650167750494487E-19</v>
      </c>
      <c r="ED163" s="24">
        <f t="shared" si="178"/>
        <v>0.45252420199988891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607.14935567170596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1.1368683772161603E-12</v>
      </c>
      <c r="O164" s="14">
        <f>N164*VLOOKUP('Données projet'!$B$9,Paramètres!$A$1:$I$89,3,0)*VLOOKUP('Données projet'!$B$9,Paramètres!$A$1:$I$89,5,0)</f>
        <v>6.3550942286383359E-13</v>
      </c>
      <c r="P164" s="14">
        <f t="shared" si="141"/>
        <v>7.6982260417614606E-12</v>
      </c>
      <c r="Q164" s="22">
        <f t="shared" si="162"/>
        <v>1.4514589267555721E-11</v>
      </c>
      <c r="R164" s="62">
        <f t="shared" si="109"/>
        <v>293.33333333334781</v>
      </c>
      <c r="S164" s="62">
        <f ca="1">AVERAGE(OFFSET($R$3,0,0,'Données projet'!$E$9+1,1))-AVERAGE(OFFSET($H$3,0,0,'Données projet'!$E$9+1,1))</f>
        <v>460.40450534123659</v>
      </c>
      <c r="T164" s="62">
        <f t="shared" si="142"/>
        <v>467.77477728479198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0.93829910232375568</v>
      </c>
      <c r="AA164" s="23">
        <f>EXP(-LN(2)/25)*AA163+(1-EXP(-LN(2)/25))/(LN(2)/25)*Calculateur!V164*Calculateur!X164*VLOOKUP('Données projet'!$B$9,Paramètres!$A$1:$I$89,3,0)*0.475*44/12</f>
        <v>1.1713424860087838</v>
      </c>
      <c r="AB164" s="23">
        <f>EXP(-LN(2)/2)*AB163+(1-EXP(-LN(2)/2))/(LN(2)/2)*V164*Y164*VLOOKUP('Données projet'!$B$9,Paramètres!$A$1:$I$89,3,0)*0.475*44/12</f>
        <v>7.7093815723259278E-19</v>
      </c>
      <c r="AC164" s="24">
        <f t="shared" si="163"/>
        <v>2.1096415883325395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-5.6843418860808015E-13</v>
      </c>
      <c r="AJ164" s="14">
        <f>AI164*VLOOKUP('Données projet'!$B$10,Paramètres!$A$1:$I$89,3,0)*VLOOKUP('Données projet'!$B$10,Paramètres!$A$1:$I$89,5,0)</f>
        <v>-5.1431925385259092E-13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321.03881567735544</v>
      </c>
      <c r="AO164" s="62">
        <f t="shared" si="144"/>
        <v>234.87694492493506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0.17990528242901743</v>
      </c>
      <c r="AV164" s="23">
        <f>EXP(-LN(2)/25)*AV163+(1-EXP(-LN(2)/25))/(LN(2)/25)*Calculateur!AQ164*Calculateur!AS164*VLOOKUP('Données projet'!$B$10,Paramètres!$A$1:$I$89,3,0)*0.475*44/12</f>
        <v>0.35868956352419057</v>
      </c>
      <c r="AW164" s="23">
        <f>EXP(-LN(2)/2)*AW163+(1-EXP(-LN(2)/2))/(LN(2)/2)*AQ164*AT164*VLOOKUP('Données projet'!$B$10,Paramètres!$A$1:$I$89,3,0)*0.475*44/12</f>
        <v>4.1667410243298991E-19</v>
      </c>
      <c r="AX164" s="23">
        <f t="shared" si="166"/>
        <v>0.53859484595320795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255.41017495879987</v>
      </c>
      <c r="BJ164" s="62">
        <f t="shared" si="146"/>
        <v>297.50513563712764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0.62324845236034954</v>
      </c>
      <c r="BQ164" s="23">
        <f>EXP(-LN(2)/25)*BQ163+(1-EXP(-LN(2)/25))/(LN(2)/25)*Calculateur!BL164*Calculateur!BN164*VLOOKUP('Données projet'!$B$11,Paramètres!$A$1:$I$89,3,0)*0.475*44/12</f>
        <v>0.73745874498397623</v>
      </c>
      <c r="BR164" s="23">
        <f>EXP(-LN(2)/2)*BR163+(1-EXP(-LN(2)/2))/(LN(2)/2)*BL164*BO164*VLOOKUP('Données projet'!$B$11,Paramètres!$A$1:$I$89,3,0)*0.475*44/12</f>
        <v>4.6767732161824601E-19</v>
      </c>
      <c r="BS164" s="24">
        <f t="shared" si="169"/>
        <v>1.3607071973443259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5.4683368944097308E-14</v>
      </c>
      <c r="CA164" s="14">
        <f t="shared" si="170"/>
        <v>8.8129432816788268E-13</v>
      </c>
      <c r="CB164" s="22">
        <f t="shared" si="171"/>
        <v>1.6301611558033651E-12</v>
      </c>
      <c r="CC164" s="62">
        <f t="shared" si="119"/>
        <v>293.33333333333496</v>
      </c>
      <c r="CD164" s="62">
        <f ca="1">AVERAGE(OFFSET($CC$3,0,0,'Données projet'!$E$12+1,1))-AVERAGE(OFFSET($H$3,0,0,'Données projet'!$E$12+1,1))</f>
        <v>409.97612835032567</v>
      </c>
      <c r="CE164" s="62">
        <f t="shared" si="148"/>
        <v>411.87876448092288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2.2836728943031277</v>
      </c>
      <c r="CL164" s="23">
        <f>EXP(-LN(2)/25)*CL163+(1-EXP(-LN(2)/25))/(LN(2)/25)*Calculateur!CG164*Calculateur!CI164*VLOOKUP('Données projet'!$B$12,Paramètres!$A$1:$I$89,3,0)*0.475*44/12</f>
        <v>1.3783414788549029</v>
      </c>
      <c r="CM164" s="23">
        <f>EXP(-LN(2)/2)*CM163+(1-EXP(-LN(2)/2))/(LN(2)/2)*CG164*CJ164*VLOOKUP('Données projet'!$B$12,Paramètres!$A$1:$I$89,3,0)*0.475*44/12</f>
        <v>1.8653396403338182E-17</v>
      </c>
      <c r="CN164" s="24">
        <f t="shared" si="172"/>
        <v>3.6620143731580308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-4.5474735088646412E-13</v>
      </c>
      <c r="CU164" s="18">
        <f>CT164*VLOOKUP('Données projet'!$B$13,Paramètres!$A$1:$I$89,3,0)*VLOOKUP('Données projet'!$B$13,Paramètres!$A$1:$I$89,5,0)</f>
        <v>-2.7193891583010558E-13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463.3255103386889</v>
      </c>
      <c r="CZ164" s="62">
        <f t="shared" si="150"/>
        <v>474.73210558736127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0.37329985427833423</v>
      </c>
      <c r="DG164" s="23">
        <f>EXP(-LN(2)/25)*DG163+(1-EXP(-LN(2)/25))/(LN(2)/25)*Calculateur!DB164*Calculateur!DD164*VLOOKUP('Données projet'!$B$13,Paramètres!$A$1:$I$89,3,0)*0.475*44/12</f>
        <v>0.91718809363858211</v>
      </c>
      <c r="DH164" s="23">
        <f>EXP(-LN(2)/2)*DH163+(1-EXP(-LN(2)/2))/(LN(2)/2)*DB164*DE164*VLOOKUP('Données projet'!$B$13,Paramètres!$A$1:$I$89,3,0)*0.475*44/12</f>
        <v>8.3599824940690805E-19</v>
      </c>
      <c r="DI164" s="24">
        <f t="shared" si="175"/>
        <v>1.2904879479169162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-1.1368683772161603E-13</v>
      </c>
      <c r="DP164" s="18">
        <f>DO164*VLOOKUP('Données projet'!$B$14,Paramètres!$A$1:$I$89,3,0)*VLOOKUP('Données projet'!$B$14,Paramètres!$A$1:$I$89,5,0)</f>
        <v>-5.3205440053716299E-14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215.23235148064941</v>
      </c>
      <c r="DU164" s="62">
        <f t="shared" si="152"/>
        <v>184.07239726900434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0.23413552350947966</v>
      </c>
      <c r="EB164" s="23">
        <f>EXP(-LN(2)/25)*EB163+(1-EXP(-LN(2)/25))/(LN(2)/25)*Calculateur!DW164*Calculateur!DY164*VLOOKUP('Données projet'!$B$14,Paramètres!$A$1:$I$89,3,0)*0.475*44/12</f>
        <v>0.20786180056795917</v>
      </c>
      <c r="EC164" s="23">
        <f>EXP(-LN(2)/2)*EC163+(1-EXP(-LN(2)/2))/(LN(2)/2)*DW164*DZ164*VLOOKUP('Données projet'!$B$14,Paramètres!$A$1:$I$89,3,0)*0.475*44/12</f>
        <v>1.8844514336133691E-19</v>
      </c>
      <c r="ED164" s="24">
        <f t="shared" si="178"/>
        <v>0.44199732407743886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609.05178026847398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1.1368683772161603E-12</v>
      </c>
      <c r="O165" s="14">
        <f>N165*VLOOKUP('Données projet'!$B$9,Paramètres!$A$1:$I$89,3,0)*VLOOKUP('Données projet'!$B$9,Paramètres!$A$1:$I$89,5,0)</f>
        <v>6.3550942286383359E-13</v>
      </c>
      <c r="P165" s="14">
        <f t="shared" si="141"/>
        <v>7.6982260417614606E-12</v>
      </c>
      <c r="Q165" s="22">
        <f t="shared" si="162"/>
        <v>1.4514589267555721E-11</v>
      </c>
      <c r="R165" s="62">
        <f t="shared" si="109"/>
        <v>293.33333333334781</v>
      </c>
      <c r="S165" s="62">
        <f ca="1">AVERAGE(OFFSET($R$3,0,0,'Données projet'!$E$9+1,1))-AVERAGE(OFFSET($H$3,0,0,'Données projet'!$E$9+1,1))</f>
        <v>460.40450534123659</v>
      </c>
      <c r="T165" s="62">
        <f t="shared" si="142"/>
        <v>467.77477728479198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0.91989962923312873</v>
      </c>
      <c r="AA165" s="23">
        <f>EXP(-LN(2)/25)*AA164+(1-EXP(-LN(2)/25))/(LN(2)/25)*Calculateur!V165*Calculateur!X165*VLOOKUP('Données projet'!$B$9,Paramètres!$A$1:$I$89,3,0)*0.475*44/12</f>
        <v>1.1393120641306493</v>
      </c>
      <c r="AB165" s="23">
        <f>EXP(-LN(2)/2)*AB164+(1-EXP(-LN(2)/2))/(LN(2)/2)*V165*Y165*VLOOKUP('Données projet'!$B$9,Paramètres!$A$1:$I$89,3,0)*0.475*44/12</f>
        <v>5.4513559885462714E-19</v>
      </c>
      <c r="AC165" s="24">
        <f t="shared" si="163"/>
        <v>2.0592116933637783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-5.6843418860808015E-13</v>
      </c>
      <c r="AJ165" s="14">
        <f>AI165*VLOOKUP('Données projet'!$B$10,Paramètres!$A$1:$I$89,3,0)*VLOOKUP('Données projet'!$B$10,Paramètres!$A$1:$I$89,5,0)</f>
        <v>-5.1431925385259092E-13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321.03881567735544</v>
      </c>
      <c r="AO165" s="62">
        <f t="shared" si="144"/>
        <v>234.87694492493506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0.1763774495719716</v>
      </c>
      <c r="AV165" s="23">
        <f>EXP(-LN(2)/25)*AV164+(1-EXP(-LN(2)/25))/(LN(2)/25)*Calculateur!AQ165*Calculateur!AS165*VLOOKUP('Données projet'!$B$10,Paramètres!$A$1:$I$89,3,0)*0.475*44/12</f>
        <v>0.34888117854695722</v>
      </c>
      <c r="AW165" s="23">
        <f>EXP(-LN(2)/2)*AW164+(1-EXP(-LN(2)/2))/(LN(2)/2)*AQ165*AT165*VLOOKUP('Données projet'!$B$10,Paramètres!$A$1:$I$89,3,0)*0.475*44/12</f>
        <v>2.9463308337518528E-19</v>
      </c>
      <c r="AX165" s="23">
        <f t="shared" si="166"/>
        <v>0.52525862811892887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255.41017495879987</v>
      </c>
      <c r="BJ165" s="62">
        <f t="shared" si="146"/>
        <v>297.50513563712764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0.61102693035358291</v>
      </c>
      <c r="BQ165" s="23">
        <f>EXP(-LN(2)/25)*BQ164+(1-EXP(-LN(2)/25))/(LN(2)/25)*Calculateur!BL165*Calculateur!BN165*VLOOKUP('Données projet'!$B$11,Paramètres!$A$1:$I$89,3,0)*0.475*44/12</f>
        <v>0.71729289682111952</v>
      </c>
      <c r="BR165" s="23">
        <f>EXP(-LN(2)/2)*BR164+(1-EXP(-LN(2)/2))/(LN(2)/2)*BL165*BO165*VLOOKUP('Données projet'!$B$11,Paramètres!$A$1:$I$89,3,0)*0.475*44/12</f>
        <v>3.306978055234237E-19</v>
      </c>
      <c r="BS165" s="24">
        <f t="shared" si="169"/>
        <v>1.3283198271747025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5.4683368944097308E-14</v>
      </c>
      <c r="CA165" s="14">
        <f t="shared" si="170"/>
        <v>8.8129432816788268E-13</v>
      </c>
      <c r="CB165" s="22">
        <f t="shared" si="171"/>
        <v>1.6301611558033651E-12</v>
      </c>
      <c r="CC165" s="62">
        <f t="shared" si="119"/>
        <v>293.33333333333496</v>
      </c>
      <c r="CD165" s="62">
        <f ca="1">AVERAGE(OFFSET($CC$3,0,0,'Données projet'!$E$12+1,1))-AVERAGE(OFFSET($H$3,0,0,'Données projet'!$E$12+1,1))</f>
        <v>409.97612835032567</v>
      </c>
      <c r="CE165" s="62">
        <f t="shared" si="148"/>
        <v>411.87876448092288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2.238891461748771</v>
      </c>
      <c r="CL165" s="23">
        <f>EXP(-LN(2)/25)*CL164+(1-EXP(-LN(2)/25))/(LN(2)/25)*Calculateur!CG165*Calculateur!CI165*VLOOKUP('Données projet'!$B$12,Paramètres!$A$1:$I$89,3,0)*0.475*44/12</f>
        <v>1.3406506586317875</v>
      </c>
      <c r="CM165" s="23">
        <f>EXP(-LN(2)/2)*CM164+(1-EXP(-LN(2)/2))/(LN(2)/2)*CG165*CJ165*VLOOKUP('Données projet'!$B$12,Paramètres!$A$1:$I$89,3,0)*0.475*44/12</f>
        <v>1.3189943088961185E-17</v>
      </c>
      <c r="CN165" s="24">
        <f t="shared" si="172"/>
        <v>3.5795421203805584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-4.5474735088646412E-13</v>
      </c>
      <c r="CU165" s="18">
        <f>CT165*VLOOKUP('Données projet'!$B$13,Paramètres!$A$1:$I$89,3,0)*VLOOKUP('Données projet'!$B$13,Paramètres!$A$1:$I$89,5,0)</f>
        <v>-2.7193891583010558E-13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463.3255103386889</v>
      </c>
      <c r="CZ165" s="62">
        <f t="shared" si="150"/>
        <v>474.73210558736127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0.36597967182636465</v>
      </c>
      <c r="DG165" s="23">
        <f>EXP(-LN(2)/25)*DG164+(1-EXP(-LN(2)/25))/(LN(2)/25)*Calculateur!DB165*Calculateur!DD165*VLOOKUP('Données projet'!$B$13,Paramètres!$A$1:$I$89,3,0)*0.475*44/12</f>
        <v>0.8921075369852095</v>
      </c>
      <c r="DH165" s="23">
        <f>EXP(-LN(2)/2)*DH164+(1-EXP(-LN(2)/2))/(LN(2)/2)*DB165*DE165*VLOOKUP('Données projet'!$B$13,Paramètres!$A$1:$I$89,3,0)*0.475*44/12</f>
        <v>5.9114003121570731E-19</v>
      </c>
      <c r="DI165" s="24">
        <f t="shared" si="175"/>
        <v>1.2580872088115742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-1.1368683772161603E-13</v>
      </c>
      <c r="DP165" s="18">
        <f>DO165*VLOOKUP('Données projet'!$B$14,Paramètres!$A$1:$I$89,3,0)*VLOOKUP('Données projet'!$B$14,Paramètres!$A$1:$I$89,5,0)</f>
        <v>-5.3205440053716299E-14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215.23235148064941</v>
      </c>
      <c r="DU165" s="62">
        <f t="shared" si="152"/>
        <v>184.07239726900434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0.22954426870202693</v>
      </c>
      <c r="EB165" s="23">
        <f>EXP(-LN(2)/25)*EB164+(1-EXP(-LN(2)/25))/(LN(2)/25)*Calculateur!DW165*Calculateur!DY165*VLOOKUP('Données projet'!$B$14,Paramètres!$A$1:$I$89,3,0)*0.475*44/12</f>
        <v>0.20217780870045129</v>
      </c>
      <c r="EC165" s="23">
        <f>EXP(-LN(2)/2)*EC164+(1-EXP(-LN(2)/2))/(LN(2)/2)*DW165*DZ165*VLOOKUP('Données projet'!$B$14,Paramètres!$A$1:$I$89,3,0)*0.475*44/12</f>
        <v>1.3325083875247244E-19</v>
      </c>
      <c r="ED165" s="24">
        <f t="shared" si="178"/>
        <v>0.43172207740247825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610.95395078996603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1.1368683772161603E-12</v>
      </c>
      <c r="O166" s="14">
        <f>N166*VLOOKUP('Données projet'!$B$9,Paramètres!$A$1:$I$89,3,0)*VLOOKUP('Données projet'!$B$9,Paramètres!$A$1:$I$89,5,0)</f>
        <v>6.3550942286383359E-13</v>
      </c>
      <c r="P166" s="14">
        <f t="shared" si="141"/>
        <v>7.6982260417614606E-12</v>
      </c>
      <c r="Q166" s="22">
        <f t="shared" si="162"/>
        <v>1.4514589267555721E-11</v>
      </c>
      <c r="R166" s="62">
        <f t="shared" si="109"/>
        <v>293.33333333334781</v>
      </c>
      <c r="S166" s="62">
        <f ca="1">AVERAGE(OFFSET($R$3,0,0,'Données projet'!$E$9+1,1))-AVERAGE(OFFSET($H$3,0,0,'Données projet'!$E$9+1,1))</f>
        <v>460.40450534123659</v>
      </c>
      <c r="T166" s="62">
        <f t="shared" si="142"/>
        <v>467.77477728479198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0.90186095858723858</v>
      </c>
      <c r="AA166" s="23">
        <f>EXP(-LN(2)/25)*AA165+(1-EXP(-LN(2)/25))/(LN(2)/25)*Calculateur!V166*Calculateur!X166*VLOOKUP('Données projet'!$B$9,Paramètres!$A$1:$I$89,3,0)*0.475*44/12</f>
        <v>1.1081575158231791</v>
      </c>
      <c r="AB166" s="23">
        <f>EXP(-LN(2)/2)*AB165+(1-EXP(-LN(2)/2))/(LN(2)/2)*V166*Y166*VLOOKUP('Données projet'!$B$9,Paramètres!$A$1:$I$89,3,0)*0.475*44/12</f>
        <v>3.8546907861629639E-19</v>
      </c>
      <c r="AC166" s="24">
        <f t="shared" si="163"/>
        <v>2.0100184744104177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-5.6843418860808015E-13</v>
      </c>
      <c r="AJ166" s="14">
        <f>AI166*VLOOKUP('Données projet'!$B$10,Paramètres!$A$1:$I$89,3,0)*VLOOKUP('Données projet'!$B$10,Paramètres!$A$1:$I$89,5,0)</f>
        <v>-5.1431925385259092E-13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321.03881567735544</v>
      </c>
      <c r="AO166" s="62">
        <f t="shared" si="144"/>
        <v>234.87694492493506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0.17291879536548688</v>
      </c>
      <c r="AV166" s="23">
        <f>EXP(-LN(2)/25)*AV165+(1-EXP(-LN(2)/25))/(LN(2)/25)*Calculateur!AQ166*Calculateur!AS166*VLOOKUP('Données projet'!$B$10,Paramètres!$A$1:$I$89,3,0)*0.475*44/12</f>
        <v>0.33934100437272685</v>
      </c>
      <c r="AW166" s="23">
        <f>EXP(-LN(2)/2)*AW165+(1-EXP(-LN(2)/2))/(LN(2)/2)*AQ166*AT166*VLOOKUP('Données projet'!$B$10,Paramètres!$A$1:$I$89,3,0)*0.475*44/12</f>
        <v>2.0833705121649496E-19</v>
      </c>
      <c r="AX166" s="23">
        <f t="shared" si="166"/>
        <v>0.51225979973821367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255.41017495879987</v>
      </c>
      <c r="BJ166" s="62">
        <f t="shared" si="146"/>
        <v>297.50513563712764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0.59904506493897658</v>
      </c>
      <c r="BQ166" s="23">
        <f>EXP(-LN(2)/25)*BQ165+(1-EXP(-LN(2)/25))/(LN(2)/25)*Calculateur!BL166*Calculateur!BN166*VLOOKUP('Données projet'!$B$11,Paramètres!$A$1:$I$89,3,0)*0.475*44/12</f>
        <v>0.69767848483675199</v>
      </c>
      <c r="BR166" s="23">
        <f>EXP(-LN(2)/2)*BR165+(1-EXP(-LN(2)/2))/(LN(2)/2)*BL166*BO166*VLOOKUP('Données projet'!$B$11,Paramètres!$A$1:$I$89,3,0)*0.475*44/12</f>
        <v>2.3383866080912301E-19</v>
      </c>
      <c r="BS166" s="24">
        <f t="shared" si="169"/>
        <v>1.2967235497757286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5.4683368944097308E-14</v>
      </c>
      <c r="CA166" s="14">
        <f t="shared" si="170"/>
        <v>8.8129432816788268E-13</v>
      </c>
      <c r="CB166" s="22">
        <f t="shared" si="171"/>
        <v>1.6301611558033651E-12</v>
      </c>
      <c r="CC166" s="62">
        <f t="shared" si="119"/>
        <v>293.33333333333496</v>
      </c>
      <c r="CD166" s="62">
        <f ca="1">AVERAGE(OFFSET($CC$3,0,0,'Données projet'!$E$12+1,1))-AVERAGE(OFFSET($H$3,0,0,'Données projet'!$E$12+1,1))</f>
        <v>409.97612835032567</v>
      </c>
      <c r="CE166" s="62">
        <f t="shared" si="148"/>
        <v>411.87876448092288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2.1949881657728287</v>
      </c>
      <c r="CL166" s="23">
        <f>EXP(-LN(2)/25)*CL165+(1-EXP(-LN(2)/25))/(LN(2)/25)*Calculateur!CG166*Calculateur!CI166*VLOOKUP('Données projet'!$B$12,Paramètres!$A$1:$I$89,3,0)*0.475*44/12</f>
        <v>1.3039904958697472</v>
      </c>
      <c r="CM166" s="23">
        <f>EXP(-LN(2)/2)*CM165+(1-EXP(-LN(2)/2))/(LN(2)/2)*CG166*CJ166*VLOOKUP('Données projet'!$B$12,Paramètres!$A$1:$I$89,3,0)*0.475*44/12</f>
        <v>9.3266982016690911E-18</v>
      </c>
      <c r="CN166" s="24">
        <f t="shared" si="172"/>
        <v>3.498978661642576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-4.5474735088646412E-13</v>
      </c>
      <c r="CU166" s="18">
        <f>CT166*VLOOKUP('Données projet'!$B$13,Paramètres!$A$1:$I$89,3,0)*VLOOKUP('Données projet'!$B$13,Paramètres!$A$1:$I$89,5,0)</f>
        <v>-2.7193891583010558E-13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463.3255103386889</v>
      </c>
      <c r="CZ166" s="62">
        <f t="shared" si="150"/>
        <v>474.73210558736127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0.35880303368740774</v>
      </c>
      <c r="DG166" s="23">
        <f>EXP(-LN(2)/25)*DG165+(1-EXP(-LN(2)/25))/(LN(2)/25)*Calculateur!DB166*Calculateur!DD166*VLOOKUP('Données projet'!$B$13,Paramètres!$A$1:$I$89,3,0)*0.475*44/12</f>
        <v>0.86771280947245255</v>
      </c>
      <c r="DH166" s="23">
        <f>EXP(-LN(2)/2)*DH165+(1-EXP(-LN(2)/2))/(LN(2)/2)*DB166*DE166*VLOOKUP('Données projet'!$B$13,Paramètres!$A$1:$I$89,3,0)*0.475*44/12</f>
        <v>4.1799912470345403E-19</v>
      </c>
      <c r="DI166" s="24">
        <f t="shared" si="175"/>
        <v>1.2265158431598602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-1.1368683772161603E-13</v>
      </c>
      <c r="DP166" s="18">
        <f>DO166*VLOOKUP('Données projet'!$B$14,Paramètres!$A$1:$I$89,3,0)*VLOOKUP('Données projet'!$B$14,Paramètres!$A$1:$I$89,5,0)</f>
        <v>-5.3205440053716299E-14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215.23235148064941</v>
      </c>
      <c r="DU166" s="62">
        <f t="shared" si="152"/>
        <v>184.07239726900434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0.22504304560095945</v>
      </c>
      <c r="EB166" s="23">
        <f>EXP(-LN(2)/25)*EB165+(1-EXP(-LN(2)/25))/(LN(2)/25)*Calculateur!DW166*Calculateur!DY166*VLOOKUP('Données projet'!$B$14,Paramètres!$A$1:$I$89,3,0)*0.475*44/12</f>
        <v>0.19664924588946858</v>
      </c>
      <c r="EC166" s="23">
        <f>EXP(-LN(2)/2)*EC165+(1-EXP(-LN(2)/2))/(LN(2)/2)*DW166*DZ166*VLOOKUP('Données projet'!$B$14,Paramètres!$A$1:$I$89,3,0)*0.475*44/12</f>
        <v>9.4222571680668456E-20</v>
      </c>
      <c r="ED166" s="24">
        <f t="shared" si="178"/>
        <v>0.42169229149042803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612.85586897576445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1.1368683772161603E-12</v>
      </c>
      <c r="O167" s="14">
        <f>N167*VLOOKUP('Données projet'!$B$9,Paramètres!$A$1:$I$89,3,0)*VLOOKUP('Données projet'!$B$9,Paramètres!$A$1:$I$89,5,0)</f>
        <v>6.3550942286383359E-13</v>
      </c>
      <c r="P167" s="14">
        <f t="shared" si="141"/>
        <v>7.6982260417614606E-12</v>
      </c>
      <c r="Q167" s="22">
        <f t="shared" si="162"/>
        <v>1.4514589267555721E-11</v>
      </c>
      <c r="R167" s="62">
        <f t="shared" si="109"/>
        <v>293.33333333334781</v>
      </c>
      <c r="S167" s="62">
        <f ca="1">AVERAGE(OFFSET($R$3,0,0,'Données projet'!$E$9+1,1))-AVERAGE(OFFSET($H$3,0,0,'Données projet'!$E$9+1,1))</f>
        <v>460.40450534123659</v>
      </c>
      <c r="T167" s="62">
        <f t="shared" si="142"/>
        <v>467.77477728479198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0.88417601527021161</v>
      </c>
      <c r="AA167" s="23">
        <f>EXP(-LN(2)/25)*AA166+(1-EXP(-LN(2)/25))/(LN(2)/25)*Calculateur!V167*Calculateur!X167*VLOOKUP('Données projet'!$B$9,Paramètres!$A$1:$I$89,3,0)*0.475*44/12</f>
        <v>1.0778548902775233</v>
      </c>
      <c r="AB167" s="23">
        <f>EXP(-LN(2)/2)*AB166+(1-EXP(-LN(2)/2))/(LN(2)/2)*V167*Y167*VLOOKUP('Données projet'!$B$9,Paramètres!$A$1:$I$89,3,0)*0.475*44/12</f>
        <v>2.7256779942731357E-19</v>
      </c>
      <c r="AC167" s="24">
        <f t="shared" si="163"/>
        <v>1.962030905547735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-5.6843418860808015E-13</v>
      </c>
      <c r="AJ167" s="14">
        <f>AI167*VLOOKUP('Données projet'!$B$10,Paramètres!$A$1:$I$89,3,0)*VLOOKUP('Données projet'!$B$10,Paramètres!$A$1:$I$89,5,0)</f>
        <v>-5.1431925385259092E-13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321.03881567735544</v>
      </c>
      <c r="AO167" s="62">
        <f t="shared" si="144"/>
        <v>234.87694492493506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0.16952796325842054</v>
      </c>
      <c r="AV167" s="23">
        <f>EXP(-LN(2)/25)*AV166+(1-EXP(-LN(2)/25))/(LN(2)/25)*Calculateur!AQ167*Calculateur!AS167*VLOOKUP('Données projet'!$B$10,Paramètres!$A$1:$I$89,3,0)*0.475*44/12</f>
        <v>0.3300617067629868</v>
      </c>
      <c r="AW167" s="23">
        <f>EXP(-LN(2)/2)*AW166+(1-EXP(-LN(2)/2))/(LN(2)/2)*AQ167*AT167*VLOOKUP('Données projet'!$B$10,Paramètres!$A$1:$I$89,3,0)*0.475*44/12</f>
        <v>1.4731654168759264E-19</v>
      </c>
      <c r="AX167" s="23">
        <f t="shared" si="166"/>
        <v>0.49958967002140731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255.41017495879987</v>
      </c>
      <c r="BJ167" s="62">
        <f t="shared" si="146"/>
        <v>297.50513563712764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0.58729815659693441</v>
      </c>
      <c r="BQ167" s="23">
        <f>EXP(-LN(2)/25)*BQ166+(1-EXP(-LN(2)/25))/(LN(2)/25)*Calculateur!BL167*Calculateur!BN167*VLOOKUP('Données projet'!$B$11,Paramètres!$A$1:$I$89,3,0)*0.475*44/12</f>
        <v>0.67860042997957404</v>
      </c>
      <c r="BR167" s="23">
        <f>EXP(-LN(2)/2)*BR166+(1-EXP(-LN(2)/2))/(LN(2)/2)*BL167*BO167*VLOOKUP('Données projet'!$B$11,Paramètres!$A$1:$I$89,3,0)*0.475*44/12</f>
        <v>1.6534890276171185E-19</v>
      </c>
      <c r="BS167" s="24">
        <f t="shared" si="169"/>
        <v>1.2658985865765084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5.4683368944097308E-14</v>
      </c>
      <c r="CA167" s="14">
        <f t="shared" si="170"/>
        <v>8.8129432816788268E-13</v>
      </c>
      <c r="CB167" s="22">
        <f t="shared" si="171"/>
        <v>1.6301611558033651E-12</v>
      </c>
      <c r="CC167" s="62">
        <f t="shared" si="119"/>
        <v>293.33333333333496</v>
      </c>
      <c r="CD167" s="62">
        <f ca="1">AVERAGE(OFFSET($CC$3,0,0,'Données projet'!$E$12+1,1))-AVERAGE(OFFSET($H$3,0,0,'Données projet'!$E$12+1,1))</f>
        <v>409.97612835032567</v>
      </c>
      <c r="CE167" s="62">
        <f t="shared" si="148"/>
        <v>411.87876448092288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2.1519457866526079</v>
      </c>
      <c r="CL167" s="23">
        <f>EXP(-LN(2)/25)*CL166+(1-EXP(-LN(2)/25))/(LN(2)/25)*Calculateur!CG167*Calculateur!CI167*VLOOKUP('Données projet'!$B$12,Paramètres!$A$1:$I$89,3,0)*0.475*44/12</f>
        <v>1.2683328071863091</v>
      </c>
      <c r="CM167" s="23">
        <f>EXP(-LN(2)/2)*CM166+(1-EXP(-LN(2)/2))/(LN(2)/2)*CG167*CJ167*VLOOKUP('Données projet'!$B$12,Paramètres!$A$1:$I$89,3,0)*0.475*44/12</f>
        <v>6.5949715444805924E-18</v>
      </c>
      <c r="CN167" s="24">
        <f t="shared" si="172"/>
        <v>3.4202785938389173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-4.5474735088646412E-13</v>
      </c>
      <c r="CU167" s="18">
        <f>CT167*VLOOKUP('Données projet'!$B$13,Paramètres!$A$1:$I$89,3,0)*VLOOKUP('Données projet'!$B$13,Paramètres!$A$1:$I$89,5,0)</f>
        <v>-2.7193891583010558E-13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463.3255103386889</v>
      </c>
      <c r="CZ167" s="62">
        <f t="shared" si="150"/>
        <v>474.73210558736127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0.35176712504503876</v>
      </c>
      <c r="DG167" s="23">
        <f>EXP(-LN(2)/25)*DG166+(1-EXP(-LN(2)/25))/(LN(2)/25)*Calculateur!DB167*Calculateur!DD167*VLOOKUP('Données projet'!$B$13,Paramètres!$A$1:$I$89,3,0)*0.475*44/12</f>
        <v>0.84398515706639488</v>
      </c>
      <c r="DH167" s="23">
        <f>EXP(-LN(2)/2)*DH166+(1-EXP(-LN(2)/2))/(LN(2)/2)*DB167*DE167*VLOOKUP('Données projet'!$B$13,Paramètres!$A$1:$I$89,3,0)*0.475*44/12</f>
        <v>2.9557001560785365E-19</v>
      </c>
      <c r="DI167" s="24">
        <f t="shared" si="175"/>
        <v>1.1957522821114337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-1.1368683772161603E-13</v>
      </c>
      <c r="DP167" s="18">
        <f>DO167*VLOOKUP('Données projet'!$B$14,Paramètres!$A$1:$I$89,3,0)*VLOOKUP('Données projet'!$B$14,Paramètres!$A$1:$I$89,5,0)</f>
        <v>-5.3205440053716299E-14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215.23235148064941</v>
      </c>
      <c r="DU167" s="62">
        <f t="shared" si="152"/>
        <v>184.07239726900434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0.22063008873942888</v>
      </c>
      <c r="EB167" s="23">
        <f>EXP(-LN(2)/25)*EB166+(1-EXP(-LN(2)/25))/(LN(2)/25)*Calculateur!DW167*Calculateur!DY167*VLOOKUP('Données projet'!$B$14,Paramètres!$A$1:$I$89,3,0)*0.475*44/12</f>
        <v>0.19127186191928666</v>
      </c>
      <c r="EC167" s="23">
        <f>EXP(-LN(2)/2)*EC166+(1-EXP(-LN(2)/2))/(LN(2)/2)*DW167*DZ167*VLOOKUP('Données projet'!$B$14,Paramètres!$A$1:$I$89,3,0)*0.475*44/12</f>
        <v>6.6625419376236218E-20</v>
      </c>
      <c r="ED167" s="24">
        <f t="shared" si="178"/>
        <v>0.41190195065871554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614.75753654301047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1.1368683772161603E-12</v>
      </c>
      <c r="O168" s="14">
        <f>N168*VLOOKUP('Données projet'!$B$9,Paramètres!$A$1:$I$89,3,0)*VLOOKUP('Données projet'!$B$9,Paramètres!$A$1:$I$89,5,0)</f>
        <v>6.3550942286383359E-13</v>
      </c>
      <c r="P168" s="14">
        <f t="shared" si="141"/>
        <v>7.6982260417614606E-12</v>
      </c>
      <c r="Q168" s="22">
        <f t="shared" si="162"/>
        <v>1.4514589267555721E-11</v>
      </c>
      <c r="R168" s="62">
        <f t="shared" si="109"/>
        <v>293.33333333334781</v>
      </c>
      <c r="S168" s="62">
        <f ca="1">AVERAGE(OFFSET($R$3,0,0,'Données projet'!$E$9+1,1))-AVERAGE(OFFSET($H$3,0,0,'Données projet'!$E$9+1,1))</f>
        <v>460.40450534123659</v>
      </c>
      <c r="T168" s="62">
        <f t="shared" si="142"/>
        <v>467.77477728479198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0.86683786290488118</v>
      </c>
      <c r="AA168" s="23">
        <f>EXP(-LN(2)/25)*AA167+(1-EXP(-LN(2)/25))/(LN(2)/25)*Calculateur!V168*Calculateur!X168*VLOOKUP('Données projet'!$B$9,Paramètres!$A$1:$I$89,3,0)*0.475*44/12</f>
        <v>1.0483808916209592</v>
      </c>
      <c r="AB168" s="23">
        <f>EXP(-LN(2)/2)*AB167+(1-EXP(-LN(2)/2))/(LN(2)/2)*V168*Y168*VLOOKUP('Données projet'!$B$9,Paramètres!$A$1:$I$89,3,0)*0.475*44/12</f>
        <v>1.927345393081482E-19</v>
      </c>
      <c r="AC168" s="24">
        <f t="shared" si="163"/>
        <v>1.9152187545258403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-5.6843418860808015E-13</v>
      </c>
      <c r="AJ168" s="14">
        <f>AI168*VLOOKUP('Données projet'!$B$10,Paramètres!$A$1:$I$89,3,0)*VLOOKUP('Données projet'!$B$10,Paramètres!$A$1:$I$89,5,0)</f>
        <v>-5.1431925385259092E-13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321.03881567735544</v>
      </c>
      <c r="AO168" s="62">
        <f t="shared" si="144"/>
        <v>234.87694492493506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0.1662036233007704</v>
      </c>
      <c r="AV168" s="23">
        <f>EXP(-LN(2)/25)*AV167+(1-EXP(-LN(2)/25))/(LN(2)/25)*Calculateur!AQ168*Calculateur!AS168*VLOOKUP('Données projet'!$B$10,Paramètres!$A$1:$I$89,3,0)*0.475*44/12</f>
        <v>0.32103615203436214</v>
      </c>
      <c r="AW168" s="23">
        <f>EXP(-LN(2)/2)*AW167+(1-EXP(-LN(2)/2))/(LN(2)/2)*AQ168*AT168*VLOOKUP('Données projet'!$B$10,Paramètres!$A$1:$I$89,3,0)*0.475*44/12</f>
        <v>1.0416852560824748E-19</v>
      </c>
      <c r="AX168" s="23">
        <f t="shared" si="166"/>
        <v>0.48723977533513252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255.41017495879987</v>
      </c>
      <c r="BJ168" s="62">
        <f t="shared" si="146"/>
        <v>297.50513563712764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0.57578159796257311</v>
      </c>
      <c r="BQ168" s="23">
        <f>EXP(-LN(2)/25)*BQ167+(1-EXP(-LN(2)/25))/(LN(2)/25)*Calculateur!BL168*Calculateur!BN168*VLOOKUP('Données projet'!$B$11,Paramètres!$A$1:$I$89,3,0)*0.475*44/12</f>
        <v>0.66004406553573691</v>
      </c>
      <c r="BR168" s="23">
        <f>EXP(-LN(2)/2)*BR167+(1-EXP(-LN(2)/2))/(LN(2)/2)*BL168*BO168*VLOOKUP('Données projet'!$B$11,Paramètres!$A$1:$I$89,3,0)*0.475*44/12</f>
        <v>1.169193304045615E-19</v>
      </c>
      <c r="BS168" s="24">
        <f t="shared" si="169"/>
        <v>1.23582566349831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5.4683368944097308E-14</v>
      </c>
      <c r="CA168" s="14">
        <f t="shared" si="170"/>
        <v>8.8129432816788268E-13</v>
      </c>
      <c r="CB168" s="22">
        <f t="shared" si="171"/>
        <v>1.6301611558033651E-12</v>
      </c>
      <c r="CC168" s="62">
        <f t="shared" si="119"/>
        <v>293.33333333333496</v>
      </c>
      <c r="CD168" s="62">
        <f ca="1">AVERAGE(OFFSET($CC$3,0,0,'Données projet'!$E$12+1,1))-AVERAGE(OFFSET($H$3,0,0,'Données projet'!$E$12+1,1))</f>
        <v>409.97612835032567</v>
      </c>
      <c r="CE168" s="62">
        <f t="shared" si="148"/>
        <v>411.87876448092288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2.1097474423336759</v>
      </c>
      <c r="CL168" s="23">
        <f>EXP(-LN(2)/25)*CL167+(1-EXP(-LN(2)/25))/(LN(2)/25)*Calculateur!CG168*Calculateur!CI168*VLOOKUP('Données projet'!$B$12,Paramètres!$A$1:$I$89,3,0)*0.475*44/12</f>
        <v>1.2336501798750761</v>
      </c>
      <c r="CM168" s="23">
        <f>EXP(-LN(2)/2)*CM167+(1-EXP(-LN(2)/2))/(LN(2)/2)*CG168*CJ168*VLOOKUP('Données projet'!$B$12,Paramètres!$A$1:$I$89,3,0)*0.475*44/12</f>
        <v>4.6633491008345456E-18</v>
      </c>
      <c r="CN168" s="24">
        <f t="shared" si="172"/>
        <v>3.343397622208752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-4.5474735088646412E-13</v>
      </c>
      <c r="CU168" s="18">
        <f>CT168*VLOOKUP('Données projet'!$B$13,Paramètres!$A$1:$I$89,3,0)*VLOOKUP('Données projet'!$B$13,Paramètres!$A$1:$I$89,5,0)</f>
        <v>-2.7193891583010558E-13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463.3255103386889</v>
      </c>
      <c r="CZ168" s="62">
        <f t="shared" si="150"/>
        <v>474.73210558736127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0.34486918627966612</v>
      </c>
      <c r="DG168" s="23">
        <f>EXP(-LN(2)/25)*DG167+(1-EXP(-LN(2)/25))/(LN(2)/25)*Calculateur!DB168*Calculateur!DD168*VLOOKUP('Données projet'!$B$13,Paramètres!$A$1:$I$89,3,0)*0.475*44/12</f>
        <v>0.82090633856316386</v>
      </c>
      <c r="DH168" s="23">
        <f>EXP(-LN(2)/2)*DH167+(1-EXP(-LN(2)/2))/(LN(2)/2)*DB168*DE168*VLOOKUP('Données projet'!$B$13,Paramètres!$A$1:$I$89,3,0)*0.475*44/12</f>
        <v>2.0899956235172701E-19</v>
      </c>
      <c r="DI168" s="24">
        <f t="shared" si="175"/>
        <v>1.1657755248428301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-1.1368683772161603E-13</v>
      </c>
      <c r="DP168" s="18">
        <f>DO168*VLOOKUP('Données projet'!$B$14,Paramètres!$A$1:$I$89,3,0)*VLOOKUP('Données projet'!$B$14,Paramètres!$A$1:$I$89,5,0)</f>
        <v>-5.3205440053716299E-14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215.23235148064941</v>
      </c>
      <c r="DU168" s="62">
        <f t="shared" si="152"/>
        <v>184.07239726900434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0.21630366727031503</v>
      </c>
      <c r="EB168" s="23">
        <f>EXP(-LN(2)/25)*EB167+(1-EXP(-LN(2)/25))/(LN(2)/25)*Calculateur!DW168*Calculateur!DY168*VLOOKUP('Données projet'!$B$14,Paramètres!$A$1:$I$89,3,0)*0.475*44/12</f>
        <v>0.1860415227965537</v>
      </c>
      <c r="EC168" s="23">
        <f>EXP(-LN(2)/2)*EC167+(1-EXP(-LN(2)/2))/(LN(2)/2)*DW168*DZ168*VLOOKUP('Données projet'!$B$14,Paramètres!$A$1:$I$89,3,0)*0.475*44/12</f>
        <v>4.7111285840334228E-20</v>
      </c>
      <c r="ED168" s="24">
        <f t="shared" si="178"/>
        <v>0.40234519006686875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616.65895518682692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1.1368683772161603E-12</v>
      </c>
      <c r="O169" s="14">
        <f>N169*VLOOKUP('Données projet'!$B$9,Paramètres!$A$1:$I$89,3,0)*VLOOKUP('Données projet'!$B$9,Paramètres!$A$1:$I$89,5,0)</f>
        <v>6.3550942286383359E-13</v>
      </c>
      <c r="P169" s="14">
        <f t="shared" si="141"/>
        <v>7.6982260417614606E-12</v>
      </c>
      <c r="Q169" s="22">
        <f t="shared" si="162"/>
        <v>1.4514589267555721E-11</v>
      </c>
      <c r="R169" s="62">
        <f t="shared" si="109"/>
        <v>293.33333333334781</v>
      </c>
      <c r="S169" s="62">
        <f ca="1">AVERAGE(OFFSET($R$3,0,0,'Données projet'!$E$9+1,1))-AVERAGE(OFFSET($H$3,0,0,'Données projet'!$E$9+1,1))</f>
        <v>460.40450534123659</v>
      </c>
      <c r="T169" s="62">
        <f t="shared" si="142"/>
        <v>467.77477728479198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0.84983970113220619</v>
      </c>
      <c r="AA169" s="23">
        <f>EXP(-LN(2)/25)*AA168+(1-EXP(-LN(2)/25))/(LN(2)/25)*Calculateur!V169*Calculateur!X169*VLOOKUP('Données projet'!$B$9,Paramètres!$A$1:$I$89,3,0)*0.475*44/12</f>
        <v>1.0197128610076291</v>
      </c>
      <c r="AB169" s="23">
        <f>EXP(-LN(2)/2)*AB168+(1-EXP(-LN(2)/2))/(LN(2)/2)*V169*Y169*VLOOKUP('Données projet'!$B$9,Paramètres!$A$1:$I$89,3,0)*0.475*44/12</f>
        <v>1.3628389971365679E-19</v>
      </c>
      <c r="AC169" s="24">
        <f t="shared" si="163"/>
        <v>1.8695525621398352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-5.6843418860808015E-13</v>
      </c>
      <c r="AJ169" s="14">
        <f>AI169*VLOOKUP('Données projet'!$B$10,Paramètres!$A$1:$I$89,3,0)*VLOOKUP('Données projet'!$B$10,Paramètres!$A$1:$I$89,5,0)</f>
        <v>-5.1431925385259092E-13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321.03881567735544</v>
      </c>
      <c r="AO169" s="62">
        <f t="shared" si="144"/>
        <v>234.87694492493506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0.16294447162204265</v>
      </c>
      <c r="AV169" s="23">
        <f>EXP(-LN(2)/25)*AV168+(1-EXP(-LN(2)/25))/(LN(2)/25)*Calculateur!AQ169*Calculateur!AS169*VLOOKUP('Données projet'!$B$10,Paramètres!$A$1:$I$89,3,0)*0.475*44/12</f>
        <v>0.312257401574425</v>
      </c>
      <c r="AW169" s="23">
        <f>EXP(-LN(2)/2)*AW168+(1-EXP(-LN(2)/2))/(LN(2)/2)*AQ169*AT169*VLOOKUP('Données projet'!$B$10,Paramètres!$A$1:$I$89,3,0)*0.475*44/12</f>
        <v>7.3658270843796321E-20</v>
      </c>
      <c r="AX169" s="23">
        <f t="shared" si="166"/>
        <v>0.47520187319646767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255.41017495879987</v>
      </c>
      <c r="BJ169" s="62">
        <f t="shared" si="146"/>
        <v>297.50513563712764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0.56449087201862447</v>
      </c>
      <c r="BQ169" s="23">
        <f>EXP(-LN(2)/25)*BQ168+(1-EXP(-LN(2)/25))/(LN(2)/25)*Calculateur!BL169*Calculateur!BN169*VLOOKUP('Données projet'!$B$11,Paramètres!$A$1:$I$89,3,0)*0.475*44/12</f>
        <v>0.64199512585345331</v>
      </c>
      <c r="BR169" s="23">
        <f>EXP(-LN(2)/2)*BR168+(1-EXP(-LN(2)/2))/(LN(2)/2)*BL169*BO169*VLOOKUP('Données projet'!$B$11,Paramètres!$A$1:$I$89,3,0)*0.475*44/12</f>
        <v>8.2674451380855925E-20</v>
      </c>
      <c r="BS169" s="24">
        <f t="shared" si="169"/>
        <v>1.2064859978720777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5.4683368944097308E-14</v>
      </c>
      <c r="CA169" s="14">
        <f t="shared" si="170"/>
        <v>8.8129432816788268E-13</v>
      </c>
      <c r="CB169" s="22">
        <f t="shared" si="171"/>
        <v>1.6301611558033651E-12</v>
      </c>
      <c r="CC169" s="62">
        <f t="shared" si="119"/>
        <v>293.33333333333496</v>
      </c>
      <c r="CD169" s="62">
        <f ca="1">AVERAGE(OFFSET($CC$3,0,0,'Données projet'!$E$12+1,1))-AVERAGE(OFFSET($H$3,0,0,'Données projet'!$E$12+1,1))</f>
        <v>409.97612835032567</v>
      </c>
      <c r="CE169" s="62">
        <f t="shared" si="148"/>
        <v>411.87876448092288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2.0683765818083897</v>
      </c>
      <c r="CL169" s="23">
        <f>EXP(-LN(2)/25)*CL168+(1-EXP(-LN(2)/25))/(LN(2)/25)*Calculateur!CG169*Calculateur!CI169*VLOOKUP('Données projet'!$B$12,Paramètres!$A$1:$I$89,3,0)*0.475*44/12</f>
        <v>1.1999159508315487</v>
      </c>
      <c r="CM169" s="23">
        <f>EXP(-LN(2)/2)*CM168+(1-EXP(-LN(2)/2))/(LN(2)/2)*CG169*CJ169*VLOOKUP('Données projet'!$B$12,Paramètres!$A$1:$I$89,3,0)*0.475*44/12</f>
        <v>3.2974857722402962E-18</v>
      </c>
      <c r="CN169" s="24">
        <f t="shared" si="172"/>
        <v>3.2682925326399381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-4.5474735088646412E-13</v>
      </c>
      <c r="CU169" s="18">
        <f>CT169*VLOOKUP('Données projet'!$B$13,Paramètres!$A$1:$I$89,3,0)*VLOOKUP('Données projet'!$B$13,Paramètres!$A$1:$I$89,5,0)</f>
        <v>-2.7193891583010558E-13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463.3255103386889</v>
      </c>
      <c r="CZ169" s="62">
        <f t="shared" si="150"/>
        <v>474.73210558736127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0.3381065118861552</v>
      </c>
      <c r="DG169" s="23">
        <f>EXP(-LN(2)/25)*DG168+(1-EXP(-LN(2)/25))/(LN(2)/25)*Calculateur!DB169*Calculateur!DD169*VLOOKUP('Données projet'!$B$13,Paramètres!$A$1:$I$89,3,0)*0.475*44/12</f>
        <v>0.79845861156556597</v>
      </c>
      <c r="DH169" s="23">
        <f>EXP(-LN(2)/2)*DH168+(1-EXP(-LN(2)/2))/(LN(2)/2)*DB169*DE169*VLOOKUP('Données projet'!$B$13,Paramètres!$A$1:$I$89,3,0)*0.475*44/12</f>
        <v>1.4778500780392683E-19</v>
      </c>
      <c r="DI169" s="24">
        <f t="shared" si="175"/>
        <v>1.1365651234517211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-1.1368683772161603E-13</v>
      </c>
      <c r="DP169" s="18">
        <f>DO169*VLOOKUP('Données projet'!$B$14,Paramètres!$A$1:$I$89,3,0)*VLOOKUP('Données projet'!$B$14,Paramètres!$A$1:$I$89,5,0)</f>
        <v>-5.3205440053716299E-14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215.23235148064941</v>
      </c>
      <c r="DU169" s="62">
        <f t="shared" si="152"/>
        <v>184.07239726900434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0.21206208428735396</v>
      </c>
      <c r="EB169" s="23">
        <f>EXP(-LN(2)/25)*EB168+(1-EXP(-LN(2)/25))/(LN(2)/25)*Calculateur!DW169*Calculateur!DY169*VLOOKUP('Données projet'!$B$14,Paramètres!$A$1:$I$89,3,0)*0.475*44/12</f>
        <v>0.18095420757218345</v>
      </c>
      <c r="EC169" s="23">
        <f>EXP(-LN(2)/2)*EC168+(1-EXP(-LN(2)/2))/(LN(2)/2)*DW169*DZ169*VLOOKUP('Données projet'!$B$14,Paramètres!$A$1:$I$89,3,0)*0.475*44/12</f>
        <v>3.3312709688118109E-20</v>
      </c>
      <c r="ED169" s="24">
        <f t="shared" si="178"/>
        <v>0.3930162918595374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618.56012658073257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1.1368683772161603E-12</v>
      </c>
      <c r="O170" s="14">
        <f>N170*VLOOKUP('Données projet'!$B$9,Paramètres!$A$1:$I$89,3,0)*VLOOKUP('Données projet'!$B$9,Paramètres!$A$1:$I$89,5,0)</f>
        <v>6.3550942286383359E-13</v>
      </c>
      <c r="P170" s="14">
        <f t="shared" si="141"/>
        <v>7.6982260417614606E-12</v>
      </c>
      <c r="Q170" s="22">
        <f t="shared" si="162"/>
        <v>1.4514589267555721E-11</v>
      </c>
      <c r="R170" s="62">
        <f t="shared" si="109"/>
        <v>293.33333333334781</v>
      </c>
      <c r="S170" s="62">
        <f ca="1">AVERAGE(OFFSET($R$3,0,0,'Données projet'!$E$9+1,1))-AVERAGE(OFFSET($H$3,0,0,'Données projet'!$E$9+1,1))</f>
        <v>460.40450534123659</v>
      </c>
      <c r="T170" s="62">
        <f t="shared" si="142"/>
        <v>467.77477728479198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0.83317486294403842</v>
      </c>
      <c r="AA170" s="23">
        <f>EXP(-LN(2)/25)*AA169+(1-EXP(-LN(2)/25))/(LN(2)/25)*Calculateur!V170*Calculateur!X170*VLOOKUP('Données projet'!$B$9,Paramètres!$A$1:$I$89,3,0)*0.475*44/12</f>
        <v>0.9918287591990067</v>
      </c>
      <c r="AB170" s="23">
        <f>EXP(-LN(2)/2)*AB169+(1-EXP(-LN(2)/2))/(LN(2)/2)*V170*Y170*VLOOKUP('Données projet'!$B$9,Paramètres!$A$1:$I$89,3,0)*0.475*44/12</f>
        <v>9.6367269654074098E-20</v>
      </c>
      <c r="AC170" s="24">
        <f t="shared" si="163"/>
        <v>1.8250036221430452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-5.6843418860808015E-13</v>
      </c>
      <c r="AJ170" s="14">
        <f>AI170*VLOOKUP('Données projet'!$B$10,Paramètres!$A$1:$I$89,3,0)*VLOOKUP('Données projet'!$B$10,Paramètres!$A$1:$I$89,5,0)</f>
        <v>-5.1431925385259092E-13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321.03881567735544</v>
      </c>
      <c r="AO170" s="62">
        <f t="shared" si="144"/>
        <v>234.87694492493506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0.1597492299198485</v>
      </c>
      <c r="AV170" s="23">
        <f>EXP(-LN(2)/25)*AV169+(1-EXP(-LN(2)/25))/(LN(2)/25)*Calculateur!AQ170*Calculateur!AS170*VLOOKUP('Données projet'!$B$10,Paramètres!$A$1:$I$89,3,0)*0.475*44/12</f>
        <v>0.30371870650746929</v>
      </c>
      <c r="AW170" s="23">
        <f>EXP(-LN(2)/2)*AW169+(1-EXP(-LN(2)/2))/(LN(2)/2)*AQ170*AT170*VLOOKUP('Données projet'!$B$10,Paramètres!$A$1:$I$89,3,0)*0.475*44/12</f>
        <v>5.2084262804123739E-20</v>
      </c>
      <c r="AX170" s="23">
        <f t="shared" si="166"/>
        <v>0.46346793642731776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255.41017495879987</v>
      </c>
      <c r="BJ170" s="62">
        <f t="shared" si="146"/>
        <v>297.50513563712764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0.55342155032377383</v>
      </c>
      <c r="BQ170" s="23">
        <f>EXP(-LN(2)/25)*BQ169+(1-EXP(-LN(2)/25))/(LN(2)/25)*Calculateur!BL170*Calculateur!BN170*VLOOKUP('Données projet'!$B$11,Paramètres!$A$1:$I$89,3,0)*0.475*44/12</f>
        <v>0.62443973537593422</v>
      </c>
      <c r="BR170" s="23">
        <f>EXP(-LN(2)/2)*BR169+(1-EXP(-LN(2)/2))/(LN(2)/2)*BL170*BO170*VLOOKUP('Données projet'!$B$11,Paramètres!$A$1:$I$89,3,0)*0.475*44/12</f>
        <v>5.8459665202280752E-20</v>
      </c>
      <c r="BS170" s="24">
        <f t="shared" si="169"/>
        <v>1.1778612856997079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5.4683368944097308E-14</v>
      </c>
      <c r="CA170" s="14">
        <f t="shared" si="170"/>
        <v>8.8129432816788268E-13</v>
      </c>
      <c r="CB170" s="22">
        <f t="shared" si="171"/>
        <v>1.6301611558033651E-12</v>
      </c>
      <c r="CC170" s="62">
        <f t="shared" si="119"/>
        <v>293.33333333333496</v>
      </c>
      <c r="CD170" s="62">
        <f ca="1">AVERAGE(OFFSET($CC$3,0,0,'Données projet'!$E$12+1,1))-AVERAGE(OFFSET($H$3,0,0,'Données projet'!$E$12+1,1))</f>
        <v>409.97612835032567</v>
      </c>
      <c r="CE170" s="62">
        <f t="shared" si="148"/>
        <v>411.87876448092288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2.027816978624271</v>
      </c>
      <c r="CL170" s="23">
        <f>EXP(-LN(2)/25)*CL169+(1-EXP(-LN(2)/25))/(LN(2)/25)*Calculateur!CG170*Calculateur!CI170*VLOOKUP('Données projet'!$B$12,Paramètres!$A$1:$I$89,3,0)*0.475*44/12</f>
        <v>1.1671041860552225</v>
      </c>
      <c r="CM170" s="23">
        <f>EXP(-LN(2)/2)*CM169+(1-EXP(-LN(2)/2))/(LN(2)/2)*CG170*CJ170*VLOOKUP('Données projet'!$B$12,Paramètres!$A$1:$I$89,3,0)*0.475*44/12</f>
        <v>2.3316745504172728E-18</v>
      </c>
      <c r="CN170" s="24">
        <f t="shared" si="172"/>
        <v>3.1949211646794935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-4.5474735088646412E-13</v>
      </c>
      <c r="CU170" s="18">
        <f>CT170*VLOOKUP('Données projet'!$B$13,Paramètres!$A$1:$I$89,3,0)*VLOOKUP('Données projet'!$B$13,Paramètres!$A$1:$I$89,5,0)</f>
        <v>-2.7193891583010558E-13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463.3255103386889</v>
      </c>
      <c r="CZ170" s="62">
        <f t="shared" si="150"/>
        <v>474.73210558736127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0.33147644941267695</v>
      </c>
      <c r="DG170" s="23">
        <f>EXP(-LN(2)/25)*DG169+(1-EXP(-LN(2)/25))/(LN(2)/25)*Calculateur!DB170*Calculateur!DD170*VLOOKUP('Données projet'!$B$13,Paramètres!$A$1:$I$89,3,0)*0.475*44/12</f>
        <v>0.77662471884319206</v>
      </c>
      <c r="DH170" s="23">
        <f>EXP(-LN(2)/2)*DH169+(1-EXP(-LN(2)/2))/(LN(2)/2)*DB170*DE170*VLOOKUP('Données projet'!$B$13,Paramètres!$A$1:$I$89,3,0)*0.475*44/12</f>
        <v>1.0449978117586351E-19</v>
      </c>
      <c r="DI170" s="24">
        <f t="shared" si="175"/>
        <v>1.108101168255869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-1.1368683772161603E-13</v>
      </c>
      <c r="DP170" s="18">
        <f>DO170*VLOOKUP('Données projet'!$B$14,Paramètres!$A$1:$I$89,3,0)*VLOOKUP('Données projet'!$B$14,Paramètres!$A$1:$I$89,5,0)</f>
        <v>-5.3205440053716299E-14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215.23235148064941</v>
      </c>
      <c r="DU170" s="62">
        <f t="shared" si="152"/>
        <v>184.07239726900434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0.20790367615957858</v>
      </c>
      <c r="EB170" s="23">
        <f>EXP(-LN(2)/25)*EB169+(1-EXP(-LN(2)/25))/(LN(2)/25)*Calculateur!DW170*Calculateur!DY170*VLOOKUP('Données projet'!$B$14,Paramètres!$A$1:$I$89,3,0)*0.475*44/12</f>
        <v>0.17600600525015389</v>
      </c>
      <c r="EC170" s="23">
        <f>EXP(-LN(2)/2)*EC169+(1-EXP(-LN(2)/2))/(LN(2)/2)*DW170*DZ170*VLOOKUP('Données projet'!$B$14,Paramètres!$A$1:$I$89,3,0)*0.475*44/12</f>
        <v>2.3555642920167114E-20</v>
      </c>
      <c r="ED170" s="24">
        <f t="shared" si="178"/>
        <v>0.38390968140973247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620.46105237704421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1.1368683772161603E-12</v>
      </c>
      <c r="O171" s="14">
        <f>N171*VLOOKUP('Données projet'!$B$9,Paramètres!$A$1:$I$89,3,0)*VLOOKUP('Données projet'!$B$9,Paramètres!$A$1:$I$89,5,0)</f>
        <v>6.3550942286383359E-13</v>
      </c>
      <c r="P171" s="14">
        <f t="shared" si="141"/>
        <v>7.6982260417614606E-12</v>
      </c>
      <c r="Q171" s="22">
        <f t="shared" si="162"/>
        <v>1.4514589267555721E-11</v>
      </c>
      <c r="R171" s="62">
        <f t="shared" si="109"/>
        <v>293.33333333334781</v>
      </c>
      <c r="S171" s="62">
        <f ca="1">AVERAGE(OFFSET($R$3,0,0,'Données projet'!$E$9+1,1))-AVERAGE(OFFSET($H$3,0,0,'Données projet'!$E$9+1,1))</f>
        <v>460.40450534123659</v>
      </c>
      <c r="T171" s="62">
        <f t="shared" si="142"/>
        <v>467.77477728479198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0.81683681206819292</v>
      </c>
      <c r="AA171" s="23">
        <f>EXP(-LN(2)/25)*AA170+(1-EXP(-LN(2)/25))/(LN(2)/25)*Calculateur!V171*Calculateur!X171*VLOOKUP('Données projet'!$B$9,Paramètres!$A$1:$I$89,3,0)*0.475*44/12</f>
        <v>0.96470714962070225</v>
      </c>
      <c r="AB171" s="23">
        <f>EXP(-LN(2)/2)*AB170+(1-EXP(-LN(2)/2))/(LN(2)/2)*V171*Y171*VLOOKUP('Données projet'!$B$9,Paramètres!$A$1:$I$89,3,0)*0.475*44/12</f>
        <v>6.8141949856828393E-20</v>
      </c>
      <c r="AC171" s="24">
        <f t="shared" si="163"/>
        <v>1.7815439616888953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-5.6843418860808015E-13</v>
      </c>
      <c r="AJ171" s="14">
        <f>AI171*VLOOKUP('Données projet'!$B$10,Paramètres!$A$1:$I$89,3,0)*VLOOKUP('Données projet'!$B$10,Paramètres!$A$1:$I$89,5,0)</f>
        <v>-5.1431925385259092E-13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321.03881567735544</v>
      </c>
      <c r="AO171" s="62">
        <f t="shared" si="144"/>
        <v>234.87694492493506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0.15661664495852937</v>
      </c>
      <c r="AV171" s="23">
        <f>EXP(-LN(2)/25)*AV170+(1-EXP(-LN(2)/25))/(LN(2)/25)*Calculateur!AQ171*Calculateur!AS171*VLOOKUP('Données projet'!$B$10,Paramètres!$A$1:$I$89,3,0)*0.475*44/12</f>
        <v>0.29541350250614995</v>
      </c>
      <c r="AW171" s="23">
        <f>EXP(-LN(2)/2)*AW170+(1-EXP(-LN(2)/2))/(LN(2)/2)*AQ171*AT171*VLOOKUP('Données projet'!$B$10,Paramètres!$A$1:$I$89,3,0)*0.475*44/12</f>
        <v>3.6829135421898161E-20</v>
      </c>
      <c r="AX171" s="23">
        <f t="shared" si="166"/>
        <v>0.45203014746467929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255.41017495879987</v>
      </c>
      <c r="BJ171" s="62">
        <f t="shared" si="146"/>
        <v>297.50513563712764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0.54256929127573961</v>
      </c>
      <c r="BQ171" s="23">
        <f>EXP(-LN(2)/25)*BQ170+(1-EXP(-LN(2)/25))/(LN(2)/25)*Calculateur!BL171*Calculateur!BN171*VLOOKUP('Données projet'!$B$11,Paramètres!$A$1:$I$89,3,0)*0.475*44/12</f>
        <v>0.60736439797422082</v>
      </c>
      <c r="BR171" s="23">
        <f>EXP(-LN(2)/2)*BR170+(1-EXP(-LN(2)/2))/(LN(2)/2)*BL171*BO171*VLOOKUP('Données projet'!$B$11,Paramètres!$A$1:$I$89,3,0)*0.475*44/12</f>
        <v>4.1337225690427963E-20</v>
      </c>
      <c r="BS171" s="24">
        <f t="shared" si="169"/>
        <v>1.1499336892499605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5.4683368944097308E-14</v>
      </c>
      <c r="CA171" s="14">
        <f t="shared" si="170"/>
        <v>8.8129432816788268E-13</v>
      </c>
      <c r="CB171" s="22">
        <f t="shared" si="171"/>
        <v>1.6301611558033651E-12</v>
      </c>
      <c r="CC171" s="62">
        <f t="shared" si="119"/>
        <v>293.33333333333496</v>
      </c>
      <c r="CD171" s="62">
        <f ca="1">AVERAGE(OFFSET($CC$3,0,0,'Données projet'!$E$12+1,1))-AVERAGE(OFFSET($H$3,0,0,'Données projet'!$E$12+1,1))</f>
        <v>409.97612835032567</v>
      </c>
      <c r="CE171" s="62">
        <f t="shared" si="148"/>
        <v>411.87876448092288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1.9880527245196775</v>
      </c>
      <c r="CL171" s="23">
        <f>EXP(-LN(2)/25)*CL170+(1-EXP(-LN(2)/25))/(LN(2)/25)*Calculateur!CG171*Calculateur!CI171*VLOOKUP('Données projet'!$B$12,Paramètres!$A$1:$I$89,3,0)*0.475*44/12</f>
        <v>1.1351896607122007</v>
      </c>
      <c r="CM171" s="23">
        <f>EXP(-LN(2)/2)*CM170+(1-EXP(-LN(2)/2))/(LN(2)/2)*CG171*CJ171*VLOOKUP('Données projet'!$B$12,Paramètres!$A$1:$I$89,3,0)*0.475*44/12</f>
        <v>1.6487428861201481E-18</v>
      </c>
      <c r="CN171" s="24">
        <f t="shared" si="172"/>
        <v>3.1232423852318782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-4.5474735088646412E-13</v>
      </c>
      <c r="CU171" s="18">
        <f>CT171*VLOOKUP('Données projet'!$B$13,Paramètres!$A$1:$I$89,3,0)*VLOOKUP('Données projet'!$B$13,Paramètres!$A$1:$I$89,5,0)</f>
        <v>-2.7193891583010558E-13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463.3255103386889</v>
      </c>
      <c r="CZ171" s="62">
        <f t="shared" si="150"/>
        <v>474.73210558736127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0.3249763984203648</v>
      </c>
      <c r="DG171" s="23">
        <f>EXP(-LN(2)/25)*DG170+(1-EXP(-LN(2)/25))/(LN(2)/25)*Calculateur!DB171*Calculateur!DD171*VLOOKUP('Données projet'!$B$13,Paramètres!$A$1:$I$89,3,0)*0.475*44/12</f>
        <v>0.75538787506550598</v>
      </c>
      <c r="DH171" s="23">
        <f>EXP(-LN(2)/2)*DH170+(1-EXP(-LN(2)/2))/(LN(2)/2)*DB171*DE171*VLOOKUP('Données projet'!$B$13,Paramètres!$A$1:$I$89,3,0)*0.475*44/12</f>
        <v>7.3892503901963414E-20</v>
      </c>
      <c r="DI171" s="24">
        <f t="shared" si="175"/>
        <v>1.0803642734858707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-1.1368683772161603E-13</v>
      </c>
      <c r="DP171" s="18">
        <f>DO171*VLOOKUP('Données projet'!$B$14,Paramètres!$A$1:$I$89,3,0)*VLOOKUP('Données projet'!$B$14,Paramètres!$A$1:$I$89,5,0)</f>
        <v>-5.3205440053716299E-14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215.23235148064941</v>
      </c>
      <c r="DU171" s="62">
        <f t="shared" si="152"/>
        <v>184.07239726900434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0.20382681187881038</v>
      </c>
      <c r="EB171" s="23">
        <f>EXP(-LN(2)/25)*EB170+(1-EXP(-LN(2)/25))/(LN(2)/25)*Calculateur!DW171*Calculateur!DY171*VLOOKUP('Données projet'!$B$14,Paramètres!$A$1:$I$89,3,0)*0.475*44/12</f>
        <v>0.17119311178083488</v>
      </c>
      <c r="EC171" s="23">
        <f>EXP(-LN(2)/2)*EC170+(1-EXP(-LN(2)/2))/(LN(2)/2)*DW171*DZ171*VLOOKUP('Données projet'!$B$14,Paramètres!$A$1:$I$89,3,0)*0.475*44/12</f>
        <v>1.6656354844059055E-20</v>
      </c>
      <c r="ED171" s="24">
        <f t="shared" si="178"/>
        <v>0.37501992365964526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622.36173420727039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1.1368683772161603E-12</v>
      </c>
      <c r="O172" s="14">
        <f>N172*VLOOKUP('Données projet'!$B$9,Paramètres!$A$1:$I$89,3,0)*VLOOKUP('Données projet'!$B$9,Paramètres!$A$1:$I$89,5,0)</f>
        <v>6.3550942286383359E-13</v>
      </c>
      <c r="P172" s="14">
        <f t="shared" si="141"/>
        <v>7.6982260417614606E-12</v>
      </c>
      <c r="Q172" s="22">
        <f t="shared" si="162"/>
        <v>1.4514589267555721E-11</v>
      </c>
      <c r="R172" s="62">
        <f t="shared" si="109"/>
        <v>293.33333333334781</v>
      </c>
      <c r="S172" s="62">
        <f ca="1">AVERAGE(OFFSET($R$3,0,0,'Données projet'!$E$9+1,1))-AVERAGE(OFFSET($H$3,0,0,'Données projet'!$E$9+1,1))</f>
        <v>460.40450534123659</v>
      </c>
      <c r="T172" s="62">
        <f t="shared" si="142"/>
        <v>467.77477728479198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0.80081914040479574</v>
      </c>
      <c r="AA172" s="23">
        <f>EXP(-LN(2)/25)*AA171+(1-EXP(-LN(2)/25))/(LN(2)/25)*Calculateur!V172*Calculateur!X172*VLOOKUP('Données projet'!$B$9,Paramètres!$A$1:$I$89,3,0)*0.475*44/12</f>
        <v>0.93832718188258002</v>
      </c>
      <c r="AB172" s="23">
        <f>EXP(-LN(2)/2)*AB171+(1-EXP(-LN(2)/2))/(LN(2)/2)*V172*Y172*VLOOKUP('Données projet'!$B$9,Paramètres!$A$1:$I$89,3,0)*0.475*44/12</f>
        <v>4.8183634827037049E-20</v>
      </c>
      <c r="AC172" s="24">
        <f t="shared" si="163"/>
        <v>1.7391463222873758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-5.6843418860808015E-13</v>
      </c>
      <c r="AJ172" s="14">
        <f>AI172*VLOOKUP('Données projet'!$B$10,Paramètres!$A$1:$I$89,3,0)*VLOOKUP('Données projet'!$B$10,Paramètres!$A$1:$I$89,5,0)</f>
        <v>-5.1431925385259092E-13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321.03881567735544</v>
      </c>
      <c r="AO172" s="62">
        <f t="shared" si="144"/>
        <v>234.87694492493506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0.15354548807761356</v>
      </c>
      <c r="AV172" s="23">
        <f>EXP(-LN(2)/25)*AV171+(1-EXP(-LN(2)/25))/(LN(2)/25)*Calculateur!AQ172*Calculateur!AS172*VLOOKUP('Données projet'!$B$10,Paramètres!$A$1:$I$89,3,0)*0.475*44/12</f>
        <v>0.28733540474499836</v>
      </c>
      <c r="AW172" s="23">
        <f>EXP(-LN(2)/2)*AW171+(1-EXP(-LN(2)/2))/(LN(2)/2)*AQ172*AT172*VLOOKUP('Données projet'!$B$10,Paramètres!$A$1:$I$89,3,0)*0.475*44/12</f>
        <v>2.604213140206187E-20</v>
      </c>
      <c r="AX172" s="23">
        <f t="shared" si="166"/>
        <v>0.44088089282261189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255.41017495879987</v>
      </c>
      <c r="BJ172" s="62">
        <f t="shared" si="146"/>
        <v>297.50513563712764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0.5319298384084129</v>
      </c>
      <c r="BQ172" s="23">
        <f>EXP(-LN(2)/25)*BQ171+(1-EXP(-LN(2)/25))/(LN(2)/25)*Calculateur!BL172*Calculateur!BN172*VLOOKUP('Données projet'!$B$11,Paramètres!$A$1:$I$89,3,0)*0.475*44/12</f>
        <v>0.59075598657171025</v>
      </c>
      <c r="BR172" s="23">
        <f>EXP(-LN(2)/2)*BR171+(1-EXP(-LN(2)/2))/(LN(2)/2)*BL172*BO172*VLOOKUP('Données projet'!$B$11,Paramètres!$A$1:$I$89,3,0)*0.475*44/12</f>
        <v>2.9229832601140376E-20</v>
      </c>
      <c r="BS172" s="24">
        <f t="shared" si="169"/>
        <v>1.122685824980123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5.4683368944097308E-14</v>
      </c>
      <c r="CA172" s="14">
        <f t="shared" si="170"/>
        <v>8.8129432816788268E-13</v>
      </c>
      <c r="CB172" s="22">
        <f t="shared" si="171"/>
        <v>1.6301611558033651E-12</v>
      </c>
      <c r="CC172" s="62">
        <f t="shared" si="119"/>
        <v>293.33333333333496</v>
      </c>
      <c r="CD172" s="62">
        <f ca="1">AVERAGE(OFFSET($CC$3,0,0,'Données projet'!$E$12+1,1))-AVERAGE(OFFSET($H$3,0,0,'Données projet'!$E$12+1,1))</f>
        <v>409.97612835032567</v>
      </c>
      <c r="CE172" s="62">
        <f t="shared" si="148"/>
        <v>411.87876448092288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1.9490682231842751</v>
      </c>
      <c r="CL172" s="23">
        <f>EXP(-LN(2)/25)*CL171+(1-EXP(-LN(2)/25))/(LN(2)/25)*Calculateur!CG172*Calculateur!CI172*VLOOKUP('Données projet'!$B$12,Paramètres!$A$1:$I$89,3,0)*0.475*44/12</f>
        <v>1.1041478397429958</v>
      </c>
      <c r="CM172" s="23">
        <f>EXP(-LN(2)/2)*CM171+(1-EXP(-LN(2)/2))/(LN(2)/2)*CG172*CJ172*VLOOKUP('Données projet'!$B$12,Paramètres!$A$1:$I$89,3,0)*0.475*44/12</f>
        <v>1.1658372752086364E-18</v>
      </c>
      <c r="CN172" s="24">
        <f t="shared" si="172"/>
        <v>3.0532160629272709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-4.5474735088646412E-13</v>
      </c>
      <c r="CU172" s="18">
        <f>CT172*VLOOKUP('Données projet'!$B$13,Paramètres!$A$1:$I$89,3,0)*VLOOKUP('Données projet'!$B$13,Paramètres!$A$1:$I$89,5,0)</f>
        <v>-2.7193891583010558E-13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463.3255103386889</v>
      </c>
      <c r="CZ172" s="62">
        <f t="shared" si="150"/>
        <v>474.73210558736127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0.3186038094633723</v>
      </c>
      <c r="DG172" s="23">
        <f>EXP(-LN(2)/25)*DG171+(1-EXP(-LN(2)/25))/(LN(2)/25)*Calculateur!DB172*Calculateur!DD172*VLOOKUP('Données projet'!$B$13,Paramètres!$A$1:$I$89,3,0)*0.475*44/12</f>
        <v>0.73473175389771783</v>
      </c>
      <c r="DH172" s="23">
        <f>EXP(-LN(2)/2)*DH171+(1-EXP(-LN(2)/2))/(LN(2)/2)*DB172*DE172*VLOOKUP('Données projet'!$B$13,Paramètres!$A$1:$I$89,3,0)*0.475*44/12</f>
        <v>5.2249890587931753E-20</v>
      </c>
      <c r="DI172" s="24">
        <f t="shared" si="175"/>
        <v>1.0533355633610901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-1.1368683772161603E-13</v>
      </c>
      <c r="DP172" s="18">
        <f>DO172*VLOOKUP('Données projet'!$B$14,Paramètres!$A$1:$I$89,3,0)*VLOOKUP('Données projet'!$B$14,Paramètres!$A$1:$I$89,5,0)</f>
        <v>-5.3205440053716299E-14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215.23235148064941</v>
      </c>
      <c r="DU172" s="62">
        <f t="shared" si="152"/>
        <v>184.07239726900434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0.19982989241994636</v>
      </c>
      <c r="EB172" s="23">
        <f>EXP(-LN(2)/25)*EB171+(1-EXP(-LN(2)/25))/(LN(2)/25)*Calculateur!DW172*Calculateur!DY172*VLOOKUP('Données projet'!$B$14,Paramètres!$A$1:$I$89,3,0)*0.475*44/12</f>
        <v>0.16651182713653348</v>
      </c>
      <c r="EC172" s="23">
        <f>EXP(-LN(2)/2)*EC171+(1-EXP(-LN(2)/2))/(LN(2)/2)*DW172*DZ172*VLOOKUP('Données projet'!$B$14,Paramètres!$A$1:$I$89,3,0)*0.475*44/12</f>
        <v>1.1777821460083557E-20</v>
      </c>
      <c r="ED172" s="24">
        <f t="shared" si="178"/>
        <v>0.36634171955647987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624.26217368249513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1.1368683772161603E-12</v>
      </c>
      <c r="O173" s="14">
        <f>N173*VLOOKUP('Données projet'!$B$9,Paramètres!$A$1:$I$89,3,0)*VLOOKUP('Données projet'!$B$9,Paramètres!$A$1:$I$89,5,0)</f>
        <v>6.3550942286383359E-13</v>
      </c>
      <c r="P173" s="14">
        <f t="shared" si="141"/>
        <v>7.6982260417614606E-12</v>
      </c>
      <c r="Q173" s="22">
        <f t="shared" si="162"/>
        <v>1.4514589267555721E-11</v>
      </c>
      <c r="R173" s="62">
        <f t="shared" si="109"/>
        <v>293.33333333334781</v>
      </c>
      <c r="S173" s="62">
        <f ca="1">AVERAGE(OFFSET($R$3,0,0,'Données projet'!$E$9+1,1))-AVERAGE(OFFSET($H$3,0,0,'Données projet'!$E$9+1,1))</f>
        <v>460.40450534123659</v>
      </c>
      <c r="T173" s="62">
        <f t="shared" si="142"/>
        <v>467.77477728479198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0.78511556551290274</v>
      </c>
      <c r="AA173" s="23">
        <f>EXP(-LN(2)/25)*AA172+(1-EXP(-LN(2)/25))/(LN(2)/25)*Calculateur!V173*Calculateur!X173*VLOOKUP('Données projet'!$B$9,Paramètres!$A$1:$I$89,3,0)*0.475*44/12</f>
        <v>0.91266857574951898</v>
      </c>
      <c r="AB173" s="23">
        <f>EXP(-LN(2)/2)*AB172+(1-EXP(-LN(2)/2))/(LN(2)/2)*V173*Y173*VLOOKUP('Données projet'!$B$9,Paramètres!$A$1:$I$89,3,0)*0.475*44/12</f>
        <v>3.4070974928414197E-20</v>
      </c>
      <c r="AC173" s="24">
        <f t="shared" si="163"/>
        <v>1.6977841412624217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-5.6843418860808015E-13</v>
      </c>
      <c r="AJ173" s="14">
        <f>AI173*VLOOKUP('Données projet'!$B$10,Paramètres!$A$1:$I$89,3,0)*VLOOKUP('Données projet'!$B$10,Paramètres!$A$1:$I$89,5,0)</f>
        <v>-5.1431925385259092E-13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321.03881567735544</v>
      </c>
      <c r="AO173" s="62">
        <f t="shared" si="144"/>
        <v>234.87694492493506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0.15053455470991178</v>
      </c>
      <c r="AV173" s="23">
        <f>EXP(-LN(2)/25)*AV172+(1-EXP(-LN(2)/25))/(LN(2)/25)*Calculateur!AQ173*Calculateur!AS173*VLOOKUP('Données projet'!$B$10,Paramètres!$A$1:$I$89,3,0)*0.475*44/12</f>
        <v>0.27947820299193415</v>
      </c>
      <c r="AW173" s="23">
        <f>EXP(-LN(2)/2)*AW172+(1-EXP(-LN(2)/2))/(LN(2)/2)*AQ173*AT173*VLOOKUP('Données projet'!$B$10,Paramètres!$A$1:$I$89,3,0)*0.475*44/12</f>
        <v>1.841456771094908E-20</v>
      </c>
      <c r="AX173" s="23">
        <f t="shared" si="166"/>
        <v>0.43001275770184594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255.41017495879987</v>
      </c>
      <c r="BJ173" s="62">
        <f t="shared" si="146"/>
        <v>297.50513563712764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0.52149901872238902</v>
      </c>
      <c r="BQ173" s="23">
        <f>EXP(-LN(2)/25)*BQ172+(1-EXP(-LN(2)/25))/(LN(2)/25)*Calculateur!BL173*Calculateur!BN173*VLOOKUP('Données projet'!$B$11,Paramètres!$A$1:$I$89,3,0)*0.475*44/12</f>
        <v>0.5746017330523997</v>
      </c>
      <c r="BR173" s="23">
        <f>EXP(-LN(2)/2)*BR172+(1-EXP(-LN(2)/2))/(LN(2)/2)*BL173*BO173*VLOOKUP('Données projet'!$B$11,Paramètres!$A$1:$I$89,3,0)*0.475*44/12</f>
        <v>2.0668612845213981E-20</v>
      </c>
      <c r="BS173" s="24">
        <f t="shared" si="169"/>
        <v>1.0961007517747887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5.4683368944097308E-14</v>
      </c>
      <c r="CA173" s="14">
        <f t="shared" si="170"/>
        <v>8.8129432816788268E-13</v>
      </c>
      <c r="CB173" s="22">
        <f t="shared" si="171"/>
        <v>1.6301611558033651E-12</v>
      </c>
      <c r="CC173" s="62">
        <f t="shared" si="119"/>
        <v>293.33333333333496</v>
      </c>
      <c r="CD173" s="62">
        <f ca="1">AVERAGE(OFFSET($CC$3,0,0,'Données projet'!$E$12+1,1))-AVERAGE(OFFSET($H$3,0,0,'Données projet'!$E$12+1,1))</f>
        <v>409.97612835032567</v>
      </c>
      <c r="CE173" s="62">
        <f t="shared" si="148"/>
        <v>411.87876448092288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1.9108481841418619</v>
      </c>
      <c r="CL173" s="23">
        <f>EXP(-LN(2)/25)*CL172+(1-EXP(-LN(2)/25))/(LN(2)/25)*Calculateur!CG173*Calculateur!CI173*VLOOKUP('Données projet'!$B$12,Paramètres!$A$1:$I$89,3,0)*0.475*44/12</f>
        <v>1.0739548590006123</v>
      </c>
      <c r="CM173" s="23">
        <f>EXP(-LN(2)/2)*CM172+(1-EXP(-LN(2)/2))/(LN(2)/2)*CG173*CJ173*VLOOKUP('Données projet'!$B$12,Paramètres!$A$1:$I$89,3,0)*0.475*44/12</f>
        <v>8.2437144306007405E-19</v>
      </c>
      <c r="CN173" s="24">
        <f t="shared" si="172"/>
        <v>2.9848030431424739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-4.5474735088646412E-13</v>
      </c>
      <c r="CU173" s="18">
        <f>CT173*VLOOKUP('Données projet'!$B$13,Paramètres!$A$1:$I$89,3,0)*VLOOKUP('Données projet'!$B$13,Paramètres!$A$1:$I$89,5,0)</f>
        <v>-2.7193891583010558E-13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463.3255103386889</v>
      </c>
      <c r="CZ173" s="62">
        <f t="shared" si="150"/>
        <v>474.73210558736127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0.31235618308893093</v>
      </c>
      <c r="DG173" s="23">
        <f>EXP(-LN(2)/25)*DG172+(1-EXP(-LN(2)/25))/(LN(2)/25)*Calculateur!DB173*Calculateur!DD173*VLOOKUP('Données projet'!$B$13,Paramètres!$A$1:$I$89,3,0)*0.475*44/12</f>
        <v>0.71464047544952103</v>
      </c>
      <c r="DH173" s="23">
        <f>EXP(-LN(2)/2)*DH172+(1-EXP(-LN(2)/2))/(LN(2)/2)*DB173*DE173*VLOOKUP('Données projet'!$B$13,Paramètres!$A$1:$I$89,3,0)*0.475*44/12</f>
        <v>3.6946251950981707E-20</v>
      </c>
      <c r="DI173" s="24">
        <f t="shared" si="175"/>
        <v>1.026996658538452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-1.1368683772161603E-13</v>
      </c>
      <c r="DP173" s="18">
        <f>DO173*VLOOKUP('Données projet'!$B$14,Paramètres!$A$1:$I$89,3,0)*VLOOKUP('Données projet'!$B$14,Paramètres!$A$1:$I$89,5,0)</f>
        <v>-5.3205440053716299E-14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215.23235148064941</v>
      </c>
      <c r="DU173" s="62">
        <f t="shared" si="152"/>
        <v>184.07239726900434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0.19591135011379052</v>
      </c>
      <c r="EB173" s="23">
        <f>EXP(-LN(2)/25)*EB172+(1-EXP(-LN(2)/25))/(LN(2)/25)*Calculateur!DW173*Calculateur!DY173*VLOOKUP('Données projet'!$B$14,Paramètres!$A$1:$I$89,3,0)*0.475*44/12</f>
        <v>0.16195855246700855</v>
      </c>
      <c r="EC173" s="23">
        <f>EXP(-LN(2)/2)*EC172+(1-EXP(-LN(2)/2))/(LN(2)/2)*DW173*DZ173*VLOOKUP('Données projet'!$B$14,Paramètres!$A$1:$I$89,3,0)*0.475*44/12</f>
        <v>8.3281774220295273E-21</v>
      </c>
      <c r="ED173" s="24">
        <f t="shared" si="178"/>
        <v>0.35786990258079909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626.1623723937513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1.1368683772161603E-12</v>
      </c>
      <c r="O174" s="14">
        <f>N174*VLOOKUP('Données projet'!$B$9,Paramètres!$A$1:$I$89,3,0)*VLOOKUP('Données projet'!$B$9,Paramètres!$A$1:$I$89,5,0)</f>
        <v>6.3550942286383359E-13</v>
      </c>
      <c r="P174" s="14">
        <f t="shared" si="141"/>
        <v>7.6982260417614606E-12</v>
      </c>
      <c r="Q174" s="22">
        <f t="shared" si="162"/>
        <v>1.4514589267555721E-11</v>
      </c>
      <c r="R174" s="62">
        <f t="shared" si="109"/>
        <v>293.33333333334781</v>
      </c>
      <c r="S174" s="62">
        <f ca="1">AVERAGE(OFFSET($R$3,0,0,'Données projet'!$E$9+1,1))-AVERAGE(OFFSET($H$3,0,0,'Données projet'!$E$9+1,1))</f>
        <v>460.40450534123659</v>
      </c>
      <c r="T174" s="62">
        <f t="shared" si="142"/>
        <v>467.77477728479198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0.76971992814640489</v>
      </c>
      <c r="AA174" s="23">
        <f>EXP(-LN(2)/25)*AA173+(1-EXP(-LN(2)/25))/(LN(2)/25)*Calculateur!V174*Calculateur!X174*VLOOKUP('Données projet'!$B$9,Paramètres!$A$1:$I$89,3,0)*0.475*44/12</f>
        <v>0.88771160555049389</v>
      </c>
      <c r="AB174" s="23">
        <f>EXP(-LN(2)/2)*AB173+(1-EXP(-LN(2)/2))/(LN(2)/2)*V174*Y174*VLOOKUP('Données projet'!$B$9,Paramètres!$A$1:$I$89,3,0)*0.475*44/12</f>
        <v>2.4091817413518524E-20</v>
      </c>
      <c r="AC174" s="24">
        <f t="shared" si="163"/>
        <v>1.6574315336968988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-5.6843418860808015E-13</v>
      </c>
      <c r="AJ174" s="14">
        <f>AI174*VLOOKUP('Données projet'!$B$10,Paramètres!$A$1:$I$89,3,0)*VLOOKUP('Données projet'!$B$10,Paramètres!$A$1:$I$89,5,0)</f>
        <v>-5.1431925385259092E-13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321.03881567735544</v>
      </c>
      <c r="AO174" s="62">
        <f t="shared" si="144"/>
        <v>234.87694492493506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0.14758266390906261</v>
      </c>
      <c r="AV174" s="23">
        <f>EXP(-LN(2)/25)*AV173+(1-EXP(-LN(2)/25))/(LN(2)/25)*Calculateur!AQ174*Calculateur!AS174*VLOOKUP('Données projet'!$B$10,Paramètres!$A$1:$I$89,3,0)*0.475*44/12</f>
        <v>0.2718358568339998</v>
      </c>
      <c r="AW174" s="23">
        <f>EXP(-LN(2)/2)*AW173+(1-EXP(-LN(2)/2))/(LN(2)/2)*AQ174*AT174*VLOOKUP('Données projet'!$B$10,Paramètres!$A$1:$I$89,3,0)*0.475*44/12</f>
        <v>1.3021065701030935E-20</v>
      </c>
      <c r="AX174" s="23">
        <f t="shared" si="166"/>
        <v>0.41941852074306241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255.41017495879987</v>
      </c>
      <c r="BJ174" s="62">
        <f t="shared" si="146"/>
        <v>297.50513563712764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0.51127274104823628</v>
      </c>
      <c r="BQ174" s="23">
        <f>EXP(-LN(2)/25)*BQ173+(1-EXP(-LN(2)/25))/(LN(2)/25)*Calculateur!BL174*Calculateur!BN174*VLOOKUP('Données projet'!$B$11,Paramètres!$A$1:$I$89,3,0)*0.475*44/12</f>
        <v>0.55888921844508999</v>
      </c>
      <c r="BR174" s="23">
        <f>EXP(-LN(2)/2)*BR173+(1-EXP(-LN(2)/2))/(LN(2)/2)*BL174*BO174*VLOOKUP('Données projet'!$B$11,Paramètres!$A$1:$I$89,3,0)*0.475*44/12</f>
        <v>1.4614916300570188E-20</v>
      </c>
      <c r="BS174" s="24">
        <f t="shared" si="169"/>
        <v>1.0701619594933263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5.4683368944097308E-14</v>
      </c>
      <c r="CA174" s="14">
        <f t="shared" si="170"/>
        <v>8.8129432816788268E-13</v>
      </c>
      <c r="CB174" s="22">
        <f t="shared" si="171"/>
        <v>1.6301611558033651E-12</v>
      </c>
      <c r="CC174" s="62">
        <f t="shared" si="119"/>
        <v>293.33333333333496</v>
      </c>
      <c r="CD174" s="62">
        <f ca="1">AVERAGE(OFFSET($CC$3,0,0,'Données projet'!$E$12+1,1))-AVERAGE(OFFSET($H$3,0,0,'Données projet'!$E$12+1,1))</f>
        <v>409.97612835032567</v>
      </c>
      <c r="CE174" s="62">
        <f t="shared" si="148"/>
        <v>411.87876448092288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1.8733776167531484</v>
      </c>
      <c r="CL174" s="23">
        <f>EXP(-LN(2)/25)*CL173+(1-EXP(-LN(2)/25))/(LN(2)/25)*Calculateur!CG174*Calculateur!CI174*VLOOKUP('Données projet'!$B$12,Paramètres!$A$1:$I$89,3,0)*0.475*44/12</f>
        <v>1.044587506904409</v>
      </c>
      <c r="CM174" s="23">
        <f>EXP(-LN(2)/2)*CM173+(1-EXP(-LN(2)/2))/(LN(2)/2)*CG174*CJ174*VLOOKUP('Données projet'!$B$12,Paramètres!$A$1:$I$89,3,0)*0.475*44/12</f>
        <v>5.8291863760431819E-19</v>
      </c>
      <c r="CN174" s="24">
        <f t="shared" si="172"/>
        <v>2.9179651236575577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-4.5474735088646412E-13</v>
      </c>
      <c r="CU174" s="18">
        <f>CT174*VLOOKUP('Données projet'!$B$13,Paramètres!$A$1:$I$89,3,0)*VLOOKUP('Données projet'!$B$13,Paramètres!$A$1:$I$89,5,0)</f>
        <v>-2.7193891583010558E-13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463.3255103386889</v>
      </c>
      <c r="CZ174" s="62">
        <f t="shared" si="150"/>
        <v>474.73210558736127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0.30623106885701656</v>
      </c>
      <c r="DG174" s="23">
        <f>EXP(-LN(2)/25)*DG173+(1-EXP(-LN(2)/25))/(LN(2)/25)*Calculateur!DB174*Calculateur!DD174*VLOOKUP('Données projet'!$B$13,Paramètres!$A$1:$I$89,3,0)*0.475*44/12</f>
        <v>0.69509859406704455</v>
      </c>
      <c r="DH174" s="23">
        <f>EXP(-LN(2)/2)*DH173+(1-EXP(-LN(2)/2))/(LN(2)/2)*DB174*DE174*VLOOKUP('Données projet'!$B$13,Paramètres!$A$1:$I$89,3,0)*0.475*44/12</f>
        <v>2.6124945293965877E-20</v>
      </c>
      <c r="DI174" s="24">
        <f t="shared" si="175"/>
        <v>1.0013296629240611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-1.1368683772161603E-13</v>
      </c>
      <c r="DP174" s="18">
        <f>DO174*VLOOKUP('Données projet'!$B$14,Paramètres!$A$1:$I$89,3,0)*VLOOKUP('Données projet'!$B$14,Paramètres!$A$1:$I$89,5,0)</f>
        <v>-5.3205440053716299E-14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215.23235148064941</v>
      </c>
      <c r="DU174" s="62">
        <f t="shared" si="152"/>
        <v>184.07239726900434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0.1920696480321836</v>
      </c>
      <c r="EB174" s="23">
        <f>EXP(-LN(2)/25)*EB173+(1-EXP(-LN(2)/25))/(LN(2)/25)*Calculateur!DW174*Calculateur!DY174*VLOOKUP('Données projet'!$B$14,Paramètres!$A$1:$I$89,3,0)*0.475*44/12</f>
        <v>0.1575297873327681</v>
      </c>
      <c r="EC174" s="23">
        <f>EXP(-LN(2)/2)*EC173+(1-EXP(-LN(2)/2))/(LN(2)/2)*DW174*DZ174*VLOOKUP('Données projet'!$B$14,Paramètres!$A$1:$I$89,3,0)*0.475*44/12</f>
        <v>5.8889107300417785E-21</v>
      </c>
      <c r="ED174" s="24">
        <f t="shared" si="178"/>
        <v>0.34959943536495169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628.06233191238698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1.1368683772161603E-12</v>
      </c>
      <c r="O175" s="14">
        <f>N175*VLOOKUP('Données projet'!$B$9,Paramètres!$A$1:$I$89,3,0)*VLOOKUP('Données projet'!$B$9,Paramètres!$A$1:$I$89,5,0)</f>
        <v>6.3550942286383359E-13</v>
      </c>
      <c r="P175" s="14">
        <f t="shared" si="141"/>
        <v>7.6982260417614606E-12</v>
      </c>
      <c r="Q175" s="22">
        <f t="shared" si="162"/>
        <v>1.4514589267555721E-11</v>
      </c>
      <c r="R175" s="62">
        <f t="shared" si="109"/>
        <v>293.33333333334781</v>
      </c>
      <c r="S175" s="62">
        <f ca="1">AVERAGE(OFFSET($R$3,0,0,'Données projet'!$E$9+1,1))-AVERAGE(OFFSET($H$3,0,0,'Données projet'!$E$9+1,1))</f>
        <v>460.40450534123659</v>
      </c>
      <c r="T175" s="62">
        <f t="shared" si="142"/>
        <v>467.77477728479198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0.75462618983825247</v>
      </c>
      <c r="AA175" s="23">
        <f>EXP(-LN(2)/25)*AA174+(1-EXP(-LN(2)/25))/(LN(2)/25)*Calculateur!V175*Calculateur!X175*VLOOKUP('Données projet'!$B$9,Paramètres!$A$1:$I$89,3,0)*0.475*44/12</f>
        <v>0.86343708501399119</v>
      </c>
      <c r="AB175" s="23">
        <f>EXP(-LN(2)/2)*AB174+(1-EXP(-LN(2)/2))/(LN(2)/2)*V175*Y175*VLOOKUP('Données projet'!$B$9,Paramètres!$A$1:$I$89,3,0)*0.475*44/12</f>
        <v>1.7035487464207098E-20</v>
      </c>
      <c r="AC175" s="24">
        <f t="shared" si="163"/>
        <v>1.6180632748522437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-5.6843418860808015E-13</v>
      </c>
      <c r="AJ175" s="14">
        <f>AI175*VLOOKUP('Données projet'!$B$10,Paramètres!$A$1:$I$89,3,0)*VLOOKUP('Données projet'!$B$10,Paramètres!$A$1:$I$89,5,0)</f>
        <v>-5.1431925385259092E-13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321.03881567735544</v>
      </c>
      <c r="AO175" s="62">
        <f t="shared" si="144"/>
        <v>234.87694492493506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0.14468865788634247</v>
      </c>
      <c r="AV175" s="23">
        <f>EXP(-LN(2)/25)*AV174+(1-EXP(-LN(2)/25))/(LN(2)/25)*Calculateur!AQ175*Calculateur!AS175*VLOOKUP('Données projet'!$B$10,Paramètres!$A$1:$I$89,3,0)*0.475*44/12</f>
        <v>0.26440249103364766</v>
      </c>
      <c r="AW175" s="23">
        <f>EXP(-LN(2)/2)*AW174+(1-EXP(-LN(2)/2))/(LN(2)/2)*AQ175*AT175*VLOOKUP('Données projet'!$B$10,Paramètres!$A$1:$I$89,3,0)*0.475*44/12</f>
        <v>9.2072838554745401E-21</v>
      </c>
      <c r="AX175" s="23">
        <f t="shared" si="166"/>
        <v>0.4090911489199901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255.41017495879987</v>
      </c>
      <c r="BJ175" s="62">
        <f t="shared" si="146"/>
        <v>297.50513563712764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0.50124699444186016</v>
      </c>
      <c r="BQ175" s="23">
        <f>EXP(-LN(2)/25)*BQ174+(1-EXP(-LN(2)/25))/(LN(2)/25)*Calculateur!BL175*Calculateur!BN175*VLOOKUP('Données projet'!$B$11,Paramètres!$A$1:$I$89,3,0)*0.475*44/12</f>
        <v>0.54360636337600232</v>
      </c>
      <c r="BR175" s="23">
        <f>EXP(-LN(2)/2)*BR174+(1-EXP(-LN(2)/2))/(LN(2)/2)*BL175*BO175*VLOOKUP('Données projet'!$B$11,Paramètres!$A$1:$I$89,3,0)*0.475*44/12</f>
        <v>1.0334306422606991E-20</v>
      </c>
      <c r="BS175" s="24">
        <f t="shared" si="169"/>
        <v>1.0448533578178625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5.4683368944097308E-14</v>
      </c>
      <c r="CA175" s="14">
        <f t="shared" si="170"/>
        <v>8.8129432816788268E-13</v>
      </c>
      <c r="CB175" s="22">
        <f t="shared" si="171"/>
        <v>1.6301611558033651E-12</v>
      </c>
      <c r="CC175" s="62">
        <f t="shared" si="119"/>
        <v>293.33333333333496</v>
      </c>
      <c r="CD175" s="62">
        <f ca="1">AVERAGE(OFFSET($CC$3,0,0,'Données projet'!$E$12+1,1))-AVERAGE(OFFSET($H$3,0,0,'Données projet'!$E$12+1,1))</f>
        <v>409.97612835032567</v>
      </c>
      <c r="CE175" s="62">
        <f t="shared" si="148"/>
        <v>411.87876448092288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1.8366418243361382</v>
      </c>
      <c r="CL175" s="23">
        <f>EXP(-LN(2)/25)*CL174+(1-EXP(-LN(2)/25))/(LN(2)/25)*Calculateur!CG175*Calculateur!CI175*VLOOKUP('Données projet'!$B$12,Paramètres!$A$1:$I$89,3,0)*0.475*44/12</f>
        <v>1.0160232065956385</v>
      </c>
      <c r="CM175" s="23">
        <f>EXP(-LN(2)/2)*CM174+(1-EXP(-LN(2)/2))/(LN(2)/2)*CG175*CJ175*VLOOKUP('Données projet'!$B$12,Paramètres!$A$1:$I$89,3,0)*0.475*44/12</f>
        <v>4.1218572153003702E-19</v>
      </c>
      <c r="CN175" s="24">
        <f t="shared" si="172"/>
        <v>2.8526650309317767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-4.5474735088646412E-13</v>
      </c>
      <c r="CU175" s="18">
        <f>CT175*VLOOKUP('Données projet'!$B$13,Paramètres!$A$1:$I$89,3,0)*VLOOKUP('Données projet'!$B$13,Paramètres!$A$1:$I$89,5,0)</f>
        <v>-2.7193891583010558E-13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463.3255103386889</v>
      </c>
      <c r="CZ175" s="62">
        <f t="shared" si="150"/>
        <v>474.73210558736127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0.30022606437923921</v>
      </c>
      <c r="DG175" s="23">
        <f>EXP(-LN(2)/25)*DG174+(1-EXP(-LN(2)/25))/(LN(2)/25)*Calculateur!DB175*Calculateur!DD175*VLOOKUP('Données projet'!$B$13,Paramètres!$A$1:$I$89,3,0)*0.475*44/12</f>
        <v>0.6760910864586348</v>
      </c>
      <c r="DH175" s="23">
        <f>EXP(-LN(2)/2)*DH174+(1-EXP(-LN(2)/2))/(LN(2)/2)*DB175*DE175*VLOOKUP('Données projet'!$B$13,Paramètres!$A$1:$I$89,3,0)*0.475*44/12</f>
        <v>1.8473125975490853E-20</v>
      </c>
      <c r="DI175" s="24">
        <f t="shared" si="175"/>
        <v>0.97631715083787407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-1.1368683772161603E-13</v>
      </c>
      <c r="DP175" s="18">
        <f>DO175*VLOOKUP('Données projet'!$B$14,Paramètres!$A$1:$I$89,3,0)*VLOOKUP('Données projet'!$B$14,Paramètres!$A$1:$I$89,5,0)</f>
        <v>-5.3205440053716299E-14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215.23235148064941</v>
      </c>
      <c r="DU175" s="62">
        <f t="shared" si="152"/>
        <v>184.07239726900434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0.18830327938519009</v>
      </c>
      <c r="EB175" s="23">
        <f>EXP(-LN(2)/25)*EB174+(1-EXP(-LN(2)/25))/(LN(2)/25)*Calculateur!DW175*Calculateur!DY175*VLOOKUP('Données projet'!$B$14,Paramètres!$A$1:$I$89,3,0)*0.475*44/12</f>
        <v>0.15322212701402207</v>
      </c>
      <c r="EC175" s="23">
        <f>EXP(-LN(2)/2)*EC174+(1-EXP(-LN(2)/2))/(LN(2)/2)*DW175*DZ175*VLOOKUP('Données projet'!$B$14,Paramètres!$A$1:$I$89,3,0)*0.475*44/12</f>
        <v>4.1640887110147636E-21</v>
      </c>
      <c r="ED175" s="24">
        <f t="shared" si="178"/>
        <v>0.34152540639921214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629.96205379042158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1.1368683772161603E-12</v>
      </c>
      <c r="O176" s="14">
        <f>N176*VLOOKUP('Données projet'!$B$9,Paramètres!$A$1:$I$89,3,0)*VLOOKUP('Données projet'!$B$9,Paramètres!$A$1:$I$89,5,0)</f>
        <v>6.3550942286383359E-13</v>
      </c>
      <c r="P176" s="14">
        <f t="shared" si="141"/>
        <v>7.6982260417614606E-12</v>
      </c>
      <c r="Q176" s="22">
        <f t="shared" si="162"/>
        <v>1.4514589267555721E-11</v>
      </c>
      <c r="R176" s="62">
        <f t="shared" si="109"/>
        <v>293.33333333334781</v>
      </c>
      <c r="S176" s="62">
        <f ca="1">AVERAGE(OFFSET($R$3,0,0,'Données projet'!$E$9+1,1))-AVERAGE(OFFSET($H$3,0,0,'Données projet'!$E$9+1,1))</f>
        <v>460.40450534123659</v>
      </c>
      <c r="T176" s="62">
        <f t="shared" si="142"/>
        <v>467.77477728479198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0.73982843053205161</v>
      </c>
      <c r="AA176" s="23">
        <f>EXP(-LN(2)/25)*AA175+(1-EXP(-LN(2)/25))/(LN(2)/25)*Calculateur!V176*Calculateur!X176*VLOOKUP('Données projet'!$B$9,Paramètres!$A$1:$I$89,3,0)*0.475*44/12</f>
        <v>0.83982635251810067</v>
      </c>
      <c r="AB176" s="23">
        <f>EXP(-LN(2)/2)*AB175+(1-EXP(-LN(2)/2))/(LN(2)/2)*V176*Y176*VLOOKUP('Données projet'!$B$9,Paramètres!$A$1:$I$89,3,0)*0.475*44/12</f>
        <v>1.2045908706759262E-20</v>
      </c>
      <c r="AC176" s="24">
        <f t="shared" si="163"/>
        <v>1.5796547830501524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-5.6843418860808015E-13</v>
      </c>
      <c r="AJ176" s="14">
        <f>AI176*VLOOKUP('Données projet'!$B$10,Paramètres!$A$1:$I$89,3,0)*VLOOKUP('Données projet'!$B$10,Paramètres!$A$1:$I$89,5,0)</f>
        <v>-5.1431925385259092E-13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321.03881567735544</v>
      </c>
      <c r="AO176" s="62">
        <f t="shared" si="144"/>
        <v>234.87694492493506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0.14185140155655851</v>
      </c>
      <c r="AV176" s="23">
        <f>EXP(-LN(2)/25)*AV175+(1-EXP(-LN(2)/25))/(LN(2)/25)*Calculateur!AQ176*Calculateur!AS176*VLOOKUP('Données projet'!$B$10,Paramètres!$A$1:$I$89,3,0)*0.475*44/12</f>
        <v>0.25717239101200984</v>
      </c>
      <c r="AW176" s="23">
        <f>EXP(-LN(2)/2)*AW175+(1-EXP(-LN(2)/2))/(LN(2)/2)*AQ176*AT176*VLOOKUP('Données projet'!$B$10,Paramètres!$A$1:$I$89,3,0)*0.475*44/12</f>
        <v>6.5105328505154674E-21</v>
      </c>
      <c r="AX176" s="23">
        <f t="shared" si="166"/>
        <v>0.39902379256856835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255.41017495879987</v>
      </c>
      <c r="BJ176" s="62">
        <f t="shared" si="146"/>
        <v>297.50513563712764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0.49141784661133353</v>
      </c>
      <c r="BQ176" s="23">
        <f>EXP(-LN(2)/25)*BQ175+(1-EXP(-LN(2)/25))/(LN(2)/25)*Calculateur!BL176*Calculateur!BN176*VLOOKUP('Données projet'!$B$11,Paramètres!$A$1:$I$89,3,0)*0.475*44/12</f>
        <v>0.52874141878246927</v>
      </c>
      <c r="BR176" s="23">
        <f>EXP(-LN(2)/2)*BR175+(1-EXP(-LN(2)/2))/(LN(2)/2)*BL176*BO176*VLOOKUP('Données projet'!$B$11,Paramètres!$A$1:$I$89,3,0)*0.475*44/12</f>
        <v>7.3074581502850939E-21</v>
      </c>
      <c r="BS176" s="24">
        <f t="shared" si="169"/>
        <v>1.0201592653938027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5.4683368944097308E-14</v>
      </c>
      <c r="CA176" s="14">
        <f t="shared" si="170"/>
        <v>8.8129432816788268E-13</v>
      </c>
      <c r="CB176" s="22">
        <f t="shared" si="171"/>
        <v>1.6301611558033651E-12</v>
      </c>
      <c r="CC176" s="62">
        <f t="shared" si="119"/>
        <v>293.33333333333496</v>
      </c>
      <c r="CD176" s="62">
        <f ca="1">AVERAGE(OFFSET($CC$3,0,0,'Données projet'!$E$12+1,1))-AVERAGE(OFFSET($H$3,0,0,'Données projet'!$E$12+1,1))</f>
        <v>409.97612835032567</v>
      </c>
      <c r="CE176" s="62">
        <f t="shared" si="148"/>
        <v>411.87876448092288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1.8006263984018047</v>
      </c>
      <c r="CL176" s="23">
        <f>EXP(-LN(2)/25)*CL175+(1-EXP(-LN(2)/25))/(LN(2)/25)*Calculateur!CG176*Calculateur!CI176*VLOOKUP('Données projet'!$B$12,Paramètres!$A$1:$I$89,3,0)*0.475*44/12</f>
        <v>0.98823999858094247</v>
      </c>
      <c r="CM176" s="23">
        <f>EXP(-LN(2)/2)*CM175+(1-EXP(-LN(2)/2))/(LN(2)/2)*CG176*CJ176*VLOOKUP('Données projet'!$B$12,Paramètres!$A$1:$I$89,3,0)*0.475*44/12</f>
        <v>2.914593188021591E-19</v>
      </c>
      <c r="CN176" s="24">
        <f t="shared" si="172"/>
        <v>2.7888663969827472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-4.5474735088646412E-13</v>
      </c>
      <c r="CU176" s="18">
        <f>CT176*VLOOKUP('Données projet'!$B$13,Paramètres!$A$1:$I$89,3,0)*VLOOKUP('Données projet'!$B$13,Paramètres!$A$1:$I$89,5,0)</f>
        <v>-2.7193891583010558E-13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463.3255103386889</v>
      </c>
      <c r="CZ176" s="62">
        <f t="shared" si="150"/>
        <v>474.73210558736127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0.29433881437657999</v>
      </c>
      <c r="DG176" s="23">
        <f>EXP(-LN(2)/25)*DG175+(1-EXP(-LN(2)/25))/(LN(2)/25)*Calculateur!DB176*Calculateur!DD176*VLOOKUP('Données projet'!$B$13,Paramètres!$A$1:$I$89,3,0)*0.475*44/12</f>
        <v>0.65760334014533839</v>
      </c>
      <c r="DH176" s="23">
        <f>EXP(-LN(2)/2)*DH175+(1-EXP(-LN(2)/2))/(LN(2)/2)*DB176*DE176*VLOOKUP('Données projet'!$B$13,Paramètres!$A$1:$I$89,3,0)*0.475*44/12</f>
        <v>1.3062472646982938E-20</v>
      </c>
      <c r="DI176" s="24">
        <f t="shared" si="175"/>
        <v>0.95194215452191844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-1.1368683772161603E-13</v>
      </c>
      <c r="DP176" s="18">
        <f>DO176*VLOOKUP('Données projet'!$B$14,Paramètres!$A$1:$I$89,3,0)*VLOOKUP('Données projet'!$B$14,Paramètres!$A$1:$I$89,5,0)</f>
        <v>-5.3205440053716299E-14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215.23235148064941</v>
      </c>
      <c r="DU176" s="62">
        <f t="shared" si="152"/>
        <v>184.07239726900434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0.18461076693010608</v>
      </c>
      <c r="EB176" s="23">
        <f>EXP(-LN(2)/25)*EB175+(1-EXP(-LN(2)/25))/(LN(2)/25)*Calculateur!DW176*Calculateur!DY176*VLOOKUP('Données projet'!$B$14,Paramètres!$A$1:$I$89,3,0)*0.475*44/12</f>
        <v>0.14903225989322216</v>
      </c>
      <c r="EC176" s="23">
        <f>EXP(-LN(2)/2)*EC175+(1-EXP(-LN(2)/2))/(LN(2)/2)*DW176*DZ176*VLOOKUP('Données projet'!$B$14,Paramètres!$A$1:$I$89,3,0)*0.475*44/12</f>
        <v>2.9444553650208892E-21</v>
      </c>
      <c r="ED176" s="24">
        <f t="shared" si="178"/>
        <v>0.33364302682332825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631.86153956089356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1.1368683772161603E-12</v>
      </c>
      <c r="O177" s="14">
        <f>N177*VLOOKUP('Données projet'!$B$9,Paramètres!$A$1:$I$89,3,0)*VLOOKUP('Données projet'!$B$9,Paramètres!$A$1:$I$89,5,0)</f>
        <v>6.3550942286383359E-13</v>
      </c>
      <c r="P177" s="14">
        <f t="shared" si="141"/>
        <v>7.6982260417614606E-12</v>
      </c>
      <c r="Q177" s="22">
        <f t="shared" si="162"/>
        <v>1.4514589267555721E-11</v>
      </c>
      <c r="R177" s="62">
        <f t="shared" si="109"/>
        <v>293.33333333334781</v>
      </c>
      <c r="S177" s="62">
        <f ca="1">AVERAGE(OFFSET($R$3,0,0,'Données projet'!$E$9+1,1))-AVERAGE(OFFSET($H$3,0,0,'Données projet'!$E$9+1,1))</f>
        <v>460.40450534123659</v>
      </c>
      <c r="T177" s="62">
        <f t="shared" si="142"/>
        <v>467.77477728479198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0.7253208462601034</v>
      </c>
      <c r="AA177" s="23">
        <f>EXP(-LN(2)/25)*AA176+(1-EXP(-LN(2)/25))/(LN(2)/25)*Calculateur!V177*Calculateur!X177*VLOOKUP('Données projet'!$B$9,Paramètres!$A$1:$I$89,3,0)*0.475*44/12</f>
        <v>0.81686125674394483</v>
      </c>
      <c r="AB177" s="23">
        <f>EXP(-LN(2)/2)*AB176+(1-EXP(-LN(2)/2))/(LN(2)/2)*V177*Y177*VLOOKUP('Données projet'!$B$9,Paramètres!$A$1:$I$89,3,0)*0.475*44/12</f>
        <v>8.5177437321035491E-21</v>
      </c>
      <c r="AC177" s="24">
        <f t="shared" si="163"/>
        <v>1.5421821030040483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-5.6843418860808015E-13</v>
      </c>
      <c r="AJ177" s="14">
        <f>AI177*VLOOKUP('Données projet'!$B$10,Paramètres!$A$1:$I$89,3,0)*VLOOKUP('Données projet'!$B$10,Paramètres!$A$1:$I$89,5,0)</f>
        <v>-5.1431925385259092E-13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321.03881567735544</v>
      </c>
      <c r="AO177" s="62">
        <f t="shared" si="144"/>
        <v>234.87694492493506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0.13906978209284612</v>
      </c>
      <c r="AV177" s="23">
        <f>EXP(-LN(2)/25)*AV176+(1-EXP(-LN(2)/25))/(LN(2)/25)*Calculateur!AQ177*Calculateur!AS177*VLOOKUP('Données projet'!$B$10,Paramètres!$A$1:$I$89,3,0)*0.475*44/12</f>
        <v>0.25013999845567814</v>
      </c>
      <c r="AW177" s="23">
        <f>EXP(-LN(2)/2)*AW176+(1-EXP(-LN(2)/2))/(LN(2)/2)*AQ177*AT177*VLOOKUP('Données projet'!$B$10,Paramètres!$A$1:$I$89,3,0)*0.475*44/12</f>
        <v>4.6036419277372701E-21</v>
      </c>
      <c r="AX177" s="23">
        <f t="shared" si="166"/>
        <v>0.38920978054852429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255.41017495879987</v>
      </c>
      <c r="BJ177" s="62">
        <f t="shared" si="146"/>
        <v>297.50513563712764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0.48178144237457532</v>
      </c>
      <c r="BQ177" s="23">
        <f>EXP(-LN(2)/25)*BQ176+(1-EXP(-LN(2)/25))/(LN(2)/25)*Calculateur!BL177*Calculateur!BN177*VLOOKUP('Données projet'!$B$11,Paramètres!$A$1:$I$89,3,0)*0.475*44/12</f>
        <v>0.51428295688055992</v>
      </c>
      <c r="BR177" s="23">
        <f>EXP(-LN(2)/2)*BR176+(1-EXP(-LN(2)/2))/(LN(2)/2)*BL177*BO177*VLOOKUP('Données projet'!$B$11,Paramètres!$A$1:$I$89,3,0)*0.475*44/12</f>
        <v>5.1671532113034953E-21</v>
      </c>
      <c r="BS177" s="24">
        <f t="shared" si="169"/>
        <v>0.99606439925513524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5.4683368944097308E-14</v>
      </c>
      <c r="CA177" s="14">
        <f t="shared" si="170"/>
        <v>8.8129432816788268E-13</v>
      </c>
      <c r="CB177" s="22">
        <f t="shared" si="171"/>
        <v>1.6301611558033651E-12</v>
      </c>
      <c r="CC177" s="62">
        <f t="shared" si="119"/>
        <v>293.33333333333496</v>
      </c>
      <c r="CD177" s="62">
        <f ca="1">AVERAGE(OFFSET($CC$3,0,0,'Données projet'!$E$12+1,1))-AVERAGE(OFFSET($H$3,0,0,'Données projet'!$E$12+1,1))</f>
        <v>409.97612835032567</v>
      </c>
      <c r="CE177" s="62">
        <f t="shared" si="148"/>
        <v>411.87876448092288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1.7653172130028028</v>
      </c>
      <c r="CL177" s="23">
        <f>EXP(-LN(2)/25)*CL176+(1-EXP(-LN(2)/25))/(LN(2)/25)*Calculateur!CG177*Calculateur!CI177*VLOOKUP('Données projet'!$B$12,Paramètres!$A$1:$I$89,3,0)*0.475*44/12</f>
        <v>0.96121652385046374</v>
      </c>
      <c r="CM177" s="23">
        <f>EXP(-LN(2)/2)*CM176+(1-EXP(-LN(2)/2))/(LN(2)/2)*CG177*CJ177*VLOOKUP('Données projet'!$B$12,Paramètres!$A$1:$I$89,3,0)*0.475*44/12</f>
        <v>2.0609286076501851E-19</v>
      </c>
      <c r="CN177" s="24">
        <f t="shared" si="172"/>
        <v>2.7265337368532663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-4.5474735088646412E-13</v>
      </c>
      <c r="CU177" s="18">
        <f>CT177*VLOOKUP('Données projet'!$B$13,Paramètres!$A$1:$I$89,3,0)*VLOOKUP('Données projet'!$B$13,Paramètres!$A$1:$I$89,5,0)</f>
        <v>-2.7193891583010558E-13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463.3255103386889</v>
      </c>
      <c r="CZ177" s="62">
        <f t="shared" si="150"/>
        <v>474.73210558736127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0.28856700975560501</v>
      </c>
      <c r="DG177" s="23">
        <f>EXP(-LN(2)/25)*DG176+(1-EXP(-LN(2)/25))/(LN(2)/25)*Calculateur!DB177*Calculateur!DD177*VLOOKUP('Données projet'!$B$13,Paramètres!$A$1:$I$89,3,0)*0.475*44/12</f>
        <v>0.63962114222720745</v>
      </c>
      <c r="DH177" s="23">
        <f>EXP(-LN(2)/2)*DH176+(1-EXP(-LN(2)/2))/(LN(2)/2)*DB177*DE177*VLOOKUP('Données projet'!$B$13,Paramètres!$A$1:$I$89,3,0)*0.475*44/12</f>
        <v>9.2365629877454267E-21</v>
      </c>
      <c r="DI177" s="24">
        <f t="shared" si="175"/>
        <v>0.92818815198281246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-1.1368683772161603E-13</v>
      </c>
      <c r="DP177" s="18">
        <f>DO177*VLOOKUP('Données projet'!$B$14,Paramètres!$A$1:$I$89,3,0)*VLOOKUP('Données projet'!$B$14,Paramètres!$A$1:$I$89,5,0)</f>
        <v>-5.3205440053716299E-14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215.23235148064941</v>
      </c>
      <c r="DU177" s="62">
        <f t="shared" si="152"/>
        <v>184.07239726900434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0.18099066239205605</v>
      </c>
      <c r="EB177" s="23">
        <f>EXP(-LN(2)/25)*EB176+(1-EXP(-LN(2)/25))/(LN(2)/25)*Calculateur!DW177*Calculateur!DY177*VLOOKUP('Données projet'!$B$14,Paramètres!$A$1:$I$89,3,0)*0.475*44/12</f>
        <v>0.14495696490917606</v>
      </c>
      <c r="EC177" s="23">
        <f>EXP(-LN(2)/2)*EC176+(1-EXP(-LN(2)/2))/(LN(2)/2)*DW177*DZ177*VLOOKUP('Données projet'!$B$14,Paramètres!$A$1:$I$89,3,0)*0.475*44/12</f>
        <v>2.0820443555073818E-21</v>
      </c>
      <c r="ED177" s="24">
        <f t="shared" si="178"/>
        <v>0.32594762730123211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633.76079073820119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1.1368683772161603E-12</v>
      </c>
      <c r="O178" s="14">
        <f>N178*VLOOKUP('Données projet'!$B$9,Paramètres!$A$1:$I$89,3,0)*VLOOKUP('Données projet'!$B$9,Paramètres!$A$1:$I$89,5,0)</f>
        <v>6.3550942286383359E-13</v>
      </c>
      <c r="P178" s="14">
        <f t="shared" si="141"/>
        <v>7.6982260417614606E-12</v>
      </c>
      <c r="Q178" s="22">
        <f t="shared" si="162"/>
        <v>1.4514589267555721E-11</v>
      </c>
      <c r="R178" s="62">
        <f t="shared" si="109"/>
        <v>293.33333333334781</v>
      </c>
      <c r="S178" s="62">
        <f ca="1">AVERAGE(OFFSET($R$3,0,0,'Données projet'!$E$9+1,1))-AVERAGE(OFFSET($H$3,0,0,'Données projet'!$E$9+1,1))</f>
        <v>460.40450534123659</v>
      </c>
      <c r="T178" s="62">
        <f t="shared" si="142"/>
        <v>467.77477728479198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0.71109774686697547</v>
      </c>
      <c r="AA178" s="23">
        <f>EXP(-LN(2)/25)*AA177+(1-EXP(-LN(2)/25))/(LN(2)/25)*Calculateur!V178*Calculateur!X178*VLOOKUP('Données projet'!$B$9,Paramètres!$A$1:$I$89,3,0)*0.475*44/12</f>
        <v>0.79452414272141514</v>
      </c>
      <c r="AB178" s="23">
        <f>EXP(-LN(2)/2)*AB177+(1-EXP(-LN(2)/2))/(LN(2)/2)*V178*Y178*VLOOKUP('Données projet'!$B$9,Paramètres!$A$1:$I$89,3,0)*0.475*44/12</f>
        <v>6.0229543533796311E-21</v>
      </c>
      <c r="AC178" s="24">
        <f t="shared" si="163"/>
        <v>1.5056218895883906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-5.6843418860808015E-13</v>
      </c>
      <c r="AJ178" s="14">
        <f>AI178*VLOOKUP('Données projet'!$B$10,Paramètres!$A$1:$I$89,3,0)*VLOOKUP('Données projet'!$B$10,Paramètres!$A$1:$I$89,5,0)</f>
        <v>-5.1431925385259092E-13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321.03881567735544</v>
      </c>
      <c r="AO178" s="62">
        <f t="shared" si="144"/>
        <v>234.87694492493506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0.13634270849019681</v>
      </c>
      <c r="AV178" s="23">
        <f>EXP(-LN(2)/25)*AV177+(1-EXP(-LN(2)/25))/(LN(2)/25)*Calculateur!AQ178*Calculateur!AS178*VLOOKUP('Données projet'!$B$10,Paramètres!$A$1:$I$89,3,0)*0.475*44/12</f>
        <v>0.24329990704361681</v>
      </c>
      <c r="AW178" s="23">
        <f>EXP(-LN(2)/2)*AW177+(1-EXP(-LN(2)/2))/(LN(2)/2)*AQ178*AT178*VLOOKUP('Données projet'!$B$10,Paramètres!$A$1:$I$89,3,0)*0.475*44/12</f>
        <v>3.2552664252577337E-21</v>
      </c>
      <c r="AX178" s="23">
        <f t="shared" si="166"/>
        <v>0.37964261553381362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255.41017495879987</v>
      </c>
      <c r="BJ178" s="62">
        <f t="shared" si="146"/>
        <v>297.50513563712764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0.47233400214727372</v>
      </c>
      <c r="BQ178" s="23">
        <f>EXP(-LN(2)/25)*BQ177+(1-EXP(-LN(2)/25))/(LN(2)/25)*Calculateur!BL178*Calculateur!BN178*VLOOKUP('Données projet'!$B$11,Paramètres!$A$1:$I$89,3,0)*0.475*44/12</f>
        <v>0.50021986237969573</v>
      </c>
      <c r="BR178" s="23">
        <f>EXP(-LN(2)/2)*BR177+(1-EXP(-LN(2)/2))/(LN(2)/2)*BL178*BO178*VLOOKUP('Données projet'!$B$11,Paramètres!$A$1:$I$89,3,0)*0.475*44/12</f>
        <v>3.653729075142547E-21</v>
      </c>
      <c r="BS178" s="24">
        <f t="shared" si="169"/>
        <v>0.97255386452696946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5.4683368944097308E-14</v>
      </c>
      <c r="CA178" s="14">
        <f t="shared" si="170"/>
        <v>8.8129432816788268E-13</v>
      </c>
      <c r="CB178" s="22">
        <f t="shared" si="171"/>
        <v>1.6301611558033651E-12</v>
      </c>
      <c r="CC178" s="62">
        <f t="shared" si="119"/>
        <v>293.33333333333496</v>
      </c>
      <c r="CD178" s="62">
        <f ca="1">AVERAGE(OFFSET($CC$3,0,0,'Données projet'!$E$12+1,1))-AVERAGE(OFFSET($H$3,0,0,'Données projet'!$E$12+1,1))</f>
        <v>409.97612835032567</v>
      </c>
      <c r="CE178" s="62">
        <f t="shared" si="148"/>
        <v>411.87876448092288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1.7307004191929987</v>
      </c>
      <c r="CL178" s="23">
        <f>EXP(-LN(2)/25)*CL177+(1-EXP(-LN(2)/25))/(LN(2)/25)*Calculateur!CG178*Calculateur!CI178*VLOOKUP('Données projet'!$B$12,Paramètres!$A$1:$I$89,3,0)*0.475*44/12</f>
        <v>0.93493200745759275</v>
      </c>
      <c r="CM178" s="23">
        <f>EXP(-LN(2)/2)*CM177+(1-EXP(-LN(2)/2))/(LN(2)/2)*CG178*CJ178*VLOOKUP('Données projet'!$B$12,Paramètres!$A$1:$I$89,3,0)*0.475*44/12</f>
        <v>1.4572965940107955E-19</v>
      </c>
      <c r="CN178" s="24">
        <f t="shared" si="172"/>
        <v>2.6656324266505913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-4.5474735088646412E-13</v>
      </c>
      <c r="CU178" s="18">
        <f>CT178*VLOOKUP('Données projet'!$B$13,Paramètres!$A$1:$I$89,3,0)*VLOOKUP('Données projet'!$B$13,Paramètres!$A$1:$I$89,5,0)</f>
        <v>-2.7193891583010558E-13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463.3255103386889</v>
      </c>
      <c r="CZ178" s="62">
        <f t="shared" si="150"/>
        <v>474.73210558736127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0.28290838670279417</v>
      </c>
      <c r="DG178" s="23">
        <f>EXP(-LN(2)/25)*DG177+(1-EXP(-LN(2)/25))/(LN(2)/25)*Calculateur!DB178*Calculateur!DD178*VLOOKUP('Données projet'!$B$13,Paramètres!$A$1:$I$89,3,0)*0.475*44/12</f>
        <v>0.62213066845679044</v>
      </c>
      <c r="DH178" s="23">
        <f>EXP(-LN(2)/2)*DH177+(1-EXP(-LN(2)/2))/(LN(2)/2)*DB178*DE178*VLOOKUP('Données projet'!$B$13,Paramètres!$A$1:$I$89,3,0)*0.475*44/12</f>
        <v>6.5312363234914692E-21</v>
      </c>
      <c r="DI178" s="24">
        <f t="shared" si="175"/>
        <v>0.9050390551595846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-1.1368683772161603E-13</v>
      </c>
      <c r="DP178" s="18">
        <f>DO178*VLOOKUP('Données projet'!$B$14,Paramètres!$A$1:$I$89,3,0)*VLOOKUP('Données projet'!$B$14,Paramètres!$A$1:$I$89,5,0)</f>
        <v>-5.3205440053716299E-14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215.23235148064941</v>
      </c>
      <c r="DU178" s="62">
        <f t="shared" si="152"/>
        <v>184.07239726900434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0.17744154589595146</v>
      </c>
      <c r="EB178" s="23">
        <f>EXP(-LN(2)/25)*EB177+(1-EXP(-LN(2)/25))/(LN(2)/25)*Calculateur!DW178*Calculateur!DY178*VLOOKUP('Données projet'!$B$14,Paramètres!$A$1:$I$89,3,0)*0.475*44/12</f>
        <v>0.14099310908077917</v>
      </c>
      <c r="EC178" s="23">
        <f>EXP(-LN(2)/2)*EC177+(1-EXP(-LN(2)/2))/(LN(2)/2)*DW178*DZ178*VLOOKUP('Données projet'!$B$14,Paramètres!$A$1:$I$89,3,0)*0.475*44/12</f>
        <v>1.4722276825104446E-21</v>
      </c>
      <c r="ED178" s="24">
        <f t="shared" si="178"/>
        <v>0.31843465497673062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635.65980881843325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1.1368683772161603E-12</v>
      </c>
      <c r="O179" s="14">
        <f>N179*VLOOKUP('Données projet'!$B$9,Paramètres!$A$1:$I$89,3,0)*VLOOKUP('Données projet'!$B$9,Paramètres!$A$1:$I$89,5,0)</f>
        <v>6.3550942286383359E-13</v>
      </c>
      <c r="P179" s="14">
        <f t="shared" si="141"/>
        <v>7.6982260417614606E-12</v>
      </c>
      <c r="Q179" s="22">
        <f t="shared" si="162"/>
        <v>1.4514589267555721E-11</v>
      </c>
      <c r="R179" s="62">
        <f t="shared" si="109"/>
        <v>293.33333333334781</v>
      </c>
      <c r="S179" s="62">
        <f ca="1">AVERAGE(OFFSET($R$3,0,0,'Données projet'!$E$9+1,1))-AVERAGE(OFFSET($H$3,0,0,'Données projet'!$E$9+1,1))</f>
        <v>460.40450534123659</v>
      </c>
      <c r="T179" s="62">
        <f t="shared" si="142"/>
        <v>467.77477728479198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0.69715355377771271</v>
      </c>
      <c r="AA179" s="23">
        <f>EXP(-LN(2)/25)*AA178+(1-EXP(-LN(2)/25))/(LN(2)/25)*Calculateur!V179*Calculateur!X179*VLOOKUP('Données projet'!$B$9,Paramètres!$A$1:$I$89,3,0)*0.475*44/12</f>
        <v>0.77279783825648929</v>
      </c>
      <c r="AB179" s="23">
        <f>EXP(-LN(2)/2)*AB178+(1-EXP(-LN(2)/2))/(LN(2)/2)*V179*Y179*VLOOKUP('Données projet'!$B$9,Paramètres!$A$1:$I$89,3,0)*0.475*44/12</f>
        <v>4.2588718660517746E-21</v>
      </c>
      <c r="AC179" s="24">
        <f t="shared" si="163"/>
        <v>1.469951392034202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-5.6843418860808015E-13</v>
      </c>
      <c r="AJ179" s="14">
        <f>AI179*VLOOKUP('Données projet'!$B$10,Paramètres!$A$1:$I$89,3,0)*VLOOKUP('Données projet'!$B$10,Paramètres!$A$1:$I$89,5,0)</f>
        <v>-5.1431925385259092E-13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321.03881567735544</v>
      </c>
      <c r="AO179" s="62">
        <f t="shared" si="144"/>
        <v>234.87694492493506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0.13366911113754479</v>
      </c>
      <c r="AV179" s="23">
        <f>EXP(-LN(2)/25)*AV178+(1-EXP(-LN(2)/25))/(LN(2)/25)*Calculateur!AQ179*Calculateur!AS179*VLOOKUP('Données projet'!$B$10,Paramètres!$A$1:$I$89,3,0)*0.475*44/12</f>
        <v>0.23664685829092308</v>
      </c>
      <c r="AW179" s="23">
        <f>EXP(-LN(2)/2)*AW178+(1-EXP(-LN(2)/2))/(LN(2)/2)*AQ179*AT179*VLOOKUP('Données projet'!$B$10,Paramètres!$A$1:$I$89,3,0)*0.475*44/12</f>
        <v>2.301820963868635E-21</v>
      </c>
      <c r="AX179" s="23">
        <f t="shared" si="166"/>
        <v>0.37031596942846789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255.41017495879987</v>
      </c>
      <c r="BJ179" s="62">
        <f t="shared" si="146"/>
        <v>297.50513563712764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0.46307182046045997</v>
      </c>
      <c r="BQ179" s="23">
        <f>EXP(-LN(2)/25)*BQ178+(1-EXP(-LN(2)/25))/(LN(2)/25)*Calculateur!BL179*Calculateur!BN179*VLOOKUP('Données projet'!$B$11,Paramètres!$A$1:$I$89,3,0)*0.475*44/12</f>
        <v>0.48654132393750366</v>
      </c>
      <c r="BR179" s="23">
        <f>EXP(-LN(2)/2)*BR178+(1-EXP(-LN(2)/2))/(LN(2)/2)*BL179*BO179*VLOOKUP('Données projet'!$B$11,Paramètres!$A$1:$I$89,3,0)*0.475*44/12</f>
        <v>2.5835766056517477E-21</v>
      </c>
      <c r="BS179" s="24">
        <f t="shared" si="169"/>
        <v>0.94961314439796363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5.4683368944097308E-14</v>
      </c>
      <c r="CA179" s="14">
        <f t="shared" si="170"/>
        <v>8.8129432816788268E-13</v>
      </c>
      <c r="CB179" s="22">
        <f t="shared" si="171"/>
        <v>1.6301611558033651E-12</v>
      </c>
      <c r="CC179" s="62">
        <f t="shared" si="119"/>
        <v>293.33333333333496</v>
      </c>
      <c r="CD179" s="62">
        <f ca="1">AVERAGE(OFFSET($CC$3,0,0,'Données projet'!$E$12+1,1))-AVERAGE(OFFSET($H$3,0,0,'Données projet'!$E$12+1,1))</f>
        <v>409.97612835032567</v>
      </c>
      <c r="CE179" s="62">
        <f t="shared" si="148"/>
        <v>411.87876448092288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1.6967624395956455</v>
      </c>
      <c r="CL179" s="23">
        <f>EXP(-LN(2)/25)*CL178+(1-EXP(-LN(2)/25))/(LN(2)/25)*Calculateur!CG179*Calculateur!CI179*VLOOKUP('Données projet'!$B$12,Paramètres!$A$1:$I$89,3,0)*0.475*44/12</f>
        <v>0.90936624254772747</v>
      </c>
      <c r="CM179" s="23">
        <f>EXP(-LN(2)/2)*CM178+(1-EXP(-LN(2)/2))/(LN(2)/2)*CG179*CJ179*VLOOKUP('Données projet'!$B$12,Paramètres!$A$1:$I$89,3,0)*0.475*44/12</f>
        <v>1.0304643038250926E-19</v>
      </c>
      <c r="CN179" s="24">
        <f t="shared" si="172"/>
        <v>2.6061286821433729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-4.5474735088646412E-13</v>
      </c>
      <c r="CU179" s="18">
        <f>CT179*VLOOKUP('Données projet'!$B$13,Paramètres!$A$1:$I$89,3,0)*VLOOKUP('Données projet'!$B$13,Paramètres!$A$1:$I$89,5,0)</f>
        <v>-2.7193891583010558E-13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463.3255103386889</v>
      </c>
      <c r="CZ179" s="62">
        <f t="shared" si="150"/>
        <v>474.73210558736127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0.27736072579662968</v>
      </c>
      <c r="DG179" s="23">
        <f>EXP(-LN(2)/25)*DG178+(1-EXP(-LN(2)/25))/(LN(2)/25)*Calculateur!DB179*Calculateur!DD179*VLOOKUP('Données projet'!$B$13,Paramètres!$A$1:$I$89,3,0)*0.475*44/12</f>
        <v>0.6051184726114095</v>
      </c>
      <c r="DH179" s="23">
        <f>EXP(-LN(2)/2)*DH178+(1-EXP(-LN(2)/2))/(LN(2)/2)*DB179*DE179*VLOOKUP('Données projet'!$B$13,Paramètres!$A$1:$I$89,3,0)*0.475*44/12</f>
        <v>4.6182814938727133E-21</v>
      </c>
      <c r="DI179" s="24">
        <f t="shared" si="175"/>
        <v>0.88247919840803912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-1.1368683772161603E-13</v>
      </c>
      <c r="DP179" s="18">
        <f>DO179*VLOOKUP('Données projet'!$B$14,Paramètres!$A$1:$I$89,3,0)*VLOOKUP('Données projet'!$B$14,Paramètres!$A$1:$I$89,5,0)</f>
        <v>-5.3205440053716299E-14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215.23235148064941</v>
      </c>
      <c r="DU179" s="62">
        <f t="shared" si="152"/>
        <v>184.07239726900434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0.17396202540958816</v>
      </c>
      <c r="EB179" s="23">
        <f>EXP(-LN(2)/25)*EB178+(1-EXP(-LN(2)/25))/(LN(2)/25)*Calculateur!DW179*Calculateur!DY179*VLOOKUP('Données projet'!$B$14,Paramètres!$A$1:$I$89,3,0)*0.475*44/12</f>
        <v>0.13713764509845991</v>
      </c>
      <c r="EC179" s="23">
        <f>EXP(-LN(2)/2)*EC178+(1-EXP(-LN(2)/2))/(LN(2)/2)*DW179*DZ179*VLOOKUP('Données projet'!$B$14,Paramètres!$A$1:$I$89,3,0)*0.475*44/12</f>
        <v>1.0410221777536909E-21</v>
      </c>
      <c r="ED179" s="24">
        <f t="shared" si="178"/>
        <v>0.3110996705080481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637.55859527969415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1.1368683772161603E-12</v>
      </c>
      <c r="O180" s="14">
        <f>N180*VLOOKUP('Données projet'!$B$9,Paramètres!$A$1:$I$89,3,0)*VLOOKUP('Données projet'!$B$9,Paramètres!$A$1:$I$89,5,0)</f>
        <v>6.3550942286383359E-13</v>
      </c>
      <c r="P180" s="14">
        <f t="shared" si="141"/>
        <v>7.6982260417614606E-12</v>
      </c>
      <c r="Q180" s="22">
        <f t="shared" si="162"/>
        <v>1.4514589267555721E-11</v>
      </c>
      <c r="R180" s="62">
        <f t="shared" si="109"/>
        <v>293.33333333334781</v>
      </c>
      <c r="S180" s="62">
        <f ca="1">AVERAGE(OFFSET($R$3,0,0,'Données projet'!$E$9+1,1))-AVERAGE(OFFSET($H$3,0,0,'Données projet'!$E$9+1,1))</f>
        <v>460.40450534123659</v>
      </c>
      <c r="T180" s="62">
        <f t="shared" si="142"/>
        <v>467.77477728479198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0.68348279780981236</v>
      </c>
      <c r="AA180" s="23">
        <f>EXP(-LN(2)/25)*AA179+(1-EXP(-LN(2)/25))/(LN(2)/25)*Calculateur!V180*Calculateur!X180*VLOOKUP('Données projet'!$B$9,Paramètres!$A$1:$I$89,3,0)*0.475*44/12</f>
        <v>0.75166564072969355</v>
      </c>
      <c r="AB180" s="23">
        <f>EXP(-LN(2)/2)*AB179+(1-EXP(-LN(2)/2))/(LN(2)/2)*V180*Y180*VLOOKUP('Données projet'!$B$9,Paramètres!$A$1:$I$89,3,0)*0.475*44/12</f>
        <v>3.0114771766898156E-21</v>
      </c>
      <c r="AC180" s="24">
        <f t="shared" si="163"/>
        <v>1.4351484385395059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-5.6843418860808015E-13</v>
      </c>
      <c r="AJ180" s="14">
        <f>AI180*VLOOKUP('Données projet'!$B$10,Paramètres!$A$1:$I$89,3,0)*VLOOKUP('Données projet'!$B$10,Paramètres!$A$1:$I$89,5,0)</f>
        <v>-5.1431925385259092E-13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321.03881567735544</v>
      </c>
      <c r="AO180" s="62">
        <f t="shared" si="144"/>
        <v>234.87694492493506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0.13104794139824491</v>
      </c>
      <c r="AV180" s="23">
        <f>EXP(-LN(2)/25)*AV179+(1-EXP(-LN(2)/25))/(LN(2)/25)*Calculateur!AQ180*Calculateur!AS180*VLOOKUP('Données projet'!$B$10,Paramètres!$A$1:$I$89,3,0)*0.475*44/12</f>
        <v>0.23017573750624037</v>
      </c>
      <c r="AW180" s="23">
        <f>EXP(-LN(2)/2)*AW179+(1-EXP(-LN(2)/2))/(LN(2)/2)*AQ180*AT180*VLOOKUP('Données projet'!$B$10,Paramètres!$A$1:$I$89,3,0)*0.475*44/12</f>
        <v>1.6276332126288668E-21</v>
      </c>
      <c r="AX180" s="23">
        <f t="shared" si="166"/>
        <v>0.36122367890448526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255.41017495879987</v>
      </c>
      <c r="BJ180" s="62">
        <f t="shared" si="146"/>
        <v>297.50513563712764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0.4539912645071516</v>
      </c>
      <c r="BQ180" s="23">
        <f>EXP(-LN(2)/25)*BQ179+(1-EXP(-LN(2)/25))/(LN(2)/25)*Calculateur!BL180*Calculateur!BN180*VLOOKUP('Données projet'!$B$11,Paramètres!$A$1:$I$89,3,0)*0.475*44/12</f>
        <v>0.47323682584833637</v>
      </c>
      <c r="BR180" s="23">
        <f>EXP(-LN(2)/2)*BR179+(1-EXP(-LN(2)/2))/(LN(2)/2)*BL180*BO180*VLOOKUP('Données projet'!$B$11,Paramètres!$A$1:$I$89,3,0)*0.475*44/12</f>
        <v>1.8268645375712735E-21</v>
      </c>
      <c r="BS180" s="24">
        <f t="shared" si="169"/>
        <v>0.92722809035548792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5.4683368944097308E-14</v>
      </c>
      <c r="CA180" s="14">
        <f t="shared" si="170"/>
        <v>8.8129432816788268E-13</v>
      </c>
      <c r="CB180" s="22">
        <f t="shared" si="171"/>
        <v>1.6301611558033651E-12</v>
      </c>
      <c r="CC180" s="62">
        <f t="shared" si="119"/>
        <v>293.33333333333496</v>
      </c>
      <c r="CD180" s="62">
        <f ca="1">AVERAGE(OFFSET($CC$3,0,0,'Données projet'!$E$12+1,1))-AVERAGE(OFFSET($H$3,0,0,'Données projet'!$E$12+1,1))</f>
        <v>409.97612835032567</v>
      </c>
      <c r="CE180" s="62">
        <f t="shared" si="148"/>
        <v>411.87876448092288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1.6634899630780728</v>
      </c>
      <c r="CL180" s="23">
        <f>EXP(-LN(2)/25)*CL179+(1-EXP(-LN(2)/25))/(LN(2)/25)*Calculateur!CG180*Calculateur!CI180*VLOOKUP('Données projet'!$B$12,Paramètres!$A$1:$I$89,3,0)*0.475*44/12</f>
        <v>0.88449957482376751</v>
      </c>
      <c r="CM180" s="23">
        <f>EXP(-LN(2)/2)*CM179+(1-EXP(-LN(2)/2))/(LN(2)/2)*CG180*CJ180*VLOOKUP('Données projet'!$B$12,Paramètres!$A$1:$I$89,3,0)*0.475*44/12</f>
        <v>7.2864829700539774E-20</v>
      </c>
      <c r="CN180" s="24">
        <f t="shared" si="172"/>
        <v>2.5479895379018402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-4.5474735088646412E-13</v>
      </c>
      <c r="CU180" s="18">
        <f>CT180*VLOOKUP('Données projet'!$B$13,Paramètres!$A$1:$I$89,3,0)*VLOOKUP('Données projet'!$B$13,Paramètres!$A$1:$I$89,5,0)</f>
        <v>-2.7193891583010558E-13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463.3255103386889</v>
      </c>
      <c r="CZ180" s="62">
        <f t="shared" si="150"/>
        <v>474.73210558736127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0.27192185113709605</v>
      </c>
      <c r="DG180" s="23">
        <f>EXP(-LN(2)/25)*DG179+(1-EXP(-LN(2)/25))/(LN(2)/25)*Calculateur!DB180*Calculateur!DD180*VLOOKUP('Données projet'!$B$13,Paramètres!$A$1:$I$89,3,0)*0.475*44/12</f>
        <v>0.5885714761560531</v>
      </c>
      <c r="DH180" s="23">
        <f>EXP(-LN(2)/2)*DH179+(1-EXP(-LN(2)/2))/(LN(2)/2)*DB180*DE180*VLOOKUP('Données projet'!$B$13,Paramètres!$A$1:$I$89,3,0)*0.475*44/12</f>
        <v>3.2656181617457346E-21</v>
      </c>
      <c r="DI180" s="24">
        <f t="shared" si="175"/>
        <v>0.8604933272931492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-1.1368683772161603E-13</v>
      </c>
      <c r="DP180" s="18">
        <f>DO180*VLOOKUP('Données projet'!$B$14,Paramètres!$A$1:$I$89,3,0)*VLOOKUP('Données projet'!$B$14,Paramètres!$A$1:$I$89,5,0)</f>
        <v>-5.3205440053716299E-14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215.23235148064941</v>
      </c>
      <c r="DU180" s="62">
        <f t="shared" si="152"/>
        <v>184.07239726900434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0.1705507361976645</v>
      </c>
      <c r="EB180" s="23">
        <f>EXP(-LN(2)/25)*EB179+(1-EXP(-LN(2)/25))/(LN(2)/25)*Calculateur!DW180*Calculateur!DY180*VLOOKUP('Données projet'!$B$14,Paramètres!$A$1:$I$89,3,0)*0.475*44/12</f>
        <v>0.13338760898148719</v>
      </c>
      <c r="EC180" s="23">
        <f>EXP(-LN(2)/2)*EC179+(1-EXP(-LN(2)/2))/(LN(2)/2)*DW180*DZ180*VLOOKUP('Données projet'!$B$14,Paramètres!$A$1:$I$89,3,0)*0.475*44/12</f>
        <v>7.3611384125522231E-22</v>
      </c>
      <c r="ED180" s="24">
        <f t="shared" si="178"/>
        <v>0.30393834517915169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639.4571515824199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1.1368683772161603E-12</v>
      </c>
      <c r="O181" s="14">
        <f>N181*VLOOKUP('Données projet'!$B$9,Paramètres!$A$1:$I$89,3,0)*VLOOKUP('Données projet'!$B$9,Paramètres!$A$1:$I$89,5,0)</f>
        <v>6.3550942286383359E-13</v>
      </c>
      <c r="P181" s="14">
        <f t="shared" si="141"/>
        <v>7.6982260417614606E-12</v>
      </c>
      <c r="Q181" s="22">
        <f t="shared" si="162"/>
        <v>1.4514589267555721E-11</v>
      </c>
      <c r="R181" s="62">
        <f t="shared" si="109"/>
        <v>293.33333333334781</v>
      </c>
      <c r="S181" s="62">
        <f ca="1">AVERAGE(OFFSET($R$3,0,0,'Données projet'!$E$9+1,1))-AVERAGE(OFFSET($H$3,0,0,'Données projet'!$E$9+1,1))</f>
        <v>460.40450534123659</v>
      </c>
      <c r="T181" s="62">
        <f t="shared" si="142"/>
        <v>467.77477728479198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0.67008011702810477</v>
      </c>
      <c r="AA181" s="23">
        <f>EXP(-LN(2)/25)*AA180+(1-EXP(-LN(2)/25))/(LN(2)/25)*Calculateur!V181*Calculateur!X181*VLOOKUP('Données projet'!$B$9,Paramètres!$A$1:$I$89,3,0)*0.475*44/12</f>
        <v>0.73111130425556203</v>
      </c>
      <c r="AB181" s="23">
        <f>EXP(-LN(2)/2)*AB180+(1-EXP(-LN(2)/2))/(LN(2)/2)*V181*Y181*VLOOKUP('Données projet'!$B$9,Paramètres!$A$1:$I$89,3,0)*0.475*44/12</f>
        <v>2.1294359330258873E-21</v>
      </c>
      <c r="AC181" s="24">
        <f t="shared" si="163"/>
        <v>1.4011914212836669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-5.6843418860808015E-13</v>
      </c>
      <c r="AJ181" s="14">
        <f>AI181*VLOOKUP('Données projet'!$B$10,Paramètres!$A$1:$I$89,3,0)*VLOOKUP('Données projet'!$B$10,Paramètres!$A$1:$I$89,5,0)</f>
        <v>-5.1431925385259092E-13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321.03881567735544</v>
      </c>
      <c r="AO181" s="62">
        <f t="shared" si="144"/>
        <v>234.87694492493506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0.12847817119877702</v>
      </c>
      <c r="AV181" s="23">
        <f>EXP(-LN(2)/25)*AV180+(1-EXP(-LN(2)/25))/(LN(2)/25)*Calculateur!AQ181*Calculateur!AS181*VLOOKUP('Données projet'!$B$10,Paramètres!$A$1:$I$89,3,0)*0.475*44/12</f>
        <v>0.22388156985971627</v>
      </c>
      <c r="AW181" s="23">
        <f>EXP(-LN(2)/2)*AW180+(1-EXP(-LN(2)/2))/(LN(2)/2)*AQ181*AT181*VLOOKUP('Données projet'!$B$10,Paramètres!$A$1:$I$89,3,0)*0.475*44/12</f>
        <v>1.1509104819343175E-21</v>
      </c>
      <c r="AX181" s="23">
        <f t="shared" si="166"/>
        <v>0.35235974105849333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255.41017495879987</v>
      </c>
      <c r="BJ181" s="62">
        <f t="shared" si="146"/>
        <v>297.50513563712764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0.44508877271749536</v>
      </c>
      <c r="BQ181" s="23">
        <f>EXP(-LN(2)/25)*BQ180+(1-EXP(-LN(2)/25))/(LN(2)/25)*Calculateur!BL181*Calculateur!BN181*VLOOKUP('Données projet'!$B$11,Paramètres!$A$1:$I$89,3,0)*0.475*44/12</f>
        <v>0.46029613995907054</v>
      </c>
      <c r="BR181" s="23">
        <f>EXP(-LN(2)/2)*BR180+(1-EXP(-LN(2)/2))/(LN(2)/2)*BL181*BO181*VLOOKUP('Données projet'!$B$11,Paramètres!$A$1:$I$89,3,0)*0.475*44/12</f>
        <v>1.2917883028258738E-21</v>
      </c>
      <c r="BS181" s="24">
        <f t="shared" si="169"/>
        <v>0.90538491267656585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5.4683368944097308E-14</v>
      </c>
      <c r="CA181" s="14">
        <f t="shared" si="170"/>
        <v>8.8129432816788268E-13</v>
      </c>
      <c r="CB181" s="22">
        <f t="shared" si="171"/>
        <v>1.6301611558033651E-12</v>
      </c>
      <c r="CC181" s="62">
        <f t="shared" si="119"/>
        <v>293.33333333333496</v>
      </c>
      <c r="CD181" s="62">
        <f ca="1">AVERAGE(OFFSET($CC$3,0,0,'Données projet'!$E$12+1,1))-AVERAGE(OFFSET($H$3,0,0,'Données projet'!$E$12+1,1))</f>
        <v>409.97612835032567</v>
      </c>
      <c r="CE181" s="62">
        <f t="shared" si="148"/>
        <v>411.87876448092288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1.6308699395308031</v>
      </c>
      <c r="CL181" s="23">
        <f>EXP(-LN(2)/25)*CL180+(1-EXP(-LN(2)/25))/(LN(2)/25)*Calculateur!CG181*Calculateur!CI181*VLOOKUP('Données projet'!$B$12,Paramètres!$A$1:$I$89,3,0)*0.475*44/12</f>
        <v>0.86031288743640055</v>
      </c>
      <c r="CM181" s="23">
        <f>EXP(-LN(2)/2)*CM180+(1-EXP(-LN(2)/2))/(LN(2)/2)*CG181*CJ181*VLOOKUP('Données projet'!$B$12,Paramètres!$A$1:$I$89,3,0)*0.475*44/12</f>
        <v>5.1523215191254628E-20</v>
      </c>
      <c r="CN181" s="24">
        <f t="shared" si="172"/>
        <v>2.4911828269672034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-4.5474735088646412E-13</v>
      </c>
      <c r="CU181" s="18">
        <f>CT181*VLOOKUP('Données projet'!$B$13,Paramètres!$A$1:$I$89,3,0)*VLOOKUP('Données projet'!$B$13,Paramètres!$A$1:$I$89,5,0)</f>
        <v>-2.7193891583010558E-13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463.3255103386889</v>
      </c>
      <c r="CZ181" s="62">
        <f t="shared" si="150"/>
        <v>474.73210558736127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0.26658962949224985</v>
      </c>
      <c r="DG181" s="23">
        <f>EXP(-LN(2)/25)*DG180+(1-EXP(-LN(2)/25))/(LN(2)/25)*Calculateur!DB181*Calculateur!DD181*VLOOKUP('Données projet'!$B$13,Paramètres!$A$1:$I$89,3,0)*0.475*44/12</f>
        <v>0.57247695818893707</v>
      </c>
      <c r="DH181" s="23">
        <f>EXP(-LN(2)/2)*DH180+(1-EXP(-LN(2)/2))/(LN(2)/2)*DB181*DE181*VLOOKUP('Données projet'!$B$13,Paramètres!$A$1:$I$89,3,0)*0.475*44/12</f>
        <v>2.3091407469363567E-21</v>
      </c>
      <c r="DI181" s="24">
        <f t="shared" si="175"/>
        <v>0.83906658768118692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-1.1368683772161603E-13</v>
      </c>
      <c r="DP181" s="18">
        <f>DO181*VLOOKUP('Données projet'!$B$14,Paramètres!$A$1:$I$89,3,0)*VLOOKUP('Données projet'!$B$14,Paramètres!$A$1:$I$89,5,0)</f>
        <v>-5.3205440053716299E-14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215.23235148064941</v>
      </c>
      <c r="DU181" s="62">
        <f t="shared" si="152"/>
        <v>184.07239726900434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0.16720634028650569</v>
      </c>
      <c r="EB181" s="23">
        <f>EXP(-LN(2)/25)*EB180+(1-EXP(-LN(2)/25))/(LN(2)/25)*Calculateur!DW181*Calculateur!DY181*VLOOKUP('Données projet'!$B$14,Paramètres!$A$1:$I$89,3,0)*0.475*44/12</f>
        <v>0.12974011779933892</v>
      </c>
      <c r="EC181" s="23">
        <f>EXP(-LN(2)/2)*EC180+(1-EXP(-LN(2)/2))/(LN(2)/2)*DW181*DZ181*VLOOKUP('Données projet'!$B$14,Paramètres!$A$1:$I$89,3,0)*0.475*44/12</f>
        <v>5.2051108887684545E-22</v>
      </c>
      <c r="ED181" s="24">
        <f t="shared" si="178"/>
        <v>0.29694645808584463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641.35547916968733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1.1368683772161603E-12</v>
      </c>
      <c r="O182" s="14">
        <f>N182*VLOOKUP('Données projet'!$B$9,Paramètres!$A$1:$I$89,3,0)*VLOOKUP('Données projet'!$B$9,Paramètres!$A$1:$I$89,5,0)</f>
        <v>6.3550942286383359E-13</v>
      </c>
      <c r="P182" s="14">
        <f t="shared" si="141"/>
        <v>7.6982260417614606E-12</v>
      </c>
      <c r="Q182" s="22">
        <f t="shared" si="162"/>
        <v>1.4514589267555721E-11</v>
      </c>
      <c r="R182" s="62">
        <f t="shared" si="109"/>
        <v>293.33333333334781</v>
      </c>
      <c r="S182" s="62">
        <f ca="1">AVERAGE(OFFSET($R$3,0,0,'Données projet'!$E$9+1,1))-AVERAGE(OFFSET($H$3,0,0,'Données projet'!$E$9+1,1))</f>
        <v>460.40450534123659</v>
      </c>
      <c r="T182" s="62">
        <f t="shared" si="142"/>
        <v>467.77477728479198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0.65694025464169836</v>
      </c>
      <c r="AA182" s="23">
        <f>EXP(-LN(2)/25)*AA181+(1-EXP(-LN(2)/25))/(LN(2)/25)*Calculateur!V182*Calculateur!X182*VLOOKUP('Données projet'!$B$9,Paramètres!$A$1:$I$89,3,0)*0.475*44/12</f>
        <v>0.71111902719322118</v>
      </c>
      <c r="AB182" s="23">
        <f>EXP(-LN(2)/2)*AB181+(1-EXP(-LN(2)/2))/(LN(2)/2)*V182*Y182*VLOOKUP('Données projet'!$B$9,Paramètres!$A$1:$I$89,3,0)*0.475*44/12</f>
        <v>1.5057385883449078E-21</v>
      </c>
      <c r="AC182" s="24">
        <f t="shared" si="163"/>
        <v>1.3680592818349195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-5.6843418860808015E-13</v>
      </c>
      <c r="AJ182" s="14">
        <f>AI182*VLOOKUP('Données projet'!$B$10,Paramètres!$A$1:$I$89,3,0)*VLOOKUP('Données projet'!$B$10,Paramètres!$A$1:$I$89,5,0)</f>
        <v>-5.1431925385259092E-13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321.03881567735544</v>
      </c>
      <c r="AO182" s="62">
        <f t="shared" si="144"/>
        <v>234.87694492493506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0.12595879262551565</v>
      </c>
      <c r="AV182" s="23">
        <f>EXP(-LN(2)/25)*AV181+(1-EXP(-LN(2)/25))/(LN(2)/25)*Calculateur!AQ182*Calculateur!AS182*VLOOKUP('Données projet'!$B$10,Paramètres!$A$1:$I$89,3,0)*0.475*44/12</f>
        <v>0.21775951655848227</v>
      </c>
      <c r="AW182" s="23">
        <f>EXP(-LN(2)/2)*AW181+(1-EXP(-LN(2)/2))/(LN(2)/2)*AQ182*AT182*VLOOKUP('Données projet'!$B$10,Paramètres!$A$1:$I$89,3,0)*0.475*44/12</f>
        <v>8.1381660631443342E-22</v>
      </c>
      <c r="AX182" s="23">
        <f t="shared" si="166"/>
        <v>0.34371830918399793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255.41017495879987</v>
      </c>
      <c r="BJ182" s="62">
        <f t="shared" si="146"/>
        <v>297.50513563712764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0.43636085336185049</v>
      </c>
      <c r="BQ182" s="23">
        <f>EXP(-LN(2)/25)*BQ181+(1-EXP(-LN(2)/25))/(LN(2)/25)*Calculateur!BL182*Calculateur!BN182*VLOOKUP('Données projet'!$B$11,Paramètres!$A$1:$I$89,3,0)*0.475*44/12</f>
        <v>0.44770931780596779</v>
      </c>
      <c r="BR182" s="23">
        <f>EXP(-LN(2)/2)*BR181+(1-EXP(-LN(2)/2))/(LN(2)/2)*BL182*BO182*VLOOKUP('Données projet'!$B$11,Paramètres!$A$1:$I$89,3,0)*0.475*44/12</f>
        <v>9.1343226878563674E-22</v>
      </c>
      <c r="BS182" s="24">
        <f t="shared" si="169"/>
        <v>0.88407017116781828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5.4683368944097308E-14</v>
      </c>
      <c r="CA182" s="14">
        <f t="shared" si="170"/>
        <v>8.8129432816788268E-13</v>
      </c>
      <c r="CB182" s="22">
        <f t="shared" si="171"/>
        <v>1.6301611558033651E-12</v>
      </c>
      <c r="CC182" s="62">
        <f t="shared" si="119"/>
        <v>293.33333333333496</v>
      </c>
      <c r="CD182" s="62">
        <f ca="1">AVERAGE(OFFSET($CC$3,0,0,'Données projet'!$E$12+1,1))-AVERAGE(OFFSET($H$3,0,0,'Données projet'!$E$12+1,1))</f>
        <v>409.97612835032567</v>
      </c>
      <c r="CE182" s="62">
        <f t="shared" si="148"/>
        <v>411.87876448092288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1.5988895747490455</v>
      </c>
      <c r="CL182" s="23">
        <f>EXP(-LN(2)/25)*CL181+(1-EXP(-LN(2)/25))/(LN(2)/25)*Calculateur!CG182*Calculateur!CI182*VLOOKUP('Données projet'!$B$12,Paramètres!$A$1:$I$89,3,0)*0.475*44/12</f>
        <v>0.83678758628756367</v>
      </c>
      <c r="CM182" s="23">
        <f>EXP(-LN(2)/2)*CM181+(1-EXP(-LN(2)/2))/(LN(2)/2)*CG182*CJ182*VLOOKUP('Données projet'!$B$12,Paramètres!$A$1:$I$89,3,0)*0.475*44/12</f>
        <v>3.6432414850269887E-20</v>
      </c>
      <c r="CN182" s="24">
        <f t="shared" si="172"/>
        <v>2.435677161036609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-4.5474735088646412E-13</v>
      </c>
      <c r="CU182" s="18">
        <f>CT182*VLOOKUP('Données projet'!$B$13,Paramètres!$A$1:$I$89,3,0)*VLOOKUP('Données projet'!$B$13,Paramètres!$A$1:$I$89,5,0)</f>
        <v>-2.7193891583010558E-13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463.3255103386889</v>
      </c>
      <c r="CZ182" s="62">
        <f t="shared" si="150"/>
        <v>474.73210558736127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0.26136196946152507</v>
      </c>
      <c r="DG182" s="23">
        <f>EXP(-LN(2)/25)*DG181+(1-EXP(-LN(2)/25))/(LN(2)/25)*Calculateur!DB182*Calculateur!DD182*VLOOKUP('Données projet'!$B$13,Paramètres!$A$1:$I$89,3,0)*0.475*44/12</f>
        <v>0.55682254566200573</v>
      </c>
      <c r="DH182" s="23">
        <f>EXP(-LN(2)/2)*DH181+(1-EXP(-LN(2)/2))/(LN(2)/2)*DB182*DE182*VLOOKUP('Données projet'!$B$13,Paramètres!$A$1:$I$89,3,0)*0.475*44/12</f>
        <v>1.6328090808728673E-21</v>
      </c>
      <c r="DI182" s="24">
        <f t="shared" si="175"/>
        <v>0.81818451512353074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-1.1368683772161603E-13</v>
      </c>
      <c r="DP182" s="18">
        <f>DO182*VLOOKUP('Données projet'!$B$14,Paramètres!$A$1:$I$89,3,0)*VLOOKUP('Données projet'!$B$14,Paramètres!$A$1:$I$89,5,0)</f>
        <v>-5.3205440053716299E-14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215.23235148064941</v>
      </c>
      <c r="DU182" s="62">
        <f t="shared" si="152"/>
        <v>184.07239726900434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0.16392752593928461</v>
      </c>
      <c r="EB182" s="23">
        <f>EXP(-LN(2)/25)*EB181+(1-EXP(-LN(2)/25))/(LN(2)/25)*Calculateur!DW182*Calculateur!DY182*VLOOKUP('Données projet'!$B$14,Paramètres!$A$1:$I$89,3,0)*0.475*44/12</f>
        <v>0.12619236745537973</v>
      </c>
      <c r="EC182" s="23">
        <f>EXP(-LN(2)/2)*EC181+(1-EXP(-LN(2)/2))/(LN(2)/2)*DW182*DZ182*VLOOKUP('Données projet'!$B$14,Paramètres!$A$1:$I$89,3,0)*0.475*44/12</f>
        <v>3.6805692062761116E-22</v>
      </c>
      <c r="ED182" s="24">
        <f t="shared" si="178"/>
        <v>0.29011989339466437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643.2535794675166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1.1368683772161603E-12</v>
      </c>
      <c r="O183" s="14">
        <f>N183*VLOOKUP('Données projet'!$B$9,Paramètres!$A$1:$I$89,3,0)*VLOOKUP('Données projet'!$B$9,Paramètres!$A$1:$I$89,5,0)</f>
        <v>6.3550942286383359E-13</v>
      </c>
      <c r="P183" s="14">
        <f t="shared" si="141"/>
        <v>7.6982260417614606E-12</v>
      </c>
      <c r="Q183" s="22">
        <f t="shared" si="162"/>
        <v>1.4514589267555721E-11</v>
      </c>
      <c r="R183" s="62">
        <f t="shared" si="109"/>
        <v>293.33333333334781</v>
      </c>
      <c r="S183" s="62">
        <f ca="1">AVERAGE(OFFSET($R$3,0,0,'Données projet'!$E$9+1,1))-AVERAGE(OFFSET($H$3,0,0,'Données projet'!$E$9+1,1))</f>
        <v>460.40450534123659</v>
      </c>
      <c r="T183" s="62">
        <f t="shared" si="142"/>
        <v>467.77477728479198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0.64405805694216478</v>
      </c>
      <c r="AA183" s="23">
        <f>EXP(-LN(2)/25)*AA182+(1-EXP(-LN(2)/25))/(LN(2)/25)*Calculateur!V183*Calculateur!X183*VLOOKUP('Données projet'!$B$9,Paramètres!$A$1:$I$89,3,0)*0.475*44/12</f>
        <v>0.69167343999849817</v>
      </c>
      <c r="AB183" s="23">
        <f>EXP(-LN(2)/2)*AB182+(1-EXP(-LN(2)/2))/(LN(2)/2)*V183*Y183*VLOOKUP('Données projet'!$B$9,Paramètres!$A$1:$I$89,3,0)*0.475*44/12</f>
        <v>1.0647179665129436E-21</v>
      </c>
      <c r="AC183" s="24">
        <f t="shared" si="163"/>
        <v>1.3357314969406628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-5.6843418860808015E-13</v>
      </c>
      <c r="AJ183" s="14">
        <f>AI183*VLOOKUP('Données projet'!$B$10,Paramètres!$A$1:$I$89,3,0)*VLOOKUP('Données projet'!$B$10,Paramètres!$A$1:$I$89,5,0)</f>
        <v>-5.1431925385259092E-13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321.03881567735544</v>
      </c>
      <c r="AO183" s="62">
        <f t="shared" si="144"/>
        <v>234.87694492493506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0.12348881752940673</v>
      </c>
      <c r="AV183" s="23">
        <f>EXP(-LN(2)/25)*AV182+(1-EXP(-LN(2)/25))/(LN(2)/25)*Calculateur!AQ183*Calculateur!AS183*VLOOKUP('Données projet'!$B$10,Paramètres!$A$1:$I$89,3,0)*0.475*44/12</f>
        <v>0.21180487112671531</v>
      </c>
      <c r="AW183" s="23">
        <f>EXP(-LN(2)/2)*AW182+(1-EXP(-LN(2)/2))/(LN(2)/2)*AQ183*AT183*VLOOKUP('Données projet'!$B$10,Paramètres!$A$1:$I$89,3,0)*0.475*44/12</f>
        <v>5.7545524096715876E-22</v>
      </c>
      <c r="AX183" s="23">
        <f t="shared" si="166"/>
        <v>0.33529368865612202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255.41017495879987</v>
      </c>
      <c r="BJ183" s="62">
        <f t="shared" si="146"/>
        <v>297.50513563712764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0.42780408318126462</v>
      </c>
      <c r="BQ183" s="23">
        <f>EXP(-LN(2)/25)*BQ182+(1-EXP(-LN(2)/25))/(LN(2)/25)*Calculateur!BL183*Calculateur!BN183*VLOOKUP('Données projet'!$B$11,Paramètres!$A$1:$I$89,3,0)*0.475*44/12</f>
        <v>0.43546668296655383</v>
      </c>
      <c r="BR183" s="23">
        <f>EXP(-LN(2)/2)*BR182+(1-EXP(-LN(2)/2))/(LN(2)/2)*BL183*BO183*VLOOKUP('Données projet'!$B$11,Paramètres!$A$1:$I$89,3,0)*0.475*44/12</f>
        <v>6.4589415141293692E-22</v>
      </c>
      <c r="BS183" s="24">
        <f t="shared" si="169"/>
        <v>0.8632707661478185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5.4683368944097308E-14</v>
      </c>
      <c r="CA183" s="14">
        <f t="shared" si="170"/>
        <v>8.8129432816788268E-13</v>
      </c>
      <c r="CB183" s="22">
        <f t="shared" si="171"/>
        <v>1.6301611558033651E-12</v>
      </c>
      <c r="CC183" s="62">
        <f t="shared" si="119"/>
        <v>293.33333333333496</v>
      </c>
      <c r="CD183" s="62">
        <f ca="1">AVERAGE(OFFSET($CC$3,0,0,'Données projet'!$E$12+1,1))-AVERAGE(OFFSET($H$3,0,0,'Données projet'!$E$12+1,1))</f>
        <v>409.97612835032567</v>
      </c>
      <c r="CE183" s="62">
        <f t="shared" si="148"/>
        <v>411.87876448092288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1.5675363254145618</v>
      </c>
      <c r="CL183" s="23">
        <f>EXP(-LN(2)/25)*CL182+(1-EXP(-LN(2)/25))/(LN(2)/25)*Calculateur!CG183*Calculateur!CI183*VLOOKUP('Données projet'!$B$12,Paramètres!$A$1:$I$89,3,0)*0.475*44/12</f>
        <v>0.81390558573578353</v>
      </c>
      <c r="CM183" s="23">
        <f>EXP(-LN(2)/2)*CM182+(1-EXP(-LN(2)/2))/(LN(2)/2)*CG183*CJ183*VLOOKUP('Données projet'!$B$12,Paramètres!$A$1:$I$89,3,0)*0.475*44/12</f>
        <v>2.5761607595627314E-20</v>
      </c>
      <c r="CN183" s="24">
        <f t="shared" si="172"/>
        <v>2.3814419111503451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-4.5474735088646412E-13</v>
      </c>
      <c r="CU183" s="18">
        <f>CT183*VLOOKUP('Données projet'!$B$13,Paramètres!$A$1:$I$89,3,0)*VLOOKUP('Données projet'!$B$13,Paramètres!$A$1:$I$89,5,0)</f>
        <v>-2.7193891583010558E-13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463.3255103386889</v>
      </c>
      <c r="CZ183" s="62">
        <f t="shared" si="150"/>
        <v>474.73210558736127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0.25623682065544501</v>
      </c>
      <c r="DG183" s="23">
        <f>EXP(-LN(2)/25)*DG182+(1-EXP(-LN(2)/25))/(LN(2)/25)*Calculateur!DB183*Calculateur!DD183*VLOOKUP('Données projet'!$B$13,Paramètres!$A$1:$I$89,3,0)*0.475*44/12</f>
        <v>0.5415962038688531</v>
      </c>
      <c r="DH183" s="23">
        <f>EXP(-LN(2)/2)*DH182+(1-EXP(-LN(2)/2))/(LN(2)/2)*DB183*DE183*VLOOKUP('Données projet'!$B$13,Paramètres!$A$1:$I$89,3,0)*0.475*44/12</f>
        <v>1.1545703734681783E-21</v>
      </c>
      <c r="DI183" s="24">
        <f t="shared" si="175"/>
        <v>0.79783302452429816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-1.1368683772161603E-13</v>
      </c>
      <c r="DP183" s="18">
        <f>DO183*VLOOKUP('Données projet'!$B$14,Paramètres!$A$1:$I$89,3,0)*VLOOKUP('Données projet'!$B$14,Paramètres!$A$1:$I$89,5,0)</f>
        <v>-5.3205440053716299E-14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215.23235148064941</v>
      </c>
      <c r="DU183" s="62">
        <f t="shared" si="152"/>
        <v>184.07239726900434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0.16071300714153328</v>
      </c>
      <c r="EB183" s="23">
        <f>EXP(-LN(2)/25)*EB182+(1-EXP(-LN(2)/25))/(LN(2)/25)*Calculateur!DW183*Calculateur!DY183*VLOOKUP('Données projet'!$B$14,Paramètres!$A$1:$I$89,3,0)*0.475*44/12</f>
        <v>0.12274163053114419</v>
      </c>
      <c r="EC183" s="23">
        <f>EXP(-LN(2)/2)*EC182+(1-EXP(-LN(2)/2))/(LN(2)/2)*DW183*DZ183*VLOOKUP('Données projet'!$B$14,Paramètres!$A$1:$I$89,3,0)*0.475*44/12</f>
        <v>2.6025554443842273E-22</v>
      </c>
      <c r="ED183" s="24">
        <f t="shared" si="178"/>
        <v>0.28345463767267748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645.15145388516635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1.1368683772161603E-12</v>
      </c>
      <c r="O184" s="14">
        <f>N184*VLOOKUP('Données projet'!$B$9,Paramètres!$A$1:$I$89,3,0)*VLOOKUP('Données projet'!$B$9,Paramètres!$A$1:$I$89,5,0)</f>
        <v>6.3550942286383359E-13</v>
      </c>
      <c r="P184" s="14">
        <f t="shared" si="141"/>
        <v>7.6982260417614606E-12</v>
      </c>
      <c r="Q184" s="22">
        <f t="shared" si="162"/>
        <v>1.4514589267555721E-11</v>
      </c>
      <c r="R184" s="62">
        <f t="shared" si="109"/>
        <v>293.33333333334781</v>
      </c>
      <c r="S184" s="62">
        <f ca="1">AVERAGE(OFFSET($R$3,0,0,'Données projet'!$E$9+1,1))-AVERAGE(OFFSET($H$3,0,0,'Données projet'!$E$9+1,1))</f>
        <v>460.40450534123659</v>
      </c>
      <c r="T184" s="62">
        <f t="shared" si="142"/>
        <v>467.77477728479198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0.63142847128215429</v>
      </c>
      <c r="AA184" s="23">
        <f>EXP(-LN(2)/25)*AA183+(1-EXP(-LN(2)/25))/(LN(2)/25)*Calculateur!V184*Calculateur!X184*VLOOKUP('Données projet'!$B$9,Paramètres!$A$1:$I$89,3,0)*0.475*44/12</f>
        <v>0.6727595934082139</v>
      </c>
      <c r="AB184" s="23">
        <f>EXP(-LN(2)/2)*AB183+(1-EXP(-LN(2)/2))/(LN(2)/2)*V184*Y184*VLOOKUP('Données projet'!$B$9,Paramètres!$A$1:$I$89,3,0)*0.475*44/12</f>
        <v>7.5286929417245389E-22</v>
      </c>
      <c r="AC184" s="24">
        <f t="shared" si="163"/>
        <v>1.3041880646903681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-5.6843418860808015E-13</v>
      </c>
      <c r="AJ184" s="14">
        <f>AI184*VLOOKUP('Données projet'!$B$10,Paramètres!$A$1:$I$89,3,0)*VLOOKUP('Données projet'!$B$10,Paramètres!$A$1:$I$89,5,0)</f>
        <v>-5.1431925385259092E-13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321.03881567735544</v>
      </c>
      <c r="AO184" s="62">
        <f t="shared" si="144"/>
        <v>234.87694492493506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0.12106727713839645</v>
      </c>
      <c r="AV184" s="23">
        <f>EXP(-LN(2)/25)*AV183+(1-EXP(-LN(2)/25))/(LN(2)/25)*Calculateur!AQ184*Calculateur!AS184*VLOOKUP('Données projet'!$B$10,Paramètres!$A$1:$I$89,3,0)*0.475*44/12</f>
        <v>0.20601305578742118</v>
      </c>
      <c r="AW184" s="23">
        <f>EXP(-LN(2)/2)*AW183+(1-EXP(-LN(2)/2))/(LN(2)/2)*AQ184*AT184*VLOOKUP('Données projet'!$B$10,Paramètres!$A$1:$I$89,3,0)*0.475*44/12</f>
        <v>4.0690830315721671E-22</v>
      </c>
      <c r="AX184" s="23">
        <f t="shared" si="166"/>
        <v>0.32708033292581762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255.41017495879987</v>
      </c>
      <c r="BJ184" s="62">
        <f t="shared" si="146"/>
        <v>297.50513563712764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0.41941510604480559</v>
      </c>
      <c r="BQ184" s="23">
        <f>EXP(-LN(2)/25)*BQ183+(1-EXP(-LN(2)/25))/(LN(2)/25)*Calculateur!BL184*Calculateur!BN184*VLOOKUP('Données projet'!$B$11,Paramètres!$A$1:$I$89,3,0)*0.475*44/12</f>
        <v>0.42355882362063585</v>
      </c>
      <c r="BR184" s="23">
        <f>EXP(-LN(2)/2)*BR183+(1-EXP(-LN(2)/2))/(LN(2)/2)*BL184*BO184*VLOOKUP('Données projet'!$B$11,Paramètres!$A$1:$I$89,3,0)*0.475*44/12</f>
        <v>4.5671613439281837E-22</v>
      </c>
      <c r="BS184" s="24">
        <f t="shared" si="169"/>
        <v>0.84297392966544149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5.4683368944097308E-14</v>
      </c>
      <c r="CA184" s="14">
        <f t="shared" si="170"/>
        <v>8.8129432816788268E-13</v>
      </c>
      <c r="CB184" s="22">
        <f t="shared" si="171"/>
        <v>1.6301611558033651E-12</v>
      </c>
      <c r="CC184" s="62">
        <f t="shared" si="119"/>
        <v>293.33333333333496</v>
      </c>
      <c r="CD184" s="62">
        <f ca="1">AVERAGE(OFFSET($CC$3,0,0,'Données projet'!$E$12+1,1))-AVERAGE(OFFSET($H$3,0,0,'Données projet'!$E$12+1,1))</f>
        <v>409.97612835032567</v>
      </c>
      <c r="CE184" s="62">
        <f t="shared" si="148"/>
        <v>411.87876448092288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1.5367978941759335</v>
      </c>
      <c r="CL184" s="23">
        <f>EXP(-LN(2)/25)*CL183+(1-EXP(-LN(2)/25))/(LN(2)/25)*Calculateur!CG184*Calculateur!CI184*VLOOKUP('Données projet'!$B$12,Paramètres!$A$1:$I$89,3,0)*0.475*44/12</f>
        <v>0.79164929469240397</v>
      </c>
      <c r="CM184" s="23">
        <f>EXP(-LN(2)/2)*CM183+(1-EXP(-LN(2)/2))/(LN(2)/2)*CG184*CJ184*VLOOKUP('Données projet'!$B$12,Paramètres!$A$1:$I$89,3,0)*0.475*44/12</f>
        <v>1.8216207425134944E-20</v>
      </c>
      <c r="CN184" s="24">
        <f t="shared" si="172"/>
        <v>2.3284471888683376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-4.5474735088646412E-13</v>
      </c>
      <c r="CU184" s="18">
        <f>CT184*VLOOKUP('Données projet'!$B$13,Paramètres!$A$1:$I$89,3,0)*VLOOKUP('Données projet'!$B$13,Paramètres!$A$1:$I$89,5,0)</f>
        <v>-2.7193891583010558E-13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463.3255103386889</v>
      </c>
      <c r="CZ184" s="62">
        <f t="shared" si="150"/>
        <v>474.73210558736127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0.25121217289142006</v>
      </c>
      <c r="DG184" s="23">
        <f>EXP(-LN(2)/25)*DG183+(1-EXP(-LN(2)/25))/(LN(2)/25)*Calculateur!DB184*Calculateur!DD184*VLOOKUP('Données projet'!$B$13,Paramètres!$A$1:$I$89,3,0)*0.475*44/12</f>
        <v>0.52678622719275281</v>
      </c>
      <c r="DH184" s="23">
        <f>EXP(-LN(2)/2)*DH183+(1-EXP(-LN(2)/2))/(LN(2)/2)*DB184*DE184*VLOOKUP('Données projet'!$B$13,Paramètres!$A$1:$I$89,3,0)*0.475*44/12</f>
        <v>8.1640454043643364E-22</v>
      </c>
      <c r="DI184" s="24">
        <f t="shared" si="175"/>
        <v>0.77799840008417287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-1.1368683772161603E-13</v>
      </c>
      <c r="DP184" s="18">
        <f>DO184*VLOOKUP('Données projet'!$B$14,Paramètres!$A$1:$I$89,3,0)*VLOOKUP('Données projet'!$B$14,Paramètres!$A$1:$I$89,5,0)</f>
        <v>-5.3205440053716299E-14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215.23235148064941</v>
      </c>
      <c r="DU184" s="62">
        <f t="shared" si="152"/>
        <v>184.07239726900434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0.15756152309674298</v>
      </c>
      <c r="EB184" s="23">
        <f>EXP(-LN(2)/25)*EB183+(1-EXP(-LN(2)/25))/(LN(2)/25)*Calculateur!DW184*Calculateur!DY184*VLOOKUP('Données projet'!$B$14,Paramètres!$A$1:$I$89,3,0)*0.475*44/12</f>
        <v>0.11938525418956823</v>
      </c>
      <c r="EC184" s="23">
        <f>EXP(-LN(2)/2)*EC183+(1-EXP(-LN(2)/2))/(LN(2)/2)*DW184*DZ184*VLOOKUP('Données projet'!$B$14,Paramètres!$A$1:$I$89,3,0)*0.475*44/12</f>
        <v>1.8402846031380558E-22</v>
      </c>
      <c r="ED184" s="24">
        <f t="shared" si="178"/>
        <v>0.27694677728631123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647.0491038154214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1.1368683772161603E-12</v>
      </c>
      <c r="O185" s="14">
        <f>N185*VLOOKUP('Données projet'!$B$9,Paramètres!$A$1:$I$89,3,0)*VLOOKUP('Données projet'!$B$9,Paramètres!$A$1:$I$89,5,0)</f>
        <v>6.3550942286383359E-13</v>
      </c>
      <c r="P185" s="14">
        <f t="shared" si="141"/>
        <v>7.6982260417614606E-12</v>
      </c>
      <c r="Q185" s="22">
        <f t="shared" si="162"/>
        <v>1.4514589267555721E-11</v>
      </c>
      <c r="R185" s="62">
        <f t="shared" si="109"/>
        <v>293.33333333334781</v>
      </c>
      <c r="S185" s="62">
        <f ca="1">AVERAGE(OFFSET($R$3,0,0,'Données projet'!$E$9+1,1))-AVERAGE(OFFSET($H$3,0,0,'Données projet'!$E$9+1,1))</f>
        <v>460.40450534123659</v>
      </c>
      <c r="T185" s="62">
        <f t="shared" si="142"/>
        <v>467.77477728479198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0.61904654409365001</v>
      </c>
      <c r="AA185" s="23">
        <f>EXP(-LN(2)/25)*AA184+(1-EXP(-LN(2)/25))/(LN(2)/25)*Calculateur!V185*Calculateur!X185*VLOOKUP('Données projet'!$B$9,Paramètres!$A$1:$I$89,3,0)*0.475*44/12</f>
        <v>0.65436294694757691</v>
      </c>
      <c r="AB185" s="23">
        <f>EXP(-LN(2)/2)*AB184+(1-EXP(-LN(2)/2))/(LN(2)/2)*V185*Y185*VLOOKUP('Données projet'!$B$9,Paramètres!$A$1:$I$89,3,0)*0.475*44/12</f>
        <v>5.3235898325647182E-22</v>
      </c>
      <c r="AC185" s="24">
        <f t="shared" si="163"/>
        <v>1.2734094910412268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-5.6843418860808015E-13</v>
      </c>
      <c r="AJ185" s="14">
        <f>AI185*VLOOKUP('Données projet'!$B$10,Paramètres!$A$1:$I$89,3,0)*VLOOKUP('Données projet'!$B$10,Paramètres!$A$1:$I$89,5,0)</f>
        <v>-5.1431925385259092E-13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321.03881567735544</v>
      </c>
      <c r="AO185" s="62">
        <f t="shared" si="144"/>
        <v>234.87694492493506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0.11869322167746009</v>
      </c>
      <c r="AV185" s="23">
        <f>EXP(-LN(2)/25)*AV184+(1-EXP(-LN(2)/25))/(LN(2)/25)*Calculateur!AQ185*Calculateur!AS185*VLOOKUP('Données projet'!$B$10,Paramètres!$A$1:$I$89,3,0)*0.475*44/12</f>
        <v>0.20037961794315839</v>
      </c>
      <c r="AW185" s="23">
        <f>EXP(-LN(2)/2)*AW184+(1-EXP(-LN(2)/2))/(LN(2)/2)*AQ185*AT185*VLOOKUP('Données projet'!$B$10,Paramètres!$A$1:$I$89,3,0)*0.475*44/12</f>
        <v>2.8772762048357938E-22</v>
      </c>
      <c r="AX185" s="23">
        <f t="shared" si="166"/>
        <v>0.3190728396206185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255.41017495879987</v>
      </c>
      <c r="BJ185" s="62">
        <f t="shared" si="146"/>
        <v>297.50513563712764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0.41119063163322173</v>
      </c>
      <c r="BQ185" s="23">
        <f>EXP(-LN(2)/25)*BQ184+(1-EXP(-LN(2)/25))/(LN(2)/25)*Calculateur!BL185*Calculateur!BN185*VLOOKUP('Données projet'!$B$11,Paramètres!$A$1:$I$89,3,0)*0.475*44/12</f>
        <v>0.41197658531473907</v>
      </c>
      <c r="BR185" s="23">
        <f>EXP(-LN(2)/2)*BR184+(1-EXP(-LN(2)/2))/(LN(2)/2)*BL185*BO185*VLOOKUP('Données projet'!$B$11,Paramètres!$A$1:$I$89,3,0)*0.475*44/12</f>
        <v>3.2294707570646846E-22</v>
      </c>
      <c r="BS185" s="24">
        <f t="shared" si="169"/>
        <v>0.8231672169479608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5.4683368944097308E-14</v>
      </c>
      <c r="CA185" s="14">
        <f t="shared" si="170"/>
        <v>8.8129432816788268E-13</v>
      </c>
      <c r="CB185" s="22">
        <f t="shared" si="171"/>
        <v>1.6301611558033651E-12</v>
      </c>
      <c r="CC185" s="62">
        <f t="shared" si="119"/>
        <v>293.33333333333496</v>
      </c>
      <c r="CD185" s="62">
        <f ca="1">AVERAGE(OFFSET($CC$3,0,0,'Données projet'!$E$12+1,1))-AVERAGE(OFFSET($H$3,0,0,'Données projet'!$E$12+1,1))</f>
        <v>409.97612835032567</v>
      </c>
      <c r="CE185" s="62">
        <f t="shared" si="148"/>
        <v>411.87876448092288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1.5066622248253028</v>
      </c>
      <c r="CL185" s="23">
        <f>EXP(-LN(2)/25)*CL184+(1-EXP(-LN(2)/25))/(LN(2)/25)*Calculateur!CG185*Calculateur!CI185*VLOOKUP('Données projet'!$B$12,Paramètres!$A$1:$I$89,3,0)*0.475*44/12</f>
        <v>0.77000160309801313</v>
      </c>
      <c r="CM185" s="23">
        <f>EXP(-LN(2)/2)*CM184+(1-EXP(-LN(2)/2))/(LN(2)/2)*CG185*CJ185*VLOOKUP('Données projet'!$B$12,Paramètres!$A$1:$I$89,3,0)*0.475*44/12</f>
        <v>1.2880803797813657E-20</v>
      </c>
      <c r="CN185" s="24">
        <f t="shared" si="172"/>
        <v>2.2766638279233158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-4.5474735088646412E-13</v>
      </c>
      <c r="CU185" s="18">
        <f>CT185*VLOOKUP('Données projet'!$B$13,Paramètres!$A$1:$I$89,3,0)*VLOOKUP('Données projet'!$B$13,Paramètres!$A$1:$I$89,5,0)</f>
        <v>-2.7193891583010558E-13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463.3255103386889</v>
      </c>
      <c r="CZ185" s="62">
        <f t="shared" si="150"/>
        <v>474.73210558736127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0.24628605540531515</v>
      </c>
      <c r="DG185" s="23">
        <f>EXP(-LN(2)/25)*DG184+(1-EXP(-LN(2)/25))/(LN(2)/25)*Calculateur!DB185*Calculateur!DD185*VLOOKUP('Données projet'!$B$13,Paramètres!$A$1:$I$89,3,0)*0.475*44/12</f>
        <v>0.51238123010768333</v>
      </c>
      <c r="DH185" s="23">
        <f>EXP(-LN(2)/2)*DH184+(1-EXP(-LN(2)/2))/(LN(2)/2)*DB185*DE185*VLOOKUP('Données projet'!$B$13,Paramètres!$A$1:$I$89,3,0)*0.475*44/12</f>
        <v>5.7728518673408917E-22</v>
      </c>
      <c r="DI185" s="24">
        <f t="shared" si="175"/>
        <v>0.75866728551299845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-1.1368683772161603E-13</v>
      </c>
      <c r="DP185" s="18">
        <f>DO185*VLOOKUP('Données projet'!$B$14,Paramètres!$A$1:$I$89,3,0)*VLOOKUP('Données projet'!$B$14,Paramètres!$A$1:$I$89,5,0)</f>
        <v>-5.3205440053716299E-14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215.23235148064941</v>
      </c>
      <c r="DU185" s="62">
        <f t="shared" si="152"/>
        <v>184.07239726900434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0.15447183773185555</v>
      </c>
      <c r="EB185" s="23">
        <f>EXP(-LN(2)/25)*EB184+(1-EXP(-LN(2)/25))/(LN(2)/25)*Calculateur!DW185*Calculateur!DY185*VLOOKUP('Données projet'!$B$14,Paramètres!$A$1:$I$89,3,0)*0.475*44/12</f>
        <v>0.11612065813555683</v>
      </c>
      <c r="EC185" s="23">
        <f>EXP(-LN(2)/2)*EC184+(1-EXP(-LN(2)/2))/(LN(2)/2)*DW185*DZ185*VLOOKUP('Données projet'!$B$14,Paramètres!$A$1:$I$89,3,0)*0.475*44/12</f>
        <v>1.3012777221921136E-22</v>
      </c>
      <c r="ED185" s="24">
        <f t="shared" si="178"/>
        <v>0.27059249586741241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648.94653063487635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1.1368683772161603E-12</v>
      </c>
      <c r="O186" s="14">
        <f>N186*VLOOKUP('Données projet'!$B$9,Paramètres!$A$1:$I$89,3,0)*VLOOKUP('Données projet'!$B$9,Paramètres!$A$1:$I$89,5,0)</f>
        <v>6.3550942286383359E-13</v>
      </c>
      <c r="P186" s="14">
        <f t="shared" si="141"/>
        <v>7.6982260417614606E-12</v>
      </c>
      <c r="Q186" s="22">
        <f t="shared" si="162"/>
        <v>1.4514589267555721E-11</v>
      </c>
      <c r="R186" s="62">
        <f t="shared" si="109"/>
        <v>293.33333333334781</v>
      </c>
      <c r="S186" s="62">
        <f ca="1">AVERAGE(OFFSET($R$3,0,0,'Données projet'!$E$9+1,1))-AVERAGE(OFFSET($H$3,0,0,'Données projet'!$E$9+1,1))</f>
        <v>460.40450534123659</v>
      </c>
      <c r="T186" s="62">
        <f t="shared" si="142"/>
        <v>467.77477728479198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0.60690741894508238</v>
      </c>
      <c r="AA186" s="23">
        <f>EXP(-LN(2)/25)*AA185+(1-EXP(-LN(2)/25))/(LN(2)/25)*Calculateur!V186*Calculateur!X186*VLOOKUP('Données projet'!$B$9,Paramètres!$A$1:$I$89,3,0)*0.475*44/12</f>
        <v>0.63646935775184366</v>
      </c>
      <c r="AB186" s="23">
        <f>EXP(-LN(2)/2)*AB185+(1-EXP(-LN(2)/2))/(LN(2)/2)*V186*Y186*VLOOKUP('Données projet'!$B$9,Paramètres!$A$1:$I$89,3,0)*0.475*44/12</f>
        <v>3.7643464708622694E-22</v>
      </c>
      <c r="AC186" s="24">
        <f t="shared" si="163"/>
        <v>1.2433767766969259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-5.6843418860808015E-13</v>
      </c>
      <c r="AJ186" s="14">
        <f>AI186*VLOOKUP('Données projet'!$B$10,Paramètres!$A$1:$I$89,3,0)*VLOOKUP('Données projet'!$B$10,Paramètres!$A$1:$I$89,5,0)</f>
        <v>-5.1431925385259092E-13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321.03881567735544</v>
      </c>
      <c r="AO186" s="62">
        <f t="shared" si="144"/>
        <v>234.87694492493506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0.11636571999608183</v>
      </c>
      <c r="AV186" s="23">
        <f>EXP(-LN(2)/25)*AV185+(1-EXP(-LN(2)/25))/(LN(2)/25)*Calculateur!AQ186*Calculateur!AS186*VLOOKUP('Données projet'!$B$10,Paramètres!$A$1:$I$89,3,0)*0.475*44/12</f>
        <v>0.19490022675299659</v>
      </c>
      <c r="AW186" s="23">
        <f>EXP(-LN(2)/2)*AW185+(1-EXP(-LN(2)/2))/(LN(2)/2)*AQ186*AT186*VLOOKUP('Données projet'!$B$10,Paramètres!$A$1:$I$89,3,0)*0.475*44/12</f>
        <v>2.0345415157860836E-22</v>
      </c>
      <c r="AX186" s="23">
        <f t="shared" si="166"/>
        <v>0.31126594674907843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255.41017495879987</v>
      </c>
      <c r="BJ186" s="62">
        <f t="shared" si="146"/>
        <v>297.50513563712764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0.40312743414841495</v>
      </c>
      <c r="BQ186" s="23">
        <f>EXP(-LN(2)/25)*BQ185+(1-EXP(-LN(2)/25))/(LN(2)/25)*Calculateur!BL186*Calculateur!BN186*VLOOKUP('Données projet'!$B$11,Paramètres!$A$1:$I$89,3,0)*0.475*44/12</f>
        <v>0.40071106392440048</v>
      </c>
      <c r="BR186" s="23">
        <f>EXP(-LN(2)/2)*BR185+(1-EXP(-LN(2)/2))/(LN(2)/2)*BL186*BO186*VLOOKUP('Données projet'!$B$11,Paramètres!$A$1:$I$89,3,0)*0.475*44/12</f>
        <v>2.2835806719640919E-22</v>
      </c>
      <c r="BS186" s="24">
        <f t="shared" si="169"/>
        <v>0.80383849807281549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5.4683368944097308E-14</v>
      </c>
      <c r="CA186" s="14">
        <f t="shared" si="170"/>
        <v>8.8129432816788268E-13</v>
      </c>
      <c r="CB186" s="22">
        <f t="shared" si="171"/>
        <v>1.6301611558033651E-12</v>
      </c>
      <c r="CC186" s="62">
        <f t="shared" si="119"/>
        <v>293.33333333333496</v>
      </c>
      <c r="CD186" s="62">
        <f ca="1">AVERAGE(OFFSET($CC$3,0,0,'Données projet'!$E$12+1,1))-AVERAGE(OFFSET($H$3,0,0,'Données projet'!$E$12+1,1))</f>
        <v>409.97612835032567</v>
      </c>
      <c r="CE186" s="62">
        <f t="shared" si="148"/>
        <v>411.87876448092288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1.4771174975696946</v>
      </c>
      <c r="CL186" s="23">
        <f>EXP(-LN(2)/25)*CL185+(1-EXP(-LN(2)/25))/(LN(2)/25)*Calculateur!CG186*Calculateur!CI186*VLOOKUP('Données projet'!$B$12,Paramètres!$A$1:$I$89,3,0)*0.475*44/12</f>
        <v>0.74894586876867353</v>
      </c>
      <c r="CM186" s="23">
        <f>EXP(-LN(2)/2)*CM185+(1-EXP(-LN(2)/2))/(LN(2)/2)*CG186*CJ186*VLOOKUP('Données projet'!$B$12,Paramètres!$A$1:$I$89,3,0)*0.475*44/12</f>
        <v>9.1081037125674718E-21</v>
      </c>
      <c r="CN186" s="24">
        <f t="shared" si="172"/>
        <v>2.226063366338368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-4.5474735088646412E-13</v>
      </c>
      <c r="CU186" s="18">
        <f>CT186*VLOOKUP('Données projet'!$B$13,Paramètres!$A$1:$I$89,3,0)*VLOOKUP('Données projet'!$B$13,Paramètres!$A$1:$I$89,5,0)</f>
        <v>-2.7193891583010558E-13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463.3255103386889</v>
      </c>
      <c r="CZ186" s="62">
        <f t="shared" si="150"/>
        <v>474.73210558736127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0.24145653607847775</v>
      </c>
      <c r="DG186" s="23">
        <f>EXP(-LN(2)/25)*DG185+(1-EXP(-LN(2)/25))/(LN(2)/25)*Calculateur!DB186*Calculateur!DD186*VLOOKUP('Données projet'!$B$13,Paramètres!$A$1:$I$89,3,0)*0.475*44/12</f>
        <v>0.49837013842543088</v>
      </c>
      <c r="DH186" s="23">
        <f>EXP(-LN(2)/2)*DH185+(1-EXP(-LN(2)/2))/(LN(2)/2)*DB186*DE186*VLOOKUP('Données projet'!$B$13,Paramètres!$A$1:$I$89,3,0)*0.475*44/12</f>
        <v>4.0820227021821682E-22</v>
      </c>
      <c r="DI186" s="24">
        <f t="shared" si="175"/>
        <v>0.7398266745039086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-1.1368683772161603E-13</v>
      </c>
      <c r="DP186" s="18">
        <f>DO186*VLOOKUP('Données projet'!$B$14,Paramètres!$A$1:$I$89,3,0)*VLOOKUP('Données projet'!$B$14,Paramètres!$A$1:$I$89,5,0)</f>
        <v>-5.3205440053716299E-14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215.23235148064941</v>
      </c>
      <c r="DU186" s="62">
        <f t="shared" si="152"/>
        <v>184.07239726900434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0.15144273921245158</v>
      </c>
      <c r="EB186" s="23">
        <f>EXP(-LN(2)/25)*EB185+(1-EXP(-LN(2)/25))/(LN(2)/25)*Calculateur!DW186*Calculateur!DY186*VLOOKUP('Données projet'!$B$14,Paramètres!$A$1:$I$89,3,0)*0.475*44/12</f>
        <v>0.11294533263232001</v>
      </c>
      <c r="EC186" s="23">
        <f>EXP(-LN(2)/2)*EC185+(1-EXP(-LN(2)/2))/(LN(2)/2)*DW186*DZ186*VLOOKUP('Données projet'!$B$14,Paramètres!$A$1:$I$89,3,0)*0.475*44/12</f>
        <v>9.2014230156902789E-23</v>
      </c>
      <c r="ED186" s="24">
        <f t="shared" si="178"/>
        <v>0.26438807184477159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650.84373570420951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1.1368683772161603E-12</v>
      </c>
      <c r="O187" s="14">
        <f>N187*VLOOKUP('Données projet'!$B$9,Paramètres!$A$1:$I$89,3,0)*VLOOKUP('Données projet'!$B$9,Paramètres!$A$1:$I$89,5,0)</f>
        <v>6.3550942286383359E-13</v>
      </c>
      <c r="P187" s="14">
        <f t="shared" si="141"/>
        <v>7.6982260417614606E-12</v>
      </c>
      <c r="Q187" s="22">
        <f t="shared" si="162"/>
        <v>1.4514589267555721E-11</v>
      </c>
      <c r="R187" s="62">
        <f t="shared" si="109"/>
        <v>293.33333333334781</v>
      </c>
      <c r="S187" s="62">
        <f ca="1">AVERAGE(OFFSET($R$3,0,0,'Données projet'!$E$9+1,1))-AVERAGE(OFFSET($H$3,0,0,'Données projet'!$E$9+1,1))</f>
        <v>460.40450534123659</v>
      </c>
      <c r="T187" s="62">
        <f t="shared" si="142"/>
        <v>467.77477728479198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0.59500633463654296</v>
      </c>
      <c r="AA187" s="23">
        <f>EXP(-LN(2)/25)*AA186+(1-EXP(-LN(2)/25))/(LN(2)/25)*Calculateur!V187*Calculateur!X187*VLOOKUP('Données projet'!$B$9,Paramètres!$A$1:$I$89,3,0)*0.475*44/12</f>
        <v>0.6190650696936506</v>
      </c>
      <c r="AB187" s="23">
        <f>EXP(-LN(2)/2)*AB186+(1-EXP(-LN(2)/2))/(LN(2)/2)*V187*Y187*VLOOKUP('Données projet'!$B$9,Paramètres!$A$1:$I$89,3,0)*0.475*44/12</f>
        <v>2.6617949162823591E-22</v>
      </c>
      <c r="AC187" s="24">
        <f t="shared" si="163"/>
        <v>1.2140714043301934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-5.6843418860808015E-13</v>
      </c>
      <c r="AJ187" s="14">
        <f>AI187*VLOOKUP('Données projet'!$B$10,Paramètres!$A$1:$I$89,3,0)*VLOOKUP('Données projet'!$B$10,Paramètres!$A$1:$I$89,5,0)</f>
        <v>-5.1431925385259092E-13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321.03881567735544</v>
      </c>
      <c r="AO187" s="62">
        <f t="shared" si="144"/>
        <v>234.87694492493506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0.11408385920303957</v>
      </c>
      <c r="AV187" s="23">
        <f>EXP(-LN(2)/25)*AV186+(1-EXP(-LN(2)/25))/(LN(2)/25)*Calculateur!AQ187*Calculateur!AS187*VLOOKUP('Données projet'!$B$10,Paramètres!$A$1:$I$89,3,0)*0.475*44/12</f>
        <v>0.18957066980307843</v>
      </c>
      <c r="AW187" s="23">
        <f>EXP(-LN(2)/2)*AW186+(1-EXP(-LN(2)/2))/(LN(2)/2)*AQ187*AT187*VLOOKUP('Données projet'!$B$10,Paramètres!$A$1:$I$89,3,0)*0.475*44/12</f>
        <v>1.4386381024178969E-22</v>
      </c>
      <c r="AX187" s="23">
        <f t="shared" si="166"/>
        <v>0.303654529006118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255.41017495879987</v>
      </c>
      <c r="BJ187" s="62">
        <f t="shared" si="146"/>
        <v>297.50513563712764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0.3952223510482204</v>
      </c>
      <c r="BQ187" s="23">
        <f>EXP(-LN(2)/25)*BQ186+(1-EXP(-LN(2)/25))/(LN(2)/25)*Calculateur!BL187*Calculateur!BN187*VLOOKUP('Données projet'!$B$11,Paramètres!$A$1:$I$89,3,0)*0.475*44/12</f>
        <v>0.38975359880890875</v>
      </c>
      <c r="BR187" s="23">
        <f>EXP(-LN(2)/2)*BR186+(1-EXP(-LN(2)/2))/(LN(2)/2)*BL187*BO187*VLOOKUP('Données projet'!$B$11,Paramètres!$A$1:$I$89,3,0)*0.475*44/12</f>
        <v>1.6147353785323423E-22</v>
      </c>
      <c r="BS187" s="24">
        <f t="shared" si="169"/>
        <v>0.78497594985712915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5.4683368944097308E-14</v>
      </c>
      <c r="CA187" s="14">
        <f t="shared" si="170"/>
        <v>8.8129432816788268E-13</v>
      </c>
      <c r="CB187" s="22">
        <f t="shared" si="171"/>
        <v>1.6301611558033651E-12</v>
      </c>
      <c r="CC187" s="62">
        <f t="shared" si="119"/>
        <v>293.33333333333496</v>
      </c>
      <c r="CD187" s="62">
        <f ca="1">AVERAGE(OFFSET($CC$3,0,0,'Données projet'!$E$12+1,1))-AVERAGE(OFFSET($H$3,0,0,'Données projet'!$E$12+1,1))</f>
        <v>409.97612835032567</v>
      </c>
      <c r="CE187" s="62">
        <f t="shared" si="148"/>
        <v>411.87876448092288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1.4481521243950646</v>
      </c>
      <c r="CL187" s="23">
        <f>EXP(-LN(2)/25)*CL186+(1-EXP(-LN(2)/25))/(LN(2)/25)*Calculateur!CG187*Calculateur!CI187*VLOOKUP('Données projet'!$B$12,Paramètres!$A$1:$I$89,3,0)*0.475*44/12</f>
        <v>0.72846590460184268</v>
      </c>
      <c r="CM187" s="23">
        <f>EXP(-LN(2)/2)*CM186+(1-EXP(-LN(2)/2))/(LN(2)/2)*CG187*CJ187*VLOOKUP('Données projet'!$B$12,Paramètres!$A$1:$I$89,3,0)*0.475*44/12</f>
        <v>6.4404018989068285E-21</v>
      </c>
      <c r="CN187" s="24">
        <f t="shared" si="172"/>
        <v>2.1766180289969075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-4.5474735088646412E-13</v>
      </c>
      <c r="CU187" s="18">
        <f>CT187*VLOOKUP('Données projet'!$B$13,Paramètres!$A$1:$I$89,3,0)*VLOOKUP('Données projet'!$B$13,Paramètres!$A$1:$I$89,5,0)</f>
        <v>-2.7193891583010558E-13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463.3255103386889</v>
      </c>
      <c r="CZ187" s="62">
        <f t="shared" si="150"/>
        <v>474.73210558736127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0.23672172067992373</v>
      </c>
      <c r="DG187" s="23">
        <f>EXP(-LN(2)/25)*DG186+(1-EXP(-LN(2)/25))/(LN(2)/25)*Calculateur!DB187*Calculateur!DD187*VLOOKUP('Données projet'!$B$13,Paramètres!$A$1:$I$89,3,0)*0.475*44/12</f>
        <v>0.48474218078204095</v>
      </c>
      <c r="DH187" s="23">
        <f>EXP(-LN(2)/2)*DH186+(1-EXP(-LN(2)/2))/(LN(2)/2)*DB187*DE187*VLOOKUP('Données projet'!$B$13,Paramètres!$A$1:$I$89,3,0)*0.475*44/12</f>
        <v>2.8864259336704458E-22</v>
      </c>
      <c r="DI187" s="24">
        <f t="shared" si="175"/>
        <v>0.72146390146196471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-1.1368683772161603E-13</v>
      </c>
      <c r="DP187" s="18">
        <f>DO187*VLOOKUP('Données projet'!$B$14,Paramètres!$A$1:$I$89,3,0)*VLOOKUP('Données projet'!$B$14,Paramètres!$A$1:$I$89,5,0)</f>
        <v>-5.3205440053716299E-14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215.23235148064941</v>
      </c>
      <c r="DU187" s="62">
        <f t="shared" si="152"/>
        <v>184.07239726900434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0.14847303946744544</v>
      </c>
      <c r="EB187" s="23">
        <f>EXP(-LN(2)/25)*EB186+(1-EXP(-LN(2)/25))/(LN(2)/25)*Calculateur!DW187*Calculateur!DY187*VLOOKUP('Données projet'!$B$14,Paramètres!$A$1:$I$89,3,0)*0.475*44/12</f>
        <v>0.10985683657195232</v>
      </c>
      <c r="EC187" s="23">
        <f>EXP(-LN(2)/2)*EC186+(1-EXP(-LN(2)/2))/(LN(2)/2)*DW187*DZ187*VLOOKUP('Données projet'!$B$14,Paramètres!$A$1:$I$89,3,0)*0.475*44/12</f>
        <v>6.5063886109605682E-23</v>
      </c>
      <c r="ED187" s="24">
        <f t="shared" si="178"/>
        <v>0.25832987603939778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652.74072036845359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1.1368683772161603E-12</v>
      </c>
      <c r="O188" s="14">
        <f>N188*VLOOKUP('Données projet'!$B$9,Paramètres!$A$1:$I$89,3,0)*VLOOKUP('Données projet'!$B$9,Paramètres!$A$1:$I$89,5,0)</f>
        <v>6.3550942286383359E-13</v>
      </c>
      <c r="P188" s="14">
        <f t="shared" si="141"/>
        <v>7.6982260417614606E-12</v>
      </c>
      <c r="Q188" s="22">
        <f t="shared" si="162"/>
        <v>1.4514589267555721E-11</v>
      </c>
      <c r="R188" s="62">
        <f t="shared" si="109"/>
        <v>293.33333333334781</v>
      </c>
      <c r="S188" s="62">
        <f ca="1">AVERAGE(OFFSET($R$3,0,0,'Données projet'!$E$9+1,1))-AVERAGE(OFFSET($H$3,0,0,'Données projet'!$E$9+1,1))</f>
        <v>460.40450534123659</v>
      </c>
      <c r="T188" s="62">
        <f t="shared" si="142"/>
        <v>467.77477728479198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0.58333862333234932</v>
      </c>
      <c r="AA188" s="23">
        <f>EXP(-LN(2)/25)*AA187+(1-EXP(-LN(2)/25))/(LN(2)/25)*Calculateur!V188*Calculateur!X188*VLOOKUP('Données projet'!$B$9,Paramètres!$A$1:$I$89,3,0)*0.475*44/12</f>
        <v>0.60213670280766063</v>
      </c>
      <c r="AB188" s="23">
        <f>EXP(-LN(2)/2)*AB187+(1-EXP(-LN(2)/2))/(LN(2)/2)*V188*Y188*VLOOKUP('Données projet'!$B$9,Paramètres!$A$1:$I$89,3,0)*0.475*44/12</f>
        <v>1.8821732354311347E-22</v>
      </c>
      <c r="AC188" s="24">
        <f t="shared" si="163"/>
        <v>1.1854753261400099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-5.6843418860808015E-13</v>
      </c>
      <c r="AJ188" s="14">
        <f>AI188*VLOOKUP('Données projet'!$B$10,Paramètres!$A$1:$I$89,3,0)*VLOOKUP('Données projet'!$B$10,Paramètres!$A$1:$I$89,5,0)</f>
        <v>-5.1431925385259092E-13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321.03881567735544</v>
      </c>
      <c r="AO188" s="62">
        <f t="shared" si="144"/>
        <v>234.87694492493506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0.1118467443083512</v>
      </c>
      <c r="AV188" s="23">
        <f>EXP(-LN(2)/25)*AV187+(1-EXP(-LN(2)/25))/(LN(2)/25)*Calculateur!AQ188*Calculateur!AS188*VLOOKUP('Données projet'!$B$10,Paramètres!$A$1:$I$89,3,0)*0.475*44/12</f>
        <v>0.18438684986822501</v>
      </c>
      <c r="AW188" s="23">
        <f>EXP(-LN(2)/2)*AW187+(1-EXP(-LN(2)/2))/(LN(2)/2)*AQ188*AT188*VLOOKUP('Données projet'!$B$10,Paramètres!$A$1:$I$89,3,0)*0.475*44/12</f>
        <v>1.0172707578930418E-22</v>
      </c>
      <c r="AX188" s="23">
        <f t="shared" si="166"/>
        <v>0.29623359417657624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255.41017495879987</v>
      </c>
      <c r="BJ188" s="62">
        <f t="shared" si="146"/>
        <v>297.50513563712764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0.38747228180599608</v>
      </c>
      <c r="BQ188" s="23">
        <f>EXP(-LN(2)/25)*BQ187+(1-EXP(-LN(2)/25))/(LN(2)/25)*Calculateur!BL188*Calculateur!BN188*VLOOKUP('Données projet'!$B$11,Paramètres!$A$1:$I$89,3,0)*0.475*44/12</f>
        <v>0.37909576615322815</v>
      </c>
      <c r="BR188" s="23">
        <f>EXP(-LN(2)/2)*BR187+(1-EXP(-LN(2)/2))/(LN(2)/2)*BL188*BO188*VLOOKUP('Données projet'!$B$11,Paramètres!$A$1:$I$89,3,0)*0.475*44/12</f>
        <v>1.1417903359820459E-22</v>
      </c>
      <c r="BS188" s="24">
        <f t="shared" si="169"/>
        <v>0.76656804795922429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5.4683368944097308E-14</v>
      </c>
      <c r="CA188" s="14">
        <f t="shared" si="170"/>
        <v>8.8129432816788268E-13</v>
      </c>
      <c r="CB188" s="22">
        <f t="shared" si="171"/>
        <v>1.6301611558033651E-12</v>
      </c>
      <c r="CC188" s="62">
        <f t="shared" si="119"/>
        <v>293.33333333333496</v>
      </c>
      <c r="CD188" s="62">
        <f ca="1">AVERAGE(OFFSET($CC$3,0,0,'Données projet'!$E$12+1,1))-AVERAGE(OFFSET($H$3,0,0,'Données projet'!$E$12+1,1))</f>
        <v>409.97612835032567</v>
      </c>
      <c r="CE188" s="62">
        <f t="shared" si="148"/>
        <v>411.87876448092288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1.4197547445212559</v>
      </c>
      <c r="CL188" s="23">
        <f>EXP(-LN(2)/25)*CL187+(1-EXP(-LN(2)/25))/(LN(2)/25)*Calculateur!CG188*Calculateur!CI188*VLOOKUP('Données projet'!$B$12,Paramètres!$A$1:$I$89,3,0)*0.475*44/12</f>
        <v>0.70854596613214826</v>
      </c>
      <c r="CM188" s="23">
        <f>EXP(-LN(2)/2)*CM187+(1-EXP(-LN(2)/2))/(LN(2)/2)*CG188*CJ188*VLOOKUP('Données projet'!$B$12,Paramètres!$A$1:$I$89,3,0)*0.475*44/12</f>
        <v>4.5540518562837359E-21</v>
      </c>
      <c r="CN188" s="24">
        <f t="shared" si="172"/>
        <v>2.128300710653404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-4.5474735088646412E-13</v>
      </c>
      <c r="CU188" s="18">
        <f>CT188*VLOOKUP('Données projet'!$B$13,Paramètres!$A$1:$I$89,3,0)*VLOOKUP('Données projet'!$B$13,Paramètres!$A$1:$I$89,5,0)</f>
        <v>-2.7193891583010558E-13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463.3255103386889</v>
      </c>
      <c r="CZ188" s="62">
        <f t="shared" si="150"/>
        <v>474.73210558736127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0.23207975212338311</v>
      </c>
      <c r="DG188" s="23">
        <f>EXP(-LN(2)/25)*DG187+(1-EXP(-LN(2)/25))/(LN(2)/25)*Calculateur!DB188*Calculateur!DD188*VLOOKUP('Données projet'!$B$13,Paramètres!$A$1:$I$89,3,0)*0.475*44/12</f>
        <v>0.47148688035707265</v>
      </c>
      <c r="DH188" s="23">
        <f>EXP(-LN(2)/2)*DH187+(1-EXP(-LN(2)/2))/(LN(2)/2)*DB188*DE188*VLOOKUP('Données projet'!$B$13,Paramètres!$A$1:$I$89,3,0)*0.475*44/12</f>
        <v>2.0410113510910841E-22</v>
      </c>
      <c r="DI188" s="24">
        <f t="shared" si="175"/>
        <v>0.7035666324804557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-1.1368683772161603E-13</v>
      </c>
      <c r="DP188" s="18">
        <f>DO188*VLOOKUP('Données projet'!$B$14,Paramètres!$A$1:$I$89,3,0)*VLOOKUP('Données projet'!$B$14,Paramètres!$A$1:$I$89,5,0)</f>
        <v>-5.3205440053716299E-14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215.23235148064941</v>
      </c>
      <c r="DU188" s="62">
        <f t="shared" si="152"/>
        <v>184.07239726900434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0.14556157372310088</v>
      </c>
      <c r="EB188" s="23">
        <f>EXP(-LN(2)/25)*EB187+(1-EXP(-LN(2)/25))/(LN(2)/25)*Calculateur!DW188*Calculateur!DY188*VLOOKUP('Données projet'!$B$14,Paramètres!$A$1:$I$89,3,0)*0.475*44/12</f>
        <v>0.10685279559877232</v>
      </c>
      <c r="EC188" s="23">
        <f>EXP(-LN(2)/2)*EC187+(1-EXP(-LN(2)/2))/(LN(2)/2)*DW188*DZ188*VLOOKUP('Données projet'!$B$14,Paramètres!$A$1:$I$89,3,0)*0.475*44/12</f>
        <v>4.6007115078451394E-23</v>
      </c>
      <c r="ED188" s="24">
        <f t="shared" si="178"/>
        <v>0.25241436932187322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654.63748595725838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1.1368683772161603E-12</v>
      </c>
      <c r="O189" s="14">
        <f>N189*VLOOKUP('Données projet'!$B$9,Paramètres!$A$1:$I$89,3,0)*VLOOKUP('Données projet'!$B$9,Paramètres!$A$1:$I$89,5,0)</f>
        <v>6.3550942286383359E-13</v>
      </c>
      <c r="P189" s="14">
        <f t="shared" si="141"/>
        <v>7.6982260417614606E-12</v>
      </c>
      <c r="Q189" s="22">
        <f t="shared" si="162"/>
        <v>1.4514589267555721E-11</v>
      </c>
      <c r="R189" s="62">
        <f t="shared" si="109"/>
        <v>293.33333333334781</v>
      </c>
      <c r="S189" s="62">
        <f ca="1">AVERAGE(OFFSET($R$3,0,0,'Données projet'!$E$9+1,1))-AVERAGE(OFFSET($H$3,0,0,'Données projet'!$E$9+1,1))</f>
        <v>460.40450534123659</v>
      </c>
      <c r="T189" s="62">
        <f t="shared" si="142"/>
        <v>467.77477728479198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0.57189970873022966</v>
      </c>
      <c r="AA189" s="23">
        <f>EXP(-LN(2)/25)*AA188+(1-EXP(-LN(2)/25))/(LN(2)/25)*Calculateur!V189*Calculateur!X189*VLOOKUP('Données projet'!$B$9,Paramètres!$A$1:$I$89,3,0)*0.475*44/12</f>
        <v>0.58567124300439211</v>
      </c>
      <c r="AB189" s="23">
        <f>EXP(-LN(2)/2)*AB188+(1-EXP(-LN(2)/2))/(LN(2)/2)*V189*Y189*VLOOKUP('Données projet'!$B$9,Paramètres!$A$1:$I$89,3,0)*0.475*44/12</f>
        <v>1.3308974581411796E-22</v>
      </c>
      <c r="AC189" s="24">
        <f t="shared" si="163"/>
        <v>1.1575709517346218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-5.6843418860808015E-13</v>
      </c>
      <c r="AJ189" s="14">
        <f>AI189*VLOOKUP('Données projet'!$B$10,Paramètres!$A$1:$I$89,3,0)*VLOOKUP('Données projet'!$B$10,Paramètres!$A$1:$I$89,5,0)</f>
        <v>-5.1431925385259092E-13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321.03881567735544</v>
      </c>
      <c r="AO189" s="62">
        <f t="shared" si="144"/>
        <v>234.87694492493506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0.10965349787224232</v>
      </c>
      <c r="AV189" s="23">
        <f>EXP(-LN(2)/25)*AV188+(1-EXP(-LN(2)/25))/(LN(2)/25)*Calculateur!AQ189*Calculateur!AS189*VLOOKUP('Données projet'!$B$10,Paramètres!$A$1:$I$89,3,0)*0.475*44/12</f>
        <v>0.1793447817620954</v>
      </c>
      <c r="AW189" s="23">
        <f>EXP(-LN(2)/2)*AW188+(1-EXP(-LN(2)/2))/(LN(2)/2)*AQ189*AT189*VLOOKUP('Données projet'!$B$10,Paramètres!$A$1:$I$89,3,0)*0.475*44/12</f>
        <v>7.1931905120894845E-23</v>
      </c>
      <c r="AX189" s="23">
        <f t="shared" si="166"/>
        <v>0.28899827963433772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255.41017495879987</v>
      </c>
      <c r="BJ189" s="62">
        <f t="shared" si="146"/>
        <v>297.50513563712764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0.37987418669453626</v>
      </c>
      <c r="BQ189" s="23">
        <f>EXP(-LN(2)/25)*BQ188+(1-EXP(-LN(2)/25))/(LN(2)/25)*Calculateur!BL189*Calculateur!BN189*VLOOKUP('Données projet'!$B$11,Paramètres!$A$1:$I$89,3,0)*0.475*44/12</f>
        <v>0.36872937249198823</v>
      </c>
      <c r="BR189" s="23">
        <f>EXP(-LN(2)/2)*BR188+(1-EXP(-LN(2)/2))/(LN(2)/2)*BL189*BO189*VLOOKUP('Données projet'!$B$11,Paramètres!$A$1:$I$89,3,0)*0.475*44/12</f>
        <v>8.0736768926617114E-23</v>
      </c>
      <c r="BS189" s="24">
        <f t="shared" si="169"/>
        <v>0.74860355918652455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5.4683368944097308E-14</v>
      </c>
      <c r="CA189" s="14">
        <f t="shared" si="170"/>
        <v>8.8129432816788268E-13</v>
      </c>
      <c r="CB189" s="22">
        <f t="shared" si="171"/>
        <v>1.6301611558033651E-12</v>
      </c>
      <c r="CC189" s="62">
        <f t="shared" si="119"/>
        <v>293.33333333333496</v>
      </c>
      <c r="CD189" s="62">
        <f ca="1">AVERAGE(OFFSET($CC$3,0,0,'Données projet'!$E$12+1,1))-AVERAGE(OFFSET($H$3,0,0,'Données projet'!$E$12+1,1))</f>
        <v>409.97612835032567</v>
      </c>
      <c r="CE189" s="62">
        <f t="shared" si="148"/>
        <v>411.87876448092288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1.3919142199460814</v>
      </c>
      <c r="CL189" s="23">
        <f>EXP(-LN(2)/25)*CL188+(1-EXP(-LN(2)/25))/(LN(2)/25)*Calculateur!CG189*Calculateur!CI189*VLOOKUP('Données projet'!$B$12,Paramètres!$A$1:$I$89,3,0)*0.475*44/12</f>
        <v>0.68917073942745166</v>
      </c>
      <c r="CM189" s="23">
        <f>EXP(-LN(2)/2)*CM188+(1-EXP(-LN(2)/2))/(LN(2)/2)*CG189*CJ189*VLOOKUP('Données projet'!$B$12,Paramètres!$A$1:$I$89,3,0)*0.475*44/12</f>
        <v>3.2202009494534142E-21</v>
      </c>
      <c r="CN189" s="24">
        <f t="shared" si="172"/>
        <v>2.0810849593735332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-4.5474735088646412E-13</v>
      </c>
      <c r="CU189" s="18">
        <f>CT189*VLOOKUP('Données projet'!$B$13,Paramètres!$A$1:$I$89,3,0)*VLOOKUP('Données projet'!$B$13,Paramètres!$A$1:$I$89,5,0)</f>
        <v>-2.7193891583010558E-13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463.3255103386889</v>
      </c>
      <c r="CZ189" s="62">
        <f t="shared" si="150"/>
        <v>474.73210558736127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0.22752880973891501</v>
      </c>
      <c r="DG189" s="23">
        <f>EXP(-LN(2)/25)*DG188+(1-EXP(-LN(2)/25))/(LN(2)/25)*Calculateur!DB189*Calculateur!DD189*VLOOKUP('Données projet'!$B$13,Paramètres!$A$1:$I$89,3,0)*0.475*44/12</f>
        <v>0.45859404681929106</v>
      </c>
      <c r="DH189" s="23">
        <f>EXP(-LN(2)/2)*DH188+(1-EXP(-LN(2)/2))/(LN(2)/2)*DB189*DE189*VLOOKUP('Données projet'!$B$13,Paramètres!$A$1:$I$89,3,0)*0.475*44/12</f>
        <v>1.4432129668352229E-22</v>
      </c>
      <c r="DI189" s="24">
        <f t="shared" si="175"/>
        <v>0.68612285655820604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-1.1368683772161603E-13</v>
      </c>
      <c r="DP189" s="18">
        <f>DO189*VLOOKUP('Données projet'!$B$14,Paramètres!$A$1:$I$89,3,0)*VLOOKUP('Données projet'!$B$14,Paramètres!$A$1:$I$89,5,0)</f>
        <v>-5.3205440053716299E-14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215.23235148064941</v>
      </c>
      <c r="DU189" s="62">
        <f t="shared" si="152"/>
        <v>184.07239726900434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0.14270720004618417</v>
      </c>
      <c r="EB189" s="23">
        <f>EXP(-LN(2)/25)*EB188+(1-EXP(-LN(2)/25))/(LN(2)/25)*Calculateur!DW189*Calculateur!DY189*VLOOKUP('Données projet'!$B$14,Paramètres!$A$1:$I$89,3,0)*0.475*44/12</f>
        <v>0.10393090028397958</v>
      </c>
      <c r="EC189" s="23">
        <f>EXP(-LN(2)/2)*EC188+(1-EXP(-LN(2)/2))/(LN(2)/2)*DW189*DZ189*VLOOKUP('Données projet'!$B$14,Paramètres!$A$1:$I$89,3,0)*0.475*44/12</f>
        <v>3.2531943054802841E-23</v>
      </c>
      <c r="ED189" s="24">
        <f t="shared" si="178"/>
        <v>0.24663810033016376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656.53403378514918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1.1368683772161603E-12</v>
      </c>
      <c r="O190" s="14">
        <f>N190*VLOOKUP('Données projet'!$B$9,Paramètres!$A$1:$I$89,3,0)*VLOOKUP('Données projet'!$B$9,Paramètres!$A$1:$I$89,5,0)</f>
        <v>6.3550942286383359E-13</v>
      </c>
      <c r="P190" s="14">
        <f t="shared" si="141"/>
        <v>7.6982260417614606E-12</v>
      </c>
      <c r="Q190" s="22">
        <f t="shared" si="162"/>
        <v>1.4514589267555721E-11</v>
      </c>
      <c r="R190" s="62">
        <f t="shared" si="109"/>
        <v>293.33333333334781</v>
      </c>
      <c r="S190" s="62">
        <f ca="1">AVERAGE(OFFSET($R$3,0,0,'Données projet'!$E$9+1,1))-AVERAGE(OFFSET($H$3,0,0,'Données projet'!$E$9+1,1))</f>
        <v>460.40450534123659</v>
      </c>
      <c r="T190" s="62">
        <f t="shared" si="142"/>
        <v>467.77477728479198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0.56068510426640861</v>
      </c>
      <c r="AA190" s="23">
        <f>EXP(-LN(2)/25)*AA189+(1-EXP(-LN(2)/25))/(LN(2)/25)*Calculateur!V190*Calculateur!X190*VLOOKUP('Données projet'!$B$9,Paramètres!$A$1:$I$89,3,0)*0.475*44/12</f>
        <v>0.56965603206532489</v>
      </c>
      <c r="AB190" s="23">
        <f>EXP(-LN(2)/2)*AB189+(1-EXP(-LN(2)/2))/(LN(2)/2)*V190*Y190*VLOOKUP('Données projet'!$B$9,Paramètres!$A$1:$I$89,3,0)*0.475*44/12</f>
        <v>9.4108661771556736E-23</v>
      </c>
      <c r="AC190" s="24">
        <f t="shared" si="163"/>
        <v>1.1303411363317335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-5.6843418860808015E-13</v>
      </c>
      <c r="AJ190" s="14">
        <f>AI190*VLOOKUP('Données projet'!$B$10,Paramètres!$A$1:$I$89,3,0)*VLOOKUP('Données projet'!$B$10,Paramètres!$A$1:$I$89,5,0)</f>
        <v>-5.1431925385259092E-13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321.03881567735544</v>
      </c>
      <c r="AO190" s="62">
        <f t="shared" si="144"/>
        <v>234.87694492493506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0.1075032596609973</v>
      </c>
      <c r="AV190" s="23">
        <f>EXP(-LN(2)/25)*AV189+(1-EXP(-LN(2)/25))/(LN(2)/25)*Calculateur!AQ190*Calculateur!AS190*VLOOKUP('Données projet'!$B$10,Paramètres!$A$1:$I$89,3,0)*0.475*44/12</f>
        <v>0.17444058927347872</v>
      </c>
      <c r="AW190" s="23">
        <f>EXP(-LN(2)/2)*AW189+(1-EXP(-LN(2)/2))/(LN(2)/2)*AQ190*AT190*VLOOKUP('Données projet'!$B$10,Paramètres!$A$1:$I$89,3,0)*0.475*44/12</f>
        <v>5.0863537894652089E-23</v>
      </c>
      <c r="AX190" s="23">
        <f t="shared" si="166"/>
        <v>0.28194384893447599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255.41017495879987</v>
      </c>
      <c r="BJ190" s="62">
        <f t="shared" si="146"/>
        <v>297.50513563712764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0.37242508559383181</v>
      </c>
      <c r="BQ190" s="23">
        <f>EXP(-LN(2)/25)*BQ189+(1-EXP(-LN(2)/25))/(LN(2)/25)*Calculateur!BL190*Calculateur!BN190*VLOOKUP('Données projet'!$B$11,Paramètres!$A$1:$I$89,3,0)*0.475*44/12</f>
        <v>0.35864644841055987</v>
      </c>
      <c r="BR190" s="23">
        <f>EXP(-LN(2)/2)*BR189+(1-EXP(-LN(2)/2))/(LN(2)/2)*BL190*BO190*VLOOKUP('Données projet'!$B$11,Paramètres!$A$1:$I$89,3,0)*0.475*44/12</f>
        <v>5.7089516799102296E-23</v>
      </c>
      <c r="BS190" s="24">
        <f t="shared" si="169"/>
        <v>0.73107153400439162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5.4683368944097308E-14</v>
      </c>
      <c r="CA190" s="14">
        <f t="shared" si="170"/>
        <v>8.8129432816788268E-13</v>
      </c>
      <c r="CB190" s="22">
        <f t="shared" si="171"/>
        <v>1.6301611558033651E-12</v>
      </c>
      <c r="CC190" s="62">
        <f t="shared" si="119"/>
        <v>293.33333333333496</v>
      </c>
      <c r="CD190" s="62">
        <f ca="1">AVERAGE(OFFSET($CC$3,0,0,'Données projet'!$E$12+1,1))-AVERAGE(OFFSET($H$3,0,0,'Données projet'!$E$12+1,1))</f>
        <v>409.97612835032567</v>
      </c>
      <c r="CE190" s="62">
        <f t="shared" si="148"/>
        <v>411.87876448092288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1.3646196310767829</v>
      </c>
      <c r="CL190" s="23">
        <f>EXP(-LN(2)/25)*CL189+(1-EXP(-LN(2)/25))/(LN(2)/25)*Calculateur!CG190*Calculateur!CI190*VLOOKUP('Données projet'!$B$12,Paramètres!$A$1:$I$89,3,0)*0.475*44/12</f>
        <v>0.67032532931589395</v>
      </c>
      <c r="CM190" s="23">
        <f>EXP(-LN(2)/2)*CM189+(1-EXP(-LN(2)/2))/(LN(2)/2)*CG190*CJ190*VLOOKUP('Données projet'!$B$12,Paramètres!$A$1:$I$89,3,0)*0.475*44/12</f>
        <v>2.2770259281418679E-21</v>
      </c>
      <c r="CN190" s="24">
        <f t="shared" si="172"/>
        <v>2.0349449603926768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-4.5474735088646412E-13</v>
      </c>
      <c r="CU190" s="18">
        <f>CT190*VLOOKUP('Données projet'!$B$13,Paramètres!$A$1:$I$89,3,0)*VLOOKUP('Données projet'!$B$13,Paramètres!$A$1:$I$89,5,0)</f>
        <v>-2.7193891583010558E-13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463.3255103386889</v>
      </c>
      <c r="CZ190" s="62">
        <f t="shared" si="150"/>
        <v>474.73210558736127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0.22306710855880554</v>
      </c>
      <c r="DG190" s="23">
        <f>EXP(-LN(2)/25)*DG189+(1-EXP(-LN(2)/25))/(LN(2)/25)*Calculateur!DB190*Calculateur!DD190*VLOOKUP('Données projet'!$B$13,Paramètres!$A$1:$I$89,3,0)*0.475*44/12</f>
        <v>0.44605376849260475</v>
      </c>
      <c r="DH190" s="23">
        <f>EXP(-LN(2)/2)*DH189+(1-EXP(-LN(2)/2))/(LN(2)/2)*DB190*DE190*VLOOKUP('Données projet'!$B$13,Paramètres!$A$1:$I$89,3,0)*0.475*44/12</f>
        <v>1.0205056755455421E-22</v>
      </c>
      <c r="DI190" s="24">
        <f t="shared" si="175"/>
        <v>0.66912087705141032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-1.1368683772161603E-13</v>
      </c>
      <c r="DP190" s="18">
        <f>DO190*VLOOKUP('Données projet'!$B$14,Paramètres!$A$1:$I$89,3,0)*VLOOKUP('Données projet'!$B$14,Paramètres!$A$1:$I$89,5,0)</f>
        <v>-5.3205440053716299E-14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215.23235148064941</v>
      </c>
      <c r="DU190" s="62">
        <f t="shared" si="152"/>
        <v>184.07239726900434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0.13990879889607577</v>
      </c>
      <c r="EB190" s="23">
        <f>EXP(-LN(2)/25)*EB189+(1-EXP(-LN(2)/25))/(LN(2)/25)*Calculateur!DW190*Calculateur!DY190*VLOOKUP('Données projet'!$B$14,Paramètres!$A$1:$I$89,3,0)*0.475*44/12</f>
        <v>0.10108890435022565</v>
      </c>
      <c r="EC190" s="23">
        <f>EXP(-LN(2)/2)*EC189+(1-EXP(-LN(2)/2))/(LN(2)/2)*DW190*DZ190*VLOOKUP('Données projet'!$B$14,Paramètres!$A$1:$I$89,3,0)*0.475*44/12</f>
        <v>2.3003557539225697E-23</v>
      </c>
      <c r="ED190" s="24">
        <f t="shared" si="178"/>
        <v>0.24099770324630143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658.43036515177823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1.1368683772161603E-12</v>
      </c>
      <c r="O191" s="14">
        <f>N191*VLOOKUP('Données projet'!$B$9,Paramètres!$A$1:$I$89,3,0)*VLOOKUP('Données projet'!$B$9,Paramètres!$A$1:$I$89,5,0)</f>
        <v>6.3550942286383359E-13</v>
      </c>
      <c r="P191" s="14">
        <f t="shared" si="141"/>
        <v>7.6982260417614606E-12</v>
      </c>
      <c r="Q191" s="22">
        <f t="shared" si="162"/>
        <v>1.4514589267555721E-11</v>
      </c>
      <c r="R191" s="62">
        <f t="shared" si="109"/>
        <v>293.33333333334781</v>
      </c>
      <c r="S191" s="62">
        <f ca="1">AVERAGE(OFFSET($R$3,0,0,'Données projet'!$E$9+1,1))-AVERAGE(OFFSET($H$3,0,0,'Données projet'!$E$9+1,1))</f>
        <v>460.40450534123659</v>
      </c>
      <c r="T191" s="62">
        <f t="shared" si="142"/>
        <v>467.77477728479198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0.54969041135588981</v>
      </c>
      <c r="AA191" s="23">
        <f>EXP(-LN(2)/25)*AA190+(1-EXP(-LN(2)/25))/(LN(2)/25)*Calculateur!V191*Calculateur!X191*VLOOKUP('Données projet'!$B$9,Paramètres!$A$1:$I$89,3,0)*0.475*44/12</f>
        <v>0.55407875791158978</v>
      </c>
      <c r="AB191" s="23">
        <f>EXP(-LN(2)/2)*AB190+(1-EXP(-LN(2)/2))/(LN(2)/2)*V191*Y191*VLOOKUP('Données projet'!$B$9,Paramètres!$A$1:$I$89,3,0)*0.475*44/12</f>
        <v>6.6544872907058978E-23</v>
      </c>
      <c r="AC191" s="24">
        <f t="shared" si="163"/>
        <v>1.1037691692674796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-5.6843418860808015E-13</v>
      </c>
      <c r="AJ191" s="14">
        <f>AI191*VLOOKUP('Données projet'!$B$10,Paramètres!$A$1:$I$89,3,0)*VLOOKUP('Données projet'!$B$10,Paramètres!$A$1:$I$89,5,0)</f>
        <v>-5.1431925385259092E-13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321.03881567735544</v>
      </c>
      <c r="AO191" s="62">
        <f t="shared" si="144"/>
        <v>234.87694492493506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0.10539518630955899</v>
      </c>
      <c r="AV191" s="23">
        <f>EXP(-LN(2)/25)*AV190+(1-EXP(-LN(2)/25))/(LN(2)/25)*Calculateur!AQ191*Calculateur!AS191*VLOOKUP('Données projet'!$B$10,Paramètres!$A$1:$I$89,3,0)*0.475*44/12</f>
        <v>0.16967050218636354</v>
      </c>
      <c r="AW191" s="23">
        <f>EXP(-LN(2)/2)*AW190+(1-EXP(-LN(2)/2))/(LN(2)/2)*AQ191*AT191*VLOOKUP('Données projet'!$B$10,Paramètres!$A$1:$I$89,3,0)*0.475*44/12</f>
        <v>3.5965952560447422E-23</v>
      </c>
      <c r="AX191" s="23">
        <f t="shared" si="166"/>
        <v>0.2750656884959225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255.41017495879987</v>
      </c>
      <c r="BJ191" s="62">
        <f t="shared" si="146"/>
        <v>297.50513563712764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0.36512205682220911</v>
      </c>
      <c r="BQ191" s="23">
        <f>EXP(-LN(2)/25)*BQ190+(1-EXP(-LN(2)/25))/(LN(2)/25)*Calculateur!BL191*Calculateur!BN191*VLOOKUP('Données projet'!$B$11,Paramètres!$A$1:$I$89,3,0)*0.475*44/12</f>
        <v>0.34883924241837611</v>
      </c>
      <c r="BR191" s="23">
        <f>EXP(-LN(2)/2)*BR190+(1-EXP(-LN(2)/2))/(LN(2)/2)*BL191*BO191*VLOOKUP('Données projet'!$B$11,Paramètres!$A$1:$I$89,3,0)*0.475*44/12</f>
        <v>4.0368384463308557E-23</v>
      </c>
      <c r="BS191" s="24">
        <f t="shared" si="169"/>
        <v>0.71396129924058527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5.4683368944097308E-14</v>
      </c>
      <c r="CA191" s="14">
        <f t="shared" si="170"/>
        <v>8.8129432816788268E-13</v>
      </c>
      <c r="CB191" s="22">
        <f t="shared" si="171"/>
        <v>1.6301611558033651E-12</v>
      </c>
      <c r="CC191" s="62">
        <f t="shared" si="119"/>
        <v>293.33333333333496</v>
      </c>
      <c r="CD191" s="62">
        <f ca="1">AVERAGE(OFFSET($CC$3,0,0,'Données projet'!$E$12+1,1))-AVERAGE(OFFSET($H$3,0,0,'Données projet'!$E$12+1,1))</f>
        <v>409.97612835032567</v>
      </c>
      <c r="CE191" s="62">
        <f t="shared" si="148"/>
        <v>411.87876448092288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1.3378602724471558</v>
      </c>
      <c r="CL191" s="23">
        <f>EXP(-LN(2)/25)*CL190+(1-EXP(-LN(2)/25))/(LN(2)/25)*Calculateur!CG191*Calculateur!CI191*VLOOKUP('Données projet'!$B$12,Paramètres!$A$1:$I$89,3,0)*0.475*44/12</f>
        <v>0.65199524793487384</v>
      </c>
      <c r="CM191" s="23">
        <f>EXP(-LN(2)/2)*CM190+(1-EXP(-LN(2)/2))/(LN(2)/2)*CG191*CJ191*VLOOKUP('Données projet'!$B$12,Paramètres!$A$1:$I$89,3,0)*0.475*44/12</f>
        <v>1.6101004747267071E-21</v>
      </c>
      <c r="CN191" s="24">
        <f t="shared" si="172"/>
        <v>1.9898555203820296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-4.5474735088646412E-13</v>
      </c>
      <c r="CU191" s="18">
        <f>CT191*VLOOKUP('Données projet'!$B$13,Paramètres!$A$1:$I$89,3,0)*VLOOKUP('Données projet'!$B$13,Paramètres!$A$1:$I$89,5,0)</f>
        <v>-2.7193891583010558E-13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463.3255103386889</v>
      </c>
      <c r="CZ191" s="62">
        <f t="shared" si="150"/>
        <v>474.73210558736127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0.21869289861746902</v>
      </c>
      <c r="DG191" s="23">
        <f>EXP(-LN(2)/25)*DG190+(1-EXP(-LN(2)/25))/(LN(2)/25)*Calculateur!DB191*Calculateur!DD191*VLOOKUP('Données projet'!$B$13,Paramètres!$A$1:$I$89,3,0)*0.475*44/12</f>
        <v>0.43385640473622628</v>
      </c>
      <c r="DH191" s="23">
        <f>EXP(-LN(2)/2)*DH190+(1-EXP(-LN(2)/2))/(LN(2)/2)*DB191*DE191*VLOOKUP('Données projet'!$B$13,Paramètres!$A$1:$I$89,3,0)*0.475*44/12</f>
        <v>7.2160648341761146E-23</v>
      </c>
      <c r="DI191" s="24">
        <f t="shared" si="175"/>
        <v>0.65254930335369532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-1.1368683772161603E-13</v>
      </c>
      <c r="DP191" s="18">
        <f>DO191*VLOOKUP('Données projet'!$B$14,Paramètres!$A$1:$I$89,3,0)*VLOOKUP('Données projet'!$B$14,Paramètres!$A$1:$I$89,5,0)</f>
        <v>-5.3205440053716299E-14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215.23235148064941</v>
      </c>
      <c r="DU191" s="62">
        <f t="shared" si="152"/>
        <v>184.07239726900434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0.13716527268566484</v>
      </c>
      <c r="EB191" s="23">
        <f>EXP(-LN(2)/25)*EB190+(1-EXP(-LN(2)/25))/(LN(2)/25)*Calculateur!DW191*Calculateur!DY191*VLOOKUP('Données projet'!$B$14,Paramètres!$A$1:$I$89,3,0)*0.475*44/12</f>
        <v>9.8324622944734291E-2</v>
      </c>
      <c r="EC191" s="23">
        <f>EXP(-LN(2)/2)*EC190+(1-EXP(-LN(2)/2))/(LN(2)/2)*DW191*DZ191*VLOOKUP('Données projet'!$B$14,Paramètres!$A$1:$I$89,3,0)*0.475*44/12</f>
        <v>1.626597152740142E-23</v>
      </c>
      <c r="ED191" s="24">
        <f t="shared" si="178"/>
        <v>0.23548989563039913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660.32648134217106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1.1368683772161603E-12</v>
      </c>
      <c r="O192" s="14">
        <f>N192*VLOOKUP('Données projet'!$B$9,Paramètres!$A$1:$I$89,3,0)*VLOOKUP('Données projet'!$B$9,Paramètres!$A$1:$I$89,5,0)</f>
        <v>6.3550942286383359E-13</v>
      </c>
      <c r="P192" s="14">
        <f t="shared" si="141"/>
        <v>7.6982260417614606E-12</v>
      </c>
      <c r="Q192" s="22">
        <f t="shared" si="162"/>
        <v>1.4514589267555721E-11</v>
      </c>
      <c r="R192" s="62">
        <f t="shared" si="109"/>
        <v>293.33333333334781</v>
      </c>
      <c r="S192" s="62">
        <f ca="1">AVERAGE(OFFSET($R$3,0,0,'Données projet'!$E$9+1,1))-AVERAGE(OFFSET($H$3,0,0,'Données projet'!$E$9+1,1))</f>
        <v>460.40450534123659</v>
      </c>
      <c r="T192" s="62">
        <f t="shared" si="142"/>
        <v>467.77477728479198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0.53891131766724576</v>
      </c>
      <c r="AA192" s="23">
        <f>EXP(-LN(2)/25)*AA191+(1-EXP(-LN(2)/25))/(LN(2)/25)*Calculateur!V192*Calculateur!X192*VLOOKUP('Données projet'!$B$9,Paramètres!$A$1:$I$89,3,0)*0.475*44/12</f>
        <v>0.5389274451387619</v>
      </c>
      <c r="AB192" s="23">
        <f>EXP(-LN(2)/2)*AB191+(1-EXP(-LN(2)/2))/(LN(2)/2)*V192*Y192*VLOOKUP('Données projet'!$B$9,Paramètres!$A$1:$I$89,3,0)*0.475*44/12</f>
        <v>4.7054330885778368E-23</v>
      </c>
      <c r="AC192" s="24">
        <f t="shared" si="163"/>
        <v>1.0778387628060075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-5.6843418860808015E-13</v>
      </c>
      <c r="AJ192" s="14">
        <f>AI192*VLOOKUP('Données projet'!$B$10,Paramètres!$A$1:$I$89,3,0)*VLOOKUP('Données projet'!$B$10,Paramètres!$A$1:$I$89,5,0)</f>
        <v>-5.1431925385259092E-13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321.03881567735544</v>
      </c>
      <c r="AO192" s="62">
        <f t="shared" si="144"/>
        <v>234.87694492493506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0.1033284509907446</v>
      </c>
      <c r="AV192" s="23">
        <f>EXP(-LN(2)/25)*AV191+(1-EXP(-LN(2)/25))/(LN(2)/25)*Calculateur!AQ192*Calculateur!AS192*VLOOKUP('Données projet'!$B$10,Paramètres!$A$1:$I$89,3,0)*0.475*44/12</f>
        <v>0.16503085338149351</v>
      </c>
      <c r="AW192" s="23">
        <f>EXP(-LN(2)/2)*AW191+(1-EXP(-LN(2)/2))/(LN(2)/2)*AQ192*AT192*VLOOKUP('Données projet'!$B$10,Paramètres!$A$1:$I$89,3,0)*0.475*44/12</f>
        <v>2.5431768947326044E-23</v>
      </c>
      <c r="AX192" s="23">
        <f t="shared" si="166"/>
        <v>0.26835930437223809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255.41017495879987</v>
      </c>
      <c r="BJ192" s="62">
        <f t="shared" si="146"/>
        <v>297.50513563712764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0.35796223599039023</v>
      </c>
      <c r="BQ192" s="23">
        <f>EXP(-LN(2)/25)*BQ191+(1-EXP(-LN(2)/25))/(LN(2)/25)*Calculateur!BL192*Calculateur!BN192*VLOOKUP('Données projet'!$B$11,Paramètres!$A$1:$I$89,3,0)*0.475*44/12</f>
        <v>0.33930021498978713</v>
      </c>
      <c r="BR192" s="23">
        <f>EXP(-LN(2)/2)*BR191+(1-EXP(-LN(2)/2))/(LN(2)/2)*BL192*BO192*VLOOKUP('Données projet'!$B$11,Paramètres!$A$1:$I$89,3,0)*0.475*44/12</f>
        <v>2.8544758399551148E-23</v>
      </c>
      <c r="BS192" s="24">
        <f t="shared" si="169"/>
        <v>0.69726245098017736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5.4683368944097308E-14</v>
      </c>
      <c r="CA192" s="14">
        <f t="shared" si="170"/>
        <v>8.8129432816788268E-13</v>
      </c>
      <c r="CB192" s="22">
        <f t="shared" si="171"/>
        <v>1.6301611558033651E-12</v>
      </c>
      <c r="CC192" s="62">
        <f t="shared" si="119"/>
        <v>293.33333333333496</v>
      </c>
      <c r="CD192" s="62">
        <f ca="1">AVERAGE(OFFSET($CC$3,0,0,'Données projet'!$E$12+1,1))-AVERAGE(OFFSET($H$3,0,0,'Données projet'!$E$12+1,1))</f>
        <v>409.97612835032567</v>
      </c>
      <c r="CE192" s="62">
        <f t="shared" si="148"/>
        <v>411.87876448092288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1.3116256485186586</v>
      </c>
      <c r="CL192" s="23">
        <f>EXP(-LN(2)/25)*CL191+(1-EXP(-LN(2)/25))/(LN(2)/25)*Calculateur!CG192*Calculateur!CI192*VLOOKUP('Données projet'!$B$12,Paramètres!$A$1:$I$89,3,0)*0.475*44/12</f>
        <v>0.63416640359315479</v>
      </c>
      <c r="CM192" s="23">
        <f>EXP(-LN(2)/2)*CM191+(1-EXP(-LN(2)/2))/(LN(2)/2)*CG192*CJ192*VLOOKUP('Données projet'!$B$12,Paramètres!$A$1:$I$89,3,0)*0.475*44/12</f>
        <v>1.138512964070934E-21</v>
      </c>
      <c r="CN192" s="24">
        <f t="shared" si="172"/>
        <v>1.9457920521118135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-4.5474735088646412E-13</v>
      </c>
      <c r="CU192" s="18">
        <f>CT192*VLOOKUP('Données projet'!$B$13,Paramètres!$A$1:$I$89,3,0)*VLOOKUP('Données projet'!$B$13,Paramètres!$A$1:$I$89,5,0)</f>
        <v>-2.7193891583010558E-13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463.3255103386889</v>
      </c>
      <c r="CZ192" s="62">
        <f t="shared" si="150"/>
        <v>474.73210558736127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0.21440446426507748</v>
      </c>
      <c r="DG192" s="23">
        <f>EXP(-LN(2)/25)*DG191+(1-EXP(-LN(2)/25))/(LN(2)/25)*Calculateur!DB192*Calculateur!DD192*VLOOKUP('Données projet'!$B$13,Paramètres!$A$1:$I$89,3,0)*0.475*44/12</f>
        <v>0.42199257853319744</v>
      </c>
      <c r="DH192" s="23">
        <f>EXP(-LN(2)/2)*DH191+(1-EXP(-LN(2)/2))/(LN(2)/2)*DB192*DE192*VLOOKUP('Données projet'!$B$13,Paramètres!$A$1:$I$89,3,0)*0.475*44/12</f>
        <v>5.1025283777277103E-23</v>
      </c>
      <c r="DI192" s="24">
        <f t="shared" si="175"/>
        <v>0.63639704279827491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-1.1368683772161603E-13</v>
      </c>
      <c r="DP192" s="18">
        <f>DO192*VLOOKUP('Données projet'!$B$14,Paramètres!$A$1:$I$89,3,0)*VLOOKUP('Données projet'!$B$14,Paramètres!$A$1:$I$89,5,0)</f>
        <v>-5.3205440053716299E-14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215.23235148064941</v>
      </c>
      <c r="DU192" s="62">
        <f t="shared" si="152"/>
        <v>184.07239726900434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0.13447554535085429</v>
      </c>
      <c r="EB192" s="23">
        <f>EXP(-LN(2)/25)*EB191+(1-EXP(-LN(2)/25))/(LN(2)/25)*Calculateur!DW192*Calculateur!DY192*VLOOKUP('Données projet'!$B$14,Paramètres!$A$1:$I$89,3,0)*0.475*44/12</f>
        <v>9.5635930959643331E-2</v>
      </c>
      <c r="EC192" s="23">
        <f>EXP(-LN(2)/2)*EC191+(1-EXP(-LN(2)/2))/(LN(2)/2)*DW192*DZ192*VLOOKUP('Données projet'!$B$14,Paramètres!$A$1:$I$89,3,0)*0.475*44/12</f>
        <v>1.1501778769612849E-23</v>
      </c>
      <c r="ED192" s="24">
        <f t="shared" si="178"/>
        <v>0.23011147631049761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662.22238362696817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1.1368683772161603E-12</v>
      </c>
      <c r="O193" s="14">
        <f>N193*VLOOKUP('Données projet'!$B$9,Paramètres!$A$1:$I$89,3,0)*VLOOKUP('Données projet'!$B$9,Paramètres!$A$1:$I$89,5,0)</f>
        <v>6.3550942286383359E-13</v>
      </c>
      <c r="P193" s="14">
        <f t="shared" si="141"/>
        <v>7.6982260417614606E-12</v>
      </c>
      <c r="Q193" s="22">
        <f t="shared" si="162"/>
        <v>1.4514589267555721E-11</v>
      </c>
      <c r="R193" s="62">
        <f t="shared" si="109"/>
        <v>293.33333333334781</v>
      </c>
      <c r="S193" s="62">
        <f ca="1">AVERAGE(OFFSET($R$3,0,0,'Données projet'!$E$9+1,1))-AVERAGE(OFFSET($H$3,0,0,'Données projet'!$E$9+1,1))</f>
        <v>460.40450534123659</v>
      </c>
      <c r="T193" s="62">
        <f t="shared" si="142"/>
        <v>467.77477728479198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0.5283435954312381</v>
      </c>
      <c r="AA193" s="23">
        <f>EXP(-LN(2)/25)*AA192+(1-EXP(-LN(2)/25))/(LN(2)/25)*Calculateur!V193*Calculateur!X193*VLOOKUP('Données projet'!$B$9,Paramètres!$A$1:$I$89,3,0)*0.475*44/12</f>
        <v>0.5241904458104798</v>
      </c>
      <c r="AB193" s="23">
        <f>EXP(-LN(2)/2)*AB192+(1-EXP(-LN(2)/2))/(LN(2)/2)*V193*Y193*VLOOKUP('Données projet'!$B$9,Paramètres!$A$1:$I$89,3,0)*0.475*44/12</f>
        <v>3.3272436453529489E-23</v>
      </c>
      <c r="AC193" s="24">
        <f t="shared" si="163"/>
        <v>1.0525340412417179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-5.6843418860808015E-13</v>
      </c>
      <c r="AJ193" s="14">
        <f>AI193*VLOOKUP('Données projet'!$B$10,Paramètres!$A$1:$I$89,3,0)*VLOOKUP('Données projet'!$B$10,Paramètres!$A$1:$I$89,5,0)</f>
        <v>-5.1431925385259092E-13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321.03881567735544</v>
      </c>
      <c r="AO193" s="62">
        <f t="shared" si="144"/>
        <v>234.87694492493506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0.10130224309094808</v>
      </c>
      <c r="AV193" s="23">
        <f>EXP(-LN(2)/25)*AV192+(1-EXP(-LN(2)/25))/(LN(2)/25)*Calculateur!AQ193*Calculateur!AS193*VLOOKUP('Données projet'!$B$10,Paramètres!$A$1:$I$89,3,0)*0.475*44/12</f>
        <v>0.16051807601718118</v>
      </c>
      <c r="AW193" s="23">
        <f>EXP(-LN(2)/2)*AW192+(1-EXP(-LN(2)/2))/(LN(2)/2)*AQ193*AT193*VLOOKUP('Données projet'!$B$10,Paramètres!$A$1:$I$89,3,0)*0.475*44/12</f>
        <v>1.7982976280223711E-23</v>
      </c>
      <c r="AX193" s="23">
        <f t="shared" si="166"/>
        <v>0.26182031910812925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255.41017495879987</v>
      </c>
      <c r="BJ193" s="62">
        <f t="shared" si="146"/>
        <v>297.50513563712764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0.35094281487802381</v>
      </c>
      <c r="BQ193" s="23">
        <f>EXP(-LN(2)/25)*BQ192+(1-EXP(-LN(2)/25))/(LN(2)/25)*Calculateur!BL193*Calculateur!BN193*VLOOKUP('Données projet'!$B$11,Paramètres!$A$1:$I$89,3,0)*0.475*44/12</f>
        <v>0.33002203276786857</v>
      </c>
      <c r="BR193" s="23">
        <f>EXP(-LN(2)/2)*BR192+(1-EXP(-LN(2)/2))/(LN(2)/2)*BL193*BO193*VLOOKUP('Données projet'!$B$11,Paramètres!$A$1:$I$89,3,0)*0.475*44/12</f>
        <v>2.0184192231654279E-23</v>
      </c>
      <c r="BS193" s="24">
        <f t="shared" si="169"/>
        <v>0.68096484764589238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5.4683368944097308E-14</v>
      </c>
      <c r="CA193" s="14">
        <f t="shared" si="170"/>
        <v>8.8129432816788268E-13</v>
      </c>
      <c r="CB193" s="22">
        <f t="shared" si="171"/>
        <v>1.6301611558033651E-12</v>
      </c>
      <c r="CC193" s="62">
        <f t="shared" si="119"/>
        <v>293.33333333333496</v>
      </c>
      <c r="CD193" s="62">
        <f ca="1">AVERAGE(OFFSET($CC$3,0,0,'Données projet'!$E$12+1,1))-AVERAGE(OFFSET($H$3,0,0,'Données projet'!$E$12+1,1))</f>
        <v>409.97612835032567</v>
      </c>
      <c r="CE193" s="62">
        <f t="shared" si="148"/>
        <v>411.87876448092288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1.2859054695638585</v>
      </c>
      <c r="CL193" s="23">
        <f>EXP(-LN(2)/25)*CL192+(1-EXP(-LN(2)/25))/(LN(2)/25)*Calculateur!CG193*Calculateur!CI193*VLOOKUP('Données projet'!$B$12,Paramètres!$A$1:$I$89,3,0)*0.475*44/12</f>
        <v>0.61682508993753826</v>
      </c>
      <c r="CM193" s="23">
        <f>EXP(-LN(2)/2)*CM192+(1-EXP(-LN(2)/2))/(LN(2)/2)*CG193*CJ193*VLOOKUP('Données projet'!$B$12,Paramètres!$A$1:$I$89,3,0)*0.475*44/12</f>
        <v>8.0505023736335356E-22</v>
      </c>
      <c r="CN193" s="24">
        <f t="shared" si="172"/>
        <v>1.9027305595013968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-4.5474735088646412E-13</v>
      </c>
      <c r="CU193" s="18">
        <f>CT193*VLOOKUP('Données projet'!$B$13,Paramètres!$A$1:$I$89,3,0)*VLOOKUP('Données projet'!$B$13,Paramètres!$A$1:$I$89,5,0)</f>
        <v>-2.7193891583010558E-13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463.3255103386889</v>
      </c>
      <c r="CZ193" s="62">
        <f t="shared" si="150"/>
        <v>474.73210558736127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0.21020012349464967</v>
      </c>
      <c r="DG193" s="23">
        <f>EXP(-LN(2)/25)*DG192+(1-EXP(-LN(2)/25))/(LN(2)/25)*Calculateur!DB193*Calculateur!DD193*VLOOKUP('Données projet'!$B$13,Paramètres!$A$1:$I$89,3,0)*0.475*44/12</f>
        <v>0.41045316928158193</v>
      </c>
      <c r="DH193" s="23">
        <f>EXP(-LN(2)/2)*DH192+(1-EXP(-LN(2)/2))/(LN(2)/2)*DB193*DE193*VLOOKUP('Données projet'!$B$13,Paramètres!$A$1:$I$89,3,0)*0.475*44/12</f>
        <v>3.6080324170880573E-23</v>
      </c>
      <c r="DI193" s="24">
        <f t="shared" si="175"/>
        <v>0.6206532927762316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-1.1368683772161603E-13</v>
      </c>
      <c r="DP193" s="18">
        <f>DO193*VLOOKUP('Données projet'!$B$14,Paramètres!$A$1:$I$89,3,0)*VLOOKUP('Données projet'!$B$14,Paramètres!$A$1:$I$89,5,0)</f>
        <v>-5.3205440053716299E-14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215.23235148064941</v>
      </c>
      <c r="DU193" s="62">
        <f t="shared" si="152"/>
        <v>184.07239726900434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0.13183856192850771</v>
      </c>
      <c r="EB193" s="23">
        <f>EXP(-LN(2)/25)*EB192+(1-EXP(-LN(2)/25))/(LN(2)/25)*Calculateur!DW193*Calculateur!DY193*VLOOKUP('Données projet'!$B$14,Paramètres!$A$1:$I$89,3,0)*0.475*44/12</f>
        <v>9.3020761398276849E-2</v>
      </c>
      <c r="EC193" s="23">
        <f>EXP(-LN(2)/2)*EC192+(1-EXP(-LN(2)/2))/(LN(2)/2)*DW193*DZ193*VLOOKUP('Données projet'!$B$14,Paramètres!$A$1:$I$89,3,0)*0.475*44/12</f>
        <v>8.1329857637007102E-24</v>
      </c>
      <c r="ED193" s="24">
        <f t="shared" si="178"/>
        <v>0.22485932332678454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664.11807326266057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1.1368683772161603E-12</v>
      </c>
      <c r="O194" s="14">
        <f>N194*VLOOKUP('Données projet'!$B$9,Paramètres!$A$1:$I$89,3,0)*VLOOKUP('Données projet'!$B$9,Paramètres!$A$1:$I$89,5,0)</f>
        <v>6.3550942286383359E-13</v>
      </c>
      <c r="P194" s="14">
        <f t="shared" si="141"/>
        <v>7.6982260417614606E-12</v>
      </c>
      <c r="Q194" s="22">
        <f t="shared" si="162"/>
        <v>1.4514589267555721E-11</v>
      </c>
      <c r="R194" s="62">
        <f t="shared" si="109"/>
        <v>293.33333333334781</v>
      </c>
      <c r="S194" s="62">
        <f ca="1">AVERAGE(OFFSET($R$3,0,0,'Données projet'!$E$9+1,1))-AVERAGE(OFFSET($H$3,0,0,'Données projet'!$E$9+1,1))</f>
        <v>460.40450534123659</v>
      </c>
      <c r="T194" s="62">
        <f t="shared" si="142"/>
        <v>467.77477728479198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0.51798309978260437</v>
      </c>
      <c r="AA194" s="23">
        <f>EXP(-LN(2)/25)*AA193+(1-EXP(-LN(2)/25))/(LN(2)/25)*Calculateur!V194*Calculateur!X194*VLOOKUP('Données projet'!$B$9,Paramètres!$A$1:$I$89,3,0)*0.475*44/12</f>
        <v>0.50985643050381468</v>
      </c>
      <c r="AB194" s="23">
        <f>EXP(-LN(2)/2)*AB193+(1-EXP(-LN(2)/2))/(LN(2)/2)*V194*Y194*VLOOKUP('Données projet'!$B$9,Paramètres!$A$1:$I$89,3,0)*0.475*44/12</f>
        <v>2.3527165442889184E-23</v>
      </c>
      <c r="AC194" s="24">
        <f t="shared" si="163"/>
        <v>1.0278395302864189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-5.6843418860808015E-13</v>
      </c>
      <c r="AJ194" s="14">
        <f>AI194*VLOOKUP('Données projet'!$B$10,Paramètres!$A$1:$I$89,3,0)*VLOOKUP('Données projet'!$B$10,Paramètres!$A$1:$I$89,5,0)</f>
        <v>-5.1431925385259092E-13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321.03881567735544</v>
      </c>
      <c r="AO194" s="62">
        <f t="shared" si="144"/>
        <v>234.87694492493506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9.9315767892201798E-2</v>
      </c>
      <c r="AV194" s="23">
        <f>EXP(-LN(2)/25)*AV193+(1-EXP(-LN(2)/25))/(LN(2)/25)*Calculateur!AQ194*Calculateur!AS194*VLOOKUP('Données projet'!$B$10,Paramètres!$A$1:$I$89,3,0)*0.475*44/12</f>
        <v>0.15612870078721261</v>
      </c>
      <c r="AW194" s="23">
        <f>EXP(-LN(2)/2)*AW193+(1-EXP(-LN(2)/2))/(LN(2)/2)*AQ194*AT194*VLOOKUP('Données projet'!$B$10,Paramètres!$A$1:$I$89,3,0)*0.475*44/12</f>
        <v>1.2715884473663022E-23</v>
      </c>
      <c r="AX194" s="23">
        <f t="shared" si="166"/>
        <v>0.25544446867941439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255.41017495879987</v>
      </c>
      <c r="BJ194" s="62">
        <f t="shared" si="146"/>
        <v>297.50513563712764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0.34406104033224677</v>
      </c>
      <c r="BQ194" s="23">
        <f>EXP(-LN(2)/25)*BQ193+(1-EXP(-LN(2)/25))/(LN(2)/25)*Calculateur!BL194*Calculateur!BN194*VLOOKUP('Données projet'!$B$11,Paramètres!$A$1:$I$89,3,0)*0.475*44/12</f>
        <v>0.32099756292672676</v>
      </c>
      <c r="BR194" s="23">
        <f>EXP(-LN(2)/2)*BR193+(1-EXP(-LN(2)/2))/(LN(2)/2)*BL194*BO194*VLOOKUP('Données projet'!$B$11,Paramètres!$A$1:$I$89,3,0)*0.475*44/12</f>
        <v>1.4272379199775574E-23</v>
      </c>
      <c r="BS194" s="24">
        <f t="shared" si="169"/>
        <v>0.66505860325897359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5.4683368944097308E-14</v>
      </c>
      <c r="CA194" s="14">
        <f t="shared" si="170"/>
        <v>8.8129432816788268E-13</v>
      </c>
      <c r="CB194" s="22">
        <f t="shared" si="171"/>
        <v>1.6301611558033651E-12</v>
      </c>
      <c r="CC194" s="62">
        <f t="shared" si="119"/>
        <v>293.33333333333496</v>
      </c>
      <c r="CD194" s="62">
        <f ca="1">AVERAGE(OFFSET($CC$3,0,0,'Données projet'!$E$12+1,1))-AVERAGE(OFFSET($H$3,0,0,'Données projet'!$E$12+1,1))</f>
        <v>409.97612835032567</v>
      </c>
      <c r="CE194" s="62">
        <f t="shared" si="148"/>
        <v>411.87876448092288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1.260689647630602</v>
      </c>
      <c r="CL194" s="23">
        <f>EXP(-LN(2)/25)*CL193+(1-EXP(-LN(2)/25))/(LN(2)/25)*Calculateur!CG194*Calculateur!CI194*VLOOKUP('Données projet'!$B$12,Paramètres!$A$1:$I$89,3,0)*0.475*44/12</f>
        <v>0.59995797541577456</v>
      </c>
      <c r="CM194" s="23">
        <f>EXP(-LN(2)/2)*CM193+(1-EXP(-LN(2)/2))/(LN(2)/2)*CG194*CJ194*VLOOKUP('Données projet'!$B$12,Paramètres!$A$1:$I$89,3,0)*0.475*44/12</f>
        <v>5.6925648203546699E-22</v>
      </c>
      <c r="CN194" s="24">
        <f t="shared" si="172"/>
        <v>1.8606476230463764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-4.5474735088646412E-13</v>
      </c>
      <c r="CU194" s="18">
        <f>CT194*VLOOKUP('Données projet'!$B$13,Paramètres!$A$1:$I$89,3,0)*VLOOKUP('Données projet'!$B$13,Paramètres!$A$1:$I$89,5,0)</f>
        <v>-2.7193891583010558E-13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463.3255103386889</v>
      </c>
      <c r="CZ194" s="62">
        <f t="shared" si="150"/>
        <v>474.73210558736127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0.2060782272823353</v>
      </c>
      <c r="DG194" s="23">
        <f>EXP(-LN(2)/25)*DG193+(1-EXP(-LN(2)/25))/(LN(2)/25)*Calculateur!DB194*Calculateur!DD194*VLOOKUP('Données projet'!$B$13,Paramètres!$A$1:$I$89,3,0)*0.475*44/12</f>
        <v>0.39922930578278298</v>
      </c>
      <c r="DH194" s="23">
        <f>EXP(-LN(2)/2)*DH193+(1-EXP(-LN(2)/2))/(LN(2)/2)*DB194*DE194*VLOOKUP('Données projet'!$B$13,Paramètres!$A$1:$I$89,3,0)*0.475*44/12</f>
        <v>2.5512641888638551E-23</v>
      </c>
      <c r="DI194" s="24">
        <f t="shared" si="175"/>
        <v>0.60530753306511831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-1.1368683772161603E-13</v>
      </c>
      <c r="DP194" s="18">
        <f>DO194*VLOOKUP('Données projet'!$B$14,Paramètres!$A$1:$I$89,3,0)*VLOOKUP('Données projet'!$B$14,Paramètres!$A$1:$I$89,5,0)</f>
        <v>-5.3205440053716299E-14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215.23235148064941</v>
      </c>
      <c r="DU194" s="62">
        <f t="shared" si="152"/>
        <v>184.07239726900434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0.12925328814267226</v>
      </c>
      <c r="EB194" s="23">
        <f>EXP(-LN(2)/25)*EB193+(1-EXP(-LN(2)/25))/(LN(2)/25)*Calculateur!DW194*Calculateur!DY194*VLOOKUP('Données projet'!$B$14,Paramètres!$A$1:$I$89,3,0)*0.475*44/12</f>
        <v>9.0477103786091723E-2</v>
      </c>
      <c r="EC194" s="23">
        <f>EXP(-LN(2)/2)*EC193+(1-EXP(-LN(2)/2))/(LN(2)/2)*DW194*DZ194*VLOOKUP('Données projet'!$B$14,Paramètres!$A$1:$I$89,3,0)*0.475*44/12</f>
        <v>5.7508893848064243E-24</v>
      </c>
      <c r="ED194" s="24">
        <f t="shared" si="178"/>
        <v>0.21973039192876398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666.01355149182064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1.1368683772161603E-12</v>
      </c>
      <c r="O195" s="14">
        <f>N195*VLOOKUP('Données projet'!$B$9,Paramètres!$A$1:$I$89,3,0)*VLOOKUP('Données projet'!$B$9,Paramètres!$A$1:$I$89,5,0)</f>
        <v>6.3550942286383359E-13</v>
      </c>
      <c r="P195" s="14">
        <f t="shared" si="141"/>
        <v>7.6982260417614606E-12</v>
      </c>
      <c r="Q195" s="22">
        <f t="shared" si="162"/>
        <v>1.4514589267555721E-11</v>
      </c>
      <c r="R195" s="62">
        <f t="shared" ref="R195:R203" si="191">Q195+(I195+J195)*44/12</f>
        <v>293.33333333334781</v>
      </c>
      <c r="S195" s="62">
        <f ca="1">AVERAGE(OFFSET($R$3,0,0,'Données projet'!$E$9+1,1))-AVERAGE(OFFSET($H$3,0,0,'Données projet'!$E$9+1,1))</f>
        <v>460.40450534123659</v>
      </c>
      <c r="T195" s="62">
        <f t="shared" si="142"/>
        <v>467.77477728479198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0.507825767134362</v>
      </c>
      <c r="AA195" s="23">
        <f>EXP(-LN(2)/25)*AA194+(1-EXP(-LN(2)/25))/(LN(2)/25)*Calculateur!V195*Calculateur!X195*VLOOKUP('Données projet'!$B$9,Paramètres!$A$1:$I$89,3,0)*0.475*44/12</f>
        <v>0.49591437959950346</v>
      </c>
      <c r="AB195" s="23">
        <f>EXP(-LN(2)/2)*AB194+(1-EXP(-LN(2)/2))/(LN(2)/2)*V195*Y195*VLOOKUP('Données projet'!$B$9,Paramètres!$A$1:$I$89,3,0)*0.475*44/12</f>
        <v>1.6636218226764744E-23</v>
      </c>
      <c r="AC195" s="24">
        <f t="shared" si="163"/>
        <v>1.0037401467338656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-5.6843418860808015E-13</v>
      </c>
      <c r="AJ195" s="14">
        <f>AI195*VLOOKUP('Données projet'!$B$10,Paramètres!$A$1:$I$89,3,0)*VLOOKUP('Données projet'!$B$10,Paramètres!$A$1:$I$89,5,0)</f>
        <v>-5.1431925385259092E-13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321.03881567735544</v>
      </c>
      <c r="AO195" s="62">
        <f t="shared" si="144"/>
        <v>234.87694492493506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9.7368246260472691E-2</v>
      </c>
      <c r="AV195" s="23">
        <f>EXP(-LN(2)/25)*AV194+(1-EXP(-LN(2)/25))/(LN(2)/25)*Calculateur!AQ195*Calculateur!AS195*VLOOKUP('Données projet'!$B$10,Paramètres!$A$1:$I$89,3,0)*0.475*44/12</f>
        <v>0.15185935325373473</v>
      </c>
      <c r="AW195" s="23">
        <f>EXP(-LN(2)/2)*AW194+(1-EXP(-LN(2)/2))/(LN(2)/2)*AQ195*AT195*VLOOKUP('Données projet'!$B$10,Paramètres!$A$1:$I$89,3,0)*0.475*44/12</f>
        <v>8.9914881401118556E-24</v>
      </c>
      <c r="AX195" s="23">
        <f t="shared" si="166"/>
        <v>0.24922759951420742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255.41017495879987</v>
      </c>
      <c r="BJ195" s="62">
        <f t="shared" si="146"/>
        <v>297.50513563712764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0.33731421318784438</v>
      </c>
      <c r="BQ195" s="23">
        <f>EXP(-LN(2)/25)*BQ194+(1-EXP(-LN(2)/25))/(LN(2)/25)*Calculateur!BL195*Calculateur!BN195*VLOOKUP('Données projet'!$B$11,Paramètres!$A$1:$I$89,3,0)*0.475*44/12</f>
        <v>0.31221986768796722</v>
      </c>
      <c r="BR195" s="23">
        <f>EXP(-LN(2)/2)*BR194+(1-EXP(-LN(2)/2))/(LN(2)/2)*BL195*BO195*VLOOKUP('Données projet'!$B$11,Paramètres!$A$1:$I$89,3,0)*0.475*44/12</f>
        <v>1.0092096115827139E-23</v>
      </c>
      <c r="BS195" s="24">
        <f t="shared" si="169"/>
        <v>0.64953408087581166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5.4683368944097308E-14</v>
      </c>
      <c r="CA195" s="14">
        <f t="shared" si="170"/>
        <v>8.8129432816788268E-13</v>
      </c>
      <c r="CB195" s="22">
        <f t="shared" si="171"/>
        <v>1.6301611558033651E-12</v>
      </c>
      <c r="CC195" s="62">
        <f t="shared" si="119"/>
        <v>293.33333333333496</v>
      </c>
      <c r="CD195" s="62">
        <f ca="1">AVERAGE(OFFSET($CC$3,0,0,'Données projet'!$E$12+1,1))-AVERAGE(OFFSET($H$3,0,0,'Données projet'!$E$12+1,1))</f>
        <v>409.97612835032567</v>
      </c>
      <c r="CE195" s="62">
        <f t="shared" si="148"/>
        <v>411.87876448092288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1.2359682925853239</v>
      </c>
      <c r="CL195" s="23">
        <f>EXP(-LN(2)/25)*CL194+(1-EXP(-LN(2)/25))/(LN(2)/25)*Calculateur!CG195*Calculateur!CI195*VLOOKUP('Données projet'!$B$12,Paramètres!$A$1:$I$89,3,0)*0.475*44/12</f>
        <v>0.58355209302761146</v>
      </c>
      <c r="CM195" s="23">
        <f>EXP(-LN(2)/2)*CM194+(1-EXP(-LN(2)/2))/(LN(2)/2)*CG195*CJ195*VLOOKUP('Données projet'!$B$12,Paramètres!$A$1:$I$89,3,0)*0.475*44/12</f>
        <v>4.0252511868167678E-22</v>
      </c>
      <c r="CN195" s="24">
        <f t="shared" si="172"/>
        <v>1.8195203856129354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-4.5474735088646412E-13</v>
      </c>
      <c r="CU195" s="18">
        <f>CT195*VLOOKUP('Données projet'!$B$13,Paramètres!$A$1:$I$89,3,0)*VLOOKUP('Données projet'!$B$13,Paramètres!$A$1:$I$89,5,0)</f>
        <v>-2.7193891583010558E-13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463.3255103386889</v>
      </c>
      <c r="CZ195" s="62">
        <f t="shared" si="150"/>
        <v>474.73210558736127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0.20203715894063595</v>
      </c>
      <c r="DG195" s="23">
        <f>EXP(-LN(2)/25)*DG194+(1-EXP(-LN(2)/25))/(LN(2)/25)*Calculateur!DB195*Calculateur!DD195*VLOOKUP('Données projet'!$B$13,Paramètres!$A$1:$I$89,3,0)*0.475*44/12</f>
        <v>0.38831235942159603</v>
      </c>
      <c r="DH195" s="23">
        <f>EXP(-LN(2)/2)*DH194+(1-EXP(-LN(2)/2))/(LN(2)/2)*DB195*DE195*VLOOKUP('Données projet'!$B$13,Paramètres!$A$1:$I$89,3,0)*0.475*44/12</f>
        <v>1.8040162085440287E-23</v>
      </c>
      <c r="DI195" s="24">
        <f t="shared" si="175"/>
        <v>0.59034951836223204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-1.1368683772161603E-13</v>
      </c>
      <c r="DP195" s="18">
        <f>DO195*VLOOKUP('Données projet'!$B$14,Paramètres!$A$1:$I$89,3,0)*VLOOKUP('Données projet'!$B$14,Paramètres!$A$1:$I$89,5,0)</f>
        <v>-5.3205440053716299E-14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215.23235148064941</v>
      </c>
      <c r="DU195" s="62">
        <f t="shared" si="152"/>
        <v>184.07239726900434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0.12671870999891574</v>
      </c>
      <c r="EB195" s="23">
        <f>EXP(-LN(2)/25)*EB194+(1-EXP(-LN(2)/25))/(LN(2)/25)*Calculateur!DW195*Calculateur!DY195*VLOOKUP('Données projet'!$B$14,Paramètres!$A$1:$I$89,3,0)*0.475*44/12</f>
        <v>8.8003002625076945E-2</v>
      </c>
      <c r="EC195" s="23">
        <f>EXP(-LN(2)/2)*EC194+(1-EXP(-LN(2)/2))/(LN(2)/2)*DW195*DZ195*VLOOKUP('Données projet'!$B$14,Paramètres!$A$1:$I$89,3,0)*0.475*44/12</f>
        <v>4.0664928818503551E-24</v>
      </c>
      <c r="ED195" s="24">
        <f t="shared" si="178"/>
        <v>0.2147217126239927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667.90881954332758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1.1368683772161603E-12</v>
      </c>
      <c r="O196" s="14">
        <f>N196*VLOOKUP('Données projet'!$B$9,Paramètres!$A$1:$I$89,3,0)*VLOOKUP('Données projet'!$B$9,Paramètres!$A$1:$I$89,5,0)</f>
        <v>6.3550942286383359E-13</v>
      </c>
      <c r="P196" s="14">
        <f t="shared" si="141"/>
        <v>7.6982260417614606E-12</v>
      </c>
      <c r="Q196" s="22">
        <f t="shared" si="162"/>
        <v>1.4514589267555721E-11</v>
      </c>
      <c r="R196" s="62">
        <f t="shared" si="191"/>
        <v>293.33333333334781</v>
      </c>
      <c r="S196" s="62">
        <f ca="1">AVERAGE(OFFSET($R$3,0,0,'Données projet'!$E$9+1,1))-AVERAGE(OFFSET($H$3,0,0,'Données projet'!$E$9+1,1))</f>
        <v>460.40450534123659</v>
      </c>
      <c r="T196" s="62">
        <f t="shared" si="142"/>
        <v>467.77477728479198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0.49786761358399051</v>
      </c>
      <c r="AA196" s="23">
        <f>EXP(-LN(2)/25)*AA195+(1-EXP(-LN(2)/25))/(LN(2)/25)*Calculateur!V196*Calculateur!X196*VLOOKUP('Données projet'!$B$9,Paramètres!$A$1:$I$89,3,0)*0.475*44/12</f>
        <v>0.48235357481035124</v>
      </c>
      <c r="AB196" s="23">
        <f>EXP(-LN(2)/2)*AB195+(1-EXP(-LN(2)/2))/(LN(2)/2)*V196*Y196*VLOOKUP('Données projet'!$B$9,Paramètres!$A$1:$I$89,3,0)*0.475*44/12</f>
        <v>1.1763582721444592E-23</v>
      </c>
      <c r="AC196" s="24">
        <f t="shared" si="163"/>
        <v>0.98022118839434169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-5.6843418860808015E-13</v>
      </c>
      <c r="AJ196" s="14">
        <f>AI196*VLOOKUP('Données projet'!$B$10,Paramètres!$A$1:$I$89,3,0)*VLOOKUP('Données projet'!$B$10,Paramètres!$A$1:$I$89,5,0)</f>
        <v>-5.1431925385259092E-13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321.03881567735544</v>
      </c>
      <c r="AO196" s="62">
        <f t="shared" si="144"/>
        <v>234.87694492493506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9.545891434007088E-2</v>
      </c>
      <c r="AV196" s="23">
        <f>EXP(-LN(2)/25)*AV195+(1-EXP(-LN(2)/25))/(LN(2)/25)*Calculateur!AQ196*Calculateur!AS196*VLOOKUP('Données projet'!$B$10,Paramètres!$A$1:$I$89,3,0)*0.475*44/12</f>
        <v>0.14770675125307506</v>
      </c>
      <c r="AW196" s="23">
        <f>EXP(-LN(2)/2)*AW195+(1-EXP(-LN(2)/2))/(LN(2)/2)*AQ196*AT196*VLOOKUP('Données projet'!$B$10,Paramètres!$A$1:$I$89,3,0)*0.475*44/12</f>
        <v>6.3579422368315111E-24</v>
      </c>
      <c r="AX196" s="23">
        <f t="shared" si="166"/>
        <v>0.24316566559314595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255.41017495879987</v>
      </c>
      <c r="BJ196" s="62">
        <f t="shared" si="146"/>
        <v>297.50513563712764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0.3306996872085855</v>
      </c>
      <c r="BQ196" s="23">
        <f>EXP(-LN(2)/25)*BQ195+(1-EXP(-LN(2)/25))/(LN(2)/25)*Calculateur!BL196*Calculateur!BN196*VLOOKUP('Données projet'!$B$11,Paramètres!$A$1:$I$89,3,0)*0.475*44/12</f>
        <v>0.30368219898711052</v>
      </c>
      <c r="BR196" s="23">
        <f>EXP(-LN(2)/2)*BR195+(1-EXP(-LN(2)/2))/(LN(2)/2)*BL196*BO196*VLOOKUP('Données projet'!$B$11,Paramètres!$A$1:$I$89,3,0)*0.475*44/12</f>
        <v>7.1361895998877871E-24</v>
      </c>
      <c r="BS196" s="24">
        <f t="shared" si="169"/>
        <v>0.63438188619569602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5.4683368944097308E-14</v>
      </c>
      <c r="CA196" s="14">
        <f t="shared" si="170"/>
        <v>8.8129432816788268E-13</v>
      </c>
      <c r="CB196" s="22">
        <f t="shared" si="171"/>
        <v>1.6301611558033651E-12</v>
      </c>
      <c r="CC196" s="62">
        <f t="shared" ref="CC196:CC203" si="195">CB196+(BT196+BU196)*44/12</f>
        <v>293.33333333333496</v>
      </c>
      <c r="CD196" s="62">
        <f ca="1">AVERAGE(OFFSET($CC$3,0,0,'Données projet'!$E$12+1,1))-AVERAGE(OFFSET($H$3,0,0,'Données projet'!$E$12+1,1))</f>
        <v>409.97612835032567</v>
      </c>
      <c r="CE196" s="62">
        <f t="shared" si="148"/>
        <v>411.87876448092288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1.211731708233946</v>
      </c>
      <c r="CL196" s="23">
        <f>EXP(-LN(2)/25)*CL195+(1-EXP(-LN(2)/25))/(LN(2)/25)*Calculateur!CG196*Calculateur!CI196*VLOOKUP('Données projet'!$B$12,Paramètres!$A$1:$I$89,3,0)*0.475*44/12</f>
        <v>0.56759483035610059</v>
      </c>
      <c r="CM196" s="23">
        <f>EXP(-LN(2)/2)*CM195+(1-EXP(-LN(2)/2))/(LN(2)/2)*CG196*CJ196*VLOOKUP('Données projet'!$B$12,Paramètres!$A$1:$I$89,3,0)*0.475*44/12</f>
        <v>2.8462824101773349E-22</v>
      </c>
      <c r="CN196" s="24">
        <f t="shared" si="172"/>
        <v>1.7793265385900465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-4.5474735088646412E-13</v>
      </c>
      <c r="CU196" s="18">
        <f>CT196*VLOOKUP('Données projet'!$B$13,Paramètres!$A$1:$I$89,3,0)*VLOOKUP('Données projet'!$B$13,Paramètres!$A$1:$I$89,5,0)</f>
        <v>-2.7193891583010558E-13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463.3255103386889</v>
      </c>
      <c r="CZ196" s="62">
        <f t="shared" si="150"/>
        <v>474.73210558736127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0.19807533348430903</v>
      </c>
      <c r="DG196" s="23">
        <f>EXP(-LN(2)/25)*DG195+(1-EXP(-LN(2)/25))/(LN(2)/25)*Calculateur!DB196*Calculateur!DD196*VLOOKUP('Données projet'!$B$13,Paramètres!$A$1:$I$89,3,0)*0.475*44/12</f>
        <v>0.37769393753275299</v>
      </c>
      <c r="DH196" s="23">
        <f>EXP(-LN(2)/2)*DH195+(1-EXP(-LN(2)/2))/(LN(2)/2)*DB196*DE196*VLOOKUP('Données projet'!$B$13,Paramètres!$A$1:$I$89,3,0)*0.475*44/12</f>
        <v>1.2756320944319276E-23</v>
      </c>
      <c r="DI196" s="24">
        <f t="shared" si="175"/>
        <v>0.57576927101706199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-1.1368683772161603E-13</v>
      </c>
      <c r="DP196" s="18">
        <f>DO196*VLOOKUP('Données projet'!$B$14,Paramètres!$A$1:$I$89,3,0)*VLOOKUP('Données projet'!$B$14,Paramètres!$A$1:$I$89,5,0)</f>
        <v>-5.3205440053716299E-14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215.23235148064941</v>
      </c>
      <c r="DU196" s="62">
        <f t="shared" si="152"/>
        <v>184.07239726900434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0.12423383338661827</v>
      </c>
      <c r="EB196" s="23">
        <f>EXP(-LN(2)/25)*EB195+(1-EXP(-LN(2)/25))/(LN(2)/25)*Calculateur!DW196*Calculateur!DY196*VLOOKUP('Données projet'!$B$14,Paramètres!$A$1:$I$89,3,0)*0.475*44/12</f>
        <v>8.5596555890417439E-2</v>
      </c>
      <c r="EC196" s="23">
        <f>EXP(-LN(2)/2)*EC195+(1-EXP(-LN(2)/2))/(LN(2)/2)*DW196*DZ196*VLOOKUP('Données projet'!$B$14,Paramètres!$A$1:$I$89,3,0)*0.475*44/12</f>
        <v>2.8754446924032122E-24</v>
      </c>
      <c r="ED196" s="24">
        <f t="shared" si="178"/>
        <v>0.20983038927703571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669.80387863258932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1.1368683772161603E-12</v>
      </c>
      <c r="O197" s="14">
        <f>N197*VLOOKUP('Données projet'!$B$9,Paramètres!$A$1:$I$89,3,0)*VLOOKUP('Données projet'!$B$9,Paramètres!$A$1:$I$89,5,0)</f>
        <v>6.3550942286383359E-13</v>
      </c>
      <c r="P197" s="14">
        <f t="shared" ref="P197:P203" si="203">EXP(-1.0587+0.8836*LN(O197)+0.284)</f>
        <v>7.6982260417614606E-12</v>
      </c>
      <c r="Q197" s="22">
        <f t="shared" si="162"/>
        <v>1.4514589267555721E-11</v>
      </c>
      <c r="R197" s="62">
        <f t="shared" si="191"/>
        <v>293.33333333334781</v>
      </c>
      <c r="S197" s="62">
        <f ca="1">AVERAGE(OFFSET($R$3,0,0,'Données projet'!$E$9+1,1))-AVERAGE(OFFSET($H$3,0,0,'Données projet'!$E$9+1,1))</f>
        <v>460.40450534123659</v>
      </c>
      <c r="T197" s="62">
        <f t="shared" ref="T197:T203" si="204">$T$3</f>
        <v>467.77477728479198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0.4881047333508679</v>
      </c>
      <c r="AA197" s="23">
        <f>EXP(-LN(2)/25)*AA196+(1-EXP(-LN(2)/25))/(LN(2)/25)*Calculateur!V197*Calculateur!X197*VLOOKUP('Données projet'!$B$9,Paramètres!$A$1:$I$89,3,0)*0.475*44/12</f>
        <v>0.46916359094129012</v>
      </c>
      <c r="AB197" s="23">
        <f>EXP(-LN(2)/2)*AB196+(1-EXP(-LN(2)/2))/(LN(2)/2)*V197*Y197*VLOOKUP('Données projet'!$B$9,Paramètres!$A$1:$I$89,3,0)*0.475*44/12</f>
        <v>8.3181091133823722E-24</v>
      </c>
      <c r="AC197" s="24">
        <f t="shared" si="163"/>
        <v>0.95726832429215802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-5.6843418860808015E-13</v>
      </c>
      <c r="AJ197" s="14">
        <f>AI197*VLOOKUP('Données projet'!$B$10,Paramètres!$A$1:$I$89,3,0)*VLOOKUP('Données projet'!$B$10,Paramètres!$A$1:$I$89,5,0)</f>
        <v>-5.1431925385259092E-13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321.03881567735544</v>
      </c>
      <c r="AO197" s="62">
        <f t="shared" ref="AO197:AO203" si="205">$AO$3</f>
        <v>234.87694492493506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9.3587023254050675E-2</v>
      </c>
      <c r="AV197" s="23">
        <f>EXP(-LN(2)/25)*AV196+(1-EXP(-LN(2)/25))/(LN(2)/25)*Calculateur!AQ197*Calculateur!AS197*VLOOKUP('Données projet'!$B$10,Paramètres!$A$1:$I$89,3,0)*0.475*44/12</f>
        <v>0.14366770237249926</v>
      </c>
      <c r="AW197" s="23">
        <f>EXP(-LN(2)/2)*AW196+(1-EXP(-LN(2)/2))/(LN(2)/2)*AQ197*AT197*VLOOKUP('Données projet'!$B$10,Paramètres!$A$1:$I$89,3,0)*0.475*44/12</f>
        <v>4.4957440700559278E-24</v>
      </c>
      <c r="AX197" s="23">
        <f t="shared" si="166"/>
        <v>0.23725472562654992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255.41017495879987</v>
      </c>
      <c r="BJ197" s="62">
        <f t="shared" ref="BJ197:BJ203" si="206">$BJ$3</f>
        <v>297.50513563712764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0.32421486804931743</v>
      </c>
      <c r="BQ197" s="23">
        <f>EXP(-LN(2)/25)*BQ196+(1-EXP(-LN(2)/25))/(LN(2)/25)*Calculateur!BL197*Calculateur!BN197*VLOOKUP('Données projet'!$B$11,Paramètres!$A$1:$I$89,3,0)*0.475*44/12</f>
        <v>0.29537799328585523</v>
      </c>
      <c r="BR197" s="23">
        <f>EXP(-LN(2)/2)*BR196+(1-EXP(-LN(2)/2))/(LN(2)/2)*BL197*BO197*VLOOKUP('Données projet'!$B$11,Paramètres!$A$1:$I$89,3,0)*0.475*44/12</f>
        <v>5.0460480579135697E-24</v>
      </c>
      <c r="BS197" s="24">
        <f t="shared" si="169"/>
        <v>0.61959286133517266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5.4683368944097308E-14</v>
      </c>
      <c r="CA197" s="14">
        <f t="shared" si="170"/>
        <v>8.8129432816788268E-13</v>
      </c>
      <c r="CB197" s="22">
        <f t="shared" si="171"/>
        <v>1.6301611558033651E-12</v>
      </c>
      <c r="CC197" s="62">
        <f t="shared" si="195"/>
        <v>293.33333333333496</v>
      </c>
      <c r="CD197" s="62">
        <f ca="1">AVERAGE(OFFSET($CC$3,0,0,'Données projet'!$E$12+1,1))-AVERAGE(OFFSET($H$3,0,0,'Données projet'!$E$12+1,1))</f>
        <v>409.97612835032567</v>
      </c>
      <c r="CE197" s="62">
        <f t="shared" ref="CE197:CE203" si="207">$CE$3</f>
        <v>411.87876448092288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1.187970388518842</v>
      </c>
      <c r="CL197" s="23">
        <f>EXP(-LN(2)/25)*CL196+(1-EXP(-LN(2)/25))/(LN(2)/25)*Calculateur!CG197*Calculateur!CI197*VLOOKUP('Données projet'!$B$12,Paramètres!$A$1:$I$89,3,0)*0.475*44/12</f>
        <v>0.55207391987149812</v>
      </c>
      <c r="CM197" s="23">
        <f>EXP(-LN(2)/2)*CM196+(1-EXP(-LN(2)/2))/(LN(2)/2)*CG197*CJ197*VLOOKUP('Données projet'!$B$12,Paramètres!$A$1:$I$89,3,0)*0.475*44/12</f>
        <v>2.0126255934083839E-22</v>
      </c>
      <c r="CN197" s="24">
        <f t="shared" si="172"/>
        <v>1.7400443083903401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-4.5474735088646412E-13</v>
      </c>
      <c r="CU197" s="18">
        <f>CT197*VLOOKUP('Données projet'!$B$13,Paramètres!$A$1:$I$89,3,0)*VLOOKUP('Données projet'!$B$13,Paramètres!$A$1:$I$89,5,0)</f>
        <v>-2.7193891583010558E-13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463.3255103386889</v>
      </c>
      <c r="CZ197" s="62">
        <f t="shared" ref="CZ197:CZ203" si="208">$CZ$3</f>
        <v>474.73210558736127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0.19419119700870577</v>
      </c>
      <c r="DG197" s="23">
        <f>EXP(-LN(2)/25)*DG196+(1-EXP(-LN(2)/25))/(LN(2)/25)*Calculateur!DB197*Calculateur!DD197*VLOOKUP('Données projet'!$B$13,Paramètres!$A$1:$I$89,3,0)*0.475*44/12</f>
        <v>0.36736587694885892</v>
      </c>
      <c r="DH197" s="23">
        <f>EXP(-LN(2)/2)*DH196+(1-EXP(-LN(2)/2))/(LN(2)/2)*DB197*DE197*VLOOKUP('Données projet'!$B$13,Paramètres!$A$1:$I$89,3,0)*0.475*44/12</f>
        <v>9.0200810427201433E-24</v>
      </c>
      <c r="DI197" s="24">
        <f t="shared" si="175"/>
        <v>0.56155707395756471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-1.1368683772161603E-13</v>
      </c>
      <c r="DP197" s="18">
        <f>DO197*VLOOKUP('Données projet'!$B$14,Paramètres!$A$1:$I$89,3,0)*VLOOKUP('Données projet'!$B$14,Paramètres!$A$1:$I$89,5,0)</f>
        <v>-5.3205440053716299E-14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215.23235148064941</v>
      </c>
      <c r="DU197" s="62">
        <f t="shared" ref="DU197:DU203" si="209">$DU$3</f>
        <v>184.07239726900434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0.12179768368906288</v>
      </c>
      <c r="EB197" s="23">
        <f>EXP(-LN(2)/25)*EB196+(1-EXP(-LN(2)/25))/(LN(2)/25)*Calculateur!DW197*Calculateur!DY197*VLOOKUP('Données projet'!$B$14,Paramètres!$A$1:$I$89,3,0)*0.475*44/12</f>
        <v>8.325591356826674E-2</v>
      </c>
      <c r="EC197" s="23">
        <f>EXP(-LN(2)/2)*EC196+(1-EXP(-LN(2)/2))/(LN(2)/2)*DW197*DZ197*VLOOKUP('Données projet'!$B$14,Paramètres!$A$1:$I$89,3,0)*0.475*44/12</f>
        <v>2.0332464409251776E-24</v>
      </c>
      <c r="ED197" s="24">
        <f t="shared" si="178"/>
        <v>0.20505359725732963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671.69872996175832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1.1368683772161603E-12</v>
      </c>
      <c r="O198" s="14">
        <f>N198*VLOOKUP('Données projet'!$B$9,Paramètres!$A$1:$I$89,3,0)*VLOOKUP('Données projet'!$B$9,Paramètres!$A$1:$I$89,5,0)</f>
        <v>6.3550942286383359E-13</v>
      </c>
      <c r="P198" s="14">
        <f t="shared" si="203"/>
        <v>7.6982260417614606E-12</v>
      </c>
      <c r="Q198" s="22">
        <f t="shared" si="162"/>
        <v>1.4514589267555721E-11</v>
      </c>
      <c r="R198" s="62">
        <f t="shared" si="191"/>
        <v>293.33333333334781</v>
      </c>
      <c r="S198" s="62">
        <f ca="1">AVERAGE(OFFSET($R$3,0,0,'Données projet'!$E$9+1,1))-AVERAGE(OFFSET($H$3,0,0,'Données projet'!$E$9+1,1))</f>
        <v>460.40450534123659</v>
      </c>
      <c r="T198" s="62">
        <f t="shared" si="204"/>
        <v>467.77477728479198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0.47853329724434784</v>
      </c>
      <c r="AA198" s="23">
        <f>EXP(-LN(2)/25)*AA197+(1-EXP(-LN(2)/25))/(LN(2)/25)*Calculateur!V198*Calculateur!X198*VLOOKUP('Données projet'!$B$9,Paramètres!$A$1:$I$89,3,0)*0.475*44/12</f>
        <v>0.4563342878747596</v>
      </c>
      <c r="AB198" s="23">
        <f>EXP(-LN(2)/2)*AB197+(1-EXP(-LN(2)/2))/(LN(2)/2)*V198*Y198*VLOOKUP('Données projet'!$B$9,Paramètres!$A$1:$I$89,3,0)*0.475*44/12</f>
        <v>5.881791360722296E-24</v>
      </c>
      <c r="AC198" s="24">
        <f t="shared" si="163"/>
        <v>0.9348675851191075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-5.6843418860808015E-13</v>
      </c>
      <c r="AJ198" s="14">
        <f>AI198*VLOOKUP('Données projet'!$B$10,Paramètres!$A$1:$I$89,3,0)*VLOOKUP('Données projet'!$B$10,Paramètres!$A$1:$I$89,5,0)</f>
        <v>-5.1431925385259092E-13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321.03881567735544</v>
      </c>
      <c r="AO198" s="62">
        <f t="shared" si="205"/>
        <v>234.87694492493506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9.17518388104865E-2</v>
      </c>
      <c r="AV198" s="23">
        <f>EXP(-LN(2)/25)*AV197+(1-EXP(-LN(2)/25))/(LN(2)/25)*Calculateur!AQ198*Calculateur!AS198*VLOOKUP('Données projet'!$B$10,Paramètres!$A$1:$I$89,3,0)*0.475*44/12</f>
        <v>0.13973910149596716</v>
      </c>
      <c r="AW198" s="23">
        <f>EXP(-LN(2)/2)*AW197+(1-EXP(-LN(2)/2))/(LN(2)/2)*AQ198*AT198*VLOOKUP('Données projet'!$B$10,Paramètres!$A$1:$I$89,3,0)*0.475*44/12</f>
        <v>3.1789711184157556E-24</v>
      </c>
      <c r="AX198" s="23">
        <f t="shared" si="166"/>
        <v>0.23149094030645367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255.41017495879987</v>
      </c>
      <c r="BJ198" s="62">
        <f t="shared" si="206"/>
        <v>297.50513563712764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0.31785721223841346</v>
      </c>
      <c r="BQ198" s="23">
        <f>EXP(-LN(2)/25)*BQ197+(1-EXP(-LN(2)/25))/(LN(2)/25)*Calculateur!BL198*Calculateur!BN198*VLOOKUP('Données projet'!$B$11,Paramètres!$A$1:$I$89,3,0)*0.475*44/12</f>
        <v>0.28730086652619996</v>
      </c>
      <c r="BR198" s="23">
        <f>EXP(-LN(2)/2)*BR197+(1-EXP(-LN(2)/2))/(LN(2)/2)*BL198*BO198*VLOOKUP('Données projet'!$B$11,Paramètres!$A$1:$I$89,3,0)*0.475*44/12</f>
        <v>3.5680947999438935E-24</v>
      </c>
      <c r="BS198" s="24">
        <f t="shared" si="169"/>
        <v>0.60515807876461336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5.4683368944097308E-14</v>
      </c>
      <c r="CA198" s="14">
        <f t="shared" si="170"/>
        <v>8.8129432816788268E-13</v>
      </c>
      <c r="CB198" s="22">
        <f t="shared" si="171"/>
        <v>1.6301611558033651E-12</v>
      </c>
      <c r="CC198" s="62">
        <f t="shared" si="195"/>
        <v>293.33333333333496</v>
      </c>
      <c r="CD198" s="62">
        <f ca="1">AVERAGE(OFFSET($CC$3,0,0,'Données projet'!$E$12+1,1))-AVERAGE(OFFSET($H$3,0,0,'Données projet'!$E$12+1,1))</f>
        <v>409.97612835032567</v>
      </c>
      <c r="CE198" s="62">
        <f t="shared" si="207"/>
        <v>411.87876448092288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1.1646750137903772</v>
      </c>
      <c r="CL198" s="23">
        <f>EXP(-LN(2)/25)*CL197+(1-EXP(-LN(2)/25))/(LN(2)/25)*Calculateur!CG198*Calculateur!CI198*VLOOKUP('Données projet'!$B$12,Paramètres!$A$1:$I$89,3,0)*0.475*44/12</f>
        <v>0.53697742950030636</v>
      </c>
      <c r="CM198" s="23">
        <f>EXP(-LN(2)/2)*CM197+(1-EXP(-LN(2)/2))/(LN(2)/2)*CG198*CJ198*VLOOKUP('Données projet'!$B$12,Paramètres!$A$1:$I$89,3,0)*0.475*44/12</f>
        <v>1.4231412050886675E-22</v>
      </c>
      <c r="CN198" s="24">
        <f t="shared" si="172"/>
        <v>1.7016524432906834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-4.5474735088646412E-13</v>
      </c>
      <c r="CU198" s="18">
        <f>CT198*VLOOKUP('Données projet'!$B$13,Paramètres!$A$1:$I$89,3,0)*VLOOKUP('Données projet'!$B$13,Paramètres!$A$1:$I$89,5,0)</f>
        <v>-2.7193891583010558E-13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463.3255103386889</v>
      </c>
      <c r="CZ198" s="62">
        <f t="shared" si="208"/>
        <v>474.73210558736127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0.19038322608029976</v>
      </c>
      <c r="DG198" s="23">
        <f>EXP(-LN(2)/25)*DG197+(1-EXP(-LN(2)/25))/(LN(2)/25)*Calculateur!DB198*Calculateur!DD198*VLOOKUP('Données projet'!$B$13,Paramètres!$A$1:$I$89,3,0)*0.475*44/12</f>
        <v>0.35732023772476051</v>
      </c>
      <c r="DH198" s="23">
        <f>EXP(-LN(2)/2)*DH197+(1-EXP(-LN(2)/2))/(LN(2)/2)*DB198*DE198*VLOOKUP('Données projet'!$B$13,Paramètres!$A$1:$I$89,3,0)*0.475*44/12</f>
        <v>6.3781604721596378E-24</v>
      </c>
      <c r="DI198" s="24">
        <f t="shared" si="175"/>
        <v>0.5477034638050603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-1.1368683772161603E-13</v>
      </c>
      <c r="DP198" s="18">
        <f>DO198*VLOOKUP('Données projet'!$B$14,Paramètres!$A$1:$I$89,3,0)*VLOOKUP('Données projet'!$B$14,Paramètres!$A$1:$I$89,5,0)</f>
        <v>-5.3205440053716299E-14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215.23235148064941</v>
      </c>
      <c r="DU198" s="62">
        <f t="shared" si="209"/>
        <v>184.07239726900434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0.11940930540117195</v>
      </c>
      <c r="EB198" s="23">
        <f>EXP(-LN(2)/25)*EB197+(1-EXP(-LN(2)/25))/(LN(2)/25)*Calculateur!DW198*Calculateur!DY198*VLOOKUP('Données projet'!$B$14,Paramètres!$A$1:$I$89,3,0)*0.475*44/12</f>
        <v>8.0979276233504274E-2</v>
      </c>
      <c r="EC198" s="23">
        <f>EXP(-LN(2)/2)*EC197+(1-EXP(-LN(2)/2))/(LN(2)/2)*DW198*DZ198*VLOOKUP('Données projet'!$B$14,Paramètres!$A$1:$I$89,3,0)*0.475*44/12</f>
        <v>1.4377223462016061E-24</v>
      </c>
      <c r="ED198" s="24">
        <f t="shared" si="178"/>
        <v>0.20038858163467621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673.59337471994309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1.1368683772161603E-12</v>
      </c>
      <c r="O199" s="14">
        <f>N199*VLOOKUP('Données projet'!$B$9,Paramètres!$A$1:$I$89,3,0)*VLOOKUP('Données projet'!$B$9,Paramètres!$A$1:$I$89,5,0)</f>
        <v>6.3550942286383359E-13</v>
      </c>
      <c r="P199" s="14">
        <f t="shared" si="203"/>
        <v>7.6982260417614606E-12</v>
      </c>
      <c r="Q199" s="22">
        <f t="shared" si="162"/>
        <v>1.4514589267555721E-11</v>
      </c>
      <c r="R199" s="62">
        <f t="shared" si="191"/>
        <v>293.33333333334781</v>
      </c>
      <c r="S199" s="62">
        <f ca="1">AVERAGE(OFFSET($R$3,0,0,'Données projet'!$E$9+1,1))-AVERAGE(OFFSET($H$3,0,0,'Données projet'!$E$9+1,1))</f>
        <v>460.40450534123659</v>
      </c>
      <c r="T199" s="62">
        <f t="shared" si="204"/>
        <v>467.77477728479198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0.46914955116187707</v>
      </c>
      <c r="AA199" s="23">
        <f>EXP(-LN(2)/25)*AA198+(1-EXP(-LN(2)/25))/(LN(2)/25)*Calculateur!V199*Calculateur!X199*VLOOKUP('Données projet'!$B$9,Paramètres!$A$1:$I$89,3,0)*0.475*44/12</f>
        <v>0.44385580277524705</v>
      </c>
      <c r="AB199" s="23">
        <f>EXP(-LN(2)/2)*AB198+(1-EXP(-LN(2)/2))/(LN(2)/2)*V199*Y199*VLOOKUP('Données projet'!$B$9,Paramètres!$A$1:$I$89,3,0)*0.475*44/12</f>
        <v>4.1590545566911861E-24</v>
      </c>
      <c r="AC199" s="24">
        <f t="shared" si="163"/>
        <v>0.91300535393712412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-5.6843418860808015E-13</v>
      </c>
      <c r="AJ199" s="14">
        <f>AI199*VLOOKUP('Données projet'!$B$10,Paramètres!$A$1:$I$89,3,0)*VLOOKUP('Données projet'!$B$10,Paramètres!$A$1:$I$89,5,0)</f>
        <v>-5.1431925385259092E-13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321.03881567735544</v>
      </c>
      <c r="AO199" s="62">
        <f t="shared" si="205"/>
        <v>234.87694492493506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8.9952641214508633E-2</v>
      </c>
      <c r="AV199" s="23">
        <f>EXP(-LN(2)/25)*AV198+(1-EXP(-LN(2)/25))/(LN(2)/25)*Calculateur!AQ199*Calculateur!AS199*VLOOKUP('Données projet'!$B$10,Paramètres!$A$1:$I$89,3,0)*0.475*44/12</f>
        <v>0.13591792841699996</v>
      </c>
      <c r="AW199" s="23">
        <f>EXP(-LN(2)/2)*AW198+(1-EXP(-LN(2)/2))/(LN(2)/2)*AQ199*AT199*VLOOKUP('Données projet'!$B$10,Paramètres!$A$1:$I$89,3,0)*0.475*44/12</f>
        <v>2.2478720350279639E-24</v>
      </c>
      <c r="AX199" s="23">
        <f t="shared" si="166"/>
        <v>0.22587056963150859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255.41017495879987</v>
      </c>
      <c r="BJ199" s="62">
        <f t="shared" si="206"/>
        <v>297.50513563712764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0.31162422618017421</v>
      </c>
      <c r="BQ199" s="23">
        <f>EXP(-LN(2)/25)*BQ198+(1-EXP(-LN(2)/25))/(LN(2)/25)*Calculateur!BL199*Calculateur!BN199*VLOOKUP('Données projet'!$B$11,Paramètres!$A$1:$I$89,3,0)*0.475*44/12</f>
        <v>0.2794446092225451</v>
      </c>
      <c r="BR199" s="23">
        <f>EXP(-LN(2)/2)*BR198+(1-EXP(-LN(2)/2))/(LN(2)/2)*BL199*BO199*VLOOKUP('Données projet'!$B$11,Paramètres!$A$1:$I$89,3,0)*0.475*44/12</f>
        <v>2.5230240289567848E-24</v>
      </c>
      <c r="BS199" s="24">
        <f t="shared" si="169"/>
        <v>0.59106883540271937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5.4683368944097308E-14</v>
      </c>
      <c r="CA199" s="14">
        <f t="shared" si="170"/>
        <v>8.8129432816788268E-13</v>
      </c>
      <c r="CB199" s="22">
        <f t="shared" si="171"/>
        <v>1.6301611558033651E-12</v>
      </c>
      <c r="CC199" s="62">
        <f t="shared" si="195"/>
        <v>293.33333333333496</v>
      </c>
      <c r="CD199" s="62">
        <f ca="1">AVERAGE(OFFSET($CC$3,0,0,'Données projet'!$E$12+1,1))-AVERAGE(OFFSET($H$3,0,0,'Données projet'!$E$12+1,1))</f>
        <v>409.97612835032567</v>
      </c>
      <c r="CE199" s="62">
        <f t="shared" si="207"/>
        <v>411.87876448092288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1.1418364471515619</v>
      </c>
      <c r="CL199" s="23">
        <f>EXP(-LN(2)/25)*CL198+(1-EXP(-LN(2)/25))/(LN(2)/25)*Calculateur!CG199*Calculateur!CI199*VLOOKUP('Données projet'!$B$12,Paramètres!$A$1:$I$89,3,0)*0.475*44/12</f>
        <v>0.52229375345220475</v>
      </c>
      <c r="CM199" s="23">
        <f>EXP(-LN(2)/2)*CM198+(1-EXP(-LN(2)/2))/(LN(2)/2)*CG199*CJ199*VLOOKUP('Données projet'!$B$12,Paramètres!$A$1:$I$89,3,0)*0.475*44/12</f>
        <v>1.006312796704192E-22</v>
      </c>
      <c r="CN199" s="24">
        <f t="shared" si="172"/>
        <v>1.6641302006037666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-4.5474735088646412E-13</v>
      </c>
      <c r="CU199" s="18">
        <f>CT199*VLOOKUP('Données projet'!$B$13,Paramètres!$A$1:$I$89,3,0)*VLOOKUP('Données projet'!$B$13,Paramètres!$A$1:$I$89,5,0)</f>
        <v>-2.7193891583010558E-13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463.3255103386889</v>
      </c>
      <c r="CZ199" s="62">
        <f t="shared" si="208"/>
        <v>474.73210558736127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0.18664992713916687</v>
      </c>
      <c r="DG199" s="23">
        <f>EXP(-LN(2)/25)*DG198+(1-EXP(-LN(2)/25))/(LN(2)/25)*Calculateur!DB199*Calculateur!DD199*VLOOKUP('Données projet'!$B$13,Paramètres!$A$1:$I$89,3,0)*0.475*44/12</f>
        <v>0.34754929703352228</v>
      </c>
      <c r="DH199" s="23">
        <f>EXP(-LN(2)/2)*DH198+(1-EXP(-LN(2)/2))/(LN(2)/2)*DB199*DE199*VLOOKUP('Données projet'!$B$13,Paramètres!$A$1:$I$89,3,0)*0.475*44/12</f>
        <v>4.5100405213600716E-24</v>
      </c>
      <c r="DI199" s="24">
        <f t="shared" si="175"/>
        <v>0.53419922417268917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-1.1368683772161603E-13</v>
      </c>
      <c r="DP199" s="18">
        <f>DO199*VLOOKUP('Données projet'!$B$14,Paramètres!$A$1:$I$89,3,0)*VLOOKUP('Données projet'!$B$14,Paramètres!$A$1:$I$89,5,0)</f>
        <v>-5.3205440053716299E-14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215.23235148064941</v>
      </c>
      <c r="DU199" s="62">
        <f t="shared" si="209"/>
        <v>184.07239726900434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0.11706776175473965</v>
      </c>
      <c r="EB199" s="23">
        <f>EXP(-LN(2)/25)*EB198+(1-EXP(-LN(2)/25))/(LN(2)/25)*Calculateur!DW199*Calculateur!DY199*VLOOKUP('Données projet'!$B$14,Paramètres!$A$1:$I$89,3,0)*0.475*44/12</f>
        <v>7.8764893666384048E-2</v>
      </c>
      <c r="EC199" s="23">
        <f>EXP(-LN(2)/2)*EC198+(1-EXP(-LN(2)/2))/(LN(2)/2)*DW199*DZ199*VLOOKUP('Données projet'!$B$14,Paramètres!$A$1:$I$89,3,0)*0.475*44/12</f>
        <v>1.0166232204625888E-24</v>
      </c>
      <c r="ED199" s="24">
        <f t="shared" si="178"/>
        <v>0.19583265542112371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675.48781408341597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1.1368683772161603E-12</v>
      </c>
      <c r="O200" s="14">
        <f>N200*VLOOKUP('Données projet'!$B$9,Paramètres!$A$1:$I$89,3,0)*VLOOKUP('Données projet'!$B$9,Paramètres!$A$1:$I$89,5,0)</f>
        <v>6.3550942286383359E-13</v>
      </c>
      <c r="P200" s="14">
        <f t="shared" si="203"/>
        <v>7.6982260417614606E-12</v>
      </c>
      <c r="Q200" s="22">
        <f t="shared" si="162"/>
        <v>1.4514589267555721E-11</v>
      </c>
      <c r="R200" s="62">
        <f t="shared" si="191"/>
        <v>293.33333333334781</v>
      </c>
      <c r="S200" s="62">
        <f ca="1">AVERAGE(OFFSET($R$3,0,0,'Données projet'!$E$9+1,1))-AVERAGE(OFFSET($H$3,0,0,'Données projet'!$E$9+1,1))</f>
        <v>460.40450534123659</v>
      </c>
      <c r="T200" s="62">
        <f t="shared" si="204"/>
        <v>467.77477728479198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0.45994981461656359</v>
      </c>
      <c r="AA200" s="23">
        <f>EXP(-LN(2)/25)*AA199+(1-EXP(-LN(2)/25))/(LN(2)/25)*Calculateur!V200*Calculateur!X200*VLOOKUP('Données projet'!$B$9,Paramètres!$A$1:$I$89,3,0)*0.475*44/12</f>
        <v>0.43171854250699571</v>
      </c>
      <c r="AB200" s="23">
        <f>EXP(-LN(2)/2)*AB199+(1-EXP(-LN(2)/2))/(LN(2)/2)*V200*Y200*VLOOKUP('Données projet'!$B$9,Paramètres!$A$1:$I$89,3,0)*0.475*44/12</f>
        <v>2.940895680361148E-24</v>
      </c>
      <c r="AC200" s="24">
        <f t="shared" si="163"/>
        <v>0.8916683571235593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-5.6843418860808015E-13</v>
      </c>
      <c r="AJ200" s="14">
        <f>AI200*VLOOKUP('Données projet'!$B$10,Paramètres!$A$1:$I$89,3,0)*VLOOKUP('Données projet'!$B$10,Paramètres!$A$1:$I$89,5,0)</f>
        <v>-5.1431925385259092E-13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321.03881567735544</v>
      </c>
      <c r="AO200" s="62">
        <f t="shared" si="205"/>
        <v>234.87694492493506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8.8188724785985717E-2</v>
      </c>
      <c r="AV200" s="23">
        <f>EXP(-LN(2)/25)*AV199+(1-EXP(-LN(2)/25))/(LN(2)/25)*Calculateur!AQ200*Calculateur!AS200*VLOOKUP('Données projet'!$B$10,Paramètres!$A$1:$I$89,3,0)*0.475*44/12</f>
        <v>0.13220124551682388</v>
      </c>
      <c r="AW200" s="23">
        <f>EXP(-LN(2)/2)*AW199+(1-EXP(-LN(2)/2))/(LN(2)/2)*AQ200*AT200*VLOOKUP('Données projet'!$B$10,Paramètres!$A$1:$I$89,3,0)*0.475*44/12</f>
        <v>1.5894855592078778E-24</v>
      </c>
      <c r="AX200" s="23">
        <f t="shared" si="166"/>
        <v>0.2203899703028096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255.41017495879987</v>
      </c>
      <c r="BJ200" s="62">
        <f t="shared" si="206"/>
        <v>297.50513563712764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0.3055134651767909</v>
      </c>
      <c r="BQ200" s="23">
        <f>EXP(-LN(2)/25)*BQ199+(1-EXP(-LN(2)/25))/(LN(2)/25)*Calculateur!BL200*Calculateur!BN200*VLOOKUP('Données projet'!$B$11,Paramètres!$A$1:$I$89,3,0)*0.475*44/12</f>
        <v>0.27180318168800127</v>
      </c>
      <c r="BR200" s="23">
        <f>EXP(-LN(2)/2)*BR199+(1-EXP(-LN(2)/2))/(LN(2)/2)*BL200*BO200*VLOOKUP('Données projet'!$B$11,Paramètres!$A$1:$I$89,3,0)*0.475*44/12</f>
        <v>1.7840473999719468E-24</v>
      </c>
      <c r="BS200" s="24">
        <f t="shared" si="169"/>
        <v>0.57731664686479212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5.4683368944097308E-14</v>
      </c>
      <c r="CA200" s="14">
        <f t="shared" si="170"/>
        <v>8.8129432816788268E-13</v>
      </c>
      <c r="CB200" s="22">
        <f t="shared" si="171"/>
        <v>1.6301611558033651E-12</v>
      </c>
      <c r="CC200" s="62">
        <f t="shared" si="195"/>
        <v>293.33333333333496</v>
      </c>
      <c r="CD200" s="62">
        <f ca="1">AVERAGE(OFFSET($CC$3,0,0,'Données projet'!$E$12+1,1))-AVERAGE(OFFSET($H$3,0,0,'Données projet'!$E$12+1,1))</f>
        <v>409.97612835032567</v>
      </c>
      <c r="CE200" s="62">
        <f t="shared" si="207"/>
        <v>411.87876448092288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1.1194457308743837</v>
      </c>
      <c r="CL200" s="23">
        <f>EXP(-LN(2)/25)*CL199+(1-EXP(-LN(2)/25))/(LN(2)/25)*Calculateur!CG200*Calculateur!CI200*VLOOKUP('Données projet'!$B$12,Paramètres!$A$1:$I$89,3,0)*0.475*44/12</f>
        <v>0.50801160329781947</v>
      </c>
      <c r="CM200" s="23">
        <f>EXP(-LN(2)/2)*CM199+(1-EXP(-LN(2)/2))/(LN(2)/2)*CG200*CJ200*VLOOKUP('Données projet'!$B$12,Paramètres!$A$1:$I$89,3,0)*0.475*44/12</f>
        <v>7.1157060254433373E-23</v>
      </c>
      <c r="CN200" s="24">
        <f t="shared" si="172"/>
        <v>1.6274573341722032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-4.5474735088646412E-13</v>
      </c>
      <c r="CU200" s="18">
        <f>CT200*VLOOKUP('Données projet'!$B$13,Paramètres!$A$1:$I$89,3,0)*VLOOKUP('Données projet'!$B$13,Paramètres!$A$1:$I$89,5,0)</f>
        <v>-2.7193891583010558E-13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463.3255103386889</v>
      </c>
      <c r="CZ200" s="62">
        <f t="shared" si="208"/>
        <v>474.73210558736127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0.18298983591318208</v>
      </c>
      <c r="DG200" s="23">
        <f>EXP(-LN(2)/25)*DG199+(1-EXP(-LN(2)/25))/(LN(2)/25)*Calculateur!DB200*Calculateur!DD200*VLOOKUP('Données projet'!$B$13,Paramètres!$A$1:$I$89,3,0)*0.475*44/12</f>
        <v>0.3380455432293174</v>
      </c>
      <c r="DH200" s="23">
        <f>EXP(-LN(2)/2)*DH199+(1-EXP(-LN(2)/2))/(LN(2)/2)*DB200*DE200*VLOOKUP('Données projet'!$B$13,Paramètres!$A$1:$I$89,3,0)*0.475*44/12</f>
        <v>3.1890802360798189E-24</v>
      </c>
      <c r="DI200" s="24">
        <f t="shared" si="175"/>
        <v>0.52103537914249953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-1.1368683772161603E-13</v>
      </c>
      <c r="DP200" s="18">
        <f>DO200*VLOOKUP('Données projet'!$B$14,Paramètres!$A$1:$I$89,3,0)*VLOOKUP('Données projet'!$B$14,Paramètres!$A$1:$I$89,5,0)</f>
        <v>-5.3205440053716299E-14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215.23235148064941</v>
      </c>
      <c r="DU200" s="62">
        <f t="shared" si="209"/>
        <v>184.07239726900434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0.11477213435101329</v>
      </c>
      <c r="EB200" s="23">
        <f>EXP(-LN(2)/25)*EB199+(1-EXP(-LN(2)/25))/(LN(2)/25)*Calculateur!DW200*Calculateur!DY200*VLOOKUP('Données projet'!$B$14,Paramètres!$A$1:$I$89,3,0)*0.475*44/12</f>
        <v>7.6611063507011037E-2</v>
      </c>
      <c r="EC200" s="23">
        <f>EXP(-LN(2)/2)*EC199+(1-EXP(-LN(2)/2))/(LN(2)/2)*DW200*DZ200*VLOOKUP('Données projet'!$B$14,Paramètres!$A$1:$I$89,3,0)*0.475*44/12</f>
        <v>7.1886117310080304E-25</v>
      </c>
      <c r="ED200" s="24">
        <f t="shared" si="178"/>
        <v>0.19138319785802432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677.3820492158161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1.1368683772161603E-12</v>
      </c>
      <c r="O201" s="14">
        <f>N201*VLOOKUP('Données projet'!$B$9,Paramètres!$A$1:$I$89,3,0)*VLOOKUP('Données projet'!$B$9,Paramètres!$A$1:$I$89,5,0)</f>
        <v>6.3550942286383359E-13</v>
      </c>
      <c r="P201" s="14">
        <f t="shared" si="203"/>
        <v>7.6982260417614606E-12</v>
      </c>
      <c r="Q201" s="22">
        <f t="shared" si="162"/>
        <v>1.4514589267555721E-11</v>
      </c>
      <c r="R201" s="62">
        <f t="shared" si="191"/>
        <v>293.33333333334781</v>
      </c>
      <c r="S201" s="62">
        <f ca="1">AVERAGE(OFFSET($R$3,0,0,'Données projet'!$E$9+1,1))-AVERAGE(OFFSET($H$3,0,0,'Données projet'!$E$9+1,1))</f>
        <v>460.40450534123659</v>
      </c>
      <c r="T201" s="62">
        <f t="shared" si="204"/>
        <v>467.77477728479198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0.45093047929361851</v>
      </c>
      <c r="AA201" s="23">
        <f>EXP(-LN(2)/25)*AA200+(1-EXP(-LN(2)/25))/(LN(2)/25)*Calculateur!V201*Calculateur!X201*VLOOKUP('Données projet'!$B$9,Paramètres!$A$1:$I$89,3,0)*0.475*44/12</f>
        <v>0.41991317625905045</v>
      </c>
      <c r="AB201" s="23">
        <f>EXP(-LN(2)/2)*AB200+(1-EXP(-LN(2)/2))/(LN(2)/2)*V201*Y201*VLOOKUP('Données projet'!$B$9,Paramètres!$A$1:$I$89,3,0)*0.475*44/12</f>
        <v>2.079527278345593E-24</v>
      </c>
      <c r="AC201" s="24">
        <f t="shared" si="163"/>
        <v>0.87084365555266896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-5.6843418860808015E-13</v>
      </c>
      <c r="AJ201" s="14">
        <f>AI201*VLOOKUP('Données projet'!$B$10,Paramètres!$A$1:$I$89,3,0)*VLOOKUP('Données projet'!$B$10,Paramètres!$A$1:$I$89,5,0)</f>
        <v>-5.1431925385259092E-13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321.03881567735544</v>
      </c>
      <c r="AO201" s="62">
        <f t="shared" si="205"/>
        <v>234.87694492493506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8.6459397682743355E-2</v>
      </c>
      <c r="AV201" s="23">
        <f>EXP(-LN(2)/25)*AV200+(1-EXP(-LN(2)/25))/(LN(2)/25)*Calculateur!AQ201*Calculateur!AS201*VLOOKUP('Données projet'!$B$10,Paramètres!$A$1:$I$89,3,0)*0.475*44/12</f>
        <v>0.12858619550600497</v>
      </c>
      <c r="AW201" s="23">
        <f>EXP(-LN(2)/2)*AW200+(1-EXP(-LN(2)/2))/(LN(2)/2)*AQ201*AT201*VLOOKUP('Données projet'!$B$10,Paramètres!$A$1:$I$89,3,0)*0.475*44/12</f>
        <v>1.1239360175139819E-24</v>
      </c>
      <c r="AX201" s="23">
        <f t="shared" si="166"/>
        <v>0.21504559318874833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255.41017495879987</v>
      </c>
      <c r="BJ201" s="62">
        <f t="shared" si="206"/>
        <v>297.50513563712764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0.29952253246948779</v>
      </c>
      <c r="BQ201" s="23">
        <f>EXP(-LN(2)/25)*BQ200+(1-EXP(-LN(2)/25))/(LN(2)/25)*Calculateur!BL201*Calculateur!BN201*VLOOKUP('Données projet'!$B$11,Paramètres!$A$1:$I$89,3,0)*0.475*44/12</f>
        <v>0.26437070939123475</v>
      </c>
      <c r="BR201" s="23">
        <f>EXP(-LN(2)/2)*BR200+(1-EXP(-LN(2)/2))/(LN(2)/2)*BL201*BO201*VLOOKUP('Données projet'!$B$11,Paramètres!$A$1:$I$89,3,0)*0.475*44/12</f>
        <v>1.2615120144783924E-24</v>
      </c>
      <c r="BS201" s="24">
        <f t="shared" si="169"/>
        <v>0.56389324186072254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5.4683368944097308E-14</v>
      </c>
      <c r="CA201" s="14">
        <f t="shared" si="170"/>
        <v>8.8129432816788268E-13</v>
      </c>
      <c r="CB201" s="22">
        <f t="shared" si="171"/>
        <v>1.6301611558033651E-12</v>
      </c>
      <c r="CC201" s="62">
        <f t="shared" si="195"/>
        <v>293.33333333333496</v>
      </c>
      <c r="CD201" s="62">
        <f ca="1">AVERAGE(OFFSET($CC$3,0,0,'Données projet'!$E$12+1,1))-AVERAGE(OFFSET($H$3,0,0,'Données projet'!$E$12+1,1))</f>
        <v>409.97612835032567</v>
      </c>
      <c r="CE201" s="62">
        <f t="shared" si="207"/>
        <v>411.87876448092288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1.0974940828864126</v>
      </c>
      <c r="CL201" s="23">
        <f>EXP(-LN(2)/25)*CL200+(1-EXP(-LN(2)/25))/(LN(2)/25)*Calculateur!CG201*Calculateur!CI201*VLOOKUP('Données projet'!$B$12,Paramètres!$A$1:$I$89,3,0)*0.475*44/12</f>
        <v>0.49411999929047146</v>
      </c>
      <c r="CM201" s="23">
        <f>EXP(-LN(2)/2)*CM200+(1-EXP(-LN(2)/2))/(LN(2)/2)*CG201*CJ201*VLOOKUP('Données projet'!$B$12,Paramètres!$A$1:$I$89,3,0)*0.475*44/12</f>
        <v>5.0315639835209598E-23</v>
      </c>
      <c r="CN201" s="24">
        <f t="shared" si="172"/>
        <v>1.591614082176884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-4.5474735088646412E-13</v>
      </c>
      <c r="CU201" s="18">
        <f>CT201*VLOOKUP('Données projet'!$B$13,Paramètres!$A$1:$I$89,3,0)*VLOOKUP('Données projet'!$B$13,Paramètres!$A$1:$I$89,5,0)</f>
        <v>-2.7193891583010558E-13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463.3255103386889</v>
      </c>
      <c r="CZ201" s="62">
        <f t="shared" si="208"/>
        <v>474.73210558736127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0.17940151684370365</v>
      </c>
      <c r="DG201" s="23">
        <f>EXP(-LN(2)/25)*DG200+(1-EXP(-LN(2)/25))/(LN(2)/25)*Calculateur!DB201*Calculateur!DD201*VLOOKUP('Données projet'!$B$13,Paramètres!$A$1:$I$89,3,0)*0.475*44/12</f>
        <v>0.32880167007266919</v>
      </c>
      <c r="DH201" s="23">
        <f>EXP(-LN(2)/2)*DH200+(1-EXP(-LN(2)/2))/(LN(2)/2)*DB201*DE201*VLOOKUP('Données projet'!$B$13,Paramètres!$A$1:$I$89,3,0)*0.475*44/12</f>
        <v>2.2550202606800358E-24</v>
      </c>
      <c r="DI201" s="24">
        <f t="shared" si="175"/>
        <v>0.50820318691637278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-1.1368683772161603E-13</v>
      </c>
      <c r="DP201" s="18">
        <f>DO201*VLOOKUP('Données projet'!$B$14,Paramètres!$A$1:$I$89,3,0)*VLOOKUP('Données projet'!$B$14,Paramètres!$A$1:$I$89,5,0)</f>
        <v>-5.3205440053716299E-14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215.23235148064941</v>
      </c>
      <c r="DU201" s="62">
        <f t="shared" si="209"/>
        <v>184.07239726900434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0.11252152280047954</v>
      </c>
      <c r="EB201" s="23">
        <f>EXP(-LN(2)/25)*EB200+(1-EXP(-LN(2)/25))/(LN(2)/25)*Calculateur!DW201*Calculateur!DY201*VLOOKUP('Données projet'!$B$14,Paramètres!$A$1:$I$89,3,0)*0.475*44/12</f>
        <v>7.4516129946611082E-2</v>
      </c>
      <c r="EC201" s="23">
        <f>EXP(-LN(2)/2)*EC200+(1-EXP(-LN(2)/2))/(LN(2)/2)*DW201*DZ201*VLOOKUP('Données projet'!$B$14,Paramètres!$A$1:$I$89,3,0)*0.475*44/12</f>
        <v>5.0831161023129439E-25</v>
      </c>
      <c r="ED201" s="24">
        <f t="shared" si="178"/>
        <v>0.18703765274709061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679.27608126834809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1.1368683772161603E-12</v>
      </c>
      <c r="O202" s="14">
        <f>N202*VLOOKUP('Données projet'!$B$9,Paramètres!$A$1:$I$89,3,0)*VLOOKUP('Données projet'!$B$9,Paramètres!$A$1:$I$89,5,0)</f>
        <v>6.3550942286383359E-13</v>
      </c>
      <c r="P202" s="14">
        <f t="shared" si="203"/>
        <v>7.6982260417614606E-12</v>
      </c>
      <c r="Q202" s="22">
        <f t="shared" si="162"/>
        <v>1.4514589267555721E-11</v>
      </c>
      <c r="R202" s="62">
        <f t="shared" si="191"/>
        <v>293.33333333334781</v>
      </c>
      <c r="S202" s="62">
        <f ca="1">AVERAGE(OFFSET($R$3,0,0,'Données projet'!$E$9+1,1))-AVERAGE(OFFSET($H$3,0,0,'Données projet'!$E$9+1,1))</f>
        <v>460.40450534123659</v>
      </c>
      <c r="T202" s="62">
        <f t="shared" si="204"/>
        <v>467.77477728479198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0.44208800763510503</v>
      </c>
      <c r="AA202" s="23">
        <f>EXP(-LN(2)/25)*AA201+(1-EXP(-LN(2)/25))/(LN(2)/25)*Calculateur!V202*Calculateur!X202*VLOOKUP('Données projet'!$B$9,Paramètres!$A$1:$I$89,3,0)*0.475*44/12</f>
        <v>0.40843062837197247</v>
      </c>
      <c r="AB202" s="23">
        <f>EXP(-LN(2)/2)*AB201+(1-EXP(-LN(2)/2))/(LN(2)/2)*V202*Y202*VLOOKUP('Données projet'!$B$9,Paramètres!$A$1:$I$89,3,0)*0.475*44/12</f>
        <v>1.470447840180574E-24</v>
      </c>
      <c r="AC202" s="24">
        <f t="shared" si="163"/>
        <v>0.85051863600707756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-5.6843418860808015E-13</v>
      </c>
      <c r="AJ202" s="14">
        <f>AI202*VLOOKUP('Données projet'!$B$10,Paramètres!$A$1:$I$89,3,0)*VLOOKUP('Données projet'!$B$10,Paramètres!$A$1:$I$89,5,0)</f>
        <v>-5.1431925385259092E-13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321.03881567735544</v>
      </c>
      <c r="AO202" s="62">
        <f t="shared" si="205"/>
        <v>234.87694492493506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8.47639816292102E-2</v>
      </c>
      <c r="AV202" s="23">
        <f>EXP(-LN(2)/25)*AV201+(1-EXP(-LN(2)/25))/(LN(2)/25)*Calculateur!AQ202*Calculateur!AS202*VLOOKUP('Données projet'!$B$10,Paramètres!$A$1:$I$89,3,0)*0.475*44/12</f>
        <v>0.12506999922783912</v>
      </c>
      <c r="AW202" s="23">
        <f>EXP(-LN(2)/2)*AW201+(1-EXP(-LN(2)/2))/(LN(2)/2)*AQ202*AT202*VLOOKUP('Données projet'!$B$10,Paramètres!$A$1:$I$89,3,0)*0.475*44/12</f>
        <v>7.9474277960393889E-25</v>
      </c>
      <c r="AX202" s="23">
        <f t="shared" si="166"/>
        <v>0.20983398085704932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255.41017495879987</v>
      </c>
      <c r="BJ202" s="62">
        <f t="shared" si="206"/>
        <v>297.50513563712764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0.29364907829846676</v>
      </c>
      <c r="BQ202" s="23">
        <f>EXP(-LN(2)/25)*BQ201+(1-EXP(-LN(2)/25))/(LN(2)/25)*Calculateur!BL202*Calculateur!BN202*VLOOKUP('Données projet'!$B$11,Paramètres!$A$1:$I$89,3,0)*0.475*44/12</f>
        <v>0.25714147844028007</v>
      </c>
      <c r="BR202" s="23">
        <f>EXP(-LN(2)/2)*BR201+(1-EXP(-LN(2)/2))/(LN(2)/2)*BL202*BO202*VLOOKUP('Données projet'!$B$11,Paramètres!$A$1:$I$89,3,0)*0.475*44/12</f>
        <v>8.9202369998597338E-25</v>
      </c>
      <c r="BS202" s="24">
        <f t="shared" si="169"/>
        <v>0.55079055673874677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5.4683368944097308E-14</v>
      </c>
      <c r="CA202" s="14">
        <f t="shared" si="170"/>
        <v>8.8129432816788268E-13</v>
      </c>
      <c r="CB202" s="22">
        <f t="shared" si="171"/>
        <v>1.6301611558033651E-12</v>
      </c>
      <c r="CC202" s="62">
        <f t="shared" si="195"/>
        <v>293.33333333333496</v>
      </c>
      <c r="CD202" s="62">
        <f ca="1">AVERAGE(OFFSET($CC$3,0,0,'Données projet'!$E$12+1,1))-AVERAGE(OFFSET($H$3,0,0,'Données projet'!$E$12+1,1))</f>
        <v>409.97612835032567</v>
      </c>
      <c r="CE202" s="62">
        <f t="shared" si="207"/>
        <v>411.87876448092288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1.0759728933263024</v>
      </c>
      <c r="CL202" s="23">
        <f>EXP(-LN(2)/25)*CL201+(1-EXP(-LN(2)/25))/(LN(2)/25)*Calculateur!CG202*Calculateur!CI202*VLOOKUP('Données projet'!$B$12,Paramètres!$A$1:$I$89,3,0)*0.475*44/12</f>
        <v>0.48060826192523209</v>
      </c>
      <c r="CM202" s="23">
        <f>EXP(-LN(2)/2)*CM201+(1-EXP(-LN(2)/2))/(LN(2)/2)*CG202*CJ202*VLOOKUP('Données projet'!$B$12,Paramètres!$A$1:$I$89,3,0)*0.475*44/12</f>
        <v>3.5578530127216687E-23</v>
      </c>
      <c r="CN202" s="24">
        <f t="shared" si="172"/>
        <v>1.5565811552515345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-4.5474735088646412E-13</v>
      </c>
      <c r="CU202" s="18">
        <f>CT202*VLOOKUP('Données projet'!$B$13,Paramètres!$A$1:$I$89,3,0)*VLOOKUP('Données projet'!$B$13,Paramètres!$A$1:$I$89,5,0)</f>
        <v>-2.7193891583010558E-13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463.3255103386889</v>
      </c>
      <c r="CZ202" s="62">
        <f t="shared" si="208"/>
        <v>474.73210558736127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0.17588356252251916</v>
      </c>
      <c r="DG202" s="23">
        <f>EXP(-LN(2)/25)*DG201+(1-EXP(-LN(2)/25))/(LN(2)/25)*Calculateur!DB202*Calculateur!DD202*VLOOKUP('Données projet'!$B$13,Paramètres!$A$1:$I$89,3,0)*0.475*44/12</f>
        <v>0.31981057111360373</v>
      </c>
      <c r="DH202" s="23">
        <f>EXP(-LN(2)/2)*DH201+(1-EXP(-LN(2)/2))/(LN(2)/2)*DB202*DE202*VLOOKUP('Données projet'!$B$13,Paramètres!$A$1:$I$89,3,0)*0.475*44/12</f>
        <v>1.5945401180399095E-24</v>
      </c>
      <c r="DI202" s="24">
        <f t="shared" si="175"/>
        <v>0.49569413363612291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-1.1368683772161603E-13</v>
      </c>
      <c r="DP202" s="18">
        <f>DO202*VLOOKUP('Données projet'!$B$14,Paramètres!$A$1:$I$89,3,0)*VLOOKUP('Données projet'!$B$14,Paramètres!$A$1:$I$89,5,0)</f>
        <v>-5.3205440053716299E-14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215.23235148064941</v>
      </c>
      <c r="DU202" s="62">
        <f t="shared" si="209"/>
        <v>184.07239726900434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0.11031504436971426</v>
      </c>
      <c r="EB202" s="23">
        <f>EXP(-LN(2)/25)*EB201+(1-EXP(-LN(2)/25))/(LN(2)/25)*Calculateur!DW202*Calculateur!DY202*VLOOKUP('Données projet'!$B$14,Paramètres!$A$1:$I$89,3,0)*0.475*44/12</f>
        <v>7.2478482454588031E-2</v>
      </c>
      <c r="EC202" s="23">
        <f>EXP(-LN(2)/2)*EC201+(1-EXP(-LN(2)/2))/(LN(2)/2)*DW202*DZ202*VLOOKUP('Données projet'!$B$14,Paramètres!$A$1:$I$89,3,0)*0.475*44/12</f>
        <v>3.5943058655040152E-25</v>
      </c>
      <c r="ED202" s="24">
        <f t="shared" si="178"/>
        <v>0.18279352682430228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681.16991137997661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1.1368683772161603E-12</v>
      </c>
      <c r="O203" s="14">
        <f>N203*VLOOKUP('Données projet'!$B$9,Paramètres!$A$1:$I$89,3,0)*VLOOKUP('Données projet'!$B$9,Paramètres!$A$1:$I$89,5,0)</f>
        <v>6.3550942286383359E-13</v>
      </c>
      <c r="P203" s="14">
        <f t="shared" si="203"/>
        <v>7.6982260417614606E-12</v>
      </c>
      <c r="Q203" s="22">
        <f t="shared" si="162"/>
        <v>1.4514589267555721E-11</v>
      </c>
      <c r="R203" s="62">
        <f t="shared" si="191"/>
        <v>293.33333333334781</v>
      </c>
      <c r="S203" s="62">
        <f ca="1">AVERAGE(OFFSET($R$3,0,0,'Données projet'!$E$9+1,1))-AVERAGE(OFFSET($H$3,0,0,'Données projet'!$E$9+1,1))</f>
        <v>460.40450534123659</v>
      </c>
      <c r="T203" s="62">
        <f t="shared" si="204"/>
        <v>467.77477728479198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0.43341893145243982</v>
      </c>
      <c r="AA203" s="23">
        <f>EXP(-LN(2)/25)*AA202+(1-EXP(-LN(2)/25))/(LN(2)/25)*Calculateur!V203*Calculateur!X203*VLOOKUP('Données projet'!$B$9,Paramètres!$A$1:$I$89,3,0)*0.475*44/12</f>
        <v>0.39726207136070762</v>
      </c>
      <c r="AB203" s="23">
        <f>EXP(-LN(2)/2)*AB202+(1-EXP(-LN(2)/2))/(LN(2)/2)*V203*Y203*VLOOKUP('Données projet'!$B$9,Paramètres!$A$1:$I$89,3,0)*0.475*44/12</f>
        <v>1.0397636391727965E-24</v>
      </c>
      <c r="AC203" s="24">
        <f t="shared" si="163"/>
        <v>0.8306810028131475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-5.6843418860808015E-13</v>
      </c>
      <c r="AJ203" s="14">
        <f>AI203*VLOOKUP('Données projet'!$B$10,Paramètres!$A$1:$I$89,3,0)*VLOOKUP('Données projet'!$B$10,Paramètres!$A$1:$I$89,5,0)</f>
        <v>-5.1431925385259092E-13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321.03881567735544</v>
      </c>
      <c r="AO203" s="62">
        <f t="shared" si="205"/>
        <v>234.87694492493506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8.3101811650385146E-2</v>
      </c>
      <c r="AV203" s="23">
        <f>EXP(-LN(2)/25)*AV202+(1-EXP(-LN(2)/25))/(LN(2)/25)*Calculateur!AQ203*Calculateur!AS203*VLOOKUP('Données projet'!$B$10,Paramètres!$A$1:$I$89,3,0)*0.475*44/12</f>
        <v>0.12164995352180845</v>
      </c>
      <c r="AW203" s="23">
        <f>EXP(-LN(2)/2)*AW202+(1-EXP(-LN(2)/2))/(LN(2)/2)*AQ203*AT203*VLOOKUP('Données projet'!$B$10,Paramètres!$A$1:$I$89,3,0)*0.475*44/12</f>
        <v>5.6196800875699097E-25</v>
      </c>
      <c r="AX203" s="23">
        <f t="shared" si="166"/>
        <v>0.20475176517219359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255.41017495879987</v>
      </c>
      <c r="BJ203" s="62">
        <f t="shared" si="206"/>
        <v>297.50513563712764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0.28789079898128611</v>
      </c>
      <c r="BQ203" s="23">
        <f>EXP(-LN(2)/25)*BQ202+(1-EXP(-LN(2)/25))/(LN(2)/25)*Calculateur!BL203*Calculateur!BN203*VLOOKUP('Données projet'!$B$11,Paramètres!$A$1:$I$89,3,0)*0.475*44/12</f>
        <v>0.25010993118984798</v>
      </c>
      <c r="BR203" s="23">
        <f>EXP(-LN(2)/2)*BR202+(1-EXP(-LN(2)/2))/(LN(2)/2)*BL203*BO203*VLOOKUP('Données projet'!$B$11,Paramètres!$A$1:$I$89,3,0)*0.475*44/12</f>
        <v>6.3075600723919621E-25</v>
      </c>
      <c r="BS203" s="24">
        <f t="shared" si="169"/>
        <v>0.53800073017113403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5.4683368944097308E-14</v>
      </c>
      <c r="CA203" s="14">
        <f t="shared" si="170"/>
        <v>8.8129432816788268E-13</v>
      </c>
      <c r="CB203" s="22">
        <f t="shared" si="171"/>
        <v>1.6301611558033651E-12</v>
      </c>
      <c r="CC203" s="62">
        <f t="shared" si="195"/>
        <v>293.33333333333496</v>
      </c>
      <c r="CD203" s="62">
        <f ca="1">AVERAGE(OFFSET($CC$3,0,0,'Données projet'!$E$12+1,1))-AVERAGE(OFFSET($H$3,0,0,'Données projet'!$E$12+1,1))</f>
        <v>409.97612835032567</v>
      </c>
      <c r="CE203" s="62">
        <f t="shared" si="207"/>
        <v>411.87876448092288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1.0548737211668364</v>
      </c>
      <c r="CL203" s="23">
        <f>EXP(-LN(2)/25)*CL202+(1-EXP(-LN(2)/25))/(LN(2)/25)*Calculateur!CG203*Calculateur!CI203*VLOOKUP('Données projet'!$B$12,Paramètres!$A$1:$I$89,3,0)*0.475*44/12</f>
        <v>0.4674660037287966</v>
      </c>
      <c r="CM203" s="23">
        <f>EXP(-LN(2)/2)*CM202+(1-EXP(-LN(2)/2))/(LN(2)/2)*CG203*CJ203*VLOOKUP('Données projet'!$B$12,Paramètres!$A$1:$I$89,3,0)*0.475*44/12</f>
        <v>2.5157819917604799E-23</v>
      </c>
      <c r="CN203" s="24">
        <f t="shared" si="172"/>
        <v>1.522339724895633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-4.5474735088646412E-13</v>
      </c>
      <c r="CU203" s="18">
        <f>CT203*VLOOKUP('Données projet'!$B$13,Paramètres!$A$1:$I$89,3,0)*VLOOKUP('Données projet'!$B$13,Paramètres!$A$1:$I$89,5,0)</f>
        <v>-2.7193891583010558E-13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463.3255103386889</v>
      </c>
      <c r="CZ203" s="62">
        <f t="shared" si="208"/>
        <v>474.73210558736127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0.17243459313983284</v>
      </c>
      <c r="DG203" s="23">
        <f>EXP(-LN(2)/25)*DG202+(1-EXP(-LN(2)/25))/(LN(2)/25)*Calculateur!DB203*Calculateur!DD203*VLOOKUP('Données projet'!$B$13,Paramètres!$A$1:$I$89,3,0)*0.475*44/12</f>
        <v>0.31106533422839522</v>
      </c>
      <c r="DH203" s="23">
        <f>EXP(-LN(2)/2)*DH202+(1-EXP(-LN(2)/2))/(LN(2)/2)*DB203*DE203*VLOOKUP('Données projet'!$B$13,Paramètres!$A$1:$I$89,3,0)*0.475*44/12</f>
        <v>1.1275101303400179E-24</v>
      </c>
      <c r="DI203" s="24">
        <f t="shared" si="175"/>
        <v>0.48349992736822806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-1.1368683772161603E-13</v>
      </c>
      <c r="DP203" s="18">
        <f>DO203*VLOOKUP('Données projet'!$B$14,Paramètres!$A$1:$I$89,3,0)*VLOOKUP('Données projet'!$B$14,Paramètres!$A$1:$I$89,5,0)</f>
        <v>-5.3205440053716299E-14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215.23235148064941</v>
      </c>
      <c r="DU203" s="62">
        <f t="shared" si="209"/>
        <v>184.07239726900434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0.10815183363515733</v>
      </c>
      <c r="EB203" s="23">
        <f>EXP(-LN(2)/25)*EB202+(1-EXP(-LN(2)/25))/(LN(2)/25)*Calculateur!DW203*Calculateur!DY203*VLOOKUP('Données projet'!$B$14,Paramètres!$A$1:$I$89,3,0)*0.475*44/12</f>
        <v>7.0496554540389583E-2</v>
      </c>
      <c r="EC203" s="23">
        <f>EXP(-LN(2)/2)*EC202+(1-EXP(-LN(2)/2))/(LN(2)/2)*DW203*DZ203*VLOOKUP('Données projet'!$B$14,Paramètres!$A$1:$I$89,3,0)*0.475*44/12</f>
        <v>2.5415580511564719E-25</v>
      </c>
      <c r="ED203" s="24">
        <f t="shared" si="178"/>
        <v>0.1786483881755469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1.4348951656753595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1.2595519038446648</v>
      </c>
      <c r="BA205" s="88">
        <f>EXP(LN('Données projet'!B88)/'Données projet'!A88)</f>
        <v>1.2880503926580862</v>
      </c>
      <c r="BV205" s="88">
        <f>EXP(LN('Données projet'!B114)/'Données projet'!A114)</f>
        <v>1.2982507627371911</v>
      </c>
      <c r="CQ205" s="88">
        <f>EXP(LN('Données projet'!B140)/'Données projet'!A140)</f>
        <v>1.3171488215983465</v>
      </c>
      <c r="DL205" s="88">
        <f>EXP(LN('Données projet'!B166)/'Données projet'!A166)</f>
        <v>1.2880503926580862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2" zoomScale="90" zoomScaleNormal="90" workbookViewId="0">
      <selection activeCell="L16" sqref="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Douglas</v>
      </c>
      <c r="B6" s="155">
        <f>'Données projet'!D9</f>
        <v>2.6749999999999998</v>
      </c>
      <c r="C6" s="156">
        <f ca="1">IF(OR('Données projet'!B9="",'Données projet'!C9="",'Données projet'!C9=0%),0,Calculateur!S3)</f>
        <v>460.40450534123659</v>
      </c>
      <c r="D6" s="156">
        <f>IF(OR('Données projet'!B9="",'Données projet'!C9="",'Données projet'!C9=0%),0,Calculateur!T3)</f>
        <v>467.77477728479198</v>
      </c>
      <c r="E6" s="156">
        <f ca="1">MIN(C6,D6)</f>
        <v>460.40450534123659</v>
      </c>
      <c r="F6" s="156">
        <f ca="1">E6*B6</f>
        <v>1231.5820517878078</v>
      </c>
      <c r="G6" s="156">
        <f ca="1">F6*(100%-'Données projet'!$C$24)*(100%-'Données projet'!$C$25)*(100%-'Données projet'!$C$26)*(100%-'Données projet'!$C$27)</f>
        <v>1108.4238466090271</v>
      </c>
      <c r="H6" s="157">
        <f>IF(OR('Données projet'!B9="",'Données projet'!C9="",'Données projet'!C9=0%),0,AVERAGE(Calculateur!$AC$3:$AC$33)*B6)</f>
        <v>39.065594106609446</v>
      </c>
      <c r="I6" s="158">
        <f>H6*(100%-'Données projet'!$C$24)*(100%-'Données projet'!$C$25)*(100%-'Données projet'!$C$26)*(100%-'Données projet'!$C$27)</f>
        <v>35.159034695948499</v>
      </c>
      <c r="J6" s="159">
        <f>IF(OR('Données projet'!B9="",'Données projet'!C9="",'Données projet'!C9=0%),0,SUM(Calculateur!$V$3:$V$33)*VLOOKUP('Données projet'!$B$9,Paramètres!$A$1:$I$89,9,0)*B6)</f>
        <v>320.91974999999996</v>
      </c>
      <c r="K6" s="160">
        <f>J6*(100%-'Données projet'!$C$24)*(100%-'Données projet'!$C$25)*(100%-'Données projet'!$C$26)*(100%-'Données projet'!$C$27)</f>
        <v>288.82777499999997</v>
      </c>
      <c r="L6" s="161">
        <f ca="1">G6+I6+K6</f>
        <v>1432.4106563049756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sessile</v>
      </c>
      <c r="B7" s="163">
        <f>'Données projet'!D10</f>
        <v>0.25625000000000003</v>
      </c>
      <c r="C7" s="156">
        <f ca="1">IF(OR('Données projet'!B10="",'Données projet'!C10="",'Données projet'!C10=0%),0,Calculateur!AN3)</f>
        <v>321.03881567735544</v>
      </c>
      <c r="D7" s="156">
        <f>IF(OR('Données projet'!B10="",'Données projet'!C10="",'Données projet'!C10=0%),0,Calculateur!AO3)</f>
        <v>234.87694492493506</v>
      </c>
      <c r="E7" s="156">
        <f t="shared" ref="E7:E15" ca="1" si="0">MIN(C7,D7)</f>
        <v>234.87694492493506</v>
      </c>
      <c r="F7" s="156">
        <f t="shared" ref="F7:F15" ca="1" si="1">E7*B7</f>
        <v>60.187217137014621</v>
      </c>
      <c r="G7" s="156">
        <f ca="1">F7*(100%-'Données projet'!$C$24)*(100%-'Données projet'!$C$25)*(100%-'Données projet'!$C$26)*(100%-'Données projet'!$C$27)</f>
        <v>54.168495423313161</v>
      </c>
      <c r="H7" s="164">
        <f>IF(OR('Données projet'!B10="",'Données projet'!C10="",'Données projet'!C10=0%),0,AVERAGE(Calculateur!$AX$3:$AX$33)*B7)</f>
        <v>0.77660488816310203</v>
      </c>
      <c r="I7" s="158">
        <f>H7*(100%-'Données projet'!$C$24)*(100%-'Données projet'!$C$25)*(100%-'Données projet'!$C$26)*(100%-'Données projet'!$C$27)</f>
        <v>0.69894439934679187</v>
      </c>
      <c r="J7" s="159">
        <f>IF(OR('Données projet'!B10="",'Données projet'!C10="",'Données projet'!C10=0%),0,SUM(Calculateur!$AQ$3:$AQ$33)*VLOOKUP('Données projet'!$B$10,Paramètres!$A$1:$I$89,9,0)*B7)</f>
        <v>5.7656250000000009</v>
      </c>
      <c r="K7" s="160">
        <f>J7*(100%-'Données projet'!$C$24)*(100%-'Données projet'!$C$25)*(100%-'Données projet'!$C$26)*(100%-'Données projet'!$C$27)</f>
        <v>5.1890625000000012</v>
      </c>
      <c r="L7" s="161">
        <f t="shared" ref="L7:L15" ca="1" si="2">G7+I7+K7</f>
        <v>60.056502322659952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Mélèze d'Europe</v>
      </c>
      <c r="B8" s="163">
        <f>'Données projet'!D11</f>
        <v>0.82500000000000007</v>
      </c>
      <c r="C8" s="156">
        <f ca="1">IF(OR('Données projet'!B11="",'Données projet'!C11="",'Données projet'!C11=0%),0,Calculateur!BI3)</f>
        <v>255.41017495879987</v>
      </c>
      <c r="D8" s="156">
        <f>IF(OR('Données projet'!B11="",'Données projet'!C11="",'Données projet'!C11=0%),0,Calculateur!BJ3)</f>
        <v>297.50513563712764</v>
      </c>
      <c r="E8" s="156">
        <f t="shared" ca="1" si="0"/>
        <v>255.41017495879987</v>
      </c>
      <c r="F8" s="156">
        <f t="shared" ca="1" si="1"/>
        <v>210.71339434100992</v>
      </c>
      <c r="G8" s="156">
        <f ca="1">F8*(100%-'Données projet'!$C$24)*(100%-'Données projet'!$C$25)*(100%-'Données projet'!$C$26)*(100%-'Données projet'!$C$27)</f>
        <v>189.64205490690892</v>
      </c>
      <c r="H8" s="164">
        <f>IF(OR('Données projet'!B11="",'Données projet'!C11="",'Données projet'!C11=0%),0,AVERAGE(Calculateur!$BS$3:$BS$33)*B8)</f>
        <v>6.9762971672486263</v>
      </c>
      <c r="I8" s="158">
        <f>H8*(100%-'Données projet'!$C$24)*(100%-'Données projet'!$C$25)*(100%-'Données projet'!$C$26)*(100%-'Données projet'!$C$27)</f>
        <v>6.2786674505237636</v>
      </c>
      <c r="J8" s="159">
        <f>IF(OR('Données projet'!B11="",'Données projet'!C11="",'Données projet'!C11=0%),0,SUM(Calculateur!$BL$3:$BL$33)*VLOOKUP('Données projet'!$B$11,Paramètres!$A$1:$I$89,9,0)*B8)</f>
        <v>51.084000000000003</v>
      </c>
      <c r="K8" s="160">
        <f>J8*(100%-'Données projet'!$C$24)*(100%-'Données projet'!$C$25)*(100%-'Données projet'!$C$26)*(100%-'Données projet'!$C$27)</f>
        <v>45.975600000000007</v>
      </c>
      <c r="L8" s="161">
        <f t="shared" ca="1" si="2"/>
        <v>241.89632235743269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Sapin méditerranéen</v>
      </c>
      <c r="B9" s="163">
        <f>'Données projet'!D12</f>
        <v>1.4312500000000001</v>
      </c>
      <c r="C9" s="156">
        <f ca="1">IF(OR('Données projet'!B12="",'Données projet'!C12="",'Données projet'!C12=0%),0,Calculateur!CD3)</f>
        <v>409.97612835032567</v>
      </c>
      <c r="D9" s="156">
        <f>IF(OR('Données projet'!B12="",'Données projet'!C12="",'Données projet'!C12=0%),0,Calculateur!CE3)</f>
        <v>411.87876448092288</v>
      </c>
      <c r="E9" s="156">
        <f t="shared" ca="1" si="0"/>
        <v>409.97612835032567</v>
      </c>
      <c r="F9" s="156">
        <f t="shared" ca="1" si="1"/>
        <v>586.77833370140365</v>
      </c>
      <c r="G9" s="156">
        <f ca="1">F9*(100%-'Données projet'!$C$24)*(100%-'Données projet'!$C$25)*(100%-'Données projet'!$C$26)*(100%-'Données projet'!$C$27)</f>
        <v>528.10050033126333</v>
      </c>
      <c r="H9" s="164">
        <f>IF(OR('Données projet'!B12="",'Données projet'!C12="",'Données projet'!C12=0%),0,AVERAGE(Calculateur!$CN$3:$CN$33)*B9)</f>
        <v>8.1825716191157909</v>
      </c>
      <c r="I9" s="158">
        <f>H9*(100%-'Données projet'!$C$24)*(100%-'Données projet'!$C$25)*(100%-'Données projet'!$C$26)*(100%-'Données projet'!$C$27)</f>
        <v>7.3643144572042116</v>
      </c>
      <c r="J9" s="159">
        <f>IF(OR('Données projet'!B12="",'Données projet'!C12="",'Données projet'!C12=0%),0,SUM(Calculateur!$CG$3:$CG$33)*VLOOKUP('Données projet'!$B$12,Paramètres!$A$1:$I$89,9,0)*B9)</f>
        <v>121.24118750000001</v>
      </c>
      <c r="K9" s="160">
        <f>J9*(100%-'Données projet'!$C$24)*(100%-'Données projet'!$C$25)*(100%-'Données projet'!$C$26)*(100%-'Données projet'!$C$27)</f>
        <v>109.11706875000002</v>
      </c>
      <c r="L9" s="161">
        <f t="shared" ca="1" si="2"/>
        <v>644.58188353846754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Pin laricio</v>
      </c>
      <c r="B10" s="163">
        <f>'Données projet'!D13</f>
        <v>0.60625000000000007</v>
      </c>
      <c r="C10" s="156">
        <f ca="1">IF(OR('Données projet'!B13="",'Données projet'!C13="",'Données projet'!C13=0%),0,Calculateur!CY3)</f>
        <v>463.3255103386889</v>
      </c>
      <c r="D10" s="156">
        <f>IF(OR('Données projet'!B13="",'Données projet'!C13="",'Données projet'!C13=0%),0,Calculateur!CZ3)</f>
        <v>474.73210558736127</v>
      </c>
      <c r="E10" s="156">
        <f t="shared" ca="1" si="0"/>
        <v>463.3255103386889</v>
      </c>
      <c r="F10" s="156">
        <f t="shared" ca="1" si="1"/>
        <v>280.89109064283019</v>
      </c>
      <c r="G10" s="156">
        <f ca="1">F10*(100%-'Données projet'!$C$24)*(100%-'Données projet'!$C$25)*(100%-'Données projet'!$C$26)*(100%-'Données projet'!$C$27)</f>
        <v>252.80198157854718</v>
      </c>
      <c r="H10" s="164">
        <f>IF(OR('Données projet'!B13="",'Données projet'!C13="",'Données projet'!C13=0%),0,AVERAGE(Calculateur!$DI$3:$DI$33)*B10)</f>
        <v>6.4230176736856519</v>
      </c>
      <c r="I10" s="158">
        <f>H10*(100%-'Données projet'!$C$24)*(100%-'Données projet'!$C$25)*(100%-'Données projet'!$C$26)*(100%-'Données projet'!$C$27)</f>
        <v>5.780715906317087</v>
      </c>
      <c r="J10" s="159">
        <f>IF(OR('Données projet'!B13="",'Données projet'!C13="",'Données projet'!C13=0%),0,SUM(Calculateur!$DB$3:$DB$33)*VLOOKUP('Données projet'!$B$13,Paramètres!$A$1:$I$89,9,0)*B10)</f>
        <v>60.218812500000006</v>
      </c>
      <c r="K10" s="160">
        <f>J10*(100%-'Données projet'!$C$24)*(100%-'Données projet'!$C$25)*(100%-'Données projet'!$C$26)*(100%-'Données projet'!$C$27)</f>
        <v>54.196931250000006</v>
      </c>
      <c r="L10" s="161">
        <f t="shared" ca="1" si="2"/>
        <v>312.77962873486433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>Cèdre de l'Atlas</v>
      </c>
      <c r="B11" s="163">
        <f>'Données projet'!D14</f>
        <v>0.44999999999999996</v>
      </c>
      <c r="C11" s="156">
        <f ca="1">IF(OR('Données projet'!B14="",'Données projet'!C14="",'Données projet'!C14=0%),0,Calculateur!DT3)</f>
        <v>215.23235148064941</v>
      </c>
      <c r="D11" s="156">
        <f>IF(OR('Données projet'!B14="",'Données projet'!C14="",'Données projet'!C14=0%),0,Calculateur!DU3)</f>
        <v>184.07239726900434</v>
      </c>
      <c r="E11" s="156">
        <f t="shared" ca="1" si="0"/>
        <v>184.07239726900434</v>
      </c>
      <c r="F11" s="156">
        <f t="shared" ca="1" si="1"/>
        <v>82.832578771051942</v>
      </c>
      <c r="G11" s="156">
        <f ca="1">F11*(100%-'Données projet'!$C$24)*(100%-'Données projet'!$C$25)*(100%-'Données projet'!$C$26)*(100%-'Données projet'!$C$27)</f>
        <v>74.549320893946756</v>
      </c>
      <c r="H11" s="164">
        <f>IF(OR('Données projet'!B14="",'Données projet'!C14="",'Données projet'!C14=0%),0,AVERAGE(Calculateur!$ED$3:$ED$33)*B11)</f>
        <v>0.73450507744218285</v>
      </c>
      <c r="I11" s="158">
        <f>H11*(100%-'Données projet'!$C$24)*(100%-'Données projet'!$C$25)*(100%-'Données projet'!$C$26)*(100%-'Données projet'!$C$27)</f>
        <v>0.66105456969796461</v>
      </c>
      <c r="J11" s="159">
        <f>IF(OR('Données projet'!B14="",'Données projet'!C14="",'Données projet'!C14=0%),0,SUM(Calculateur!$DW$3:$DW$33)*VLOOKUP('Données projet'!$B$14,Paramètres!$A$1:$I$89,9,0)*B11)</f>
        <v>11.300399999999998</v>
      </c>
      <c r="K11" s="160">
        <f>J11*(100%-'Données projet'!$C$24)*(100%-'Données projet'!$C$25)*(100%-'Données projet'!$C$26)*(100%-'Données projet'!$C$27)</f>
        <v>10.170359999999999</v>
      </c>
      <c r="L11" s="161">
        <f t="shared" ca="1" si="2"/>
        <v>85.380735463644726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2452.9846663811177</v>
      </c>
      <c r="G16" s="175">
        <f t="shared" ca="1" si="3"/>
        <v>2207.6861997430069</v>
      </c>
      <c r="H16" s="176">
        <f t="shared" si="3"/>
        <v>62.158590532264796</v>
      </c>
      <c r="I16" s="176">
        <f t="shared" si="3"/>
        <v>55.942731479038315</v>
      </c>
      <c r="J16" s="177">
        <f t="shared" si="3"/>
        <v>570.52977499999997</v>
      </c>
      <c r="K16" s="177">
        <f t="shared" si="3"/>
        <v>513.47679749999998</v>
      </c>
      <c r="L16" s="178">
        <f t="shared" ca="1" si="3"/>
        <v>2777.1057287220447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Mélèze d'Europe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Sapin méditerranéen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Pin laricio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>Cèdre de l'Atlas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C1" zoomScale="80" zoomScaleNormal="80" workbookViewId="0">
      <selection activeCell="T25" sqref="T25:V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4029.6059993194676</v>
      </c>
      <c r="U10" s="190">
        <f>'Données projet'!D9</f>
        <v>2.6749999999999998</v>
      </c>
      <c r="V10" s="189">
        <f>U10*T10</f>
        <v>10779.196048179576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-1618.2114185056193</v>
      </c>
      <c r="U11" s="190">
        <f>'Données projet'!D10</f>
        <v>0.25625000000000003</v>
      </c>
      <c r="V11" s="189">
        <f t="shared" ref="V11" si="0">U11*T11</f>
        <v>-414.666675992065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Mélèze d'Europe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-97.022836461300017</v>
      </c>
      <c r="U12" s="190">
        <f>'Données projet'!D11</f>
        <v>0.82500000000000007</v>
      </c>
      <c r="V12" s="189">
        <f t="shared" ref="V12:V19" si="1">U12*T12</f>
        <v>-80.043840080572522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Sapin méditerranéen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4347.7424719085875</v>
      </c>
      <c r="U13" s="190">
        <f>'Données projet'!D12</f>
        <v>1.4312500000000001</v>
      </c>
      <c r="V13" s="189">
        <f t="shared" si="1"/>
        <v>6222.7064129191667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Pin laricio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1968.8739569781355</v>
      </c>
      <c r="U14" s="190">
        <f>'Données projet'!D13</f>
        <v>0.60625000000000007</v>
      </c>
      <c r="V14" s="189">
        <f t="shared" si="1"/>
        <v>1193.6298364179947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Cèdre de l'Atlas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825.9196444813291</v>
      </c>
      <c r="U15" s="190">
        <f>'Données projet'!D14</f>
        <v>0.44999999999999996</v>
      </c>
      <c r="V15" s="189">
        <f t="shared" si="1"/>
        <v>371.66384001659804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80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2145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80.000000000000114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3200.0000000000045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f>540+1300</f>
        <v>1840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550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550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5</v>
      </c>
      <c r="I23" s="204">
        <v>550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-2487.6831115346795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20</v>
      </c>
      <c r="B24" s="193">
        <f>'Données projet'!D37</f>
        <v>125</v>
      </c>
      <c r="C24" s="206">
        <v>12</v>
      </c>
      <c r="D24" s="194">
        <f>B24*C24</f>
        <v>1500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591.18956515208095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154</v>
      </c>
      <c r="C25" s="206">
        <v>35</v>
      </c>
      <c r="D25" s="194">
        <f>B25*C25</f>
        <v>5390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-3078.8726766867603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40</v>
      </c>
      <c r="B26" s="193">
        <f>'Données projet'!D39</f>
        <v>154</v>
      </c>
      <c r="C26" s="206">
        <v>45</v>
      </c>
      <c r="D26" s="194">
        <f>B26*C26</f>
        <v>6930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50</v>
      </c>
      <c r="B27" s="193">
        <f>'Données projet'!D40</f>
        <v>138</v>
      </c>
      <c r="C27" s="206">
        <v>50</v>
      </c>
      <c r="D27" s="194">
        <f>B27*C27</f>
        <v>6900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60</v>
      </c>
      <c r="B28" s="193">
        <f>'Données projet'!D41</f>
        <v>101</v>
      </c>
      <c r="C28" s="206">
        <v>55</v>
      </c>
      <c r="D28" s="194">
        <f>B28*C28</f>
        <v>5555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70</v>
      </c>
      <c r="B29" s="193">
        <f>'Données projet'!D42</f>
        <v>86</v>
      </c>
      <c r="C29" s="206">
        <v>60</v>
      </c>
      <c r="D29" s="194">
        <f>B29*C29</f>
        <v>5160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80</v>
      </c>
      <c r="B30" s="193">
        <f>'Données projet'!D43</f>
        <v>860</v>
      </c>
      <c r="C30" s="206">
        <v>60</v>
      </c>
      <c r="D30" s="194">
        <f>B30*C30</f>
        <v>51600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ref="D31:D42" si="2">B31*C31</f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2665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34</v>
      </c>
      <c r="C54" s="204">
        <v>8</v>
      </c>
      <c r="D54" s="191">
        <f>B54*C54</f>
        <v>272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30</v>
      </c>
      <c r="B55" s="193">
        <f>'Données projet'!D63</f>
        <v>56</v>
      </c>
      <c r="C55" s="204">
        <v>12</v>
      </c>
      <c r="D55" s="191">
        <f t="shared" ref="D55:D73" si="4">B55*C55</f>
        <v>672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40</v>
      </c>
      <c r="B56" s="193">
        <f>'Données projet'!D64</f>
        <v>56</v>
      </c>
      <c r="C56" s="204">
        <v>15</v>
      </c>
      <c r="D56" s="191">
        <f t="shared" si="4"/>
        <v>840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50</v>
      </c>
      <c r="B57" s="193">
        <f>'Données projet'!D65</f>
        <v>56</v>
      </c>
      <c r="C57" s="204">
        <v>20</v>
      </c>
      <c r="D57" s="191">
        <f t="shared" si="4"/>
        <v>1120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60</v>
      </c>
      <c r="B58" s="193">
        <f>'Données projet'!D66</f>
        <v>56</v>
      </c>
      <c r="C58" s="204">
        <v>25</v>
      </c>
      <c r="D58" s="191">
        <f t="shared" si="4"/>
        <v>1400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70</v>
      </c>
      <c r="B59" s="193">
        <f>'Données projet'!D67</f>
        <v>56</v>
      </c>
      <c r="C59" s="204">
        <v>30</v>
      </c>
      <c r="D59" s="191">
        <f t="shared" si="4"/>
        <v>1680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80</v>
      </c>
      <c r="B60" s="193">
        <f>'Données projet'!D68</f>
        <v>56</v>
      </c>
      <c r="C60" s="204">
        <v>35</v>
      </c>
      <c r="D60" s="191">
        <f t="shared" si="4"/>
        <v>1960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90</v>
      </c>
      <c r="B61" s="193">
        <f>'Données projet'!D69</f>
        <v>56</v>
      </c>
      <c r="C61" s="204">
        <v>40</v>
      </c>
      <c r="D61" s="191">
        <f t="shared" si="4"/>
        <v>2240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100</v>
      </c>
      <c r="B62" s="193">
        <f>'Données projet'!D70</f>
        <v>55</v>
      </c>
      <c r="C62" s="204">
        <v>50</v>
      </c>
      <c r="D62" s="191">
        <f t="shared" si="4"/>
        <v>2750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110</v>
      </c>
      <c r="B63" s="193">
        <f>'Données projet'!D71</f>
        <v>51</v>
      </c>
      <c r="C63" s="204">
        <v>60</v>
      </c>
      <c r="D63" s="191">
        <f t="shared" si="4"/>
        <v>3060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120</v>
      </c>
      <c r="B64" s="193">
        <f>'Données projet'!D72</f>
        <v>361</v>
      </c>
      <c r="C64" s="204">
        <v>180</v>
      </c>
      <c r="D64" s="191">
        <f t="shared" si="4"/>
        <v>64980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Mélèze d'Europe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2496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20</v>
      </c>
      <c r="B85" s="193">
        <f>'Données projet'!D88</f>
        <v>60</v>
      </c>
      <c r="C85" s="204">
        <v>10</v>
      </c>
      <c r="D85" s="191">
        <f>B85*C85</f>
        <v>600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30</v>
      </c>
      <c r="B86" s="193">
        <f>'Données projet'!D89</f>
        <v>84</v>
      </c>
      <c r="C86" s="204">
        <v>25</v>
      </c>
      <c r="D86" s="191">
        <f t="shared" ref="D86:D104" si="6">B86*C86</f>
        <v>2100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40</v>
      </c>
      <c r="B87" s="193">
        <f>'Données projet'!D90</f>
        <v>82</v>
      </c>
      <c r="C87" s="204">
        <v>30</v>
      </c>
      <c r="D87" s="191">
        <f t="shared" si="6"/>
        <v>2460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50</v>
      </c>
      <c r="B88" s="193">
        <f>'Données projet'!D91</f>
        <v>68</v>
      </c>
      <c r="C88" s="204">
        <v>35</v>
      </c>
      <c r="D88" s="191">
        <f t="shared" si="6"/>
        <v>2380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60</v>
      </c>
      <c r="B89" s="193">
        <f>'Données projet'!D92</f>
        <v>55</v>
      </c>
      <c r="C89" s="204">
        <v>40</v>
      </c>
      <c r="D89" s="191">
        <f t="shared" si="6"/>
        <v>2200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70</v>
      </c>
      <c r="B90" s="193">
        <f>'Données projet'!D93</f>
        <v>45</v>
      </c>
      <c r="C90" s="204">
        <v>45</v>
      </c>
      <c r="D90" s="191">
        <f t="shared" si="6"/>
        <v>2025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80</v>
      </c>
      <c r="B91" s="193">
        <f>'Données projet'!D94</f>
        <v>442</v>
      </c>
      <c r="C91" s="204">
        <v>50</v>
      </c>
      <c r="D91" s="191">
        <f t="shared" si="6"/>
        <v>22100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Sapin méditerranéen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v>2392</v>
      </c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20</v>
      </c>
      <c r="B116" s="193">
        <f>'Données projet'!D114</f>
        <v>43</v>
      </c>
      <c r="C116" s="204">
        <v>5</v>
      </c>
      <c r="D116" s="191">
        <f>B116*C116</f>
        <v>215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30</v>
      </c>
      <c r="B117" s="193">
        <f>'Données projet'!D115</f>
        <v>154</v>
      </c>
      <c r="C117" s="204">
        <v>5</v>
      </c>
      <c r="D117" s="191">
        <f t="shared" ref="D117:D135" si="8">B117*C117</f>
        <v>770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40</v>
      </c>
      <c r="B118" s="193">
        <f>'Données projet'!D116</f>
        <v>154</v>
      </c>
      <c r="C118" s="204">
        <v>8</v>
      </c>
      <c r="D118" s="191">
        <f t="shared" si="8"/>
        <v>1232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50</v>
      </c>
      <c r="B119" s="193">
        <f>'Données projet'!D117</f>
        <v>154</v>
      </c>
      <c r="C119" s="204">
        <v>15</v>
      </c>
      <c r="D119" s="191">
        <f t="shared" si="8"/>
        <v>2310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60</v>
      </c>
      <c r="B120" s="193">
        <f>'Données projet'!D118</f>
        <v>139</v>
      </c>
      <c r="C120" s="204">
        <v>15</v>
      </c>
      <c r="D120" s="191">
        <f t="shared" si="8"/>
        <v>2085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70</v>
      </c>
      <c r="B121" s="193">
        <f>'Données projet'!D119</f>
        <v>122</v>
      </c>
      <c r="C121" s="204">
        <v>20</v>
      </c>
      <c r="D121" s="191">
        <f t="shared" si="8"/>
        <v>2440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80</v>
      </c>
      <c r="B122" s="193">
        <f>'Données projet'!D120</f>
        <v>967</v>
      </c>
      <c r="C122" s="204">
        <v>200</v>
      </c>
      <c r="D122" s="191">
        <f t="shared" si="8"/>
        <v>193400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Pin laricio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>
        <v>1924</v>
      </c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20</v>
      </c>
      <c r="B147" s="187">
        <f>'Données projet'!D140</f>
        <v>91</v>
      </c>
      <c r="C147" s="204">
        <v>10</v>
      </c>
      <c r="D147" s="194">
        <f>B147*C147</f>
        <v>910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30</v>
      </c>
      <c r="B148" s="187">
        <f>'Données projet'!D141</f>
        <v>140</v>
      </c>
      <c r="C148" s="204">
        <v>15</v>
      </c>
      <c r="D148" s="194">
        <f t="shared" ref="D148:D166" si="10">B148*C148</f>
        <v>2100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40</v>
      </c>
      <c r="B149" s="187">
        <f>'Données projet'!D142</f>
        <v>140</v>
      </c>
      <c r="C149" s="204">
        <v>25</v>
      </c>
      <c r="D149" s="194">
        <f t="shared" si="10"/>
        <v>3500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50</v>
      </c>
      <c r="B150" s="187">
        <f>'Données projet'!D143</f>
        <v>120</v>
      </c>
      <c r="C150" s="204">
        <v>35</v>
      </c>
      <c r="D150" s="194">
        <f t="shared" si="10"/>
        <v>4200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60</v>
      </c>
      <c r="B151" s="187">
        <f>'Données projet'!D144</f>
        <v>90</v>
      </c>
      <c r="C151" s="204">
        <v>40</v>
      </c>
      <c r="D151" s="194">
        <f t="shared" si="10"/>
        <v>3600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70</v>
      </c>
      <c r="B152" s="187">
        <f>'Données projet'!D145</f>
        <v>71</v>
      </c>
      <c r="C152" s="204">
        <v>50</v>
      </c>
      <c r="D152" s="194">
        <f t="shared" si="10"/>
        <v>3550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80</v>
      </c>
      <c r="B153" s="187">
        <f>'Données projet'!D146</f>
        <v>828</v>
      </c>
      <c r="C153" s="204">
        <v>60</v>
      </c>
      <c r="D153" s="194">
        <f t="shared" si="10"/>
        <v>49680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>Cèdre de l'Atlas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>
        <v>1222</v>
      </c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20</v>
      </c>
      <c r="B178" s="193">
        <f>'Données projet'!D166</f>
        <v>12.5</v>
      </c>
      <c r="C178" s="206">
        <v>8</v>
      </c>
      <c r="D178" s="191">
        <f>B178*C178</f>
        <v>100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30</v>
      </c>
      <c r="B179" s="193">
        <f>'Données projet'!D167</f>
        <v>45.9</v>
      </c>
      <c r="C179" s="206">
        <v>8</v>
      </c>
      <c r="D179" s="191">
        <f t="shared" ref="D179:D197" si="11">B179*C179</f>
        <v>367.2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40</v>
      </c>
      <c r="B180" s="193">
        <f>'Données projet'!D168</f>
        <v>83.4</v>
      </c>
      <c r="C180" s="206">
        <v>15</v>
      </c>
      <c r="D180" s="191">
        <f t="shared" si="11"/>
        <v>1251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50</v>
      </c>
      <c r="B181" s="193">
        <f>'Données projet'!D169</f>
        <v>83.4</v>
      </c>
      <c r="C181" s="206">
        <v>25</v>
      </c>
      <c r="D181" s="191">
        <f t="shared" si="11"/>
        <v>2085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60</v>
      </c>
      <c r="B182" s="193">
        <f>'Données projet'!D170</f>
        <v>83.4</v>
      </c>
      <c r="C182" s="206">
        <v>30</v>
      </c>
      <c r="D182" s="191">
        <f t="shared" si="11"/>
        <v>2502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70</v>
      </c>
      <c r="B183" s="193">
        <f>'Données projet'!D171</f>
        <v>83.4</v>
      </c>
      <c r="C183" s="206">
        <v>50</v>
      </c>
      <c r="D183" s="191">
        <f t="shared" si="11"/>
        <v>4170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80</v>
      </c>
      <c r="B184" s="193">
        <f>'Données projet'!D172</f>
        <v>83.4</v>
      </c>
      <c r="C184" s="206">
        <v>50</v>
      </c>
      <c r="D184" s="191">
        <f t="shared" si="11"/>
        <v>4170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90</v>
      </c>
      <c r="B185" s="193">
        <f>'Données projet'!D173</f>
        <v>83.4</v>
      </c>
      <c r="C185" s="206">
        <v>50</v>
      </c>
      <c r="D185" s="191">
        <f t="shared" si="11"/>
        <v>4170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100</v>
      </c>
      <c r="B186" s="193">
        <f>'Données projet'!D174</f>
        <v>726.2</v>
      </c>
      <c r="C186" s="206">
        <v>100</v>
      </c>
      <c r="D186" s="191">
        <f t="shared" si="11"/>
        <v>72620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Cécile De Coincy</cp:lastModifiedBy>
  <dcterms:created xsi:type="dcterms:W3CDTF">2021-02-01T08:22:39Z</dcterms:created>
  <dcterms:modified xsi:type="dcterms:W3CDTF">2022-12-08T15:28:54Z</dcterms:modified>
</cp:coreProperties>
</file>