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GFA de la Muette (St Gatien) - 8868556/"/>
    </mc:Choice>
  </mc:AlternateContent>
  <xr:revisionPtr revIDLastSave="89" documentId="8_{D6D0F982-1D97-4E7F-B5A7-43EAE8458A83}" xr6:coauthVersionLast="47" xr6:coauthVersionMax="47" xr10:uidLastSave="{9C71FD62-260F-41C6-B2E1-8981206AA1CA}"/>
  <bookViews>
    <workbookView xWindow="312" yWindow="0" windowWidth="10548" windowHeight="12336" tabRatio="855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6" l="1"/>
  <c r="I24" i="6"/>
  <c r="I23" i="6"/>
  <c r="I22" i="6"/>
  <c r="I21" i="6"/>
  <c r="I20" i="6"/>
  <c r="J21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l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C4" i="2"/>
  <c r="GL4" i="2"/>
  <c r="BR4" i="2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FS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G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HI28" i="2"/>
  <c r="EV28" i="2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G85" i="2"/>
  <c r="EC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C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EX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FS128" i="2"/>
  <c r="EV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HG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EX145" i="2"/>
  <c r="EA145" i="2"/>
  <c r="HG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G155" i="2"/>
  <c r="HH155" i="2"/>
  <c r="EA155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G156" i="2" l="1"/>
  <c r="AB156" i="2"/>
  <c r="FS156" i="2"/>
  <c r="HH156" i="2"/>
  <c r="DH156" i="2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A157" i="2"/>
  <c r="EX157" i="2"/>
  <c r="HH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HH160" i="2"/>
  <c r="EY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HG161" i="2"/>
  <c r="EX161" i="2"/>
  <c r="FS161" i="2"/>
  <c r="HH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DI161" i="2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FR164" i="2"/>
  <c r="DI163" i="2"/>
  <c r="DH164" i="2"/>
  <c r="EX164" i="2"/>
  <c r="HH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HH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CN165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A167" i="2"/>
  <c r="HH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C168" i="2"/>
  <c r="EW168" i="2"/>
  <c r="HI168" i="2"/>
  <c r="HH168" i="2"/>
  <c r="DG168" i="2"/>
  <c r="EV168" i="2"/>
  <c r="EY168" i="2" s="1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V172" i="2"/>
  <c r="EA172" i="2"/>
  <c r="HI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B175" i="2"/>
  <c r="EW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C177" i="2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H178" i="2"/>
  <c r="HG178" i="2"/>
  <c r="EA178" i="2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B179" i="2"/>
  <c r="EV179" i="2"/>
  <c r="DF179" i="2"/>
  <c r="EA179" i="2"/>
  <c r="ED179" i="2" s="1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I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A186" i="2"/>
  <c r="FS186" i="2"/>
  <c r="HH186" i="2"/>
  <c r="FR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W192" i="2"/>
  <c r="HG192" i="2"/>
  <c r="EA192" i="2"/>
  <c r="ED192" i="2" s="1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B193" i="2"/>
  <c r="FQ193" i="2"/>
  <c r="DI192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HI194" i="2"/>
  <c r="EB194" i="2"/>
  <c r="FQ194" i="2"/>
  <c r="CN193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HG195" i="2"/>
  <c r="HI195" i="2"/>
  <c r="EA195" i="2"/>
  <c r="EX195" i="2"/>
  <c r="DH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HH197" i="2"/>
  <c r="HG197" i="2"/>
  <c r="EC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EB199" i="2"/>
  <c r="EW199" i="2"/>
  <c r="HG199" i="2"/>
  <c r="HJ199" i="2" s="1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D200" i="2"/>
  <c r="HH201" i="2" l="1"/>
  <c r="HG201" i="2"/>
  <c r="DI200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EW202" i="2"/>
  <c r="EX202" i="2"/>
  <c r="HH202" i="2"/>
  <c r="FZ6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32" i="2" a="1"/>
  <c r="FY32" i="2" s="1"/>
  <c r="FY146" i="2" a="1"/>
  <c r="FY146" i="2" s="1"/>
  <c r="FY165" i="2" a="1"/>
  <c r="FY165" i="2" s="1"/>
  <c r="FY35" i="2" a="1"/>
  <c r="FY35" i="2" s="1"/>
  <c r="FY140" i="2" a="1"/>
  <c r="FY140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GT121" i="2" a="1"/>
  <c r="GT121" i="2" s="1"/>
  <c r="GT11" i="2" a="1"/>
  <c r="GT11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92" i="2" a="1"/>
  <c r="BC192" i="2" s="1"/>
  <c r="BC151" i="2" a="1"/>
  <c r="BC151" i="2" s="1"/>
  <c r="BC83" i="2" a="1"/>
  <c r="BC83" i="2" s="1"/>
  <c r="BC38" i="2" a="1"/>
  <c r="BC38" i="2" s="1"/>
  <c r="GT191" i="2" a="1"/>
  <c r="GT191" i="2" s="1"/>
  <c r="GT190" i="2" a="1"/>
  <c r="GT190" i="2" s="1"/>
  <c r="GT107" i="2" a="1"/>
  <c r="GT107" i="2" s="1"/>
  <c r="GT15" i="2" a="1"/>
  <c r="GT15" i="2" s="1"/>
  <c r="DN6" i="2" a="1"/>
  <c r="DN6" i="2" s="1"/>
  <c r="DO6" i="2" s="1"/>
  <c r="FD82" i="2" a="1"/>
  <c r="FD82" i="2" s="1"/>
  <c r="HJ202" i="2"/>
  <c r="AX200" i="2"/>
  <c r="GT102" i="2" l="1" a="1"/>
  <c r="GT102" i="2" s="1"/>
  <c r="GT38" i="2" a="1"/>
  <c r="GT38" i="2" s="1"/>
  <c r="GT122" i="2" a="1"/>
  <c r="GT122" i="2" s="1"/>
  <c r="GT126" i="2" a="1"/>
  <c r="GT126" i="2" s="1"/>
  <c r="GT51" i="2" a="1"/>
  <c r="GT51" i="2" s="1"/>
  <c r="GT74" i="2" a="1"/>
  <c r="GT74" i="2" s="1"/>
  <c r="GT68" i="2" a="1"/>
  <c r="GT68" i="2" s="1"/>
  <c r="GT12" i="2" a="1"/>
  <c r="GT12" i="2" s="1"/>
  <c r="GT138" i="2" a="1"/>
  <c r="GT138" i="2" s="1"/>
  <c r="GT178" i="2" a="1"/>
  <c r="GT178" i="2" s="1"/>
  <c r="GT147" i="2" a="1"/>
  <c r="GT147" i="2" s="1"/>
  <c r="GT181" i="2" a="1"/>
  <c r="GT181" i="2" s="1"/>
  <c r="GT189" i="2" a="1"/>
  <c r="GT189" i="2" s="1"/>
  <c r="GT152" i="2" a="1"/>
  <c r="GT152" i="2" s="1"/>
  <c r="GT184" i="2" a="1"/>
  <c r="GT184" i="2" s="1"/>
  <c r="GT174" i="2" a="1"/>
  <c r="GT174" i="2" s="1"/>
  <c r="GT198" i="2" a="1"/>
  <c r="GT198" i="2" s="1"/>
  <c r="GT33" i="2" a="1"/>
  <c r="GT33" i="2" s="1"/>
  <c r="GT115" i="2" a="1"/>
  <c r="GT115" i="2" s="1"/>
  <c r="GT21" i="2" a="1"/>
  <c r="GT21" i="2" s="1"/>
  <c r="GT133" i="2" a="1"/>
  <c r="GT133" i="2" s="1"/>
  <c r="FY22" i="2" a="1"/>
  <c r="FY22" i="2" s="1"/>
  <c r="FY57" i="2" a="1"/>
  <c r="FY57" i="2" s="1"/>
  <c r="AH92" i="2" a="1"/>
  <c r="AH92" i="2" s="1"/>
  <c r="CS24" i="2" a="1"/>
  <c r="CS24" i="2" s="1"/>
  <c r="EI128" i="2" a="1"/>
  <c r="EI128" i="2" s="1"/>
  <c r="EI106" i="2" a="1"/>
  <c r="EI106" i="2" s="1"/>
  <c r="FY133" i="2" a="1"/>
  <c r="FY133" i="2" s="1"/>
  <c r="FY90" i="2" a="1"/>
  <c r="FY90" i="2" s="1"/>
  <c r="EI34" i="2" a="1"/>
  <c r="EI34" i="2" s="1"/>
  <c r="FY29" i="2" a="1"/>
  <c r="FY29" i="2" s="1"/>
  <c r="FY54" i="2" a="1"/>
  <c r="FY54" i="2" s="1"/>
  <c r="EI178" i="2" a="1"/>
  <c r="EI178" i="2" s="1"/>
  <c r="DN31" i="2" a="1"/>
  <c r="DN31" i="2" s="1"/>
  <c r="EI109" i="2" a="1"/>
  <c r="EI109" i="2" s="1"/>
  <c r="AH19" i="2" a="1"/>
  <c r="AH19" i="2" s="1"/>
  <c r="EI36" i="2" a="1"/>
  <c r="EI36" i="2" s="1"/>
  <c r="EI87" i="2" a="1"/>
  <c r="EI87" i="2" s="1"/>
  <c r="EI198" i="2" a="1"/>
  <c r="EI198" i="2" s="1"/>
  <c r="EI35" i="2" a="1"/>
  <c r="EI35" i="2" s="1"/>
  <c r="DN188" i="2" a="1"/>
  <c r="DN188" i="2" s="1"/>
  <c r="EI153" i="2" a="1"/>
  <c r="EI153" i="2" s="1"/>
  <c r="EI16" i="2" a="1"/>
  <c r="EI16" i="2" s="1"/>
  <c r="DN113" i="2" a="1"/>
  <c r="DN113" i="2" s="1"/>
  <c r="EI113" i="2" a="1"/>
  <c r="EI113" i="2" s="1"/>
  <c r="DN137" i="2" a="1"/>
  <c r="DN137" i="2" s="1"/>
  <c r="EI37" i="2" a="1"/>
  <c r="EI37" i="2" s="1"/>
  <c r="EI20" i="2" a="1"/>
  <c r="EI20" i="2" s="1"/>
  <c r="EI38" i="2" a="1"/>
  <c r="EI38" i="2" s="1"/>
  <c r="AH166" i="2" a="1"/>
  <c r="AH166" i="2" s="1"/>
  <c r="EI142" i="2" a="1"/>
  <c r="EI142" i="2" s="1"/>
  <c r="EI166" i="2" a="1"/>
  <c r="EI166" i="2" s="1"/>
  <c r="EI139" i="2" a="1"/>
  <c r="EI139" i="2" s="1"/>
  <c r="EI165" i="2" a="1"/>
  <c r="EI165" i="2" s="1"/>
  <c r="AH90" i="2" a="1"/>
  <c r="AH90" i="2" s="1"/>
  <c r="EI145" i="2" a="1"/>
  <c r="EI145" i="2" s="1"/>
  <c r="EI67" i="2" a="1"/>
  <c r="EI67" i="2" s="1"/>
  <c r="EI71" i="2" a="1"/>
  <c r="EI71" i="2" s="1"/>
  <c r="AH151" i="2" a="1"/>
  <c r="AH151" i="2" s="1"/>
  <c r="EI162" i="2" a="1"/>
  <c r="EI162" i="2" s="1"/>
  <c r="BX107" i="2" a="1"/>
  <c r="BX107" i="2" s="1"/>
  <c r="EI170" i="2" a="1"/>
  <c r="EI170" i="2" s="1"/>
  <c r="EI57" i="2" a="1"/>
  <c r="EI57" i="2" s="1"/>
  <c r="EI195" i="2" a="1"/>
  <c r="EI195" i="2" s="1"/>
  <c r="EI150" i="2" a="1"/>
  <c r="EI150" i="2" s="1"/>
  <c r="EI29" i="2" a="1"/>
  <c r="EI29" i="2" s="1"/>
  <c r="CS52" i="2" a="1"/>
  <c r="CS52" i="2" s="1"/>
  <c r="CS66" i="2" a="1"/>
  <c r="CS66" i="2" s="1"/>
  <c r="CS56" i="2" a="1"/>
  <c r="CS56" i="2" s="1"/>
  <c r="CS105" i="2" a="1"/>
  <c r="CS105" i="2" s="1"/>
  <c r="CS161" i="2" a="1"/>
  <c r="CS161" i="2" s="1"/>
  <c r="AH62" i="2" a="1"/>
  <c r="AH62" i="2" s="1"/>
  <c r="AH163" i="2" a="1"/>
  <c r="AH163" i="2" s="1"/>
  <c r="AH199" i="2" a="1"/>
  <c r="AH199" i="2" s="1"/>
  <c r="CS137" i="2" a="1"/>
  <c r="CS137" i="2" s="1"/>
  <c r="CS116" i="2" a="1"/>
  <c r="CS116" i="2" s="1"/>
  <c r="CS114" i="2" a="1"/>
  <c r="CS114" i="2" s="1"/>
  <c r="CS185" i="2" a="1"/>
  <c r="CS185" i="2" s="1"/>
  <c r="CS120" i="2" a="1"/>
  <c r="CS120" i="2" s="1"/>
  <c r="CS72" i="2" a="1"/>
  <c r="CS72" i="2" s="1"/>
  <c r="CS134" i="2" a="1"/>
  <c r="CS134" i="2" s="1"/>
  <c r="CS38" i="2" a="1"/>
  <c r="CS38" i="2" s="1"/>
  <c r="CS77" i="2" a="1"/>
  <c r="CS77" i="2" s="1"/>
  <c r="CS129" i="2" a="1"/>
  <c r="CS129" i="2" s="1"/>
  <c r="BC7" i="2" a="1"/>
  <c r="BC7" i="2" s="1"/>
  <c r="BC185" i="2" a="1"/>
  <c r="BC185" i="2" s="1"/>
  <c r="BC68" i="2" a="1"/>
  <c r="BC68" i="2" s="1"/>
  <c r="BC164" i="2" a="1"/>
  <c r="BC164" i="2" s="1"/>
  <c r="BC18" i="2" a="1"/>
  <c r="BC18" i="2" s="1"/>
  <c r="BC55" i="2" a="1"/>
  <c r="BC55" i="2" s="1"/>
  <c r="DN187" i="2" a="1"/>
  <c r="DN187" i="2" s="1"/>
  <c r="DN30" i="2" a="1"/>
  <c r="DN30" i="2" s="1"/>
  <c r="DN55" i="2" a="1"/>
  <c r="DN55" i="2" s="1"/>
  <c r="DN135" i="2" a="1"/>
  <c r="DN135" i="2" s="1"/>
  <c r="DN114" i="2" a="1"/>
  <c r="DN114" i="2" s="1"/>
  <c r="DN192" i="2" a="1"/>
  <c r="DN192" i="2" s="1"/>
  <c r="DN129" i="2" a="1"/>
  <c r="DN129" i="2" s="1"/>
  <c r="DN43" i="2" a="1"/>
  <c r="DN43" i="2" s="1"/>
  <c r="DN46" i="2" a="1"/>
  <c r="DN46" i="2" s="1"/>
  <c r="DN110" i="2" a="1"/>
  <c r="DN110" i="2" s="1"/>
  <c r="DN38" i="2" a="1"/>
  <c r="DN38" i="2" s="1"/>
  <c r="DN103" i="2" a="1"/>
  <c r="DN103" i="2" s="1"/>
  <c r="DN66" i="2" a="1"/>
  <c r="DN66" i="2" s="1"/>
  <c r="DN50" i="2" a="1"/>
  <c r="DN50" i="2" s="1"/>
  <c r="DN186" i="2" a="1"/>
  <c r="DN186" i="2" s="1"/>
  <c r="DN167" i="2" a="1"/>
  <c r="DN167" i="2" s="1"/>
  <c r="DN86" i="2" a="1"/>
  <c r="DN86" i="2" s="1"/>
  <c r="DN25" i="2" a="1"/>
  <c r="DN25" i="2" s="1"/>
  <c r="DN176" i="2" a="1"/>
  <c r="DN176" i="2" s="1"/>
  <c r="DN45" i="2" a="1"/>
  <c r="DN45" i="2" s="1"/>
  <c r="DN190" i="2" a="1"/>
  <c r="DN190" i="2" s="1"/>
  <c r="DN16" i="2" a="1"/>
  <c r="DN16" i="2" s="1"/>
  <c r="DN80" i="2" a="1"/>
  <c r="DN80" i="2" s="1"/>
  <c r="DN123" i="2" a="1"/>
  <c r="DN123" i="2" s="1"/>
  <c r="DN177" i="2" a="1"/>
  <c r="DN177" i="2" s="1"/>
  <c r="DN184" i="2" a="1"/>
  <c r="DN184" i="2" s="1"/>
  <c r="DN162" i="2" a="1"/>
  <c r="DN162" i="2" s="1"/>
  <c r="DN115" i="2" a="1"/>
  <c r="DN115" i="2" s="1"/>
  <c r="DN152" i="2" a="1"/>
  <c r="DN152" i="2" s="1"/>
  <c r="DN124" i="2" a="1"/>
  <c r="DN124" i="2" s="1"/>
  <c r="DN133" i="2" a="1"/>
  <c r="DN133" i="2" s="1"/>
  <c r="DN65" i="2" a="1"/>
  <c r="DN65" i="2" s="1"/>
  <c r="DN49" i="2" a="1"/>
  <c r="DN49" i="2" s="1"/>
  <c r="DN168" i="2" a="1"/>
  <c r="DN168" i="2" s="1"/>
  <c r="DN153" i="2" a="1"/>
  <c r="DN153" i="2" s="1"/>
  <c r="DN29" i="2" a="1"/>
  <c r="DN29" i="2" s="1"/>
  <c r="HH203" i="2"/>
  <c r="DN132" i="2" a="1"/>
  <c r="DN132" i="2" s="1"/>
  <c r="DN70" i="2" a="1"/>
  <c r="DN70" i="2" s="1"/>
  <c r="DN164" i="2" a="1"/>
  <c r="DN164" i="2" s="1"/>
  <c r="DN63" i="2" a="1"/>
  <c r="DN63" i="2" s="1"/>
  <c r="DN150" i="2" a="1"/>
  <c r="DN150" i="2" s="1"/>
  <c r="DN170" i="2" a="1"/>
  <c r="DN170" i="2" s="1"/>
  <c r="DN41" i="2" a="1"/>
  <c r="DN41" i="2" s="1"/>
  <c r="DN155" i="2" a="1"/>
  <c r="DN155" i="2" s="1"/>
  <c r="DN56" i="2" a="1"/>
  <c r="DN56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84" i="2" a="1"/>
  <c r="BC84" i="2" s="1"/>
  <c r="BC114" i="2" a="1"/>
  <c r="BC114" i="2" s="1"/>
  <c r="BC32" i="2" a="1"/>
  <c r="BC32" i="2" s="1"/>
  <c r="BC126" i="2" a="1"/>
  <c r="BC126" i="2" s="1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DI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CD14" i="2" l="1"/>
  <c r="CD160" i="2"/>
  <c r="CD60" i="2"/>
  <c r="CD99" i="2"/>
  <c r="CD16" i="2"/>
  <c r="CD44" i="2"/>
  <c r="CD180" i="2"/>
  <c r="CD71" i="2"/>
  <c r="CD195" i="2"/>
  <c r="CD90" i="2"/>
  <c r="CD106" i="2"/>
  <c r="CD150" i="2"/>
  <c r="CD12" i="2"/>
  <c r="CD105" i="2"/>
  <c r="CD188" i="2"/>
  <c r="CD4" i="2"/>
  <c r="CD68" i="2"/>
  <c r="CD185" i="2"/>
  <c r="CD31" i="2"/>
  <c r="CD61" i="2"/>
  <c r="CD159" i="2"/>
  <c r="CD88" i="2"/>
  <c r="CD35" i="2"/>
  <c r="CD39" i="2"/>
  <c r="CD11" i="2"/>
  <c r="CD47" i="2"/>
  <c r="CD76" i="2"/>
  <c r="CD7" i="2"/>
  <c r="CD18" i="2"/>
  <c r="CD63" i="2"/>
  <c r="CD73" i="2"/>
  <c r="CD199" i="2"/>
  <c r="CD37" i="2"/>
  <c r="CD156" i="2"/>
  <c r="CD30" i="2"/>
  <c r="CD147" i="2"/>
  <c r="CD94" i="2"/>
  <c r="CD107" i="2"/>
  <c r="CD183" i="2"/>
  <c r="CD178" i="2"/>
  <c r="CD29" i="2"/>
  <c r="CD153" i="2"/>
  <c r="CD33" i="2"/>
  <c r="CD184" i="2"/>
  <c r="CD9" i="2"/>
  <c r="CD21" i="2"/>
  <c r="CD69" i="2"/>
  <c r="CD13" i="2"/>
  <c r="CD109" i="2"/>
  <c r="CD119" i="2"/>
  <c r="CD168" i="2"/>
  <c r="CD114" i="2"/>
  <c r="CD148" i="2"/>
  <c r="CD196" i="2"/>
  <c r="CD57" i="2"/>
  <c r="CD58" i="2"/>
  <c r="CD187" i="2"/>
  <c r="CD84" i="2"/>
  <c r="CD161" i="2"/>
  <c r="CD177" i="2"/>
  <c r="CD3" i="2"/>
  <c r="C9" i="4" s="1"/>
  <c r="E9" i="4" s="1"/>
  <c r="F9" i="4" s="1"/>
  <c r="G9" i="4" s="1"/>
  <c r="L9" i="4" s="1"/>
  <c r="CD203" i="2"/>
  <c r="CD143" i="2"/>
  <c r="CD122" i="2"/>
  <c r="CD171" i="2"/>
  <c r="CD162" i="2"/>
  <c r="CD40" i="2"/>
  <c r="CD96" i="2"/>
  <c r="CD28" i="2"/>
  <c r="CD169" i="2"/>
  <c r="CD101" i="2"/>
  <c r="CD22" i="2"/>
  <c r="CD34" i="2"/>
  <c r="CD135" i="2"/>
  <c r="CD19" i="2"/>
  <c r="CD170" i="2"/>
  <c r="CD120" i="2"/>
  <c r="CD155" i="2"/>
  <c r="CD46" i="2"/>
  <c r="CD50" i="2"/>
  <c r="CD158" i="2"/>
  <c r="CD87" i="2"/>
  <c r="CD189" i="2"/>
  <c r="CD8" i="2"/>
  <c r="CD151" i="2"/>
  <c r="CD89" i="2"/>
  <c r="CD201" i="2"/>
  <c r="CD62" i="2"/>
  <c r="CD59" i="2"/>
  <c r="CD173" i="2"/>
  <c r="CD41" i="2"/>
  <c r="CD126" i="2"/>
  <c r="CD141" i="2"/>
  <c r="CD6" i="2"/>
  <c r="CD179" i="2"/>
  <c r="CD52" i="2"/>
  <c r="CD198" i="2"/>
  <c r="CD54" i="2"/>
  <c r="CD117" i="2"/>
  <c r="CD102" i="2"/>
  <c r="CD167" i="2"/>
  <c r="CD104" i="2"/>
  <c r="CD74" i="2"/>
  <c r="CD70" i="2"/>
  <c r="CD92" i="2"/>
  <c r="CD24" i="2"/>
  <c r="CD64" i="2"/>
  <c r="CD165" i="2"/>
  <c r="CD121" i="2"/>
  <c r="CD166" i="2"/>
  <c r="CD123" i="2"/>
  <c r="CD86" i="2"/>
  <c r="CD197" i="2"/>
  <c r="CD65" i="2"/>
  <c r="CD77" i="2"/>
  <c r="CD137" i="2"/>
  <c r="CD25" i="2"/>
  <c r="CD75" i="2"/>
  <c r="CD181" i="2"/>
  <c r="CD95" i="2"/>
  <c r="CD146" i="2"/>
  <c r="CD118" i="2"/>
  <c r="CD116" i="2"/>
  <c r="CD72" i="2"/>
  <c r="CD27" i="2"/>
  <c r="CD97" i="2"/>
  <c r="CD51" i="2"/>
  <c r="CD191" i="2"/>
  <c r="CD145" i="2"/>
  <c r="CD154" i="2"/>
  <c r="CD98" i="2"/>
  <c r="CD164" i="2"/>
  <c r="CD128" i="2"/>
  <c r="CD138" i="2"/>
  <c r="CD23" i="2"/>
  <c r="CD152" i="2"/>
  <c r="CD32" i="2"/>
  <c r="CD10" i="2"/>
  <c r="CD85" i="2"/>
  <c r="CD81" i="2"/>
  <c r="CD163" i="2"/>
  <c r="CD129" i="2"/>
  <c r="CD5" i="2"/>
  <c r="CD202" i="2"/>
  <c r="CD192" i="2"/>
  <c r="CD133" i="2"/>
  <c r="CD55" i="2"/>
  <c r="CD67" i="2"/>
  <c r="CD79" i="2"/>
  <c r="CD125" i="2"/>
  <c r="CD142" i="2"/>
  <c r="CD108" i="2"/>
  <c r="CD36" i="2"/>
  <c r="CD43" i="2"/>
  <c r="CD200" i="2"/>
  <c r="CD175" i="2"/>
  <c r="CD131" i="2"/>
  <c r="CD130" i="2"/>
  <c r="CD172" i="2"/>
  <c r="CD38" i="2"/>
  <c r="CD136" i="2"/>
  <c r="CD157" i="2"/>
  <c r="CD45" i="2"/>
  <c r="CD186" i="2"/>
  <c r="CD115" i="2"/>
  <c r="CD78" i="2"/>
  <c r="CD112" i="2"/>
  <c r="CD80" i="2"/>
  <c r="CD193" i="2"/>
  <c r="CD127" i="2"/>
  <c r="CD49" i="2"/>
  <c r="CD113" i="2"/>
  <c r="CD15" i="2"/>
  <c r="CD132" i="2"/>
  <c r="CD82" i="2"/>
  <c r="CD139" i="2"/>
  <c r="CD56" i="2"/>
  <c r="CD93" i="2"/>
  <c r="CD176" i="2"/>
  <c r="CD134" i="2"/>
  <c r="CD42" i="2"/>
  <c r="CD53" i="2"/>
  <c r="CD174" i="2"/>
  <c r="CD26" i="2"/>
  <c r="CD91" i="2"/>
  <c r="CD194" i="2"/>
  <c r="CD83" i="2"/>
  <c r="CD111" i="2"/>
  <c r="CD149" i="2"/>
  <c r="CD190" i="2"/>
  <c r="CD110" i="2"/>
  <c r="CD124" i="2"/>
  <c r="CD20" i="2"/>
  <c r="CD144" i="2"/>
  <c r="CD103" i="2"/>
  <c r="CD48" i="2"/>
  <c r="CD182" i="2"/>
  <c r="CD140" i="2"/>
  <c r="CD17" i="2"/>
  <c r="CD66" i="2"/>
  <c r="CD100" i="2"/>
  <c r="FE111" i="2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AN100" i="2" l="1"/>
  <c r="AN106" i="2"/>
  <c r="AN124" i="2"/>
  <c r="AN62" i="2"/>
  <c r="AN87" i="2"/>
  <c r="AN123" i="2"/>
  <c r="AN45" i="2"/>
  <c r="AN76" i="2"/>
  <c r="AN154" i="2"/>
  <c r="AN200" i="2"/>
  <c r="AN66" i="2"/>
  <c r="AN142" i="2"/>
  <c r="AN52" i="2"/>
  <c r="AN14" i="2"/>
  <c r="AN94" i="2"/>
  <c r="AN81" i="2"/>
  <c r="AN125" i="2"/>
  <c r="AN194" i="2"/>
  <c r="AN70" i="2"/>
  <c r="AN107" i="2"/>
  <c r="AN167" i="2"/>
  <c r="AN98" i="2"/>
  <c r="AN55" i="2"/>
  <c r="AN129" i="2"/>
  <c r="AN132" i="2"/>
  <c r="AN58" i="2"/>
  <c r="AN170" i="2"/>
  <c r="AN46" i="2"/>
  <c r="AN201" i="2"/>
  <c r="AN155" i="2"/>
  <c r="AN102" i="2"/>
  <c r="AN140" i="2"/>
  <c r="AN57" i="2"/>
  <c r="AN7" i="2"/>
  <c r="AN61" i="2"/>
  <c r="AN161" i="2"/>
  <c r="AN116" i="2"/>
  <c r="AN153" i="2"/>
  <c r="AN156" i="2"/>
  <c r="AN188" i="2"/>
  <c r="AN4" i="2"/>
  <c r="AN10" i="2"/>
  <c r="AN113" i="2"/>
  <c r="AN95" i="2"/>
  <c r="AN203" i="2"/>
  <c r="AN89" i="2"/>
  <c r="AN191" i="2"/>
  <c r="AN24" i="2"/>
  <c r="AN127" i="2"/>
  <c r="AN192" i="2"/>
  <c r="AN90" i="2"/>
  <c r="AN31" i="2"/>
  <c r="AN186" i="2"/>
  <c r="AN190" i="2"/>
  <c r="AN72" i="2"/>
  <c r="AN171" i="2"/>
  <c r="AN63" i="2"/>
  <c r="AN23" i="2"/>
  <c r="AN73" i="2"/>
  <c r="AN40" i="2"/>
  <c r="AN202" i="2"/>
  <c r="AN15" i="2"/>
  <c r="AN16" i="2"/>
  <c r="AN64" i="2"/>
  <c r="AN175" i="2"/>
  <c r="AN32" i="2"/>
  <c r="AN195" i="2"/>
  <c r="AN173" i="2"/>
  <c r="AN150" i="2"/>
  <c r="AN111" i="2"/>
  <c r="AN13" i="2"/>
  <c r="AN5" i="2"/>
  <c r="AN42" i="2"/>
  <c r="AN19" i="2"/>
  <c r="AN28" i="2"/>
  <c r="AN178" i="2"/>
  <c r="AN141" i="2"/>
  <c r="AN149" i="2"/>
  <c r="AN138" i="2"/>
  <c r="AN9" i="2"/>
  <c r="AN60" i="2"/>
  <c r="AN198" i="2"/>
  <c r="AN136" i="2"/>
  <c r="AN75" i="2"/>
  <c r="AN126" i="2"/>
  <c r="AN43" i="2"/>
  <c r="AN118" i="2"/>
  <c r="AN152" i="2"/>
  <c r="AN18" i="2"/>
  <c r="AN164" i="2"/>
  <c r="AN21" i="2"/>
  <c r="AN80" i="2"/>
  <c r="AN115" i="2"/>
  <c r="AN184" i="2"/>
  <c r="AN86" i="2"/>
  <c r="AN65" i="2"/>
  <c r="AN169" i="2"/>
  <c r="AN83" i="2"/>
  <c r="AN91" i="2"/>
  <c r="AN122" i="2"/>
  <c r="AN51" i="2"/>
  <c r="AN39" i="2"/>
  <c r="AN120" i="2"/>
  <c r="AN33" i="2"/>
  <c r="AN148" i="2"/>
  <c r="AN174" i="2"/>
  <c r="AN135" i="2"/>
  <c r="AN26" i="2"/>
  <c r="AN69" i="2"/>
  <c r="AN84" i="2"/>
  <c r="AN189" i="2"/>
  <c r="AN85" i="2"/>
  <c r="AN30" i="2"/>
  <c r="AN50" i="2"/>
  <c r="AN131" i="2"/>
  <c r="AN88" i="2"/>
  <c r="AN199" i="2"/>
  <c r="AN187" i="2"/>
  <c r="AN53" i="2"/>
  <c r="AN157" i="2"/>
  <c r="AN158" i="2"/>
  <c r="AN96" i="2"/>
  <c r="AN181" i="2"/>
  <c r="AN36" i="2"/>
  <c r="AN22" i="2"/>
  <c r="AN121" i="2"/>
  <c r="AN92" i="2"/>
  <c r="AN183" i="2"/>
  <c r="AN38" i="2"/>
  <c r="AN41" i="2"/>
  <c r="AN168" i="2"/>
  <c r="AN147" i="2"/>
  <c r="AN176" i="2"/>
  <c r="AN99" i="2"/>
  <c r="AN165" i="2"/>
  <c r="AN11" i="2"/>
  <c r="AN54" i="2"/>
  <c r="AN197" i="2"/>
  <c r="AN3" i="2"/>
  <c r="C7" i="4" s="1"/>
  <c r="E7" i="4" s="1"/>
  <c r="F7" i="4" s="1"/>
  <c r="G7" i="4" s="1"/>
  <c r="L7" i="4" s="1"/>
  <c r="AN137" i="2"/>
  <c r="AN162" i="2"/>
  <c r="AN114" i="2"/>
  <c r="AN27" i="2"/>
  <c r="AN101" i="2"/>
  <c r="AN25" i="2"/>
  <c r="AN44" i="2"/>
  <c r="AN34" i="2"/>
  <c r="AN182" i="2"/>
  <c r="AN146" i="2"/>
  <c r="AN160" i="2"/>
  <c r="AN48" i="2"/>
  <c r="AN17" i="2"/>
  <c r="AN68" i="2"/>
  <c r="AN37" i="2"/>
  <c r="AN128" i="2"/>
  <c r="AN134" i="2"/>
  <c r="AN47" i="2"/>
  <c r="AN166" i="2"/>
  <c r="AN130" i="2"/>
  <c r="AN112" i="2"/>
  <c r="AN97" i="2"/>
  <c r="AN144" i="2"/>
  <c r="AN119" i="2"/>
  <c r="AN20" i="2"/>
  <c r="AN59" i="2"/>
  <c r="AN185" i="2"/>
  <c r="AN67" i="2"/>
  <c r="AN104" i="2"/>
  <c r="AN93" i="2"/>
  <c r="AN159" i="2"/>
  <c r="AN145" i="2"/>
  <c r="AN110" i="2"/>
  <c r="AN79" i="2"/>
  <c r="AN139" i="2"/>
  <c r="AN6" i="2"/>
  <c r="AN77" i="2"/>
  <c r="AN193" i="2"/>
  <c r="AN172" i="2"/>
  <c r="AN56" i="2"/>
  <c r="AN196" i="2"/>
  <c r="AN35" i="2"/>
  <c r="AN49" i="2"/>
  <c r="AN117" i="2"/>
  <c r="AN8" i="2"/>
  <c r="AN133" i="2"/>
  <c r="AN180" i="2"/>
  <c r="AN78" i="2"/>
  <c r="AN163" i="2"/>
  <c r="AN103" i="2"/>
  <c r="AN177" i="2"/>
  <c r="AN109" i="2"/>
  <c r="AN29" i="2"/>
  <c r="AN12" i="2"/>
  <c r="AN108" i="2"/>
  <c r="AN105" i="2"/>
  <c r="AN71" i="2"/>
  <c r="AN82" i="2"/>
  <c r="AN143" i="2"/>
  <c r="AN151" i="2"/>
  <c r="AN74" i="2"/>
  <c r="AN179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CY178" i="2" l="1"/>
  <c r="CY149" i="2"/>
  <c r="CY179" i="2"/>
  <c r="CY181" i="2"/>
  <c r="CY85" i="2"/>
  <c r="CY10" i="2"/>
  <c r="CY57" i="2"/>
  <c r="CY35" i="2"/>
  <c r="CY191" i="2"/>
  <c r="CY63" i="2"/>
  <c r="CY186" i="2"/>
  <c r="CY117" i="2"/>
  <c r="CY114" i="2"/>
  <c r="CY65" i="2"/>
  <c r="CY71" i="2"/>
  <c r="CY160" i="2"/>
  <c r="CY32" i="2"/>
  <c r="CY107" i="2"/>
  <c r="CY102" i="2"/>
  <c r="CY66" i="2"/>
  <c r="CY180" i="2"/>
  <c r="CY200" i="2"/>
  <c r="CY123" i="2"/>
  <c r="CY192" i="2"/>
  <c r="CY143" i="2"/>
  <c r="CY51" i="2"/>
  <c r="CY182" i="2"/>
  <c r="CY98" i="2"/>
  <c r="CY18" i="2"/>
  <c r="CY173" i="2"/>
  <c r="CY176" i="2"/>
  <c r="CY175" i="2"/>
  <c r="CY162" i="2"/>
  <c r="CY148" i="2"/>
  <c r="CY14" i="2"/>
  <c r="CY203" i="2"/>
  <c r="CY92" i="2"/>
  <c r="CY145" i="2"/>
  <c r="CY169" i="2"/>
  <c r="CY38" i="2"/>
  <c r="CY195" i="2"/>
  <c r="CY41" i="2"/>
  <c r="CY168" i="2"/>
  <c r="CY103" i="2"/>
  <c r="CY86" i="2"/>
  <c r="CY72" i="2"/>
  <c r="CY193" i="2"/>
  <c r="CY151" i="2"/>
  <c r="CY190" i="2"/>
  <c r="CY9" i="2"/>
  <c r="CY142" i="2"/>
  <c r="CY80" i="2"/>
  <c r="CY36" i="2"/>
  <c r="CY96" i="2"/>
  <c r="CY164" i="2"/>
  <c r="CY187" i="2"/>
  <c r="CY111" i="2"/>
  <c r="CY127" i="2"/>
  <c r="CY120" i="2"/>
  <c r="CY56" i="2"/>
  <c r="CY201" i="2"/>
  <c r="CY116" i="2"/>
  <c r="CY158" i="2"/>
  <c r="CY113" i="2"/>
  <c r="CY194" i="2"/>
  <c r="CY198" i="2"/>
  <c r="CY24" i="2"/>
  <c r="CY118" i="2"/>
  <c r="CY13" i="2"/>
  <c r="CY15" i="2"/>
  <c r="CY137" i="2"/>
  <c r="CY135" i="2"/>
  <c r="CY81" i="2"/>
  <c r="CY12" i="2"/>
  <c r="CY47" i="2"/>
  <c r="CY166" i="2"/>
  <c r="CY44" i="2"/>
  <c r="CY140" i="2"/>
  <c r="CY124" i="2"/>
  <c r="CY101" i="2"/>
  <c r="CY141" i="2"/>
  <c r="CY95" i="2"/>
  <c r="CY49" i="2"/>
  <c r="CY188" i="2"/>
  <c r="CY110" i="2"/>
  <c r="CY136" i="2"/>
  <c r="CY78" i="2"/>
  <c r="CY155" i="2"/>
  <c r="CY88" i="2"/>
  <c r="CY31" i="2"/>
  <c r="CY30" i="2"/>
  <c r="CY154" i="2"/>
  <c r="CY131" i="2"/>
  <c r="CY64" i="2"/>
  <c r="CY67" i="2"/>
  <c r="CY104" i="2"/>
  <c r="CY29" i="2"/>
  <c r="CY17" i="2"/>
  <c r="CY146" i="2"/>
  <c r="CY83" i="2"/>
  <c r="CY7" i="2"/>
  <c r="CY109" i="2"/>
  <c r="CY27" i="2"/>
  <c r="CY74" i="2"/>
  <c r="CY87" i="2"/>
  <c r="CY68" i="2"/>
  <c r="CY53" i="2"/>
  <c r="CY19" i="2"/>
  <c r="CY45" i="2"/>
  <c r="CY48" i="2"/>
  <c r="CY40" i="2"/>
  <c r="CY58" i="2"/>
  <c r="CY75" i="2"/>
  <c r="CY84" i="2"/>
  <c r="CY16" i="2"/>
  <c r="CY50" i="2"/>
  <c r="CY22" i="2"/>
  <c r="CY144" i="2"/>
  <c r="CY138" i="2"/>
  <c r="CY150" i="2"/>
  <c r="CY4" i="2"/>
  <c r="CY129" i="2"/>
  <c r="CY174" i="2"/>
  <c r="CY39" i="2"/>
  <c r="CY130" i="2"/>
  <c r="CY70" i="2"/>
  <c r="CY77" i="2"/>
  <c r="CY6" i="2"/>
  <c r="CY172" i="2"/>
  <c r="CY82" i="2"/>
  <c r="CY3" i="2"/>
  <c r="C10" i="4" s="1"/>
  <c r="E10" i="4" s="1"/>
  <c r="F10" i="4" s="1"/>
  <c r="G10" i="4" s="1"/>
  <c r="L10" i="4" s="1"/>
  <c r="CY171" i="2"/>
  <c r="CY93" i="2"/>
  <c r="CY152" i="2"/>
  <c r="CY161" i="2"/>
  <c r="CY106" i="2"/>
  <c r="CY59" i="2"/>
  <c r="CY202" i="2"/>
  <c r="CY167" i="2"/>
  <c r="CY121" i="2"/>
  <c r="CY177" i="2"/>
  <c r="CY54" i="2"/>
  <c r="CY183" i="2"/>
  <c r="CY61" i="2"/>
  <c r="CY37" i="2"/>
  <c r="CY185" i="2"/>
  <c r="CY79" i="2"/>
  <c r="CY99" i="2"/>
  <c r="CY89" i="2"/>
  <c r="CY91" i="2"/>
  <c r="CY25" i="2"/>
  <c r="CY112" i="2"/>
  <c r="CY55" i="2"/>
  <c r="CY5" i="2"/>
  <c r="CY62" i="2"/>
  <c r="CY94" i="2"/>
  <c r="CY34" i="2"/>
  <c r="CY165" i="2"/>
  <c r="CY133" i="2"/>
  <c r="CY42" i="2"/>
  <c r="CY189" i="2"/>
  <c r="CY153" i="2"/>
  <c r="CY139" i="2"/>
  <c r="CY46" i="2"/>
  <c r="CY90" i="2"/>
  <c r="CY157" i="2"/>
  <c r="CY159" i="2"/>
  <c r="CY156" i="2"/>
  <c r="CY100" i="2"/>
  <c r="CY52" i="2"/>
  <c r="CY73" i="2"/>
  <c r="CY76" i="2"/>
  <c r="CY11" i="2"/>
  <c r="CY147" i="2"/>
  <c r="CY20" i="2"/>
  <c r="CY122" i="2"/>
  <c r="CY184" i="2"/>
  <c r="CY8" i="2"/>
  <c r="CY69" i="2"/>
  <c r="CY119" i="2"/>
  <c r="CY115" i="2"/>
  <c r="CY33" i="2"/>
  <c r="CY126" i="2"/>
  <c r="CY21" i="2"/>
  <c r="CY197" i="2"/>
  <c r="CY108" i="2"/>
  <c r="CY134" i="2"/>
  <c r="CY60" i="2"/>
  <c r="CY132" i="2"/>
  <c r="CY125" i="2"/>
  <c r="CY199" i="2"/>
  <c r="CY163" i="2"/>
  <c r="CY128" i="2"/>
  <c r="CY196" i="2"/>
  <c r="CY26" i="2"/>
  <c r="CY28" i="2"/>
  <c r="CY170" i="2"/>
  <c r="CY43" i="2"/>
  <c r="CY105" i="2"/>
  <c r="CY23" i="2"/>
  <c r="CY97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08" i="2"/>
  <c r="BI116" i="2"/>
  <c r="BI78" i="2"/>
  <c r="BI190" i="2"/>
  <c r="BI97" i="2"/>
  <c r="BI184" i="2"/>
  <c r="BI23" i="2"/>
  <c r="BI21" i="2"/>
  <c r="BI44" i="2"/>
  <c r="BI95" i="2"/>
  <c r="BI199" i="2"/>
  <c r="BI30" i="2"/>
  <c r="BI155" i="2"/>
  <c r="BI76" i="2"/>
  <c r="BI82" i="2"/>
  <c r="BI59" i="2"/>
  <c r="BI56" i="2"/>
  <c r="BI194" i="2"/>
  <c r="BI109" i="2"/>
  <c r="BI22" i="2"/>
  <c r="BI65" i="2"/>
  <c r="BI103" i="2"/>
  <c r="BI50" i="2"/>
  <c r="BI57" i="2"/>
  <c r="BI159" i="2"/>
  <c r="BI39" i="2"/>
  <c r="BI33" i="2"/>
  <c r="BI88" i="2"/>
  <c r="BI12" i="2"/>
  <c r="BI49" i="2"/>
  <c r="BI123" i="2"/>
  <c r="BI198" i="2"/>
  <c r="BI131" i="2"/>
  <c r="BI192" i="2"/>
  <c r="BI9" i="2"/>
  <c r="BI66" i="2"/>
  <c r="BI169" i="2"/>
  <c r="BI143" i="2"/>
  <c r="BI113" i="2"/>
  <c r="BI160" i="2"/>
  <c r="BI36" i="2"/>
  <c r="BI135" i="2"/>
  <c r="BI46" i="2"/>
  <c r="BI101" i="2"/>
  <c r="BI153" i="2"/>
  <c r="BI90" i="2"/>
  <c r="BI127" i="2"/>
  <c r="BI104" i="2"/>
  <c r="BI189" i="2"/>
  <c r="BI93" i="2"/>
  <c r="BI18" i="2"/>
  <c r="BI54" i="2"/>
  <c r="BI87" i="2"/>
  <c r="BI4" i="2"/>
  <c r="BI74" i="2"/>
  <c r="BI193" i="2"/>
  <c r="BI72" i="2"/>
  <c r="BI84" i="2"/>
  <c r="BI52" i="2"/>
  <c r="BI149" i="2"/>
  <c r="BI150" i="2"/>
  <c r="BI120" i="2"/>
  <c r="BI11" i="2"/>
  <c r="BI182" i="2"/>
  <c r="BI32" i="2"/>
  <c r="BI171" i="2"/>
  <c r="BI77" i="2"/>
  <c r="BI164" i="2"/>
  <c r="BI148" i="2"/>
  <c r="BI200" i="2"/>
  <c r="BI42" i="2"/>
  <c r="BI156" i="2"/>
  <c r="BI102" i="2"/>
  <c r="BI40" i="2"/>
  <c r="BI180" i="2"/>
  <c r="BI29" i="2"/>
  <c r="BI70" i="2"/>
  <c r="BI125" i="2"/>
  <c r="BI10" i="2"/>
  <c r="BI64" i="2"/>
  <c r="BI167" i="2"/>
  <c r="BI67" i="2"/>
  <c r="BI38" i="2"/>
  <c r="BI168" i="2"/>
  <c r="BI147" i="2"/>
  <c r="BI136" i="2"/>
  <c r="BI20" i="2"/>
  <c r="BI34" i="2"/>
  <c r="BI121" i="2"/>
  <c r="BI85" i="2"/>
  <c r="BI55" i="2"/>
  <c r="BI111" i="2"/>
  <c r="BI133" i="2"/>
  <c r="BI14" i="2"/>
  <c r="BI183" i="2"/>
  <c r="BI138" i="2"/>
  <c r="BI146" i="2"/>
  <c r="BI177" i="2"/>
  <c r="BI122" i="2"/>
  <c r="BI137" i="2"/>
  <c r="BI165" i="2"/>
  <c r="BI139" i="2"/>
  <c r="BI201" i="2"/>
  <c r="BI128" i="2"/>
  <c r="BI63" i="2"/>
  <c r="BI15" i="2"/>
  <c r="BI58" i="2"/>
  <c r="BI170" i="2"/>
  <c r="BI92" i="2"/>
  <c r="BI158" i="2"/>
  <c r="BI110" i="2"/>
  <c r="BI96" i="2"/>
  <c r="BI17" i="2"/>
  <c r="BI115" i="2"/>
  <c r="BI112" i="2"/>
  <c r="BI79" i="2"/>
  <c r="BI6" i="2"/>
  <c r="BI3" i="2"/>
  <c r="C8" i="4" s="1"/>
  <c r="E8" i="4" s="1"/>
  <c r="F8" i="4" s="1"/>
  <c r="G8" i="4" s="1"/>
  <c r="L8" i="4" s="1"/>
  <c r="BI188" i="2"/>
  <c r="BI144" i="2"/>
  <c r="BI28" i="2"/>
  <c r="BI130" i="2"/>
  <c r="BI161" i="2"/>
  <c r="BI16" i="2"/>
  <c r="BI176" i="2"/>
  <c r="BI7" i="2"/>
  <c r="BI140" i="2"/>
  <c r="BI129" i="2"/>
  <c r="BI124" i="2"/>
  <c r="BI187" i="2"/>
  <c r="BI73" i="2"/>
  <c r="BI141" i="2"/>
  <c r="BI197" i="2"/>
  <c r="BI118" i="2"/>
  <c r="BI191" i="2"/>
  <c r="BI106" i="2"/>
  <c r="BI186" i="2"/>
  <c r="BI154" i="2"/>
  <c r="BI99" i="2"/>
  <c r="BI157" i="2"/>
  <c r="BI27" i="2"/>
  <c r="BI134" i="2"/>
  <c r="BI151" i="2"/>
  <c r="BI107" i="2"/>
  <c r="BI89" i="2"/>
  <c r="BI53" i="2"/>
  <c r="BI100" i="2"/>
  <c r="BI162" i="2"/>
  <c r="BI166" i="2"/>
  <c r="BI24" i="2"/>
  <c r="BI83" i="2"/>
  <c r="BI61" i="2"/>
  <c r="BI75" i="2"/>
  <c r="BI94" i="2"/>
  <c r="BI178" i="2"/>
  <c r="BI152" i="2"/>
  <c r="BI175" i="2"/>
  <c r="BI142" i="2"/>
  <c r="BI202" i="2"/>
  <c r="BI86" i="2"/>
  <c r="BI145" i="2"/>
  <c r="BI185" i="2"/>
  <c r="BI203" i="2"/>
  <c r="BI117" i="2"/>
  <c r="BI8" i="2"/>
  <c r="BI62" i="2"/>
  <c r="BI195" i="2"/>
  <c r="BI71" i="2"/>
  <c r="BI41" i="2"/>
  <c r="BI5" i="2"/>
  <c r="BI43" i="2"/>
  <c r="BI81" i="2"/>
  <c r="BI98" i="2"/>
  <c r="BI51" i="2"/>
  <c r="BI60" i="2"/>
  <c r="BI45" i="2"/>
  <c r="BI48" i="2"/>
  <c r="BI179" i="2"/>
  <c r="BI114" i="2"/>
  <c r="BI181" i="2"/>
  <c r="BI91" i="2"/>
  <c r="BI174" i="2"/>
  <c r="BI119" i="2"/>
  <c r="BI31" i="2"/>
  <c r="BI68" i="2"/>
  <c r="BI37" i="2"/>
  <c r="BI69" i="2"/>
  <c r="BI132" i="2"/>
  <c r="BI173" i="2"/>
  <c r="BI105" i="2"/>
  <c r="BI26" i="2"/>
  <c r="BI196" i="2"/>
  <c r="BI13" i="2"/>
  <c r="BI80" i="2"/>
  <c r="BI35" i="2"/>
  <c r="BI126" i="2"/>
  <c r="BI19" i="2"/>
  <c r="BI25" i="2"/>
  <c r="BI172" i="2"/>
  <c r="BI16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<sst xmlns="http://schemas.openxmlformats.org/spreadsheetml/2006/main" count="1183" uniqueCount="330">
  <si>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</si>
  <si>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</si>
  <si>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</si>
  <si>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</si>
  <si>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</si>
  <si>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</si>
  <si>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</si>
  <si>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</si>
  <si>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</si>
  <si>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</si>
  <si>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</si>
  <si>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</si>
  <si>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</si>
  <si>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</si>
  <si>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</si>
  <si>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</si>
  <si>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</si>
  <si>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</si>
  <si>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</si>
  <si>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</si>
  <si>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</si>
  <si>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</si>
  <si>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</si>
  <si>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</si>
  <si>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</si>
  <si>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</si>
  <si>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</si>
  <si>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</si>
  <si>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</si>
  <si>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</si>
  <si>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</si>
  <si>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</si>
  <si>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</si>
  <si>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</si>
  <si>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</si>
  <si>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</si>
  <si>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</si>
  <si>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</si>
  <si>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</si>
  <si>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</si>
  <si>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</si>
  <si>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</si>
  <si>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</si>
  <si>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</si>
  <si>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</si>
  <si>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</si>
  <si>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</si>
  <si>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</si>
  <si>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</si>
  <si>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</si>
  <si>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</si>
  <si>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</si>
  <si>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</si>
  <si>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</si>
  <si>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</si>
  <si>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</si>
  <si>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</si>
  <si>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</si>
  <si>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</si>
  <si>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</si>
  <si>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</si>
  <si>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</si>
  <si>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</si>
  <si>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</si>
  <si>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</si>
  <si>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</si>
  <si>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</si>
  <si>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</si>
  <si>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</si>
  <si>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</si>
  <si>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</si>
  <si>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</si>
  <si>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</si>
  <si>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</si>
  <si>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</si>
  <si>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</si>
  <si>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</si>
  <si>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</si>
  <si>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</si>
  <si>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</si>
  <si>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</si>
  <si>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</si>
  <si>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</si>
  <si>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</si>
  <si>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</si>
  <si>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</si>
  <si>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</si>
  <si>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</si>
  <si>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</si>
  <si>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</si>
  <si>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</si>
  <si>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</si>
  <si>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</si>
  <si>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</si>
  <si>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</si>
  <si>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</si>
  <si>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</si>
  <si>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</si>
  <si>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</si>
  <si>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</si>
  <si>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</si>
  <si>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</si>
  <si>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</si>
  <si>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</si>
  <si>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</si>
  <si>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</si>
  <si>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</si>
  <si>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</si>
  <si>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</si>
  <si>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</si>
  <si>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</si>
  <si>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</si>
  <si>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</si>
  <si>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</si>
  <si>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</si>
  <si>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</si>
  <si>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</si>
  <si>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</si>
  <si>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</si>
  <si>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</si>
  <si>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</si>
  <si>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</si>
  <si>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</si>
  <si>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</si>
  <si>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</si>
  <si>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</si>
  <si>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</si>
  <si>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</si>
  <si>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</si>
  <si>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</si>
  <si>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</si>
  <si>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</si>
  <si>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</si>
  <si>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</si>
  <si>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</si>
  <si>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</si>
  <si>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</si>
  <si>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</si>
  <si>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</si>
  <si>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</si>
  <si>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</si>
  <si>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</si>
  <si>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</si>
  <si>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</si>
  <si>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</si>
  <si>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</si>
  <si>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</si>
  <si>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</si>
  <si>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</si>
  <si>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</si>
  <si>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</si>
  <si>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</si>
  <si>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</si>
  <si>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</si>
  <si>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</si>
  <si>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</si>
  <si>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</si>
  <si>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</si>
  <si>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</si>
  <si>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</si>
  <si>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</si>
  <si>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</si>
  <si>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</si>
  <si>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</si>
  <si>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</si>
  <si>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</si>
  <si>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</si>
  <si>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</si>
  <si>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</si>
  <si>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</si>
  <si>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</si>
  <si>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</si>
  <si>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</si>
  <si>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</si>
  <si>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</si>
  <si>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</si>
  <si>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</si>
  <si>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</si>
  <si>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</si>
  <si>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</si>
  <si>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</si>
  <si>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</si>
  <si>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</si>
  <si>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</si>
  <si>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</si>
  <si>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</si>
  <si>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</si>
  <si>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</si>
  <si>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</si>
  <si>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</si>
  <si>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</si>
  <si>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</si>
  <si>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</si>
  <si>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</si>
  <si>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</si>
  <si>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</si>
  <si>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</si>
  <si>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</si>
  <si>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</si>
  <si>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</si>
  <si>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</si>
  <si>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</si>
  <si>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</si>
  <si>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</si>
  <si>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</si>
  <si>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</si>
  <si>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</si>
  <si>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</si>
  <si>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</si>
  <si>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</si>
  <si>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</si>
  <si>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</si>
  <si>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</si>
  <si>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</si>
  <si>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</si>
  <si>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</si>
  <si>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</si>
  <si>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</si>
  <si>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</si>
  <si>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</si>
  <si>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</si>
  <si>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</si>
  <si>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</si>
  <si>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</si>
  <si>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</si>
  <si>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</si>
  <si>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</si>
  <si>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</si>
  <si>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</si>
  <si>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</si>
  <si>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</si>
  <si>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</si>
  <si>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</si>
  <si>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</si>
  <si>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</si>
  <si>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</si>
  <si>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</si>
  <si>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</si>
  <si>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</si>
  <si>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</si>
  <si>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</si>
  <si>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</si>
  <si>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</si>
  <si>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</si>
  <si>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</si>
  <si>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</si>
  <si>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</si>
  <si>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</si>
  <si>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</si>
  <si>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</si>
  <si>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</si>
  <si>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</si>
  <si>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</si>
  <si>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</si>
  <si>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</si>
  <si>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</si>
  <si>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</si>
  <si>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</si>
  <si>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</si>
  <si>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</si>
  <si>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</si>
  <si>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</si>
  <si>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</si>
  <si>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</si>
  <si>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</si>
  <si>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</si>
  <si>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</si>
  <si>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</si>
  <si>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</si>
  <si>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</si>
  <si>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</si>
  <si>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</si>
  <si>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</si>
  <si>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</si>
  <si>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</si>
  <si>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</si>
  <si>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</si>
  <si>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</si>
  <si>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</si>
  <si>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</si>
  <si>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</si>
  <si>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</si>
  <si>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</si>
  <si>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</si>
  <si>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</si>
  <si>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</si>
  <si>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</si>
  <si>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</si>
  <si>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</si>
  <si>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</si>
  <si>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</si>
  <si>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</si>
  <si>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</si>
  <si>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</si>
  <si>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</si>
  <si>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</si>
  <si>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</si>
  <si>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</si>
  <si>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</si>
  <si>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</si>
  <si>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</si>
  <si>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</si>
  <si>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</si>
  <si>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</si>
  <si>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</si>
  <si>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</si>
  <si>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</si>
  <si>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</si>
  <si>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</si>
  <si>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</si>
  <si>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</si>
  <si>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</si>
  <si>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</si>
  <si>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</si>
  <si>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</si>
  <si>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</si>
  <si>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</si>
  <si>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</si>
  <si>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</si>
  <si>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</si>
  <si>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</si>
  <si>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</si>
  <si>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</si>
  <si>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</si>
  <si>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</si>
  <si>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>RedCed_F16_UK F</t>
  </si>
  <si>
    <t>TCD ONF_E1 17m_F2</t>
  </si>
  <si>
    <t>TCD ONF_Loire basin_F2_Plantation</t>
  </si>
  <si>
    <t>TCD ONF_North-eastern_F1_plantation</t>
  </si>
  <si>
    <t>UK For. Com._F10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</si>
</sst>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14" borderId="1" xfId="0" applyFont="1" applyFill="1" applyBorder="1" applyAlignment="1" applyProtection="1">
      <alignment horizontal="center"/>
      <protection locked="0"/>
    </xf>
    <xf numFmtId="9" fontId="32" fillId="14" borderId="1" xfId="1" applyFont="1" applyFill="1" applyBorder="1" applyAlignment="1" applyProtection="1">
      <alignment horizontal="center"/>
      <protection locked="0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1.8509788036473005</c:v>
                </c:pt>
                <c:pt idx="2">
                  <c:v>2.35728653712914</c:v>
                </c:pt>
                <c:pt idx="3">
                  <c:v>3.0026432755444432</c:v>
                </c:pt>
                <c:pt idx="4">
                  <c:v>3.8253807493365612</c:v>
                </c:pt>
                <c:pt idx="5">
                  <c:v>4.8744348843974343</c:v>
                </c:pt>
                <c:pt idx="6">
                  <c:v>6.2122889663030882</c:v>
                </c:pt>
                <c:pt idx="7">
                  <c:v>7.9187361310716495</c:v>
                </c:pt>
                <c:pt idx="8">
                  <c:v>10.095689897699605</c:v>
                </c:pt>
                <c:pt idx="9">
                  <c:v>12.873335463924604</c:v>
                </c:pt>
                <c:pt idx="10">
                  <c:v>16.417996445784841</c:v>
                </c:pt>
                <c:pt idx="11">
                  <c:v>20.942196699493092</c:v>
                </c:pt>
                <c:pt idx="12">
                  <c:v>26.717531287639904</c:v>
                </c:pt>
                <c:pt idx="13">
                  <c:v>34.091132829068357</c:v>
                </c:pt>
                <c:pt idx="14">
                  <c:v>43.50674002669458</c:v>
                </c:pt>
                <c:pt idx="15">
                  <c:v>55.531657718475003</c:v>
                </c:pt>
                <c:pt idx="16">
                  <c:v>70.891259802074913</c:v>
                </c:pt>
                <c:pt idx="17">
                  <c:v>90.513150226451685</c:v>
                </c:pt>
                <c:pt idx="18">
                  <c:v>115.58369162191825</c:v>
                </c:pt>
                <c:pt idx="19">
                  <c:v>147.62037285270299</c:v>
                </c:pt>
                <c:pt idx="20">
                  <c:v>188.56446301037093</c:v>
                </c:pt>
                <c:pt idx="21">
                  <c:v>240.89965063717693</c:v>
                </c:pt>
                <c:pt idx="22">
                  <c:v>189.04202807994034</c:v>
                </c:pt>
                <c:pt idx="23">
                  <c:v>215.15342463898321</c:v>
                </c:pt>
                <c:pt idx="24">
                  <c:v>241.19184691434074</c:v>
                </c:pt>
                <c:pt idx="25">
                  <c:v>267.16628064802683</c:v>
                </c:pt>
                <c:pt idx="26">
                  <c:v>293.08381945726882</c:v>
                </c:pt>
                <c:pt idx="27">
                  <c:v>318.95019910944154</c:v>
                </c:pt>
                <c:pt idx="28">
                  <c:v>344.77014888445569</c:v>
                </c:pt>
                <c:pt idx="29">
                  <c:v>291.71133121384406</c:v>
                </c:pt>
                <c:pt idx="30">
                  <c:v>319.55482794919106</c:v>
                </c:pt>
                <c:pt idx="31">
                  <c:v>347.34463397985468</c:v>
                </c:pt>
                <c:pt idx="32">
                  <c:v>375.08564490548923</c:v>
                </c:pt>
                <c:pt idx="33">
                  <c:v>402.7819732878761</c:v>
                </c:pt>
                <c:pt idx="34">
                  <c:v>430.43712024820735</c:v>
                </c:pt>
                <c:pt idx="35">
                  <c:v>458.05410062543029</c:v>
                </c:pt>
                <c:pt idx="36">
                  <c:v>382.17113729816555</c:v>
                </c:pt>
                <c:pt idx="37">
                  <c:v>409.36399949084267</c:v>
                </c:pt>
                <c:pt idx="38">
                  <c:v>436.51786568126948</c:v>
                </c:pt>
                <c:pt idx="39">
                  <c:v>463.6354999741024</c:v>
                </c:pt>
                <c:pt idx="40">
                  <c:v>490.71931703138534</c:v>
                </c:pt>
                <c:pt idx="41">
                  <c:v>517.77144348721811</c:v>
                </c:pt>
                <c:pt idx="42">
                  <c:v>544.79376586036392</c:v>
                </c:pt>
                <c:pt idx="43">
                  <c:v>452.34750719947556</c:v>
                </c:pt>
                <c:pt idx="44">
                  <c:v>478.4005360751608</c:v>
                </c:pt>
                <c:pt idx="45">
                  <c:v>504.42340900612658</c:v>
                </c:pt>
                <c:pt idx="46">
                  <c:v>530.41789868871319</c:v>
                </c:pt>
                <c:pt idx="47">
                  <c:v>556.38559007869458</c:v>
                </c:pt>
                <c:pt idx="48">
                  <c:v>582.32790828367308</c:v>
                </c:pt>
                <c:pt idx="49">
                  <c:v>608.24614122919252</c:v>
                </c:pt>
                <c:pt idx="50">
                  <c:v>499.13793525894647</c:v>
                </c:pt>
                <c:pt idx="51">
                  <c:v>523.22859347726126</c:v>
                </c:pt>
                <c:pt idx="52">
                  <c:v>547.29588672843067</c:v>
                </c:pt>
                <c:pt idx="53">
                  <c:v>571.34098589377538</c:v>
                </c:pt>
                <c:pt idx="54">
                  <c:v>595.36495536808297</c:v>
                </c:pt>
                <c:pt idx="55">
                  <c:v>619.36876673610948</c:v>
                </c:pt>
                <c:pt idx="56">
                  <c:v>643.35331022019807</c:v>
                </c:pt>
                <c:pt idx="57">
                  <c:v>553.64128580472936</c:v>
                </c:pt>
                <c:pt idx="58">
                  <c:v>575.62834503087436</c:v>
                </c:pt>
                <c:pt idx="59">
                  <c:v>597.59788119005009</c:v>
                </c:pt>
                <c:pt idx="60">
                  <c:v>619.55062847605086</c:v>
                </c:pt>
                <c:pt idx="61">
                  <c:v>641.48726486437431</c:v>
                </c:pt>
                <c:pt idx="62">
                  <c:v>663.40841823076346</c:v>
                </c:pt>
                <c:pt idx="63">
                  <c:v>685.31467161968374</c:v>
                </c:pt>
                <c:pt idx="64">
                  <c:v>587.63009692280377</c:v>
                </c:pt>
                <c:pt idx="65">
                  <c:v>607.30952025630938</c:v>
                </c:pt>
                <c:pt idx="66">
                  <c:v>626.97570890133682</c:v>
                </c:pt>
                <c:pt idx="67">
                  <c:v>646.62913604618188</c:v>
                </c:pt>
                <c:pt idx="68">
                  <c:v>666.27024379726197</c:v>
                </c:pt>
                <c:pt idx="69">
                  <c:v>685.89944609535667</c:v>
                </c:pt>
                <c:pt idx="70">
                  <c:v>705.51713128095355</c:v>
                </c:pt>
                <c:pt idx="71">
                  <c:v>7.820597394917325E-12</c:v>
                </c:pt>
                <c:pt idx="72">
                  <c:v>7.820597394917325E-12</c:v>
                </c:pt>
                <c:pt idx="73">
                  <c:v>7.820597394917325E-12</c:v>
                </c:pt>
                <c:pt idx="74">
                  <c:v>7.820597394917325E-12</c:v>
                </c:pt>
                <c:pt idx="75">
                  <c:v>7.820597394917325E-12</c:v>
                </c:pt>
                <c:pt idx="76">
                  <c:v>7.820597394917325E-12</c:v>
                </c:pt>
                <c:pt idx="77">
                  <c:v>7.820597394917325E-12</c:v>
                </c:pt>
                <c:pt idx="78">
                  <c:v>7.820597394917325E-12</c:v>
                </c:pt>
                <c:pt idx="79">
                  <c:v>7.820597394917325E-12</c:v>
                </c:pt>
                <c:pt idx="80">
                  <c:v>7.820597394917325E-12</c:v>
                </c:pt>
                <c:pt idx="81">
                  <c:v>7.820597394917325E-12</c:v>
                </c:pt>
                <c:pt idx="82">
                  <c:v>7.820597394917325E-12</c:v>
                </c:pt>
                <c:pt idx="83">
                  <c:v>7.820597394917325E-12</c:v>
                </c:pt>
                <c:pt idx="84">
                  <c:v>7.820597394917325E-12</c:v>
                </c:pt>
                <c:pt idx="85">
                  <c:v>7.820597394917325E-12</c:v>
                </c:pt>
                <c:pt idx="86">
                  <c:v>7.820597394917325E-12</c:v>
                </c:pt>
                <c:pt idx="87">
                  <c:v>7.820597394917325E-12</c:v>
                </c:pt>
                <c:pt idx="88">
                  <c:v>7.820597394917325E-12</c:v>
                </c:pt>
                <c:pt idx="89">
                  <c:v>7.820597394917325E-12</c:v>
                </c:pt>
                <c:pt idx="90">
                  <c:v>7.820597394917325E-12</c:v>
                </c:pt>
                <c:pt idx="91">
                  <c:v>7.820597394917325E-12</c:v>
                </c:pt>
                <c:pt idx="92">
                  <c:v>7.820597394917325E-12</c:v>
                </c:pt>
                <c:pt idx="93">
                  <c:v>7.820597394917325E-12</c:v>
                </c:pt>
                <c:pt idx="94">
                  <c:v>7.820597394917325E-12</c:v>
                </c:pt>
                <c:pt idx="95">
                  <c:v>7.820597394917325E-12</c:v>
                </c:pt>
                <c:pt idx="96">
                  <c:v>7.820597394917325E-12</c:v>
                </c:pt>
                <c:pt idx="97">
                  <c:v>7.820597394917325E-12</c:v>
                </c:pt>
                <c:pt idx="98">
                  <c:v>7.820597394917325E-12</c:v>
                </c:pt>
                <c:pt idx="99">
                  <c:v>7.820597394917325E-12</c:v>
                </c:pt>
                <c:pt idx="100">
                  <c:v>7.820597394917325E-12</c:v>
                </c:pt>
                <c:pt idx="101">
                  <c:v>7.820597394917325E-12</c:v>
                </c:pt>
                <c:pt idx="102">
                  <c:v>7.820597394917325E-12</c:v>
                </c:pt>
                <c:pt idx="103">
                  <c:v>7.820597394917325E-12</c:v>
                </c:pt>
                <c:pt idx="104">
                  <c:v>7.820597394917325E-12</c:v>
                </c:pt>
                <c:pt idx="105">
                  <c:v>7.820597394917325E-12</c:v>
                </c:pt>
                <c:pt idx="106">
                  <c:v>7.820597394917325E-12</c:v>
                </c:pt>
                <c:pt idx="107">
                  <c:v>7.820597394917325E-12</c:v>
                </c:pt>
                <c:pt idx="108">
                  <c:v>7.820597394917325E-12</c:v>
                </c:pt>
                <c:pt idx="109">
                  <c:v>7.820597394917325E-12</c:v>
                </c:pt>
                <c:pt idx="110">
                  <c:v>7.820597394917325E-12</c:v>
                </c:pt>
                <c:pt idx="111">
                  <c:v>7.820597394917325E-12</c:v>
                </c:pt>
                <c:pt idx="112">
                  <c:v>7.820597394917325E-12</c:v>
                </c:pt>
                <c:pt idx="113">
                  <c:v>7.820597394917325E-12</c:v>
                </c:pt>
                <c:pt idx="114">
                  <c:v>7.820597394917325E-12</c:v>
                </c:pt>
                <c:pt idx="115">
                  <c:v>7.820597394917325E-12</c:v>
                </c:pt>
                <c:pt idx="116">
                  <c:v>7.820597394917325E-12</c:v>
                </c:pt>
                <c:pt idx="117">
                  <c:v>7.820597394917325E-12</c:v>
                </c:pt>
                <c:pt idx="118">
                  <c:v>7.820597394917325E-12</c:v>
                </c:pt>
                <c:pt idx="119">
                  <c:v>7.820597394917325E-12</c:v>
                </c:pt>
                <c:pt idx="120">
                  <c:v>7.820597394917325E-12</c:v>
                </c:pt>
                <c:pt idx="121">
                  <c:v>7.820597394917325E-12</c:v>
                </c:pt>
                <c:pt idx="122">
                  <c:v>7.820597394917325E-12</c:v>
                </c:pt>
                <c:pt idx="123">
                  <c:v>7.820597394917325E-12</c:v>
                </c:pt>
                <c:pt idx="124">
                  <c:v>7.820597394917325E-12</c:v>
                </c:pt>
                <c:pt idx="125">
                  <c:v>7.820597394917325E-12</c:v>
                </c:pt>
                <c:pt idx="126">
                  <c:v>7.820597394917325E-12</c:v>
                </c:pt>
                <c:pt idx="127">
                  <c:v>7.820597394917325E-12</c:v>
                </c:pt>
                <c:pt idx="128">
                  <c:v>7.820597394917325E-12</c:v>
                </c:pt>
                <c:pt idx="129">
                  <c:v>7.820597394917325E-12</c:v>
                </c:pt>
                <c:pt idx="130">
                  <c:v>7.820597394917325E-12</c:v>
                </c:pt>
                <c:pt idx="131">
                  <c:v>7.820597394917325E-12</c:v>
                </c:pt>
                <c:pt idx="132">
                  <c:v>7.820597394917325E-12</c:v>
                </c:pt>
                <c:pt idx="133">
                  <c:v>7.820597394917325E-12</c:v>
                </c:pt>
                <c:pt idx="134">
                  <c:v>7.820597394917325E-12</c:v>
                </c:pt>
                <c:pt idx="135">
                  <c:v>7.820597394917325E-12</c:v>
                </c:pt>
                <c:pt idx="136">
                  <c:v>7.820597394917325E-12</c:v>
                </c:pt>
                <c:pt idx="137">
                  <c:v>7.820597394917325E-12</c:v>
                </c:pt>
                <c:pt idx="138">
                  <c:v>7.820597394917325E-12</c:v>
                </c:pt>
                <c:pt idx="139">
                  <c:v>7.820597394917325E-12</c:v>
                </c:pt>
                <c:pt idx="140">
                  <c:v>7.820597394917325E-12</c:v>
                </c:pt>
                <c:pt idx="141">
                  <c:v>7.820597394917325E-12</c:v>
                </c:pt>
                <c:pt idx="142">
                  <c:v>7.820597394917325E-12</c:v>
                </c:pt>
                <c:pt idx="143">
                  <c:v>7.820597394917325E-12</c:v>
                </c:pt>
                <c:pt idx="144">
                  <c:v>7.820597394917325E-12</c:v>
                </c:pt>
                <c:pt idx="145">
                  <c:v>7.820597394917325E-12</c:v>
                </c:pt>
                <c:pt idx="146">
                  <c:v>7.820597394917325E-12</c:v>
                </c:pt>
                <c:pt idx="147">
                  <c:v>7.820597394917325E-12</c:v>
                </c:pt>
                <c:pt idx="148">
                  <c:v>7.820597394917325E-12</c:v>
                </c:pt>
                <c:pt idx="149">
                  <c:v>7.820597394917325E-12</c:v>
                </c:pt>
                <c:pt idx="150">
                  <c:v>7.820597394917325E-12</c:v>
                </c:pt>
                <c:pt idx="151">
                  <c:v>7.820597394917325E-12</c:v>
                </c:pt>
                <c:pt idx="152">
                  <c:v>7.820597394917325E-12</c:v>
                </c:pt>
                <c:pt idx="153">
                  <c:v>7.820597394917325E-12</c:v>
                </c:pt>
                <c:pt idx="154">
                  <c:v>7.820597394917325E-12</c:v>
                </c:pt>
                <c:pt idx="155">
                  <c:v>7.820597394917325E-12</c:v>
                </c:pt>
                <c:pt idx="156">
                  <c:v>7.820597394917325E-12</c:v>
                </c:pt>
                <c:pt idx="157">
                  <c:v>7.820597394917325E-12</c:v>
                </c:pt>
                <c:pt idx="158">
                  <c:v>7.820597394917325E-12</c:v>
                </c:pt>
                <c:pt idx="159">
                  <c:v>7.820597394917325E-12</c:v>
                </c:pt>
                <c:pt idx="160">
                  <c:v>7.820597394917325E-12</c:v>
                </c:pt>
                <c:pt idx="161">
                  <c:v>7.820597394917325E-12</c:v>
                </c:pt>
                <c:pt idx="162">
                  <c:v>7.820597394917325E-12</c:v>
                </c:pt>
                <c:pt idx="163">
                  <c:v>7.820597394917325E-12</c:v>
                </c:pt>
                <c:pt idx="164">
                  <c:v>7.820597394917325E-12</c:v>
                </c:pt>
                <c:pt idx="165">
                  <c:v>7.820597394917325E-12</c:v>
                </c:pt>
                <c:pt idx="166">
                  <c:v>7.820597394917325E-12</c:v>
                </c:pt>
                <c:pt idx="167">
                  <c:v>7.820597394917325E-12</c:v>
                </c:pt>
                <c:pt idx="168">
                  <c:v>7.820597394917325E-12</c:v>
                </c:pt>
                <c:pt idx="169">
                  <c:v>7.820597394917325E-12</c:v>
                </c:pt>
                <c:pt idx="170">
                  <c:v>7.820597394917325E-12</c:v>
                </c:pt>
                <c:pt idx="171">
                  <c:v>7.820597394917325E-12</c:v>
                </c:pt>
                <c:pt idx="172">
                  <c:v>7.820597394917325E-12</c:v>
                </c:pt>
                <c:pt idx="173">
                  <c:v>7.820597394917325E-12</c:v>
                </c:pt>
                <c:pt idx="174">
                  <c:v>7.820597394917325E-12</c:v>
                </c:pt>
                <c:pt idx="175">
                  <c:v>7.820597394917325E-12</c:v>
                </c:pt>
                <c:pt idx="176">
                  <c:v>7.820597394917325E-12</c:v>
                </c:pt>
                <c:pt idx="177">
                  <c:v>7.820597394917325E-12</c:v>
                </c:pt>
                <c:pt idx="178">
                  <c:v>7.820597394917325E-12</c:v>
                </c:pt>
                <c:pt idx="179">
                  <c:v>7.820597394917325E-12</c:v>
                </c:pt>
                <c:pt idx="180">
                  <c:v>7.820597394917325E-12</c:v>
                </c:pt>
                <c:pt idx="181">
                  <c:v>7.820597394917325E-12</c:v>
                </c:pt>
                <c:pt idx="182">
                  <c:v>7.820597394917325E-12</c:v>
                </c:pt>
                <c:pt idx="183">
                  <c:v>7.820597394917325E-12</c:v>
                </c:pt>
                <c:pt idx="184">
                  <c:v>7.820597394917325E-12</c:v>
                </c:pt>
                <c:pt idx="185">
                  <c:v>7.820597394917325E-12</c:v>
                </c:pt>
                <c:pt idx="186">
                  <c:v>7.820597394917325E-12</c:v>
                </c:pt>
                <c:pt idx="187">
                  <c:v>7.820597394917325E-12</c:v>
                </c:pt>
                <c:pt idx="188">
                  <c:v>7.820597394917325E-12</c:v>
                </c:pt>
                <c:pt idx="189">
                  <c:v>7.820597394917325E-12</c:v>
                </c:pt>
                <c:pt idx="190">
                  <c:v>7.820597394917325E-12</c:v>
                </c:pt>
                <c:pt idx="191">
                  <c:v>7.820597394917325E-12</c:v>
                </c:pt>
                <c:pt idx="192">
                  <c:v>7.820597394917325E-12</c:v>
                </c:pt>
                <c:pt idx="193">
                  <c:v>7.820597394917325E-12</c:v>
                </c:pt>
                <c:pt idx="194">
                  <c:v>7.820597394917325E-12</c:v>
                </c:pt>
                <c:pt idx="195">
                  <c:v>7.820597394917325E-12</c:v>
                </c:pt>
                <c:pt idx="196">
                  <c:v>7.820597394917325E-12</c:v>
                </c:pt>
                <c:pt idx="197">
                  <c:v>7.820597394917325E-12</c:v>
                </c:pt>
                <c:pt idx="198">
                  <c:v>7.820597394917325E-12</c:v>
                </c:pt>
                <c:pt idx="199">
                  <c:v>7.820597394917325E-12</c:v>
                </c:pt>
                <c:pt idx="200">
                  <c:v>7.820597394917325E-12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1.301436017672307</c:v>
                </c:pt>
                <c:pt idx="2">
                  <c:v>1.5959031497508114</c:v>
                </c:pt>
                <c:pt idx="3">
                  <c:v>1.9572602857368218</c:v>
                </c:pt>
                <c:pt idx="4">
                  <c:v>2.40075850700357</c:v>
                </c:pt>
                <c:pt idx="5">
                  <c:v>2.9451383188773561</c:v>
                </c:pt>
                <c:pt idx="6">
                  <c:v>3.6134306196049706</c:v>
                </c:pt>
                <c:pt idx="7">
                  <c:v>4.4339420776136533</c:v>
                </c:pt>
                <c:pt idx="8">
                  <c:v>5.4414674908948308</c:v>
                </c:pt>
                <c:pt idx="9">
                  <c:v>6.6787815560517876</c:v>
                </c:pt>
                <c:pt idx="10">
                  <c:v>8.1984746141349376</c:v>
                </c:pt>
                <c:pt idx="11">
                  <c:v>10.065211897228112</c:v>
                </c:pt>
                <c:pt idx="12">
                  <c:v>12.358514228984879</c:v>
                </c:pt>
                <c:pt idx="13">
                  <c:v>15.176180841714569</c:v>
                </c:pt>
                <c:pt idx="14">
                  <c:v>18.638502958199769</c:v>
                </c:pt>
                <c:pt idx="15">
                  <c:v>22.893451276393652</c:v>
                </c:pt>
                <c:pt idx="16">
                  <c:v>28.123063004101628</c:v>
                </c:pt>
                <c:pt idx="17">
                  <c:v>34.551306486589304</c:v>
                </c:pt>
                <c:pt idx="18">
                  <c:v>42.453766056491126</c:v>
                </c:pt>
                <c:pt idx="19">
                  <c:v>52.169569353793456</c:v>
                </c:pt>
                <c:pt idx="20">
                  <c:v>64.116077518726925</c:v>
                </c:pt>
                <c:pt idx="21">
                  <c:v>78.806979675226543</c:v>
                </c:pt>
                <c:pt idx="22">
                  <c:v>96.874582330076919</c:v>
                </c:pt>
                <c:pt idx="23">
                  <c:v>119.09726829179915</c:v>
                </c:pt>
                <c:pt idx="24">
                  <c:v>146.43332658005482</c:v>
                </c:pt>
                <c:pt idx="25">
                  <c:v>180.06263456438225</c:v>
                </c:pt>
                <c:pt idx="26">
                  <c:v>163.10202560252796</c:v>
                </c:pt>
                <c:pt idx="27">
                  <c:v>182.85655861013734</c:v>
                </c:pt>
                <c:pt idx="28">
                  <c:v>202.56116919355532</c:v>
                </c:pt>
                <c:pt idx="29">
                  <c:v>222.22139825585046</c:v>
                </c:pt>
                <c:pt idx="30">
                  <c:v>241.84172491120603</c:v>
                </c:pt>
                <c:pt idx="31">
                  <c:v>213.52734853485811</c:v>
                </c:pt>
                <c:pt idx="32">
                  <c:v>233.85925299408589</c:v>
                </c:pt>
                <c:pt idx="33">
                  <c:v>254.15081010237392</c:v>
                </c:pt>
                <c:pt idx="34">
                  <c:v>274.40569374429145</c:v>
                </c:pt>
                <c:pt idx="35">
                  <c:v>294.62699092336538</c:v>
                </c:pt>
                <c:pt idx="36">
                  <c:v>266.44640147954584</c:v>
                </c:pt>
                <c:pt idx="37">
                  <c:v>286.68056701983824</c:v>
                </c:pt>
                <c:pt idx="38">
                  <c:v>306.88278929353635</c:v>
                </c:pt>
                <c:pt idx="39">
                  <c:v>327.0554661011883</c:v>
                </c:pt>
                <c:pt idx="40">
                  <c:v>347.20067532869103</c:v>
                </c:pt>
                <c:pt idx="41">
                  <c:v>318.26574070636474</c:v>
                </c:pt>
                <c:pt idx="42">
                  <c:v>337.56183059630416</c:v>
                </c:pt>
                <c:pt idx="43">
                  <c:v>356.83364697304381</c:v>
                </c:pt>
                <c:pt idx="44">
                  <c:v>376.08268465711257</c:v>
                </c:pt>
                <c:pt idx="45">
                  <c:v>395.31027300989689</c:v>
                </c:pt>
                <c:pt idx="46">
                  <c:v>365.25782193213126</c:v>
                </c:pt>
                <c:pt idx="47">
                  <c:v>383.2954771743789</c:v>
                </c:pt>
                <c:pt idx="48">
                  <c:v>401.31468703137301</c:v>
                </c:pt>
                <c:pt idx="49">
                  <c:v>419.31639591665754</c:v>
                </c:pt>
                <c:pt idx="50">
                  <c:v>437.30146056968971</c:v>
                </c:pt>
                <c:pt idx="51">
                  <c:v>406.28829895257127</c:v>
                </c:pt>
                <c:pt idx="52">
                  <c:v>423.25737689968122</c:v>
                </c:pt>
                <c:pt idx="53">
                  <c:v>440.21181653987787</c:v>
                </c:pt>
                <c:pt idx="54">
                  <c:v>457.15226079706053</c:v>
                </c:pt>
                <c:pt idx="55">
                  <c:v>474.0793010787051</c:v>
                </c:pt>
                <c:pt idx="56">
                  <c:v>441.7524260113255</c:v>
                </c:pt>
                <c:pt idx="57">
                  <c:v>457.32330705987152</c:v>
                </c:pt>
                <c:pt idx="58">
                  <c:v>472.88286824460391</c:v>
                </c:pt>
                <c:pt idx="59">
                  <c:v>488.431534353681</c:v>
                </c:pt>
                <c:pt idx="60">
                  <c:v>503.96970093403837</c:v>
                </c:pt>
                <c:pt idx="61">
                  <c:v>475.61747745703587</c:v>
                </c:pt>
                <c:pt idx="62">
                  <c:v>489.96873773898596</c:v>
                </c:pt>
                <c:pt idx="63">
                  <c:v>504.31108402567452</c:v>
                </c:pt>
                <c:pt idx="64">
                  <c:v>518.64480546080165</c:v>
                </c:pt>
                <c:pt idx="65">
                  <c:v>532.97017390786914</c:v>
                </c:pt>
                <c:pt idx="66">
                  <c:v>509.08993572158982</c:v>
                </c:pt>
                <c:pt idx="67">
                  <c:v>522.73860873762476</c:v>
                </c:pt>
                <c:pt idx="68">
                  <c:v>536.37977322198503</c:v>
                </c:pt>
                <c:pt idx="69">
                  <c:v>550.01364697646943</c:v>
                </c:pt>
                <c:pt idx="70">
                  <c:v>563.640436128077</c:v>
                </c:pt>
                <c:pt idx="71">
                  <c:v>541.49331894605257</c:v>
                </c:pt>
                <c:pt idx="72">
                  <c:v>554.27277024085981</c:v>
                </c:pt>
                <c:pt idx="73">
                  <c:v>567.04604956434775</c:v>
                </c:pt>
                <c:pt idx="74">
                  <c:v>579.81331549687945</c:v>
                </c:pt>
                <c:pt idx="75">
                  <c:v>592.57471906780131</c:v>
                </c:pt>
                <c:pt idx="76">
                  <c:v>570.62148354470389</c:v>
                </c:pt>
                <c:pt idx="77">
                  <c:v>581.85553019580891</c:v>
                </c:pt>
                <c:pt idx="78">
                  <c:v>593.08505533307016</c:v>
                </c:pt>
                <c:pt idx="79">
                  <c:v>604.31015661574315</c:v>
                </c:pt>
                <c:pt idx="80">
                  <c:v>615.53092778003781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2.5214086749849955</c:v>
                </c:pt>
                <c:pt idx="2">
                  <c:v>2.9476746959687219</c:v>
                </c:pt>
                <c:pt idx="3">
                  <c:v>3.4462679343355425</c:v>
                </c:pt>
                <c:pt idx="4">
                  <c:v>4.0295028091066616</c:v>
                </c:pt>
                <c:pt idx="5">
                  <c:v>4.7117971330513244</c:v>
                </c:pt>
                <c:pt idx="6">
                  <c:v>5.5100324614070191</c:v>
                </c:pt>
                <c:pt idx="7">
                  <c:v>6.443976345102846</c:v>
                </c:pt>
                <c:pt idx="8">
                  <c:v>7.5367771500501375</c:v>
                </c:pt>
                <c:pt idx="9">
                  <c:v>8.8155439445162127</c:v>
                </c:pt>
                <c:pt idx="10">
                  <c:v>10.312026115425956</c:v>
                </c:pt>
                <c:pt idx="11">
                  <c:v>12.063409906823109</c:v>
                </c:pt>
                <c:pt idx="12">
                  <c:v>14.113252044429068</c:v>
                </c:pt>
                <c:pt idx="13">
                  <c:v>16.512574095269713</c:v>
                </c:pt>
                <c:pt idx="14">
                  <c:v>19.321145299909375</c:v>
                </c:pt>
                <c:pt idx="15">
                  <c:v>22.608986411643873</c:v>
                </c:pt>
                <c:pt idx="16">
                  <c:v>26.458132704965564</c:v>
                </c:pt>
                <c:pt idx="17">
                  <c:v>30.964700918988459</c:v>
                </c:pt>
                <c:pt idx="18">
                  <c:v>36.241312649655946</c:v>
                </c:pt>
                <c:pt idx="19">
                  <c:v>42.419935796240964</c:v>
                </c:pt>
                <c:pt idx="20">
                  <c:v>49.655216336254263</c:v>
                </c:pt>
                <c:pt idx="21">
                  <c:v>58.12838522236234</c:v>
                </c:pt>
                <c:pt idx="22">
                  <c:v>68.05183988691067</c:v>
                </c:pt>
                <c:pt idx="23">
                  <c:v>79.674517081749613</c:v>
                </c:pt>
                <c:pt idx="24">
                  <c:v>93.288194016590026</c:v>
                </c:pt>
                <c:pt idx="25">
                  <c:v>109.23487850857845</c:v>
                </c:pt>
                <c:pt idx="26">
                  <c:v>127.91547673030321</c:v>
                </c:pt>
                <c:pt idx="27">
                  <c:v>149.79995986059552</c:v>
                </c:pt>
                <c:pt idx="28">
                  <c:v>175.43928934481758</c:v>
                </c:pt>
                <c:pt idx="29">
                  <c:v>205.47940554818516</c:v>
                </c:pt>
                <c:pt idx="30">
                  <c:v>240.67763749877909</c:v>
                </c:pt>
                <c:pt idx="31">
                  <c:v>281.92195353046623</c:v>
                </c:pt>
                <c:pt idx="32">
                  <c:v>186.15874891220116</c:v>
                </c:pt>
                <c:pt idx="33">
                  <c:v>209.83368794515187</c:v>
                </c:pt>
                <c:pt idx="34">
                  <c:v>233.44697549877742</c:v>
                </c:pt>
                <c:pt idx="35">
                  <c:v>257.00572454608067</c:v>
                </c:pt>
                <c:pt idx="36">
                  <c:v>280.51563609526079</c:v>
                </c:pt>
                <c:pt idx="37">
                  <c:v>303.9813769502631</c:v>
                </c:pt>
                <c:pt idx="38">
                  <c:v>249.93134365355093</c:v>
                </c:pt>
                <c:pt idx="39">
                  <c:v>275.24300456507007</c:v>
                </c:pt>
                <c:pt idx="40">
                  <c:v>300.50238084792096</c:v>
                </c:pt>
                <c:pt idx="41">
                  <c:v>325.71448267949529</c:v>
                </c:pt>
                <c:pt idx="42">
                  <c:v>350.88348121626149</c:v>
                </c:pt>
                <c:pt idx="43">
                  <c:v>376.01290047897925</c:v>
                </c:pt>
                <c:pt idx="44">
                  <c:v>401.10575519534768</c:v>
                </c:pt>
                <c:pt idx="45">
                  <c:v>325.22050406363837</c:v>
                </c:pt>
                <c:pt idx="46">
                  <c:v>350.81669879053698</c:v>
                </c:pt>
                <c:pt idx="47">
                  <c:v>376.37195036636803</c:v>
                </c:pt>
                <c:pt idx="48">
                  <c:v>401.88942714694684</c:v>
                </c:pt>
                <c:pt idx="49">
                  <c:v>427.3718625323624</c:v>
                </c:pt>
                <c:pt idx="50">
                  <c:v>452.82163758400475</c:v>
                </c:pt>
                <c:pt idx="51">
                  <c:v>478.24084409423403</c:v>
                </c:pt>
                <c:pt idx="52">
                  <c:v>404.40156465488667</c:v>
                </c:pt>
                <c:pt idx="53">
                  <c:v>429.70934519857565</c:v>
                </c:pt>
                <c:pt idx="54">
                  <c:v>454.98510429602402</c:v>
                </c:pt>
                <c:pt idx="55">
                  <c:v>480.23086913061974</c:v>
                </c:pt>
                <c:pt idx="56">
                  <c:v>505.44843654803253</c:v>
                </c:pt>
                <c:pt idx="57">
                  <c:v>530.63940964580081</c:v>
                </c:pt>
                <c:pt idx="58">
                  <c:v>555.8052270551816</c:v>
                </c:pt>
                <c:pt idx="59">
                  <c:v>484.25885843561099</c:v>
                </c:pt>
                <c:pt idx="60">
                  <c:v>508.95737395672654</c:v>
                </c:pt>
                <c:pt idx="61">
                  <c:v>533.63057203582343</c:v>
                </c:pt>
                <c:pt idx="62">
                  <c:v>558.27978660587723</c:v>
                </c:pt>
                <c:pt idx="63">
                  <c:v>582.90622432661985</c:v>
                </c:pt>
                <c:pt idx="64">
                  <c:v>607.51098169934687</c:v>
                </c:pt>
                <c:pt idx="65">
                  <c:v>632.09505926670727</c:v>
                </c:pt>
                <c:pt idx="66">
                  <c:v>555.18973040239189</c:v>
                </c:pt>
                <c:pt idx="67">
                  <c:v>578.99055234834634</c:v>
                </c:pt>
                <c:pt idx="68">
                  <c:v>602.77097241840545</c:v>
                </c:pt>
                <c:pt idx="69">
                  <c:v>626.53190782078082</c:v>
                </c:pt>
                <c:pt idx="70">
                  <c:v>650.27420060140787</c:v>
                </c:pt>
                <c:pt idx="71">
                  <c:v>673.99862637735123</c:v>
                </c:pt>
                <c:pt idx="72">
                  <c:v>697.7059017777359</c:v>
                </c:pt>
                <c:pt idx="73">
                  <c:v>602.93967730666452</c:v>
                </c:pt>
                <c:pt idx="74">
                  <c:v>625.51680524449841</c:v>
                </c:pt>
                <c:pt idx="75">
                  <c:v>648.07707164832061</c:v>
                </c:pt>
                <c:pt idx="76">
                  <c:v>670.62114542387724</c:v>
                </c:pt>
                <c:pt idx="77">
                  <c:v>693.14964688919997</c:v>
                </c:pt>
                <c:pt idx="78">
                  <c:v>715.6631527999167</c:v>
                </c:pt>
                <c:pt idx="79">
                  <c:v>738.16220070997394</c:v>
                </c:pt>
                <c:pt idx="80">
                  <c:v>760.6472927736221</c:v>
                </c:pt>
                <c:pt idx="81">
                  <c:v>783.11889907497971</c:v>
                </c:pt>
                <c:pt idx="82">
                  <c:v>649.41198661029523</c:v>
                </c:pt>
                <c:pt idx="83">
                  <c:v>670.53247445778163</c:v>
                </c:pt>
                <c:pt idx="84">
                  <c:v>691.63929237213654</c:v>
                </c:pt>
                <c:pt idx="85">
                  <c:v>712.73291578265901</c:v>
                </c:pt>
                <c:pt idx="86">
                  <c:v>733.81378971522111</c:v>
                </c:pt>
                <c:pt idx="87">
                  <c:v>754.88233157162733</c:v>
                </c:pt>
                <c:pt idx="88">
                  <c:v>775.93893358289245</c:v>
                </c:pt>
                <c:pt idx="89">
                  <c:v>796.98396498266914</c:v>
                </c:pt>
                <c:pt idx="90">
                  <c:v>818.01777393944451</c:v>
                </c:pt>
                <c:pt idx="91">
                  <c:v>680.82655733150739</c:v>
                </c:pt>
                <c:pt idx="92">
                  <c:v>700.70631747336199</c:v>
                </c:pt>
                <c:pt idx="93">
                  <c:v>720.57453904071701</c:v>
                </c:pt>
                <c:pt idx="94">
                  <c:v>740.43158463823545</c:v>
                </c:pt>
                <c:pt idx="95">
                  <c:v>760.27779585760072</c:v>
                </c:pt>
                <c:pt idx="96">
                  <c:v>780.11349502299515</c:v>
                </c:pt>
                <c:pt idx="97">
                  <c:v>799.93898675001083</c:v>
                </c:pt>
                <c:pt idx="98">
                  <c:v>819.75455934216086</c:v>
                </c:pt>
                <c:pt idx="99">
                  <c:v>839.56048604549721</c:v>
                </c:pt>
                <c:pt idx="100">
                  <c:v>450.03971253828541</c:v>
                </c:pt>
                <c:pt idx="101">
                  <c:v>462.6078555511578</c:v>
                </c:pt>
                <c:pt idx="102">
                  <c:v>323.18652647116113</c:v>
                </c:pt>
                <c:pt idx="103">
                  <c:v>331.85696738542345</c:v>
                </c:pt>
                <c:pt idx="104">
                  <c:v>232.05276952362252</c:v>
                </c:pt>
                <c:pt idx="105">
                  <c:v>238.1604703053099</c:v>
                </c:pt>
                <c:pt idx="106">
                  <c:v>244.26460221870877</c:v>
                </c:pt>
                <c:pt idx="107">
                  <c:v>1.4484243304663672E-12</c:v>
                </c:pt>
                <c:pt idx="108">
                  <c:v>1.4484243304663672E-12</c:v>
                </c:pt>
                <c:pt idx="109">
                  <c:v>1.4484243304663672E-12</c:v>
                </c:pt>
                <c:pt idx="110">
                  <c:v>1.4484243304663672E-12</c:v>
                </c:pt>
                <c:pt idx="111">
                  <c:v>1.4484243304663672E-12</c:v>
                </c:pt>
                <c:pt idx="112">
                  <c:v>1.4484243304663672E-12</c:v>
                </c:pt>
                <c:pt idx="113">
                  <c:v>1.4484243304663672E-12</c:v>
                </c:pt>
                <c:pt idx="114">
                  <c:v>1.4484243304663672E-12</c:v>
                </c:pt>
                <c:pt idx="115">
                  <c:v>1.4484243304663672E-12</c:v>
                </c:pt>
                <c:pt idx="116">
                  <c:v>1.4484243304663672E-12</c:v>
                </c:pt>
                <c:pt idx="117">
                  <c:v>1.4484243304663672E-12</c:v>
                </c:pt>
                <c:pt idx="118">
                  <c:v>1.4484243304663672E-12</c:v>
                </c:pt>
                <c:pt idx="119">
                  <c:v>1.4484243304663672E-12</c:v>
                </c:pt>
                <c:pt idx="120">
                  <c:v>1.4484243304663672E-12</c:v>
                </c:pt>
                <c:pt idx="121">
                  <c:v>1.4484243304663672E-12</c:v>
                </c:pt>
                <c:pt idx="122">
                  <c:v>1.4484243304663672E-12</c:v>
                </c:pt>
                <c:pt idx="123">
                  <c:v>1.4484243304663672E-12</c:v>
                </c:pt>
                <c:pt idx="124">
                  <c:v>1.4484243304663672E-12</c:v>
                </c:pt>
                <c:pt idx="125">
                  <c:v>1.4484243304663672E-12</c:v>
                </c:pt>
                <c:pt idx="126">
                  <c:v>1.4484243304663672E-12</c:v>
                </c:pt>
                <c:pt idx="127">
                  <c:v>1.4484243304663672E-12</c:v>
                </c:pt>
                <c:pt idx="128">
                  <c:v>1.4484243304663672E-12</c:v>
                </c:pt>
                <c:pt idx="129">
                  <c:v>1.4484243304663672E-12</c:v>
                </c:pt>
                <c:pt idx="130">
                  <c:v>1.4484243304663672E-12</c:v>
                </c:pt>
                <c:pt idx="131">
                  <c:v>1.4484243304663672E-12</c:v>
                </c:pt>
                <c:pt idx="132">
                  <c:v>1.4484243304663672E-12</c:v>
                </c:pt>
                <c:pt idx="133">
                  <c:v>1.4484243304663672E-12</c:v>
                </c:pt>
                <c:pt idx="134">
                  <c:v>1.4484243304663672E-12</c:v>
                </c:pt>
                <c:pt idx="135">
                  <c:v>1.4484243304663672E-12</c:v>
                </c:pt>
                <c:pt idx="136">
                  <c:v>1.4484243304663672E-12</c:v>
                </c:pt>
                <c:pt idx="137">
                  <c:v>1.4484243304663672E-12</c:v>
                </c:pt>
                <c:pt idx="138">
                  <c:v>1.4484243304663672E-12</c:v>
                </c:pt>
                <c:pt idx="139">
                  <c:v>1.4484243304663672E-12</c:v>
                </c:pt>
                <c:pt idx="140">
                  <c:v>1.4484243304663672E-12</c:v>
                </c:pt>
                <c:pt idx="141">
                  <c:v>1.4484243304663672E-12</c:v>
                </c:pt>
                <c:pt idx="142">
                  <c:v>1.4484243304663672E-12</c:v>
                </c:pt>
                <c:pt idx="143">
                  <c:v>1.4484243304663672E-12</c:v>
                </c:pt>
                <c:pt idx="144">
                  <c:v>1.4484243304663672E-12</c:v>
                </c:pt>
                <c:pt idx="145">
                  <c:v>1.4484243304663672E-12</c:v>
                </c:pt>
                <c:pt idx="146">
                  <c:v>1.4484243304663672E-12</c:v>
                </c:pt>
                <c:pt idx="147">
                  <c:v>1.4484243304663672E-12</c:v>
                </c:pt>
                <c:pt idx="148">
                  <c:v>1.4484243304663672E-12</c:v>
                </c:pt>
                <c:pt idx="149">
                  <c:v>1.4484243304663672E-12</c:v>
                </c:pt>
                <c:pt idx="150">
                  <c:v>1.4484243304663672E-12</c:v>
                </c:pt>
                <c:pt idx="151">
                  <c:v>1.4484243304663672E-12</c:v>
                </c:pt>
                <c:pt idx="152">
                  <c:v>1.4484243304663672E-12</c:v>
                </c:pt>
                <c:pt idx="153">
                  <c:v>1.4484243304663672E-12</c:v>
                </c:pt>
                <c:pt idx="154">
                  <c:v>1.4484243304663672E-12</c:v>
                </c:pt>
                <c:pt idx="155">
                  <c:v>1.4484243304663672E-12</c:v>
                </c:pt>
                <c:pt idx="156">
                  <c:v>1.4484243304663672E-12</c:v>
                </c:pt>
                <c:pt idx="157">
                  <c:v>1.4484243304663672E-12</c:v>
                </c:pt>
                <c:pt idx="158">
                  <c:v>1.4484243304663672E-12</c:v>
                </c:pt>
                <c:pt idx="159">
                  <c:v>1.4484243304663672E-12</c:v>
                </c:pt>
                <c:pt idx="160">
                  <c:v>1.4484243304663672E-12</c:v>
                </c:pt>
                <c:pt idx="161">
                  <c:v>1.4484243304663672E-12</c:v>
                </c:pt>
                <c:pt idx="162">
                  <c:v>1.4484243304663672E-12</c:v>
                </c:pt>
                <c:pt idx="163">
                  <c:v>1.4484243304663672E-12</c:v>
                </c:pt>
                <c:pt idx="164">
                  <c:v>1.4484243304663672E-12</c:v>
                </c:pt>
                <c:pt idx="165">
                  <c:v>1.4484243304663672E-12</c:v>
                </c:pt>
                <c:pt idx="166">
                  <c:v>1.4484243304663672E-12</c:v>
                </c:pt>
                <c:pt idx="167">
                  <c:v>1.4484243304663672E-12</c:v>
                </c:pt>
                <c:pt idx="168">
                  <c:v>1.4484243304663672E-12</c:v>
                </c:pt>
                <c:pt idx="169">
                  <c:v>1.4484243304663672E-12</c:v>
                </c:pt>
                <c:pt idx="170">
                  <c:v>1.4484243304663672E-12</c:v>
                </c:pt>
                <c:pt idx="171">
                  <c:v>1.4484243304663672E-12</c:v>
                </c:pt>
                <c:pt idx="172">
                  <c:v>1.4484243304663672E-12</c:v>
                </c:pt>
                <c:pt idx="173">
                  <c:v>1.4484243304663672E-12</c:v>
                </c:pt>
                <c:pt idx="174">
                  <c:v>1.4484243304663672E-12</c:v>
                </c:pt>
                <c:pt idx="175">
                  <c:v>1.4484243304663672E-12</c:v>
                </c:pt>
                <c:pt idx="176">
                  <c:v>1.4484243304663672E-12</c:v>
                </c:pt>
                <c:pt idx="177">
                  <c:v>1.4484243304663672E-12</c:v>
                </c:pt>
                <c:pt idx="178">
                  <c:v>1.4484243304663672E-12</c:v>
                </c:pt>
                <c:pt idx="179">
                  <c:v>1.4484243304663672E-12</c:v>
                </c:pt>
                <c:pt idx="180">
                  <c:v>1.4484243304663672E-12</c:v>
                </c:pt>
                <c:pt idx="181">
                  <c:v>1.4484243304663672E-12</c:v>
                </c:pt>
                <c:pt idx="182">
                  <c:v>1.4484243304663672E-12</c:v>
                </c:pt>
                <c:pt idx="183">
                  <c:v>1.4484243304663672E-12</c:v>
                </c:pt>
                <c:pt idx="184">
                  <c:v>1.4484243304663672E-12</c:v>
                </c:pt>
                <c:pt idx="185">
                  <c:v>1.4484243304663672E-12</c:v>
                </c:pt>
                <c:pt idx="186">
                  <c:v>1.4484243304663672E-12</c:v>
                </c:pt>
                <c:pt idx="187">
                  <c:v>1.4484243304663672E-12</c:v>
                </c:pt>
                <c:pt idx="188">
                  <c:v>1.4484243304663672E-12</c:v>
                </c:pt>
                <c:pt idx="189">
                  <c:v>1.4484243304663672E-12</c:v>
                </c:pt>
                <c:pt idx="190">
                  <c:v>1.4484243304663672E-12</c:v>
                </c:pt>
                <c:pt idx="191">
                  <c:v>1.4484243304663672E-12</c:v>
                </c:pt>
                <c:pt idx="192">
                  <c:v>1.4484243304663672E-12</c:v>
                </c:pt>
                <c:pt idx="193">
                  <c:v>1.4484243304663672E-12</c:v>
                </c:pt>
                <c:pt idx="194">
                  <c:v>1.4484243304663672E-12</c:v>
                </c:pt>
                <c:pt idx="195">
                  <c:v>1.4484243304663672E-12</c:v>
                </c:pt>
                <c:pt idx="196">
                  <c:v>1.4484243304663672E-12</c:v>
                </c:pt>
                <c:pt idx="197">
                  <c:v>1.4484243304663672E-12</c:v>
                </c:pt>
                <c:pt idx="198">
                  <c:v>1.4484243304663672E-12</c:v>
                </c:pt>
                <c:pt idx="199">
                  <c:v>1.4484243304663672E-12</c:v>
                </c:pt>
                <c:pt idx="200">
                  <c:v>1.4484243304663672E-12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28" zoomScale="115" zoomScaleNormal="115" workbookViewId="0">
      <selection activeCell="H10" sqref="H10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60" t="s">
        <v>291</v>
      </c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</row>
    <row r="13" spans="2:13" ht="15" customHeight="1" x14ac:dyDescent="0.3"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</row>
    <row r="14" spans="2:13" ht="15" customHeight="1" x14ac:dyDescent="0.3"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</row>
    <row r="15" spans="2:13" ht="18.75" customHeight="1" x14ac:dyDescent="0.3"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</row>
    <row r="16" spans="2:13" ht="18.75" customHeight="1" x14ac:dyDescent="0.3"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</row>
    <row r="18" spans="2:13" ht="12" customHeight="1" x14ac:dyDescent="0.3">
      <c r="B18" s="260" t="s">
        <v>292</v>
      </c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</row>
    <row r="19" spans="2:13" ht="12" customHeight="1" x14ac:dyDescent="0.3"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</row>
    <row r="20" spans="2:13" ht="12" customHeight="1" x14ac:dyDescent="0.3"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</row>
    <row r="21" spans="2:13" ht="12" customHeight="1" x14ac:dyDescent="0.3"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</row>
    <row r="22" spans="2:13" ht="12" customHeight="1" x14ac:dyDescent="0.3"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</row>
    <row r="23" spans="2:13" ht="12" customHeight="1" x14ac:dyDescent="0.3"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</row>
    <row r="24" spans="2:13" ht="12" customHeight="1" x14ac:dyDescent="0.3"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</row>
    <row r="25" spans="2:13" ht="12" customHeight="1" x14ac:dyDescent="0.3"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</row>
    <row r="26" spans="2:13" ht="12" customHeight="1" x14ac:dyDescent="0.3"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</row>
    <row r="27" spans="2:13" ht="12" customHeight="1" x14ac:dyDescent="0.3"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</row>
    <row r="28" spans="2:13" ht="12" customHeight="1" x14ac:dyDescent="0.3"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</row>
    <row r="29" spans="2:13" ht="12" customHeight="1" x14ac:dyDescent="0.3"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</row>
    <row r="30" spans="2:13" ht="12" customHeight="1" x14ac:dyDescent="0.3"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</row>
    <row r="31" spans="2:13" ht="12" customHeight="1" x14ac:dyDescent="0.3"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5" zoomScaleNormal="85" workbookViewId="0">
      <selection activeCell="J15" sqref="J15"/>
    </sheetView>
  </sheetViews>
  <sheetFormatPr baseColWidth="10" defaultColWidth="11.33203125" defaultRowHeight="14.4" x14ac:dyDescent="0.3"/>
  <cols>
    <col min="1" max="1" width="13.77734375" style="23" customWidth="1"/>
    <col min="2" max="2" width="36.109375" style="23" customWidth="1"/>
    <col min="3" max="3" width="14.77734375" style="23" bestFit="1" customWidth="1"/>
    <col min="4" max="4" width="16.33203125" style="23" customWidth="1"/>
    <col min="5" max="5" width="23.21875" style="23" customWidth="1"/>
    <col min="6" max="6" width="28.77734375" style="23" bestFit="1" customWidth="1"/>
    <col min="7" max="8" width="14.77734375" style="23" customWidth="1"/>
    <col min="9" max="9" width="17" style="23" customWidth="1"/>
    <col min="10" max="10" width="13.77734375" style="23" customWidth="1"/>
    <col min="11" max="16384" width="11.33203125" style="23"/>
  </cols>
  <sheetData>
    <row r="1" spans="1:38" x14ac:dyDescent="0.3">
      <c r="A1" s="4"/>
      <c r="B1" s="4"/>
      <c r="C1" s="265" t="s">
        <v>190</v>
      </c>
      <c r="D1" s="265"/>
      <c r="E1" s="26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6" t="s">
        <v>192</v>
      </c>
      <c r="C3" s="267"/>
      <c r="D3" s="267"/>
      <c r="E3" s="267"/>
      <c r="F3" s="268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1" t="s">
        <v>231</v>
      </c>
      <c r="B5" s="271"/>
      <c r="C5" s="24">
        <v>8.6</v>
      </c>
      <c r="D5" s="272" t="s">
        <v>229</v>
      </c>
      <c r="E5" s="273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0" t="s">
        <v>226</v>
      </c>
      <c r="B7" s="270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0.31333056478405313</v>
      </c>
      <c r="D9" s="33">
        <f t="shared" ref="D9:D18" si="0">C9*$C$5</f>
        <v>2.6946428571428567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0.24439368770764119</v>
      </c>
      <c r="D10" s="33">
        <f t="shared" si="0"/>
        <v>2.1017857142857141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92</v>
      </c>
      <c r="C11" s="32">
        <v>0.16569767441860464</v>
      </c>
      <c r="D11" s="33">
        <f t="shared" si="0"/>
        <v>1.4249999999999998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11</v>
      </c>
      <c r="C12" s="32">
        <v>0.16611295681063123</v>
      </c>
      <c r="D12" s="33">
        <f t="shared" si="0"/>
        <v>1.4285714285714286</v>
      </c>
      <c r="E12" s="34">
        <v>106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23</v>
      </c>
      <c r="C13" s="32">
        <v>0.11046511627906977</v>
      </c>
      <c r="D13" s="33">
        <f t="shared" si="0"/>
        <v>0.95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0.99999999999999989</v>
      </c>
      <c r="D19" s="38">
        <f>SUM(D9:D18)</f>
        <v>8.6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9" t="s">
        <v>232</v>
      </c>
      <c r="B22" s="269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0" t="s">
        <v>227</v>
      </c>
      <c r="B30" s="270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C31" s="23" t="s">
        <v>326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1" t="s">
        <v>186</v>
      </c>
      <c r="D34" s="261"/>
      <c r="E34" s="262" t="s">
        <v>187</v>
      </c>
      <c r="F34" s="263"/>
      <c r="G34" s="263"/>
      <c r="H34" s="264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60">
        <v>21</v>
      </c>
      <c r="B36" s="257">
        <v>195.31</v>
      </c>
      <c r="C36" s="257">
        <v>1</v>
      </c>
      <c r="D36" s="60">
        <v>64.599999999999994</v>
      </c>
      <c r="E36" s="258">
        <v>0.25</v>
      </c>
      <c r="F36" s="258">
        <v>0.37</v>
      </c>
      <c r="G36" s="258">
        <v>0.38</v>
      </c>
      <c r="H36" s="258">
        <v>0</v>
      </c>
      <c r="I36" s="49">
        <f>IFERROR(B36/A36,"")</f>
        <v>9.300476190476191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60">
        <v>28</v>
      </c>
      <c r="B37" s="257">
        <v>282.01</v>
      </c>
      <c r="C37" s="257">
        <v>2</v>
      </c>
      <c r="D37" s="60">
        <v>67.639999999999986</v>
      </c>
      <c r="E37" s="258">
        <v>0.25</v>
      </c>
      <c r="F37" s="258">
        <v>0.37</v>
      </c>
      <c r="G37" s="258">
        <v>0.38</v>
      </c>
      <c r="H37" s="258">
        <v>0</v>
      </c>
      <c r="I37" s="53">
        <f t="shared" ref="I37:I55" si="1">IF(A37&lt;&gt;0,(B37-(B36-D36))/(A37-A36),"")</f>
        <v>21.61428571428571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60">
        <v>35</v>
      </c>
      <c r="B38" s="257">
        <v>377.23</v>
      </c>
      <c r="C38" s="257">
        <v>3</v>
      </c>
      <c r="D38" s="60">
        <v>86.700000000000045</v>
      </c>
      <c r="E38" s="258">
        <v>0.6</v>
      </c>
      <c r="F38" s="258">
        <v>0.2</v>
      </c>
      <c r="G38" s="258">
        <v>0.2</v>
      </c>
      <c r="H38" s="258">
        <v>0</v>
      </c>
      <c r="I38" s="53">
        <f t="shared" si="1"/>
        <v>23.265714285714289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60">
        <v>42</v>
      </c>
      <c r="B39" s="257">
        <v>450.49</v>
      </c>
      <c r="C39" s="257">
        <v>4</v>
      </c>
      <c r="D39" s="60">
        <v>100.04000000000002</v>
      </c>
      <c r="E39" s="258">
        <v>0.6</v>
      </c>
      <c r="F39" s="258">
        <v>0.2</v>
      </c>
      <c r="G39" s="258">
        <v>0.2</v>
      </c>
      <c r="H39" s="258">
        <v>0</v>
      </c>
      <c r="I39" s="49">
        <f t="shared" si="1"/>
        <v>22.851428571428578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60">
        <v>49</v>
      </c>
      <c r="B40" s="257">
        <v>504.24</v>
      </c>
      <c r="C40" s="257">
        <v>5</v>
      </c>
      <c r="D40" s="60">
        <v>112.69999999999999</v>
      </c>
      <c r="E40" s="258">
        <v>0.6</v>
      </c>
      <c r="F40" s="258">
        <v>0.2</v>
      </c>
      <c r="G40" s="258">
        <v>0.2</v>
      </c>
      <c r="H40" s="258">
        <v>0</v>
      </c>
      <c r="I40" s="49">
        <f t="shared" si="1"/>
        <v>21.970000000000002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60">
        <v>56</v>
      </c>
      <c r="B41" s="257">
        <v>534.03</v>
      </c>
      <c r="C41" s="257">
        <v>6</v>
      </c>
      <c r="D41" s="60">
        <v>94.669999999999959</v>
      </c>
      <c r="E41" s="258">
        <v>0.6</v>
      </c>
      <c r="F41" s="258">
        <v>0.2</v>
      </c>
      <c r="G41" s="258">
        <v>0.2</v>
      </c>
      <c r="H41" s="258">
        <v>0</v>
      </c>
      <c r="I41" s="53">
        <f t="shared" si="1"/>
        <v>20.355714285714278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60">
        <v>63</v>
      </c>
      <c r="B42" s="257">
        <v>569.67999999999995</v>
      </c>
      <c r="C42" s="257">
        <v>7</v>
      </c>
      <c r="D42" s="60">
        <v>99.599999999999966</v>
      </c>
      <c r="E42" s="258">
        <v>0.6</v>
      </c>
      <c r="F42" s="258">
        <v>0.2</v>
      </c>
      <c r="G42" s="258">
        <v>0.2</v>
      </c>
      <c r="H42" s="258">
        <v>0</v>
      </c>
      <c r="I42" s="53">
        <f t="shared" si="1"/>
        <v>18.617142857142849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60">
        <v>70</v>
      </c>
      <c r="B43" s="257">
        <v>586.86</v>
      </c>
      <c r="C43" s="257">
        <v>8</v>
      </c>
      <c r="D43" s="60">
        <v>586.86</v>
      </c>
      <c r="E43" s="258">
        <v>0.6</v>
      </c>
      <c r="F43" s="258">
        <v>0.2</v>
      </c>
      <c r="G43" s="258">
        <v>0.2</v>
      </c>
      <c r="H43" s="258">
        <v>0</v>
      </c>
      <c r="I43" s="49">
        <f t="shared" si="1"/>
        <v>16.682857142857149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60"/>
      <c r="B44" s="257"/>
      <c r="C44" s="257"/>
      <c r="D44" s="60"/>
      <c r="E44" s="258"/>
      <c r="F44" s="258"/>
      <c r="G44" s="258"/>
      <c r="H44" s="258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60"/>
      <c r="B45" s="257"/>
      <c r="C45" s="257"/>
      <c r="D45" s="60"/>
      <c r="E45" s="258"/>
      <c r="F45" s="258"/>
      <c r="G45" s="258"/>
      <c r="H45" s="258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60"/>
      <c r="B46" s="257"/>
      <c r="C46" s="257"/>
      <c r="D46" s="60"/>
      <c r="E46" s="258"/>
      <c r="F46" s="258"/>
      <c r="G46" s="258"/>
      <c r="H46" s="258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60"/>
      <c r="B47" s="257"/>
      <c r="C47" s="257"/>
      <c r="D47" s="60"/>
      <c r="E47" s="258"/>
      <c r="F47" s="258"/>
      <c r="G47" s="258"/>
      <c r="H47" s="258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60"/>
      <c r="B48" s="60"/>
      <c r="C48" s="257"/>
      <c r="D48" s="60"/>
      <c r="E48" s="258"/>
      <c r="F48" s="258"/>
      <c r="G48" s="258"/>
      <c r="H48" s="258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60"/>
      <c r="B49" s="60"/>
      <c r="C49" s="257"/>
      <c r="D49" s="60"/>
      <c r="E49" s="258"/>
      <c r="F49" s="258"/>
      <c r="G49" s="258"/>
      <c r="H49" s="258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60"/>
      <c r="B50" s="60"/>
      <c r="C50" s="257"/>
      <c r="D50" s="60"/>
      <c r="E50" s="258"/>
      <c r="F50" s="258"/>
      <c r="G50" s="258"/>
      <c r="H50" s="258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C57" s="23" t="s">
        <v>327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1" t="s">
        <v>186</v>
      </c>
      <c r="D60" s="261"/>
      <c r="E60" s="262" t="s">
        <v>187</v>
      </c>
      <c r="F60" s="263"/>
      <c r="G60" s="263"/>
      <c r="H60" s="264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42</v>
      </c>
      <c r="B62" s="60">
        <v>171.96</v>
      </c>
      <c r="C62" s="60">
        <v>1</v>
      </c>
      <c r="D62" s="60">
        <v>44.510000000000005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4.0942857142857143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50</v>
      </c>
      <c r="B63" s="60">
        <v>208.33</v>
      </c>
      <c r="C63" s="60">
        <v>2</v>
      </c>
      <c r="D63" s="60">
        <v>37.54000000000002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10.110000000000001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58</v>
      </c>
      <c r="B64" s="60">
        <v>253.7</v>
      </c>
      <c r="C64" s="60">
        <v>3</v>
      </c>
      <c r="D64" s="60">
        <v>47.789999999999992</v>
      </c>
      <c r="E64" s="51">
        <v>0</v>
      </c>
      <c r="F64" s="51">
        <v>0.8</v>
      </c>
      <c r="G64" s="51">
        <v>0.2</v>
      </c>
      <c r="H64" s="51">
        <v>0</v>
      </c>
      <c r="I64" s="49">
        <f>IF(A64&lt;&gt;0,(B64-(B63-D63))/(A64-A63),"")</f>
        <v>10.36375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66</v>
      </c>
      <c r="B65" s="60">
        <v>286.77</v>
      </c>
      <c r="C65" s="60">
        <v>4</v>
      </c>
      <c r="D65" s="60">
        <v>53.679999999999978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10.107499999999998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74</v>
      </c>
      <c r="B66" s="60">
        <v>310.95999999999998</v>
      </c>
      <c r="C66" s="60">
        <v>5</v>
      </c>
      <c r="D66" s="60">
        <v>51.339999999999975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9.733749999999997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84</v>
      </c>
      <c r="B67" s="60">
        <v>355.09</v>
      </c>
      <c r="C67" s="60">
        <v>6</v>
      </c>
      <c r="D67" s="60">
        <v>66.69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9.546999999999997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94</v>
      </c>
      <c r="B68" s="60">
        <v>380.13</v>
      </c>
      <c r="C68" s="60">
        <v>7</v>
      </c>
      <c r="D68" s="60">
        <v>67.350000000000023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9.1730000000000018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104</v>
      </c>
      <c r="B69" s="50">
        <v>402.2</v>
      </c>
      <c r="C69" s="60">
        <v>8</v>
      </c>
      <c r="D69" s="50">
        <v>66.089999999999975</v>
      </c>
      <c r="E69" s="51">
        <v>0.35</v>
      </c>
      <c r="F69" s="51">
        <v>0.2</v>
      </c>
      <c r="G69" s="51">
        <v>0.1</v>
      </c>
      <c r="H69" s="51">
        <v>0.35</v>
      </c>
      <c r="I69" s="49">
        <f t="shared" si="2"/>
        <v>8.9420000000000019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114</v>
      </c>
      <c r="B70" s="50">
        <v>424.56</v>
      </c>
      <c r="C70" s="60">
        <v>9</v>
      </c>
      <c r="D70" s="50">
        <v>61.860000000000014</v>
      </c>
      <c r="E70" s="258">
        <v>0.35</v>
      </c>
      <c r="F70" s="258">
        <v>0.2</v>
      </c>
      <c r="G70" s="258">
        <v>0.1</v>
      </c>
      <c r="H70" s="258">
        <v>0.35</v>
      </c>
      <c r="I70" s="49">
        <f t="shared" si="2"/>
        <v>8.8449999999999989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124</v>
      </c>
      <c r="B71" s="50">
        <v>451.86</v>
      </c>
      <c r="C71" s="50">
        <v>10</v>
      </c>
      <c r="D71" s="50">
        <v>57.81</v>
      </c>
      <c r="E71" s="258">
        <v>0.35</v>
      </c>
      <c r="F71" s="258">
        <v>0.2</v>
      </c>
      <c r="G71" s="258">
        <v>0.1</v>
      </c>
      <c r="H71" s="258">
        <v>0.35</v>
      </c>
      <c r="I71" s="49">
        <f t="shared" si="2"/>
        <v>8.9160000000000021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134</v>
      </c>
      <c r="B72" s="50">
        <v>484.28</v>
      </c>
      <c r="C72" s="50">
        <v>11</v>
      </c>
      <c r="D72" s="50">
        <v>60.779999999999973</v>
      </c>
      <c r="E72" s="258">
        <v>0.5</v>
      </c>
      <c r="F72" s="258">
        <v>0.2</v>
      </c>
      <c r="G72" s="258">
        <v>0</v>
      </c>
      <c r="H72" s="258">
        <v>0.3</v>
      </c>
      <c r="I72" s="49">
        <f t="shared" si="2"/>
        <v>9.0229999999999961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144</v>
      </c>
      <c r="B73" s="50">
        <v>514.94000000000005</v>
      </c>
      <c r="C73" s="50">
        <v>12</v>
      </c>
      <c r="D73" s="50">
        <v>61.800000000000068</v>
      </c>
      <c r="E73" s="258">
        <v>0.5</v>
      </c>
      <c r="F73" s="258">
        <v>0.2</v>
      </c>
      <c r="G73" s="258">
        <v>0</v>
      </c>
      <c r="H73" s="258">
        <v>0.3</v>
      </c>
      <c r="I73" s="49">
        <f t="shared" si="2"/>
        <v>9.1440000000000055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154</v>
      </c>
      <c r="B74" s="50">
        <v>546.49</v>
      </c>
      <c r="C74" s="50">
        <v>13</v>
      </c>
      <c r="D74" s="50">
        <v>61.050000000000011</v>
      </c>
      <c r="E74" s="258">
        <v>0.5</v>
      </c>
      <c r="F74" s="258">
        <v>0.2</v>
      </c>
      <c r="G74" s="258">
        <v>0</v>
      </c>
      <c r="H74" s="258">
        <v>0.3</v>
      </c>
      <c r="I74" s="49">
        <f t="shared" si="2"/>
        <v>9.3350000000000026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164</v>
      </c>
      <c r="B75" s="50">
        <v>580.32000000000005</v>
      </c>
      <c r="C75" s="50">
        <v>14</v>
      </c>
      <c r="D75" s="50">
        <v>66.020000000000095</v>
      </c>
      <c r="E75" s="258">
        <v>0.5</v>
      </c>
      <c r="F75" s="258">
        <v>0.2</v>
      </c>
      <c r="G75" s="258">
        <v>0</v>
      </c>
      <c r="H75" s="258">
        <v>0.3</v>
      </c>
      <c r="I75" s="49">
        <f t="shared" si="2"/>
        <v>9.4880000000000049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174</v>
      </c>
      <c r="B76" s="50">
        <v>610.52</v>
      </c>
      <c r="C76" s="50">
        <v>15</v>
      </c>
      <c r="D76" s="50">
        <v>240</v>
      </c>
      <c r="E76" s="51">
        <v>0.45</v>
      </c>
      <c r="F76" s="51">
        <v>0.05</v>
      </c>
      <c r="G76" s="51">
        <v>0.05</v>
      </c>
      <c r="H76" s="51">
        <v>0.45</v>
      </c>
      <c r="I76" s="49">
        <f t="shared" si="2"/>
        <v>9.6220000000000034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177</v>
      </c>
      <c r="B77" s="50">
        <v>388.94</v>
      </c>
      <c r="C77" s="50">
        <v>16</v>
      </c>
      <c r="D77" s="50">
        <v>128.66000000000003</v>
      </c>
      <c r="E77" s="51">
        <v>0.45</v>
      </c>
      <c r="F77" s="51">
        <v>0.05</v>
      </c>
      <c r="G77" s="51">
        <v>0.05</v>
      </c>
      <c r="H77" s="51">
        <v>0.45</v>
      </c>
      <c r="I77" s="49">
        <f t="shared" si="2"/>
        <v>6.140000000000005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180</v>
      </c>
      <c r="B78" s="50">
        <v>271.56</v>
      </c>
      <c r="C78" s="50">
        <v>17</v>
      </c>
      <c r="D78" s="50">
        <v>86.97</v>
      </c>
      <c r="E78" s="51">
        <v>0.45</v>
      </c>
      <c r="F78" s="51">
        <v>0.05</v>
      </c>
      <c r="G78" s="51">
        <v>0.05</v>
      </c>
      <c r="H78" s="51">
        <v>0.45</v>
      </c>
      <c r="I78" s="49">
        <f t="shared" si="2"/>
        <v>3.76000000000001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183</v>
      </c>
      <c r="B79" s="50">
        <v>191.47</v>
      </c>
      <c r="C79" s="50" t="s">
        <v>324</v>
      </c>
      <c r="D79" s="50">
        <v>191.47</v>
      </c>
      <c r="E79" s="51">
        <v>0.45</v>
      </c>
      <c r="F79" s="51">
        <v>0.05</v>
      </c>
      <c r="G79" s="51">
        <v>0.05</v>
      </c>
      <c r="H79" s="51">
        <v>0.45</v>
      </c>
      <c r="I79" s="49">
        <f t="shared" si="2"/>
        <v>2.2933333333333317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C83" s="23" t="s">
        <v>325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Thuya géant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1" t="s">
        <v>186</v>
      </c>
      <c r="D86" s="261"/>
      <c r="E86" s="262" t="s">
        <v>187</v>
      </c>
      <c r="F86" s="263"/>
      <c r="G86" s="263"/>
      <c r="H86" s="264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25</v>
      </c>
      <c r="B88" s="60">
        <v>201</v>
      </c>
      <c r="C88" s="60">
        <v>1</v>
      </c>
      <c r="D88" s="60">
        <v>42</v>
      </c>
      <c r="E88" s="51">
        <v>0.25</v>
      </c>
      <c r="F88" s="51">
        <v>0.37</v>
      </c>
      <c r="G88" s="51">
        <v>0.38</v>
      </c>
      <c r="H88" s="87">
        <v>0</v>
      </c>
      <c r="I88" s="53">
        <f>IFERROR(B88/A88,"")</f>
        <v>8.0399999999999991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272</v>
      </c>
      <c r="C89" s="60">
        <v>2</v>
      </c>
      <c r="D89" s="60">
        <v>56</v>
      </c>
      <c r="E89" s="51">
        <v>0.25</v>
      </c>
      <c r="F89" s="51">
        <v>0.37</v>
      </c>
      <c r="G89" s="51">
        <v>0.38</v>
      </c>
      <c r="H89" s="87">
        <v>0</v>
      </c>
      <c r="I89" s="53">
        <f t="shared" ref="I89:I107" si="3">IF(A89&lt;&gt;0,(B89-(B88-D88))/(A89-A88),"")</f>
        <v>22.6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35</v>
      </c>
      <c r="B90" s="60">
        <v>333</v>
      </c>
      <c r="C90" s="60">
        <v>3</v>
      </c>
      <c r="D90" s="60">
        <v>56</v>
      </c>
      <c r="E90" s="87">
        <v>0.25</v>
      </c>
      <c r="F90" s="87">
        <v>0.37</v>
      </c>
      <c r="G90" s="87">
        <v>0.38</v>
      </c>
      <c r="H90" s="87">
        <v>0</v>
      </c>
      <c r="I90" s="53">
        <f t="shared" si="3"/>
        <v>23.4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40</v>
      </c>
      <c r="B91" s="60">
        <v>394</v>
      </c>
      <c r="C91" s="60">
        <v>4</v>
      </c>
      <c r="D91" s="60">
        <v>56</v>
      </c>
      <c r="E91" s="87">
        <v>0.25</v>
      </c>
      <c r="F91" s="87">
        <v>0.37</v>
      </c>
      <c r="G91" s="87">
        <v>0.38</v>
      </c>
      <c r="H91" s="87">
        <v>0</v>
      </c>
      <c r="I91" s="53">
        <f t="shared" si="3"/>
        <v>23.4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45</v>
      </c>
      <c r="B92" s="60">
        <v>450</v>
      </c>
      <c r="C92" s="60">
        <v>5</v>
      </c>
      <c r="D92" s="60">
        <v>56</v>
      </c>
      <c r="E92" s="87">
        <v>0.25</v>
      </c>
      <c r="F92" s="87">
        <v>0.37</v>
      </c>
      <c r="G92" s="87">
        <v>0.38</v>
      </c>
      <c r="H92" s="87">
        <v>0</v>
      </c>
      <c r="I92" s="53">
        <f t="shared" si="3"/>
        <v>22.4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50</v>
      </c>
      <c r="B93" s="60">
        <v>499</v>
      </c>
      <c r="C93" s="60">
        <v>6</v>
      </c>
      <c r="D93" s="60">
        <v>56</v>
      </c>
      <c r="E93" s="87">
        <v>0.6</v>
      </c>
      <c r="F93" s="87">
        <v>0.2</v>
      </c>
      <c r="G93" s="87">
        <v>0.2</v>
      </c>
      <c r="H93" s="87">
        <v>0</v>
      </c>
      <c r="I93" s="53">
        <f t="shared" si="3"/>
        <v>21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55</v>
      </c>
      <c r="B94" s="60">
        <v>542</v>
      </c>
      <c r="C94" s="60">
        <v>7</v>
      </c>
      <c r="D94" s="60">
        <v>56</v>
      </c>
      <c r="E94" s="87">
        <v>0.6</v>
      </c>
      <c r="F94" s="87">
        <v>0.2</v>
      </c>
      <c r="G94" s="87">
        <v>0.2</v>
      </c>
      <c r="H94" s="87">
        <v>0</v>
      </c>
      <c r="I94" s="53">
        <f t="shared" si="3"/>
        <v>19.8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60</v>
      </c>
      <c r="B95" s="60">
        <v>577</v>
      </c>
      <c r="C95" s="60">
        <v>8</v>
      </c>
      <c r="D95" s="60">
        <v>50</v>
      </c>
      <c r="E95" s="87">
        <v>0.6</v>
      </c>
      <c r="F95" s="87">
        <v>0.2</v>
      </c>
      <c r="G95" s="87">
        <v>0.2</v>
      </c>
      <c r="H95" s="87">
        <v>0</v>
      </c>
      <c r="I95" s="53">
        <f t="shared" si="3"/>
        <v>18.2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65</v>
      </c>
      <c r="B96" s="60">
        <v>611</v>
      </c>
      <c r="C96" s="60">
        <v>9</v>
      </c>
      <c r="D96" s="60">
        <v>44</v>
      </c>
      <c r="E96" s="87">
        <v>0.6</v>
      </c>
      <c r="F96" s="87">
        <v>0.2</v>
      </c>
      <c r="G96" s="87">
        <v>0.2</v>
      </c>
      <c r="H96" s="87">
        <v>0</v>
      </c>
      <c r="I96" s="53">
        <f t="shared" si="3"/>
        <v>16.8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70</v>
      </c>
      <c r="B97" s="60">
        <v>647</v>
      </c>
      <c r="C97" s="60">
        <v>10</v>
      </c>
      <c r="D97" s="60">
        <v>41</v>
      </c>
      <c r="E97" s="87">
        <v>0.6</v>
      </c>
      <c r="F97" s="87">
        <v>0.2</v>
      </c>
      <c r="G97" s="87">
        <v>0.2</v>
      </c>
      <c r="H97" s="87">
        <v>0</v>
      </c>
      <c r="I97" s="53">
        <f t="shared" si="3"/>
        <v>16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75</v>
      </c>
      <c r="B98" s="60">
        <v>681</v>
      </c>
      <c r="C98" s="60">
        <v>11</v>
      </c>
      <c r="D98" s="60">
        <v>39</v>
      </c>
      <c r="E98" s="87">
        <v>0.6</v>
      </c>
      <c r="F98" s="87">
        <v>0.2</v>
      </c>
      <c r="G98" s="87">
        <v>0.2</v>
      </c>
      <c r="H98" s="87">
        <v>0</v>
      </c>
      <c r="I98" s="53">
        <f t="shared" si="3"/>
        <v>15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80</v>
      </c>
      <c r="B99" s="60">
        <v>708</v>
      </c>
      <c r="C99" s="60" t="s">
        <v>324</v>
      </c>
      <c r="D99" s="60">
        <v>708</v>
      </c>
      <c r="E99" s="87">
        <v>0.6</v>
      </c>
      <c r="F99" s="87">
        <v>0.2</v>
      </c>
      <c r="G99" s="87">
        <v>0.2</v>
      </c>
      <c r="H99" s="87">
        <v>0</v>
      </c>
      <c r="I99" s="53">
        <f t="shared" si="3"/>
        <v>13.2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C109" s="23" t="s">
        <v>328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pédonculé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1" t="s">
        <v>186</v>
      </c>
      <c r="D112" s="261"/>
      <c r="E112" s="262" t="s">
        <v>187</v>
      </c>
      <c r="F112" s="263"/>
      <c r="G112" s="263"/>
      <c r="H112" s="264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31</v>
      </c>
      <c r="B114" s="60">
        <v>152.27000000000001</v>
      </c>
      <c r="C114" s="50">
        <v>1</v>
      </c>
      <c r="D114" s="60">
        <v>65.77000000000001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4.9119354838709679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37</v>
      </c>
      <c r="B115" s="60">
        <v>164.49</v>
      </c>
      <c r="C115" s="50">
        <v>2</v>
      </c>
      <c r="D115" s="60">
        <v>43.890000000000015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12.998333333333335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44</v>
      </c>
      <c r="B116" s="60">
        <v>218.51</v>
      </c>
      <c r="C116" s="50">
        <v>3</v>
      </c>
      <c r="D116" s="60">
        <v>56.45999999999998</v>
      </c>
      <c r="E116" s="51">
        <v>0.35</v>
      </c>
      <c r="F116" s="51">
        <v>0.2</v>
      </c>
      <c r="G116" s="51">
        <v>0.1</v>
      </c>
      <c r="H116" s="51">
        <v>0.35</v>
      </c>
      <c r="I116" s="53">
        <f t="shared" si="4"/>
        <v>13.987142857142857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51</v>
      </c>
      <c r="B117" s="60">
        <v>261.62</v>
      </c>
      <c r="C117" s="50">
        <v>4</v>
      </c>
      <c r="D117" s="60">
        <v>55.400000000000006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14.224285714285713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58</v>
      </c>
      <c r="B118" s="60">
        <v>305.12</v>
      </c>
      <c r="C118" s="50">
        <v>5</v>
      </c>
      <c r="D118" s="60">
        <v>53.97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14.12857142857143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65</v>
      </c>
      <c r="B119" s="60">
        <v>348.03</v>
      </c>
      <c r="C119" s="50">
        <v>6</v>
      </c>
      <c r="D119" s="60">
        <v>56.629999999999995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13.839999999999995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50">
        <v>72</v>
      </c>
      <c r="B120" s="60">
        <v>385.02</v>
      </c>
      <c r="C120" s="60">
        <v>7</v>
      </c>
      <c r="D120" s="60">
        <v>66.109999999999957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13.374285714285715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50">
        <v>81</v>
      </c>
      <c r="B121" s="60">
        <v>433.28</v>
      </c>
      <c r="C121" s="60">
        <v>8</v>
      </c>
      <c r="D121" s="60">
        <v>87.399999999999977</v>
      </c>
      <c r="E121" s="87">
        <v>0.5</v>
      </c>
      <c r="F121" s="87">
        <v>0.2</v>
      </c>
      <c r="G121" s="87">
        <v>0</v>
      </c>
      <c r="H121" s="87">
        <v>0.3</v>
      </c>
      <c r="I121" s="53">
        <f t="shared" si="4"/>
        <v>12.707777777777771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50">
        <v>90</v>
      </c>
      <c r="B122" s="60">
        <v>453.03</v>
      </c>
      <c r="C122" s="60">
        <v>9</v>
      </c>
      <c r="D122" s="60">
        <v>88.75</v>
      </c>
      <c r="E122" s="87">
        <v>0.5</v>
      </c>
      <c r="F122" s="87">
        <v>0.2</v>
      </c>
      <c r="G122" s="87">
        <v>0</v>
      </c>
      <c r="H122" s="87">
        <v>0.3</v>
      </c>
      <c r="I122" s="53">
        <f t="shared" si="4"/>
        <v>11.905555555555553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99</v>
      </c>
      <c r="B123" s="60">
        <v>465.23</v>
      </c>
      <c r="C123" s="60">
        <v>10</v>
      </c>
      <c r="D123" s="60">
        <v>226.42000000000002</v>
      </c>
      <c r="E123" s="87">
        <v>0.45</v>
      </c>
      <c r="F123" s="87">
        <v>0.05</v>
      </c>
      <c r="G123" s="87">
        <v>0.05</v>
      </c>
      <c r="H123" s="87">
        <v>0.45</v>
      </c>
      <c r="I123" s="53">
        <f t="shared" si="4"/>
        <v>11.216666666666672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101</v>
      </c>
      <c r="B124" s="60">
        <v>252.87</v>
      </c>
      <c r="C124" s="60">
        <v>11</v>
      </c>
      <c r="D124" s="60">
        <v>82.539999999999992</v>
      </c>
      <c r="E124" s="87">
        <v>0.45</v>
      </c>
      <c r="F124" s="87">
        <v>0.05</v>
      </c>
      <c r="G124" s="87">
        <v>0.05</v>
      </c>
      <c r="H124" s="87">
        <v>0.45</v>
      </c>
      <c r="I124" s="53">
        <f t="shared" si="4"/>
        <v>7.0300000000000011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103</v>
      </c>
      <c r="B125" s="60">
        <v>179.96</v>
      </c>
      <c r="C125" s="60">
        <v>12</v>
      </c>
      <c r="D125" s="60">
        <v>58.600000000000009</v>
      </c>
      <c r="E125" s="87">
        <v>0.45</v>
      </c>
      <c r="F125" s="87">
        <v>0.05</v>
      </c>
      <c r="G125" s="87">
        <v>0.05</v>
      </c>
      <c r="H125" s="87">
        <v>0.45</v>
      </c>
      <c r="I125" s="53">
        <f t="shared" si="4"/>
        <v>4.8149999999999977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106</v>
      </c>
      <c r="B126" s="60">
        <v>131.46</v>
      </c>
      <c r="C126" s="60" t="s">
        <v>324</v>
      </c>
      <c r="D126" s="60">
        <v>131.46</v>
      </c>
      <c r="E126" s="65">
        <v>0.45</v>
      </c>
      <c r="F126" s="65">
        <v>0.05</v>
      </c>
      <c r="G126" s="65">
        <v>0.05</v>
      </c>
      <c r="H126" s="65">
        <v>0.45</v>
      </c>
      <c r="I126" s="53">
        <f t="shared" si="4"/>
        <v>3.3666666666666694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C135" s="23" t="s">
        <v>329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Erable sycomore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1" t="s">
        <v>186</v>
      </c>
      <c r="D138" s="261"/>
      <c r="E138" s="262" t="s">
        <v>187</v>
      </c>
      <c r="F138" s="263"/>
      <c r="G138" s="263"/>
      <c r="H138" s="264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65</v>
      </c>
      <c r="C140" s="50">
        <v>1</v>
      </c>
      <c r="D140" s="60">
        <v>32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4.333333333333333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102</v>
      </c>
      <c r="C141" s="50">
        <v>2</v>
      </c>
      <c r="D141" s="60">
        <v>35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13.8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141</v>
      </c>
      <c r="C142" s="50">
        <v>3</v>
      </c>
      <c r="D142" s="60">
        <v>35</v>
      </c>
      <c r="E142" s="51">
        <v>0</v>
      </c>
      <c r="F142" s="51">
        <v>0.25</v>
      </c>
      <c r="G142" s="51">
        <v>0.25</v>
      </c>
      <c r="H142" s="51">
        <v>0.5</v>
      </c>
      <c r="I142" s="57">
        <f t="shared" si="5"/>
        <v>14.8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177</v>
      </c>
      <c r="C143" s="50">
        <v>4</v>
      </c>
      <c r="D143" s="60">
        <v>35</v>
      </c>
      <c r="E143" s="51">
        <v>0.25</v>
      </c>
      <c r="F143" s="51">
        <v>0.25</v>
      </c>
      <c r="G143" s="51">
        <v>0.25</v>
      </c>
      <c r="H143" s="51">
        <v>0.25</v>
      </c>
      <c r="I143" s="57">
        <f t="shared" si="5"/>
        <v>14.2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35</v>
      </c>
      <c r="B144" s="60">
        <v>206</v>
      </c>
      <c r="C144" s="50">
        <v>5</v>
      </c>
      <c r="D144" s="60">
        <v>35</v>
      </c>
      <c r="E144" s="51">
        <v>0.25</v>
      </c>
      <c r="F144" s="51">
        <v>0.25</v>
      </c>
      <c r="G144" s="51">
        <v>0.25</v>
      </c>
      <c r="H144" s="51">
        <v>0.25</v>
      </c>
      <c r="I144" s="57">
        <f t="shared" si="5"/>
        <v>12.8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40</v>
      </c>
      <c r="B145" s="60">
        <v>228</v>
      </c>
      <c r="C145" s="50">
        <v>6</v>
      </c>
      <c r="D145" s="60">
        <v>35</v>
      </c>
      <c r="E145" s="51">
        <v>0.25</v>
      </c>
      <c r="F145" s="51">
        <v>0.25</v>
      </c>
      <c r="G145" s="51">
        <v>0.25</v>
      </c>
      <c r="H145" s="51">
        <v>0.25</v>
      </c>
      <c r="I145" s="57">
        <f t="shared" si="5"/>
        <v>11.4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45</v>
      </c>
      <c r="B146" s="60">
        <v>242</v>
      </c>
      <c r="C146" s="50">
        <v>7</v>
      </c>
      <c r="D146" s="60">
        <v>24</v>
      </c>
      <c r="E146" s="51">
        <v>0.25</v>
      </c>
      <c r="F146" s="51">
        <v>0.25</v>
      </c>
      <c r="G146" s="51">
        <v>0.25</v>
      </c>
      <c r="H146" s="51">
        <v>0.25</v>
      </c>
      <c r="I146" s="57">
        <f t="shared" si="5"/>
        <v>9.8000000000000007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50</v>
      </c>
      <c r="B147" s="60">
        <v>261</v>
      </c>
      <c r="C147" s="50">
        <v>8</v>
      </c>
      <c r="D147" s="60">
        <v>19</v>
      </c>
      <c r="E147" s="51">
        <v>0.25</v>
      </c>
      <c r="F147" s="51">
        <v>0.25</v>
      </c>
      <c r="G147" s="51">
        <v>0.25</v>
      </c>
      <c r="H147" s="51">
        <v>0.25</v>
      </c>
      <c r="I147" s="57">
        <f>IF(A147&lt;&gt;0,(B147-(B146-D146))/(A147-A146),"")</f>
        <v>8.6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55</v>
      </c>
      <c r="B148" s="60">
        <v>279</v>
      </c>
      <c r="C148" s="50">
        <v>9</v>
      </c>
      <c r="D148" s="60">
        <v>16</v>
      </c>
      <c r="E148" s="51">
        <v>0.25</v>
      </c>
      <c r="F148" s="51">
        <v>0.25</v>
      </c>
      <c r="G148" s="51">
        <v>0.25</v>
      </c>
      <c r="H148" s="51">
        <v>0.25</v>
      </c>
      <c r="I148" s="57">
        <f t="shared" si="5"/>
        <v>7.4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60</v>
      </c>
      <c r="B149" s="60">
        <v>294</v>
      </c>
      <c r="C149" s="50">
        <v>10</v>
      </c>
      <c r="D149" s="60">
        <v>14</v>
      </c>
      <c r="E149" s="51">
        <v>0.25</v>
      </c>
      <c r="F149" s="51">
        <v>0.25</v>
      </c>
      <c r="G149" s="51">
        <v>0.25</v>
      </c>
      <c r="H149" s="51">
        <v>0.25</v>
      </c>
      <c r="I149" s="57">
        <f t="shared" si="5"/>
        <v>6.2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65</v>
      </c>
      <c r="B150" s="60">
        <v>306</v>
      </c>
      <c r="C150" s="50">
        <v>11</v>
      </c>
      <c r="D150" s="60">
        <v>13</v>
      </c>
      <c r="E150" s="51">
        <v>0.25</v>
      </c>
      <c r="F150" s="51">
        <v>0.25</v>
      </c>
      <c r="G150" s="51">
        <v>0.25</v>
      </c>
      <c r="H150" s="51">
        <v>0.25</v>
      </c>
      <c r="I150" s="57">
        <f t="shared" si="5"/>
        <v>5.2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70</v>
      </c>
      <c r="B151" s="60">
        <v>316</v>
      </c>
      <c r="C151" s="50">
        <v>12</v>
      </c>
      <c r="D151" s="60">
        <v>13</v>
      </c>
      <c r="E151" s="51">
        <v>0.25</v>
      </c>
      <c r="F151" s="51">
        <v>0.25</v>
      </c>
      <c r="G151" s="51">
        <v>0.25</v>
      </c>
      <c r="H151" s="51">
        <v>0.25</v>
      </c>
      <c r="I151" s="57">
        <f t="shared" si="5"/>
        <v>4.5999999999999996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75</v>
      </c>
      <c r="B152" s="60">
        <v>324</v>
      </c>
      <c r="C152" s="50">
        <v>13</v>
      </c>
      <c r="D152" s="60">
        <v>12</v>
      </c>
      <c r="E152" s="54">
        <v>0.25</v>
      </c>
      <c r="F152" s="54">
        <v>0.25</v>
      </c>
      <c r="G152" s="54">
        <v>0.25</v>
      </c>
      <c r="H152" s="54">
        <v>0.25</v>
      </c>
      <c r="I152" s="57">
        <f t="shared" si="5"/>
        <v>4.2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80</v>
      </c>
      <c r="B153" s="60">
        <v>330</v>
      </c>
      <c r="C153" s="50" t="s">
        <v>324</v>
      </c>
      <c r="D153" s="60">
        <v>330</v>
      </c>
      <c r="E153" s="54">
        <v>0.25</v>
      </c>
      <c r="F153" s="54">
        <v>0.25</v>
      </c>
      <c r="G153" s="54">
        <v>0.25</v>
      </c>
      <c r="H153" s="54">
        <v>0.25</v>
      </c>
      <c r="I153" s="57">
        <f t="shared" si="5"/>
        <v>3.6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1" t="s">
        <v>186</v>
      </c>
      <c r="D164" s="261"/>
      <c r="E164" s="262" t="s">
        <v>187</v>
      </c>
      <c r="F164" s="263"/>
      <c r="G164" s="263"/>
      <c r="H164" s="264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1" t="s">
        <v>186</v>
      </c>
      <c r="D190" s="261"/>
      <c r="E190" s="262" t="s">
        <v>187</v>
      </c>
      <c r="F190" s="263"/>
      <c r="G190" s="263"/>
      <c r="H190" s="264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1" t="s">
        <v>186</v>
      </c>
      <c r="D216" s="261"/>
      <c r="E216" s="262" t="s">
        <v>187</v>
      </c>
      <c r="F216" s="263"/>
      <c r="G216" s="263"/>
      <c r="H216" s="264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1" t="s">
        <v>186</v>
      </c>
      <c r="D242" s="261"/>
      <c r="E242" s="262" t="s">
        <v>187</v>
      </c>
      <c r="F242" s="263"/>
      <c r="G242" s="263"/>
      <c r="H242" s="264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1" t="s">
        <v>186</v>
      </c>
      <c r="D268" s="261"/>
      <c r="E268" s="262" t="s">
        <v>187</v>
      </c>
      <c r="F268" s="263"/>
      <c r="G268" s="263"/>
      <c r="H268" s="264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Normal="100" workbookViewId="0">
      <selection activeCell="G15" sqref="G15"/>
    </sheetView>
  </sheetViews>
  <sheetFormatPr baseColWidth="10" defaultColWidth="11.332031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33203125" style="1"/>
    <col min="11" max="11" width="12.6640625" style="1" customWidth="1"/>
    <col min="12" max="16384" width="11.332031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5" t="s">
        <v>191</v>
      </c>
      <c r="C2" s="276"/>
      <c r="D2" s="276"/>
      <c r="E2" s="276"/>
      <c r="F2" s="276"/>
      <c r="G2" s="277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4"/>
      <c r="C4" s="274"/>
      <c r="D4" s="274"/>
      <c r="E4" s="274"/>
      <c r="F4" s="274"/>
      <c r="G4" s="274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3203125" defaultRowHeight="14.4" x14ac:dyDescent="0.3"/>
  <cols>
    <col min="1" max="1" width="6.77734375" style="4" bestFit="1" customWidth="1"/>
    <col min="2" max="4" width="11.33203125" style="4"/>
    <col min="5" max="5" width="9.6640625" style="4" customWidth="1"/>
    <col min="6" max="7" width="11.33203125" style="4"/>
    <col min="8" max="8" width="10.77734375" style="4" customWidth="1"/>
    <col min="9" max="9" width="9.33203125" style="4" customWidth="1"/>
    <col min="10" max="11" width="10.6640625" style="4" bestFit="1" customWidth="1"/>
    <col min="12" max="12" width="14" style="4" bestFit="1" customWidth="1"/>
    <col min="13" max="13" width="14" style="4" customWidth="1"/>
    <col min="14" max="23" width="11.33203125" style="4"/>
    <col min="24" max="24" width="11.77734375" style="4" bestFit="1" customWidth="1"/>
    <col min="25" max="25" width="14.6640625" style="4" bestFit="1" customWidth="1"/>
    <col min="26" max="26" width="12.33203125" style="4" bestFit="1" customWidth="1"/>
    <col min="27" max="27" width="9.77734375" style="4" bestFit="1" customWidth="1"/>
    <col min="28" max="28" width="11" style="4" bestFit="1" customWidth="1"/>
    <col min="29" max="29" width="9.33203125" style="4" bestFit="1" customWidth="1"/>
    <col min="30" max="31" width="9.33203125" style="4" customWidth="1"/>
    <col min="32" max="32" width="11.33203125" style="4"/>
    <col min="33" max="34" width="14" style="4" bestFit="1" customWidth="1"/>
    <col min="35" max="35" width="10.6640625" style="4" bestFit="1" customWidth="1"/>
    <col min="36" max="36" width="9.33203125" style="4" bestFit="1" customWidth="1"/>
    <col min="37" max="38" width="10.6640625" style="4" bestFit="1" customWidth="1"/>
    <col min="39" max="41" width="10.6640625" style="4" customWidth="1"/>
    <col min="42" max="42" width="9" style="4" bestFit="1" customWidth="1"/>
    <col min="43" max="43" width="10.6640625" style="4" bestFit="1" customWidth="1"/>
    <col min="44" max="44" width="9.21875" style="4" bestFit="1" customWidth="1"/>
    <col min="45" max="45" width="11.77734375" style="4" bestFit="1" customWidth="1"/>
    <col min="46" max="46" width="8.33203125" style="4" bestFit="1" customWidth="1"/>
    <col min="47" max="47" width="9.33203125" style="4" bestFit="1" customWidth="1"/>
    <col min="48" max="48" width="9.77734375" style="4" bestFit="1" customWidth="1"/>
    <col min="49" max="49" width="11" style="4" bestFit="1" customWidth="1"/>
    <col min="50" max="50" width="9.33203125" style="4" bestFit="1" customWidth="1"/>
    <col min="51" max="52" width="9.33203125" style="4" customWidth="1"/>
    <col min="53" max="53" width="10.6640625" style="4" bestFit="1" customWidth="1"/>
    <col min="54" max="54" width="14.21875" style="4" customWidth="1"/>
    <col min="55" max="55" width="14" style="4" customWidth="1"/>
    <col min="56" max="56" width="10.6640625" style="4" bestFit="1" customWidth="1"/>
    <col min="57" max="57" width="9.33203125" style="4" bestFit="1" customWidth="1"/>
    <col min="58" max="59" width="10.6640625" style="4" bestFit="1" customWidth="1"/>
    <col min="60" max="62" width="10.6640625" style="4" customWidth="1"/>
    <col min="63" max="63" width="9" style="4" bestFit="1" customWidth="1"/>
    <col min="64" max="64" width="10.6640625" style="4" bestFit="1" customWidth="1"/>
    <col min="65" max="65" width="9.21875" style="4" bestFit="1" customWidth="1"/>
    <col min="66" max="66" width="11.77734375" style="4" bestFit="1" customWidth="1"/>
    <col min="67" max="67" width="8.33203125" style="4" bestFit="1" customWidth="1"/>
    <col min="68" max="68" width="9.33203125" style="4" bestFit="1" customWidth="1"/>
    <col min="69" max="69" width="9.77734375" style="4" bestFit="1" customWidth="1"/>
    <col min="70" max="70" width="11" style="4" bestFit="1" customWidth="1"/>
    <col min="71" max="71" width="9.33203125" style="4" bestFit="1" customWidth="1"/>
    <col min="72" max="73" width="9.33203125" style="4" customWidth="1"/>
    <col min="74" max="74" width="10.6640625" style="4" bestFit="1" customWidth="1"/>
    <col min="75" max="75" width="14" style="4" bestFit="1" customWidth="1"/>
    <col min="76" max="76" width="13.77734375" style="4" customWidth="1"/>
    <col min="77" max="77" width="10.6640625" style="4" bestFit="1" customWidth="1"/>
    <col min="78" max="78" width="9.33203125" style="4" bestFit="1" customWidth="1"/>
    <col min="79" max="80" width="10.6640625" style="4" bestFit="1" customWidth="1"/>
    <col min="81" max="83" width="10.6640625" style="4" customWidth="1"/>
    <col min="84" max="84" width="11.33203125" style="4"/>
    <col min="85" max="85" width="10.6640625" style="4" bestFit="1" customWidth="1"/>
    <col min="86" max="86" width="9.21875" style="4" bestFit="1" customWidth="1"/>
    <col min="87" max="87" width="11.77734375" style="4" bestFit="1" customWidth="1"/>
    <col min="88" max="88" width="8.33203125" style="4" bestFit="1" customWidth="1"/>
    <col min="89" max="89" width="9.33203125" style="4" bestFit="1" customWidth="1"/>
    <col min="90" max="90" width="9.77734375" style="4" bestFit="1" customWidth="1"/>
    <col min="91" max="91" width="11" style="4" bestFit="1" customWidth="1"/>
    <col min="92" max="92" width="9.33203125" style="4" bestFit="1" customWidth="1"/>
    <col min="93" max="94" width="9.33203125" style="4" customWidth="1"/>
    <col min="95" max="95" width="11.33203125" style="4"/>
    <col min="96" max="97" width="14" style="4" customWidth="1"/>
    <col min="98" max="98" width="10.6640625" style="4" bestFit="1" customWidth="1"/>
    <col min="99" max="99" width="9.33203125" style="4" bestFit="1" customWidth="1"/>
    <col min="100" max="101" width="10.6640625" style="4" bestFit="1" customWidth="1"/>
    <col min="102" max="104" width="10.6640625" style="4" customWidth="1"/>
    <col min="105" max="105" width="9" style="4" bestFit="1" customWidth="1"/>
    <col min="106" max="106" width="10.6640625" style="4" bestFit="1" customWidth="1"/>
    <col min="107" max="107" width="9.21875" style="4" bestFit="1" customWidth="1"/>
    <col min="108" max="108" width="11.77734375" style="4" bestFit="1" customWidth="1"/>
    <col min="109" max="109" width="8.33203125" style="4" bestFit="1" customWidth="1"/>
    <col min="110" max="110" width="9.33203125" style="4" bestFit="1" customWidth="1"/>
    <col min="111" max="111" width="9.77734375" style="4" bestFit="1" customWidth="1"/>
    <col min="112" max="112" width="11" style="4" bestFit="1" customWidth="1"/>
    <col min="113" max="113" width="9.33203125" style="4" bestFit="1" customWidth="1"/>
    <col min="114" max="115" width="9.33203125" style="4" customWidth="1"/>
    <col min="116" max="116" width="10.6640625" style="4" bestFit="1" customWidth="1"/>
    <col min="117" max="117" width="14.21875" style="4" customWidth="1"/>
    <col min="118" max="118" width="14" style="4" bestFit="1" customWidth="1"/>
    <col min="119" max="119" width="10.6640625" style="4" bestFit="1" customWidth="1"/>
    <col min="120" max="120" width="9.33203125" style="4" bestFit="1" customWidth="1"/>
    <col min="121" max="122" width="10.6640625" style="4" bestFit="1" customWidth="1"/>
    <col min="123" max="125" width="10.6640625" style="4" customWidth="1"/>
    <col min="126" max="126" width="9" style="4" bestFit="1" customWidth="1"/>
    <col min="127" max="127" width="10.6640625" style="4" bestFit="1" customWidth="1"/>
    <col min="128" max="128" width="9.21875" style="4" bestFit="1" customWidth="1"/>
    <col min="129" max="129" width="11.77734375" style="4" bestFit="1" customWidth="1"/>
    <col min="130" max="130" width="8.33203125" style="4" bestFit="1" customWidth="1"/>
    <col min="131" max="131" width="9.33203125" style="4" bestFit="1" customWidth="1"/>
    <col min="132" max="132" width="9.77734375" style="4" bestFit="1" customWidth="1"/>
    <col min="133" max="133" width="11" style="4" bestFit="1" customWidth="1"/>
    <col min="134" max="134" width="9.33203125" style="4" bestFit="1" customWidth="1"/>
    <col min="135" max="136" width="9.33203125" style="4" customWidth="1"/>
    <col min="137" max="137" width="10.6640625" style="4" bestFit="1" customWidth="1"/>
    <col min="138" max="139" width="14" style="4" customWidth="1"/>
    <col min="140" max="140" width="10.6640625" style="4" bestFit="1" customWidth="1"/>
    <col min="141" max="141" width="9.33203125" style="4" bestFit="1" customWidth="1"/>
    <col min="142" max="143" width="10.6640625" style="4" bestFit="1" customWidth="1"/>
    <col min="144" max="146" width="10.6640625" style="4" customWidth="1"/>
    <col min="147" max="147" width="9" style="4" bestFit="1" customWidth="1"/>
    <col min="148" max="148" width="10.6640625" style="4" bestFit="1" customWidth="1"/>
    <col min="149" max="149" width="9.21875" style="4" bestFit="1" customWidth="1"/>
    <col min="150" max="150" width="11.77734375" style="4" bestFit="1" customWidth="1"/>
    <col min="151" max="151" width="8.33203125" style="4" bestFit="1" customWidth="1"/>
    <col min="152" max="152" width="9.33203125" style="4" bestFit="1" customWidth="1"/>
    <col min="153" max="153" width="9.77734375" style="4" bestFit="1" customWidth="1"/>
    <col min="154" max="154" width="11" style="4" bestFit="1" customWidth="1"/>
    <col min="155" max="155" width="9.33203125" style="4" bestFit="1" customWidth="1"/>
    <col min="156" max="157" width="9.33203125" style="4" customWidth="1"/>
    <col min="158" max="158" width="11.33203125" style="4"/>
    <col min="159" max="160" width="14" style="4" bestFit="1" customWidth="1"/>
    <col min="161" max="161" width="10.6640625" style="4" bestFit="1" customWidth="1"/>
    <col min="162" max="162" width="9.33203125" style="4" bestFit="1" customWidth="1"/>
    <col min="163" max="164" width="10.6640625" style="4" bestFit="1" customWidth="1"/>
    <col min="165" max="167" width="10.6640625" style="4" customWidth="1"/>
    <col min="168" max="168" width="9" style="4" bestFit="1" customWidth="1"/>
    <col min="169" max="169" width="10.6640625" style="4" bestFit="1" customWidth="1"/>
    <col min="170" max="170" width="9.21875" style="4" bestFit="1" customWidth="1"/>
    <col min="171" max="171" width="11.77734375" style="4" bestFit="1" customWidth="1"/>
    <col min="172" max="172" width="8.109375" style="4" bestFit="1" customWidth="1"/>
    <col min="173" max="173" width="9.33203125" style="4" bestFit="1" customWidth="1"/>
    <col min="174" max="174" width="9.77734375" style="4" bestFit="1" customWidth="1"/>
    <col min="175" max="175" width="11" style="4" bestFit="1" customWidth="1"/>
    <col min="176" max="176" width="9.33203125" style="4" bestFit="1" customWidth="1"/>
    <col min="177" max="178" width="9.33203125" style="4" customWidth="1"/>
    <col min="179" max="179" width="10.6640625" style="4" bestFit="1" customWidth="1"/>
    <col min="180" max="181" width="14" style="4" bestFit="1" customWidth="1"/>
    <col min="182" max="182" width="10.6640625" style="4" bestFit="1" customWidth="1"/>
    <col min="183" max="183" width="9.33203125" style="4" bestFit="1" customWidth="1"/>
    <col min="184" max="185" width="10.6640625" style="4" bestFit="1" customWidth="1"/>
    <col min="186" max="188" width="10.6640625" style="4" customWidth="1"/>
    <col min="189" max="189" width="9" style="4" bestFit="1" customWidth="1"/>
    <col min="190" max="190" width="10.6640625" style="4" bestFit="1" customWidth="1"/>
    <col min="191" max="191" width="9.21875" style="4" bestFit="1" customWidth="1"/>
    <col min="192" max="192" width="11.33203125" style="4"/>
    <col min="193" max="193" width="8.33203125" style="4" bestFit="1" customWidth="1"/>
    <col min="194" max="194" width="9.33203125" style="4" bestFit="1" customWidth="1"/>
    <col min="195" max="195" width="9.77734375" style="4" bestFit="1" customWidth="1"/>
    <col min="196" max="196" width="11" style="4" bestFit="1" customWidth="1"/>
    <col min="197" max="197" width="9.33203125" style="4" bestFit="1" customWidth="1"/>
    <col min="198" max="199" width="9.33203125" style="4" customWidth="1"/>
    <col min="200" max="200" width="10.6640625" style="4" bestFit="1" customWidth="1"/>
    <col min="201" max="201" width="14" style="4" customWidth="1"/>
    <col min="202" max="202" width="14.21875" style="4" customWidth="1"/>
    <col min="203" max="203" width="10.6640625" style="4" bestFit="1" customWidth="1"/>
    <col min="204" max="204" width="9.33203125" style="4" bestFit="1" customWidth="1"/>
    <col min="205" max="206" width="10.6640625" style="4" bestFit="1" customWidth="1"/>
    <col min="207" max="209" width="10.6640625" style="4" customWidth="1"/>
    <col min="210" max="210" width="9" style="4" bestFit="1" customWidth="1"/>
    <col min="211" max="211" width="10.6640625" style="4" bestFit="1" customWidth="1"/>
    <col min="212" max="212" width="9.21875" style="4" bestFit="1" customWidth="1"/>
    <col min="213" max="213" width="11.77734375" style="4" bestFit="1" customWidth="1"/>
    <col min="214" max="214" width="8.33203125" style="4" bestFit="1" customWidth="1"/>
    <col min="215" max="215" width="9.33203125" style="4" bestFit="1" customWidth="1"/>
    <col min="216" max="216" width="9.77734375" style="4" bestFit="1" customWidth="1"/>
    <col min="217" max="217" width="11" style="4" bestFit="1" customWidth="1"/>
    <col min="218" max="218" width="9.33203125" style="4" bestFit="1" customWidth="1"/>
    <col min="219" max="16384" width="11.33203125" style="4"/>
  </cols>
  <sheetData>
    <row r="1" spans="1:218" ht="26.4" thickBot="1" x14ac:dyDescent="0.55000000000000004">
      <c r="B1" s="281" t="s">
        <v>176</v>
      </c>
      <c r="C1" s="282"/>
      <c r="D1" s="282"/>
      <c r="E1" s="282"/>
      <c r="F1" s="282"/>
      <c r="G1" s="282"/>
      <c r="H1" s="283"/>
      <c r="I1" s="278" t="str">
        <f>IF('Données projet'!$B$9="","",'Données projet'!$B$9)</f>
        <v>Douglas</v>
      </c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80"/>
      <c r="AD1" s="279" t="str">
        <f>IF('Données projet'!$B$10="","",'Données projet'!$B$10)</f>
        <v>Chêne sessile</v>
      </c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80"/>
      <c r="AY1" s="278" t="str">
        <f>IF('Données projet'!$B$11="","",'Données projet'!$B$11)</f>
        <v>Thuya géant</v>
      </c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80"/>
      <c r="BT1" s="278" t="str">
        <f>IF('Données projet'!$B$12="","",'Données projet'!$B$12)</f>
        <v>Chêne pédonculé</v>
      </c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80"/>
      <c r="CO1" s="278" t="str">
        <f>IF('Données projet'!$B$13="","",'Données projet'!$B$13)</f>
        <v>Erable sycomore</v>
      </c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9"/>
      <c r="DI1" s="280"/>
      <c r="DJ1" s="278" t="str">
        <f>IF('Données projet'!$B$14="","",'Données projet'!$B$14)</f>
        <v/>
      </c>
      <c r="DK1" s="279"/>
      <c r="DL1" s="279"/>
      <c r="DM1" s="279"/>
      <c r="DN1" s="279"/>
      <c r="DO1" s="279"/>
      <c r="DP1" s="279"/>
      <c r="DQ1" s="279"/>
      <c r="DR1" s="279"/>
      <c r="DS1" s="279"/>
      <c r="DT1" s="279"/>
      <c r="DU1" s="279"/>
      <c r="DV1" s="279"/>
      <c r="DW1" s="279"/>
      <c r="DX1" s="279"/>
      <c r="DY1" s="279"/>
      <c r="DZ1" s="279"/>
      <c r="EA1" s="279"/>
      <c r="EB1" s="279"/>
      <c r="EC1" s="279"/>
      <c r="ED1" s="280"/>
      <c r="EE1" s="278" t="str">
        <f>IF('Données projet'!$B$15="","",'Données projet'!$B$15)</f>
        <v/>
      </c>
      <c r="EF1" s="279"/>
      <c r="EG1" s="279"/>
      <c r="EH1" s="279"/>
      <c r="EI1" s="279"/>
      <c r="EJ1" s="279"/>
      <c r="EK1" s="279"/>
      <c r="EL1" s="279"/>
      <c r="EM1" s="279"/>
      <c r="EN1" s="279"/>
      <c r="EO1" s="279"/>
      <c r="EP1" s="279"/>
      <c r="EQ1" s="279"/>
      <c r="ER1" s="279"/>
      <c r="ES1" s="279"/>
      <c r="ET1" s="279"/>
      <c r="EU1" s="279"/>
      <c r="EV1" s="279"/>
      <c r="EW1" s="279"/>
      <c r="EX1" s="279"/>
      <c r="EY1" s="280"/>
      <c r="EZ1" s="278" t="str">
        <f>IF('Données projet'!$B$16="","",'Données projet'!$B$16)</f>
        <v/>
      </c>
      <c r="FA1" s="279"/>
      <c r="FB1" s="279"/>
      <c r="FC1" s="279"/>
      <c r="FD1" s="279"/>
      <c r="FE1" s="279"/>
      <c r="FF1" s="279"/>
      <c r="FG1" s="279"/>
      <c r="FH1" s="279"/>
      <c r="FI1" s="279"/>
      <c r="FJ1" s="279"/>
      <c r="FK1" s="279"/>
      <c r="FL1" s="279"/>
      <c r="FM1" s="279"/>
      <c r="FN1" s="279"/>
      <c r="FO1" s="279"/>
      <c r="FP1" s="279"/>
      <c r="FQ1" s="279"/>
      <c r="FR1" s="279"/>
      <c r="FS1" s="279"/>
      <c r="FT1" s="280"/>
      <c r="FU1" s="278" t="str">
        <f>IF('Données projet'!$B$17="","",'Données projet'!$B$17)</f>
        <v/>
      </c>
      <c r="FV1" s="279"/>
      <c r="FW1" s="279"/>
      <c r="FX1" s="279"/>
      <c r="FY1" s="279"/>
      <c r="FZ1" s="279"/>
      <c r="GA1" s="279"/>
      <c r="GB1" s="279"/>
      <c r="GC1" s="279"/>
      <c r="GD1" s="279"/>
      <c r="GE1" s="279"/>
      <c r="GF1" s="279"/>
      <c r="GG1" s="279"/>
      <c r="GH1" s="279"/>
      <c r="GI1" s="279"/>
      <c r="GJ1" s="279"/>
      <c r="GK1" s="279"/>
      <c r="GL1" s="279"/>
      <c r="GM1" s="279"/>
      <c r="GN1" s="279"/>
      <c r="GO1" s="280"/>
      <c r="GP1" s="278" t="str">
        <f>IF('Données projet'!$B$18="","",'Données projet'!$B$18)</f>
        <v/>
      </c>
      <c r="GQ1" s="279"/>
      <c r="GR1" s="279"/>
      <c r="GS1" s="279"/>
      <c r="GT1" s="279"/>
      <c r="GU1" s="279"/>
      <c r="GV1" s="279"/>
      <c r="GW1" s="279"/>
      <c r="GX1" s="279"/>
      <c r="GY1" s="279"/>
      <c r="GZ1" s="279"/>
      <c r="HA1" s="279"/>
      <c r="HB1" s="279"/>
      <c r="HC1" s="279"/>
      <c r="HD1" s="279"/>
      <c r="HE1" s="279"/>
      <c r="HF1" s="279"/>
      <c r="HG1" s="279"/>
      <c r="HH1" s="279"/>
      <c r="HI1" s="279"/>
      <c r="HJ1" s="280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287.413090017863</v>
      </c>
      <c r="T3" s="59">
        <f>IF('Données projet'!E9&gt;30,$R$33-$H$33,LOOKUP('Données projet'!$E$9,$A$3:$A$203,R3:R203)-LOOKUP('Données projet'!$E$9,$A$3:$A$203,$H$3:$H$203))</f>
        <v>258.48456031927117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422.10969295064359</v>
      </c>
      <c r="AO3" s="59">
        <f>IF('Données projet'!E10&gt;30,$AM$33-$H$33,LOOKUP('Données projet'!$E$10,$A$3:$A$203,AM3:AM203)-LOOKUP('Données projet'!$E$10,$A$3:$A$203,$H$3:$H$203))</f>
        <v>184.04075143033037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217.61052961346684</v>
      </c>
      <c r="BJ3" s="59">
        <f>IF('Données projet'!E11&gt;30,$BH$33-$H$33,LOOKUP('Données projet'!$E$11,$A$3:$A$203,BH3:BH203)-LOOKUP('Données projet'!$E$11,$A$3:$A$203,$H$3:$H$203))</f>
        <v>180.77145728128608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287.72859857368331</v>
      </c>
      <c r="CE3" s="59">
        <f>IF('Données projet'!E12&gt;30,$CC$33-$H$33,LOOKUP('Données projet'!$E$12,$A$3:$A$203,CC3:CC203)-LOOKUP('Données projet'!$E$12,$A$3:$A$203,$H$3:$H$203))</f>
        <v>179.60736986885922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243.33915530322201</v>
      </c>
      <c r="CZ3" s="59">
        <f>IF('Données projet'!E13&gt;30,$CX$33-$H$33,LOOKUP('Données projet'!$E$13,$A$3:$A$203,CX3:CX203)-LOOKUP('Données projet'!$E$13,$A$3:$A$203,$H$3:$H$203))</f>
        <v>247.73814704672577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9.300476190476191</v>
      </c>
      <c r="N4" s="13">
        <f>IF('Données projet'!$A$36&gt;35,N3+M4-V3,IF(A4&lt;'Données projet'!$A$36,$K$205^A4,IF(A4='Données projet'!$A$36,'Données projet'!$B$36,N3+M4-V3)))</f>
        <v>1.2855297099408214</v>
      </c>
      <c r="O4" s="13">
        <f>N4*VLOOKUP('Données projet'!$B$9,Paramètres!$A$1:$I$89,3,0)*VLOOKUP('Données projet'!$B$9,Paramètres!$A$1:$I$89,5,0)</f>
        <v>0.71861110785691917</v>
      </c>
      <c r="P4" s="13">
        <f>EXP(-1.0587+0.8836*LN(O4)+0.284)</f>
        <v>0.34415184160564588</v>
      </c>
      <c r="Q4" s="20">
        <f t="shared" ref="Q4:Q34" si="2">(O4+P4)*0.475*44/12</f>
        <v>1.8509788036473005</v>
      </c>
      <c r="R4" s="59">
        <f t="shared" si="0"/>
        <v>295.18431213698062</v>
      </c>
      <c r="S4" s="59">
        <f ca="1">AVERAGE(OFFSET($R$3,0,0,'Données projet'!$E$9+1,1))-AVERAGE(OFFSET($H$3,0,0,'Données projet'!$E$9+1,1))</f>
        <v>287.413090017863</v>
      </c>
      <c r="T4" s="59">
        <f>$T$3</f>
        <v>258.48456031927117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4.0942857142857143</v>
      </c>
      <c r="AI4" s="13">
        <f>IF('Données projet'!$A$62&gt;35,AI3+AH4-AQ3,IF(A4&lt;'Données projet'!$A$62,$AF$205^A4,IF(A4='Données projet'!$A$62,'Données projet'!$B$62,AI3+AH4-AQ3)))</f>
        <v>4.0942857142857143</v>
      </c>
      <c r="AJ4" s="13">
        <f>AI4*VLOOKUP('Données projet'!$B$10,Paramètres!$A$1:$I$89,3,0)*VLOOKUP('Données projet'!$B$10,Paramètres!$A$1:$I$89,5,0)</f>
        <v>3.704509714285714</v>
      </c>
      <c r="AK4" s="13">
        <f>EXP(-1.0587+0.8836*LN(AJ4)+0.284)</f>
        <v>1.4658264193249637</v>
      </c>
      <c r="AL4" s="20">
        <f t="shared" ref="AL4:AL67" si="4">(AJ4+AK4)*0.475*44/12</f>
        <v>9.0050020993719304</v>
      </c>
      <c r="AM4" s="59">
        <f t="shared" ref="AM4:AM67" si="5">AL4+(AD4+AE4)*44/12</f>
        <v>302.33833543270526</v>
      </c>
      <c r="AN4" s="59">
        <f ca="1">AVERAGE(OFFSET($AM$3,0,0,'Données projet'!$E$10+1,1))-AVERAGE(OFFSET($H$3,0,0,'Données projet'!$E$10+1,1))</f>
        <v>422.10969295064359</v>
      </c>
      <c r="AO4" s="59">
        <f>$AO$3</f>
        <v>184.04075143033037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8.0399999999999991</v>
      </c>
      <c r="BD4" s="12">
        <f>IF('Données projet'!$A$88&gt;35,BD3+BC4-BL3,IF(A4&lt;'Données projet'!$A$88,$BA$205^A4,IF(A4='Données projet'!$A$88,'Données projet'!$B$88,BD3+BC4-BL3)))</f>
        <v>1.2363113100846621</v>
      </c>
      <c r="BE4" s="13">
        <f>BD4*VLOOKUP('Données projet'!$B$11,Paramètres!$A$1:$I$89,3,0)*VLOOKUP('Données projet'!$B$11,Paramètres!$A$1:$I$89,5,0)</f>
        <v>0.49823345796411883</v>
      </c>
      <c r="BF4" s="13">
        <f>EXP(-1.0587+0.8836*LN(BE4)+0.284)</f>
        <v>0.24900253304390432</v>
      </c>
      <c r="BG4" s="20">
        <f t="shared" ref="BG4:BG67" si="7">(BE4+BF4)*0.475*44/12</f>
        <v>1.301436017672307</v>
      </c>
      <c r="BH4" s="59">
        <f t="shared" ref="BH4:BH67" si="8">BG4+(AY4+AZ4)*44/12</f>
        <v>294.63476935100562</v>
      </c>
      <c r="BI4" s="59">
        <f ca="1">AVERAGE(OFFSET($BH$3,0,0,'Données projet'!$E$11+1,1))-AVERAGE(OFFSET($H$3,0,0,'Données projet'!$E$11+1,1))</f>
        <v>217.61052961346684</v>
      </c>
      <c r="BJ4" s="59">
        <f>$BJ$3</f>
        <v>180.77145728128608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4.9119354838709679</v>
      </c>
      <c r="BY4" s="12">
        <f>IF('Données projet'!$A$114&gt;35,BY3+BX4-CG3,IF(A4&lt;'Données projet'!$A$114,$BV$205^A4,IF(A4='Données projet'!$A$114,'Données projet'!$B$114,BY3+BX4-CG3)))</f>
        <v>1.175998897105349</v>
      </c>
      <c r="BZ4" s="13">
        <f>BY4*VLOOKUP('Données projet'!$B$12,Paramètres!$A$1:$I$89,3,0)*VLOOKUP('Données projet'!$B$12,Paramètres!$A$1:$I$89,5,0)</f>
        <v>0.99066147092154599</v>
      </c>
      <c r="CA4" s="13">
        <f>EXP(-1.0587+0.8836*LN(BZ4)+0.284)</f>
        <v>0.45703728983538922</v>
      </c>
      <c r="CB4" s="20">
        <f t="shared" ref="CB4:CB67" si="10">(BZ4+CA4)*0.475*44/12</f>
        <v>2.5214086749849955</v>
      </c>
      <c r="CC4" s="59">
        <f t="shared" ref="CC4:CC67" si="11">CB4+(BT4+BU4)*44/12</f>
        <v>295.85474200831828</v>
      </c>
      <c r="CD4" s="59">
        <f ca="1">AVERAGE(OFFSET($CC$3,0,0,'Données projet'!$E$12+1,1))-AVERAGE(OFFSET($H$3,0,0,'Données projet'!$E$12+1,1))</f>
        <v>287.72859857368331</v>
      </c>
      <c r="CE4" s="59">
        <f>$CE$3</f>
        <v>179.60736986885922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4.333333333333333</v>
      </c>
      <c r="CT4" s="12">
        <f>IF('Données projet'!$A$140&gt;35,CT3+CS4-DB3,IF(A4&lt;'Données projet'!$A$140,$CQ$205^A4,IF(A4='Données projet'!$A$140,'Données projet'!$B$140,CT3+CS4-DB3)))</f>
        <v>1.3208724756526424</v>
      </c>
      <c r="CU4" s="17">
        <f>CT4*VLOOKUP('Données projet'!$B$13,Paramètres!$A$1:$I$89,3,0)*VLOOKUP('Données projet'!$B$13,Paramètres!$A$1:$I$89,5,0)</f>
        <v>1.0508861416292423</v>
      </c>
      <c r="CV4" s="13">
        <f>EXP(-1.0587+0.8836*LN(CU4)+0.284)</f>
        <v>0.48150261531866312</v>
      </c>
      <c r="CW4" s="20">
        <f t="shared" ref="CW4:CW67" si="13">(CU4+CV4)*0.475*44/12</f>
        <v>2.6689104183509347</v>
      </c>
      <c r="CX4" s="59">
        <f t="shared" ref="CX4:CX67" si="14">CW4+(CO4+CP4)*44/12</f>
        <v>296.00224375168426</v>
      </c>
      <c r="CY4" s="59">
        <f ca="1">AVERAGE(OFFSET($CX$3,0,0,'Données projet'!$E$13+1,1))-AVERAGE(OFFSET($H$3,0,0,'Données projet'!$E$13+1,1))</f>
        <v>243.33915530322201</v>
      </c>
      <c r="CZ4" s="59">
        <f>$CZ$3</f>
        <v>247.73814704672577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9.300476190476191</v>
      </c>
      <c r="N5" s="13">
        <f>IF('Données projet'!$A$36&gt;35,N4+M5-V4,IF(A5&lt;'Données projet'!$A$36,$K$205^A5,IF(A5='Données projet'!$A$36,'Données projet'!$B$36,N4+M5-V4)))</f>
        <v>1.6525866351405323</v>
      </c>
      <c r="O5" s="13">
        <f>N5*VLOOKUP('Données projet'!$B$9,Paramètres!$A$1:$I$89,3,0)*VLOOKUP('Données projet'!$B$9,Paramètres!$A$1:$I$89,5,0)</f>
        <v>0.92379592904355756</v>
      </c>
      <c r="P5" s="13">
        <f t="shared" ref="P5:P68" si="33">EXP(-1.0587+0.8836*LN(O5)+0.284)</f>
        <v>0.42967002528896309</v>
      </c>
      <c r="Q5" s="20">
        <f t="shared" si="2"/>
        <v>2.35728653712914</v>
      </c>
      <c r="R5" s="59">
        <f t="shared" si="0"/>
        <v>295.69061987046246</v>
      </c>
      <c r="S5" s="59">
        <f ca="1">AVERAGE(OFFSET($R$3,0,0,'Données projet'!$E$9+1,1))-AVERAGE(OFFSET($H$3,0,0,'Données projet'!$E$9+1,1))</f>
        <v>287.413090017863</v>
      </c>
      <c r="T5" s="59">
        <f t="shared" ref="T5:T68" si="34">$T$3</f>
        <v>258.48456031927117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4.0942857142857143</v>
      </c>
      <c r="AI5" s="13">
        <f>IF('Données projet'!$A$62&gt;35,AI4+AH5-AQ4,IF(A5&lt;'Données projet'!$A$62,$AF$205^A5,IF(A5='Données projet'!$A$62,'Données projet'!$B$62,AI4+AH5-AQ4)))</f>
        <v>8.1885714285714286</v>
      </c>
      <c r="AJ5" s="13">
        <f>AI5*VLOOKUP('Données projet'!$B$10,Paramètres!$A$1:$I$89,3,0)*VLOOKUP('Données projet'!$B$10,Paramètres!$A$1:$I$89,5,0)</f>
        <v>7.4090194285714279</v>
      </c>
      <c r="AK5" s="13">
        <f t="shared" ref="AK5:AK68" si="35">EXP(-1.0587+0.8836*LN(AJ5)+0.284)</f>
        <v>2.7044107221075859</v>
      </c>
      <c r="AL5" s="20">
        <f t="shared" si="4"/>
        <v>17.614224179099281</v>
      </c>
      <c r="AM5" s="59">
        <f t="shared" si="5"/>
        <v>310.94755751243258</v>
      </c>
      <c r="AN5" s="59">
        <f ca="1">AVERAGE(OFFSET($AM$3,0,0,'Données projet'!$E$10+1,1))-AVERAGE(OFFSET($H$3,0,0,'Données projet'!$E$10+1,1))</f>
        <v>422.10969295064359</v>
      </c>
      <c r="AO5" s="59">
        <f t="shared" ref="AO5:AO68" si="36">$AO$3</f>
        <v>184.04075143033037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8.0399999999999991</v>
      </c>
      <c r="BD5" s="12">
        <f>IF('Données projet'!$A$88&gt;35,BD4+BC5-BL4,IF(A5&lt;'Données projet'!$A$88,$BA$205^A5,IF(A5='Données projet'!$A$88,'Données projet'!$B$88,BD4+BC5-BL4)))</f>
        <v>1.5284656554432536</v>
      </c>
      <c r="BE5" s="13">
        <f>BD5*VLOOKUP('Données projet'!$B$11,Paramètres!$A$1:$I$89,3,0)*VLOOKUP('Données projet'!$B$11,Paramètres!$A$1:$I$89,5,0)</f>
        <v>0.61597165914363128</v>
      </c>
      <c r="BF5" s="13">
        <f t="shared" ref="BF5:BF68" si="37">EXP(-1.0587+0.8836*LN(BE5)+0.284)</f>
        <v>0.30033636942142783</v>
      </c>
      <c r="BG5" s="20">
        <f t="shared" si="7"/>
        <v>1.5959031497508114</v>
      </c>
      <c r="BH5" s="59">
        <f t="shared" si="8"/>
        <v>294.92923648308414</v>
      </c>
      <c r="BI5" s="59">
        <f ca="1">AVERAGE(OFFSET($BH$3,0,0,'Données projet'!$E$11+1,1))-AVERAGE(OFFSET($H$3,0,0,'Données projet'!$E$11+1,1))</f>
        <v>217.61052961346684</v>
      </c>
      <c r="BJ5" s="59">
        <f t="shared" ref="BJ5:BJ68" si="38">$BJ$3</f>
        <v>180.77145728128608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4.9119354838709679</v>
      </c>
      <c r="BY5" s="12">
        <f>IF('Données projet'!$A$114&gt;35,BY4+BX5-CG4,IF(A5&lt;'Données projet'!$A$114,$BV$205^A5,IF(A5='Données projet'!$A$114,'Données projet'!$B$114,BY4+BX5-CG4)))</f>
        <v>1.3829734059929972</v>
      </c>
      <c r="BZ5" s="13">
        <f>BY5*VLOOKUP('Données projet'!$B$12,Paramètres!$A$1:$I$89,3,0)*VLOOKUP('Données projet'!$B$12,Paramètres!$A$1:$I$89,5,0)</f>
        <v>1.165016797208501</v>
      </c>
      <c r="CA5" s="13">
        <f t="shared" ref="CA5:CA68" si="39">EXP(-1.0587+0.8836*LN(BZ5)+0.284)</f>
        <v>0.52742800430464087</v>
      </c>
      <c r="CB5" s="20">
        <f t="shared" si="10"/>
        <v>2.9476746959687219</v>
      </c>
      <c r="CC5" s="59">
        <f t="shared" si="11"/>
        <v>296.28100802930203</v>
      </c>
      <c r="CD5" s="59">
        <f ca="1">AVERAGE(OFFSET($CC$3,0,0,'Données projet'!$E$12+1,1))-AVERAGE(OFFSET($H$3,0,0,'Données projet'!$E$12+1,1))</f>
        <v>287.72859857368331</v>
      </c>
      <c r="CE5" s="59">
        <f t="shared" ref="CE5:CE68" si="40">$CE$3</f>
        <v>179.60736986885922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4.333333333333333</v>
      </c>
      <c r="CT5" s="12">
        <f>IF('Données projet'!$A$140&gt;35,CT4+CS5-DB4,IF(A5&lt;'Données projet'!$A$140,$CQ$205^A5,IF(A5='Données projet'!$A$140,'Données projet'!$B$140,CT4+CS5-DB4)))</f>
        <v>1.7447040969367404</v>
      </c>
      <c r="CU5" s="17">
        <f>CT5*VLOOKUP('Données projet'!$B$13,Paramètres!$A$1:$I$89,3,0)*VLOOKUP('Données projet'!$B$13,Paramètres!$A$1:$I$89,5,0)</f>
        <v>1.3880865795228707</v>
      </c>
      <c r="CV5" s="13">
        <f t="shared" ref="CV5:CV68" si="41">EXP(-1.0587+0.8836*LN(CU5)+0.284)</f>
        <v>0.61573144482258502</v>
      </c>
      <c r="CW5" s="20">
        <f t="shared" si="13"/>
        <v>3.4899830590683352</v>
      </c>
      <c r="CX5" s="59">
        <f t="shared" si="14"/>
        <v>296.82331639240164</v>
      </c>
      <c r="CY5" s="59">
        <f ca="1">AVERAGE(OFFSET($CX$3,0,0,'Données projet'!$E$13+1,1))-AVERAGE(OFFSET($H$3,0,0,'Données projet'!$E$13+1,1))</f>
        <v>243.33915530322201</v>
      </c>
      <c r="CZ5" s="59">
        <f t="shared" ref="CZ5:CZ68" si="42">$CZ$3</f>
        <v>247.73814704672577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9.300476190476191</v>
      </c>
      <c r="N6" s="13">
        <f>IF('Données projet'!$A$36&gt;35,N5+M6-V5,IF(A6&lt;'Données projet'!$A$36,$K$205^A6,IF(A6='Données projet'!$A$36,'Données projet'!$B$36,N5+M6-V5)))</f>
        <v>2.1244492177242864</v>
      </c>
      <c r="O6" s="13">
        <f>N6*VLOOKUP('Données projet'!$B$9,Paramètres!$A$1:$I$89,3,0)*VLOOKUP('Données projet'!$B$9,Paramètres!$A$1:$I$89,5,0)</f>
        <v>1.1875671127078762</v>
      </c>
      <c r="P6" s="13">
        <f t="shared" si="33"/>
        <v>0.53643859573869412</v>
      </c>
      <c r="Q6" s="20">
        <f t="shared" si="2"/>
        <v>3.0026432755444432</v>
      </c>
      <c r="R6" s="59">
        <f t="shared" si="0"/>
        <v>296.33597660887779</v>
      </c>
      <c r="S6" s="59">
        <f ca="1">AVERAGE(OFFSET($R$3,0,0,'Données projet'!$E$9+1,1))-AVERAGE(OFFSET($H$3,0,0,'Données projet'!$E$9+1,1))</f>
        <v>287.413090017863</v>
      </c>
      <c r="T6" s="59">
        <f t="shared" si="34"/>
        <v>258.48456031927117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4.0942857142857143</v>
      </c>
      <c r="AI6" s="13">
        <f>IF('Données projet'!$A$62&gt;35,AI5+AH6-AQ5,IF(A6&lt;'Données projet'!$A$62,$AF$205^A6,IF(A6='Données projet'!$A$62,'Données projet'!$B$62,AI5+AH6-AQ5)))</f>
        <v>12.282857142857143</v>
      </c>
      <c r="AJ6" s="13">
        <f>AI6*VLOOKUP('Données projet'!$B$10,Paramètres!$A$1:$I$89,3,0)*VLOOKUP('Données projet'!$B$10,Paramètres!$A$1:$I$89,5,0)</f>
        <v>11.113529142857143</v>
      </c>
      <c r="AK6" s="13">
        <f t="shared" si="35"/>
        <v>3.8696072280877138</v>
      </c>
      <c r="AL6" s="20">
        <f t="shared" si="4"/>
        <v>26.095629179395626</v>
      </c>
      <c r="AM6" s="59">
        <f t="shared" si="5"/>
        <v>319.42896251272896</v>
      </c>
      <c r="AN6" s="59">
        <f ca="1">AVERAGE(OFFSET($AM$3,0,0,'Données projet'!$E$10+1,1))-AVERAGE(OFFSET($H$3,0,0,'Données projet'!$E$10+1,1))</f>
        <v>422.10969295064359</v>
      </c>
      <c r="AO6" s="59">
        <f t="shared" si="36"/>
        <v>184.04075143033037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8.0399999999999991</v>
      </c>
      <c r="BD6" s="12">
        <f>IF('Données projet'!$A$88&gt;35,BD5+BC6-BL5,IF(A6&lt;'Données projet'!$A$88,$BA$205^A6,IF(A6='Données projet'!$A$88,'Données projet'!$B$88,BD5+BC6-BL5)))</f>
        <v>1.8896593769004606</v>
      </c>
      <c r="BE6" s="13">
        <f>BD6*VLOOKUP('Données projet'!$B$11,Paramètres!$A$1:$I$89,3,0)*VLOOKUP('Données projet'!$B$11,Paramètres!$A$1:$I$89,5,0)</f>
        <v>0.76153272889088564</v>
      </c>
      <c r="BF6" s="13">
        <f t="shared" si="37"/>
        <v>0.36225308110154802</v>
      </c>
      <c r="BG6" s="20">
        <f t="shared" si="7"/>
        <v>1.9572602857368218</v>
      </c>
      <c r="BH6" s="59">
        <f t="shared" si="8"/>
        <v>295.29059361907014</v>
      </c>
      <c r="BI6" s="59">
        <f ca="1">AVERAGE(OFFSET($BH$3,0,0,'Données projet'!$E$11+1,1))-AVERAGE(OFFSET($H$3,0,0,'Données projet'!$E$11+1,1))</f>
        <v>217.61052961346684</v>
      </c>
      <c r="BJ6" s="59">
        <f t="shared" si="38"/>
        <v>180.77145728128608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4.9119354838709679</v>
      </c>
      <c r="BY6" s="12">
        <f>IF('Données projet'!$A$114&gt;35,BY5+BX6-CG5,IF(A6&lt;'Données projet'!$A$114,$BV$205^A6,IF(A6='Données projet'!$A$114,'Données projet'!$B$114,BY5+BX6-CG5)))</f>
        <v>1.6263752001737928</v>
      </c>
      <c r="BZ6" s="13">
        <f>BY6*VLOOKUP('Données projet'!$B$12,Paramètres!$A$1:$I$89,3,0)*VLOOKUP('Données projet'!$B$12,Paramètres!$A$1:$I$89,5,0)</f>
        <v>1.3700584686264032</v>
      </c>
      <c r="CA6" s="13">
        <f t="shared" si="39"/>
        <v>0.60865996257103727</v>
      </c>
      <c r="CB6" s="20">
        <f t="shared" si="10"/>
        <v>3.4462679343355425</v>
      </c>
      <c r="CC6" s="59">
        <f t="shared" si="11"/>
        <v>296.77960126766885</v>
      </c>
      <c r="CD6" s="59">
        <f ca="1">AVERAGE(OFFSET($CC$3,0,0,'Données projet'!$E$12+1,1))-AVERAGE(OFFSET($H$3,0,0,'Données projet'!$E$12+1,1))</f>
        <v>287.72859857368331</v>
      </c>
      <c r="CE6" s="59">
        <f t="shared" si="40"/>
        <v>179.60736986885922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4.333333333333333</v>
      </c>
      <c r="CT6" s="12">
        <f>IF('Données projet'!$A$140&gt;35,CT5+CS6-DB5,IF(A6&lt;'Données projet'!$A$140,$CQ$205^A6,IF(A6='Données projet'!$A$140,'Données projet'!$B$140,CT5+CS6-DB5)))</f>
        <v>2.3045316198021402</v>
      </c>
      <c r="CU6" s="17">
        <f>CT6*VLOOKUP('Données projet'!$B$13,Paramètres!$A$1:$I$89,3,0)*VLOOKUP('Données projet'!$B$13,Paramètres!$A$1:$I$89,5,0)</f>
        <v>1.833485356714583</v>
      </c>
      <c r="CV6" s="13">
        <f t="shared" si="41"/>
        <v>0.78737934142351296</v>
      </c>
      <c r="CW6" s="20">
        <f t="shared" si="13"/>
        <v>4.5646726825905164</v>
      </c>
      <c r="CX6" s="59">
        <f t="shared" si="14"/>
        <v>297.89800601592384</v>
      </c>
      <c r="CY6" s="59">
        <f ca="1">AVERAGE(OFFSET($CX$3,0,0,'Données projet'!$E$13+1,1))-AVERAGE(OFFSET($H$3,0,0,'Données projet'!$E$13+1,1))</f>
        <v>243.33915530322201</v>
      </c>
      <c r="CZ6" s="59">
        <f t="shared" si="42"/>
        <v>247.73814704672577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9.300476190476191</v>
      </c>
      <c r="N7" s="13">
        <f>IF('Données projet'!$A$36&gt;35,N6+M7-V6,IF(A7&lt;'Données projet'!$A$36,$K$205^A7,IF(A7='Données projet'!$A$36,'Données projet'!$B$36,N6+M7-V6)))</f>
        <v>2.7310425866451067</v>
      </c>
      <c r="O7" s="13">
        <f>N7*VLOOKUP('Données projet'!$B$9,Paramètres!$A$1:$I$89,3,0)*VLOOKUP('Données projet'!$B$9,Paramètres!$A$1:$I$89,5,0)</f>
        <v>1.5266528059346147</v>
      </c>
      <c r="P7" s="13">
        <f t="shared" si="33"/>
        <v>0.66973805492848271</v>
      </c>
      <c r="Q7" s="20">
        <f t="shared" si="2"/>
        <v>3.8253807493365612</v>
      </c>
      <c r="R7" s="59">
        <f t="shared" si="0"/>
        <v>297.15871408266986</v>
      </c>
      <c r="S7" s="59">
        <f ca="1">AVERAGE(OFFSET($R$3,0,0,'Données projet'!$E$9+1,1))-AVERAGE(OFFSET($H$3,0,0,'Données projet'!$E$9+1,1))</f>
        <v>287.413090017863</v>
      </c>
      <c r="T7" s="59">
        <f t="shared" si="34"/>
        <v>258.48456031927117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4.0942857142857143</v>
      </c>
      <c r="AI7" s="13">
        <f>IF('Données projet'!$A$62&gt;35,AI6+AH7-AQ6,IF(A7&lt;'Données projet'!$A$62,$AF$205^A7,IF(A7='Données projet'!$A$62,'Données projet'!$B$62,AI6+AH7-AQ6)))</f>
        <v>16.377142857142857</v>
      </c>
      <c r="AJ7" s="13">
        <f>AI7*VLOOKUP('Données projet'!$B$10,Paramètres!$A$1:$I$89,3,0)*VLOOKUP('Données projet'!$B$10,Paramètres!$A$1:$I$89,5,0)</f>
        <v>14.818038857142856</v>
      </c>
      <c r="AK7" s="13">
        <f t="shared" si="35"/>
        <v>4.9895657885731195</v>
      </c>
      <c r="AL7" s="20">
        <f t="shared" si="4"/>
        <v>34.49824475795532</v>
      </c>
      <c r="AM7" s="59">
        <f t="shared" si="5"/>
        <v>327.83157809128863</v>
      </c>
      <c r="AN7" s="59">
        <f ca="1">AVERAGE(OFFSET($AM$3,0,0,'Données projet'!$E$10+1,1))-AVERAGE(OFFSET($H$3,0,0,'Données projet'!$E$10+1,1))</f>
        <v>422.10969295064359</v>
      </c>
      <c r="AO7" s="59">
        <f t="shared" si="36"/>
        <v>184.04075143033037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8.0399999999999991</v>
      </c>
      <c r="BD7" s="12">
        <f>IF('Données projet'!$A$88&gt;35,BD6+BC7-BL6,IF(A7&lt;'Données projet'!$A$88,$BA$205^A7,IF(A7='Données projet'!$A$88,'Données projet'!$B$88,BD6+BC7-BL6)))</f>
        <v>2.3362072598695751</v>
      </c>
      <c r="BE7" s="13">
        <f>BD7*VLOOKUP('Données projet'!$B$11,Paramètres!$A$1:$I$89,3,0)*VLOOKUP('Données projet'!$B$11,Paramètres!$A$1:$I$89,5,0)</f>
        <v>0.94149152572743877</v>
      </c>
      <c r="BF7" s="13">
        <f t="shared" si="37"/>
        <v>0.43693441130810379</v>
      </c>
      <c r="BG7" s="20">
        <f t="shared" si="7"/>
        <v>2.40075850700357</v>
      </c>
      <c r="BH7" s="59">
        <f t="shared" si="8"/>
        <v>295.73409184033687</v>
      </c>
      <c r="BI7" s="59">
        <f ca="1">AVERAGE(OFFSET($BH$3,0,0,'Données projet'!$E$11+1,1))-AVERAGE(OFFSET($H$3,0,0,'Données projet'!$E$11+1,1))</f>
        <v>217.61052961346684</v>
      </c>
      <c r="BJ7" s="59">
        <f t="shared" si="38"/>
        <v>180.77145728128608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4.9119354838709679</v>
      </c>
      <c r="BY7" s="12">
        <f>IF('Données projet'!$A$114&gt;35,BY6+BX7-CG6,IF(A7&lt;'Données projet'!$A$114,$BV$205^A7,IF(A7='Données projet'!$A$114,'Données projet'!$B$114,BY6+BX7-CG6)))</f>
        <v>1.9126154416838717</v>
      </c>
      <c r="BZ7" s="13">
        <f>BY7*VLOOKUP('Données projet'!$B$12,Paramètres!$A$1:$I$89,3,0)*VLOOKUP('Données projet'!$B$12,Paramètres!$A$1:$I$89,5,0)</f>
        <v>1.6111872480744935</v>
      </c>
      <c r="CA7" s="13">
        <f t="shared" si="39"/>
        <v>0.70240288155612574</v>
      </c>
      <c r="CB7" s="20">
        <f t="shared" si="10"/>
        <v>4.0295028091066616</v>
      </c>
      <c r="CC7" s="59">
        <f t="shared" si="11"/>
        <v>297.36283614243996</v>
      </c>
      <c r="CD7" s="59">
        <f ca="1">AVERAGE(OFFSET($CC$3,0,0,'Données projet'!$E$12+1,1))-AVERAGE(OFFSET($H$3,0,0,'Données projet'!$E$12+1,1))</f>
        <v>287.72859857368331</v>
      </c>
      <c r="CE7" s="59">
        <f t="shared" si="40"/>
        <v>179.60736986885922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4.333333333333333</v>
      </c>
      <c r="CT7" s="12">
        <f>IF('Données projet'!$A$140&gt;35,CT6+CS7-DB6,IF(A7&lt;'Données projet'!$A$140,$CQ$205^A7,IF(A7='Données projet'!$A$140,'Données projet'!$B$140,CT6+CS7-DB6)))</f>
        <v>3.0439923858678468</v>
      </c>
      <c r="CU7" s="17">
        <f>CT7*VLOOKUP('Données projet'!$B$13,Paramètres!$A$1:$I$89,3,0)*VLOOKUP('Données projet'!$B$13,Paramètres!$A$1:$I$89,5,0)</f>
        <v>2.4218003421964593</v>
      </c>
      <c r="CV7" s="13">
        <f t="shared" si="41"/>
        <v>1.0068776453006392</v>
      </c>
      <c r="CW7" s="20">
        <f t="shared" si="13"/>
        <v>5.9716141615574472</v>
      </c>
      <c r="CX7" s="59">
        <f t="shared" si="14"/>
        <v>299.30494749489077</v>
      </c>
      <c r="CY7" s="59">
        <f ca="1">AVERAGE(OFFSET($CX$3,0,0,'Données projet'!$E$13+1,1))-AVERAGE(OFFSET($H$3,0,0,'Données projet'!$E$13+1,1))</f>
        <v>243.33915530322201</v>
      </c>
      <c r="CZ7" s="59">
        <f t="shared" si="42"/>
        <v>247.73814704672577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9.300476190476191</v>
      </c>
      <c r="N8" s="13">
        <f>IF('Données projet'!$A$36&gt;35,N7+M8-V7,IF(A8&lt;'Données projet'!$A$36,$K$205^A8,IF(A8='Données projet'!$A$36,'Données projet'!$B$36,N7+M8-V7)))</f>
        <v>3.5108363842459145</v>
      </c>
      <c r="O8" s="13">
        <f>N8*VLOOKUP('Données projet'!$B$9,Paramètres!$A$1:$I$89,3,0)*VLOOKUP('Données projet'!$B$9,Paramètres!$A$1:$I$89,5,0)</f>
        <v>1.9625575387934662</v>
      </c>
      <c r="P8" s="13">
        <f t="shared" si="33"/>
        <v>0.83616105511893679</v>
      </c>
      <c r="Q8" s="20">
        <f t="shared" si="2"/>
        <v>4.8744348843974343</v>
      </c>
      <c r="R8" s="59">
        <f t="shared" si="0"/>
        <v>298.20776821773075</v>
      </c>
      <c r="S8" s="59">
        <f ca="1">AVERAGE(OFFSET($R$3,0,0,'Données projet'!$E$9+1,1))-AVERAGE(OFFSET($H$3,0,0,'Données projet'!$E$9+1,1))</f>
        <v>287.413090017863</v>
      </c>
      <c r="T8" s="59">
        <f t="shared" si="34"/>
        <v>258.48456031927117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4.0942857142857143</v>
      </c>
      <c r="AI8" s="13">
        <f>IF('Données projet'!$A$62&gt;35,AI7+AH8-AQ7,IF(A8&lt;'Données projet'!$A$62,$AF$205^A8,IF(A8='Données projet'!$A$62,'Données projet'!$B$62,AI7+AH8-AQ7)))</f>
        <v>20.471428571428572</v>
      </c>
      <c r="AJ8" s="13">
        <f>AI8*VLOOKUP('Données projet'!$B$10,Paramètres!$A$1:$I$89,3,0)*VLOOKUP('Données projet'!$B$10,Paramètres!$A$1:$I$89,5,0)</f>
        <v>18.522548571428572</v>
      </c>
      <c r="AK8" s="13">
        <f t="shared" si="35"/>
        <v>6.0770448389896208</v>
      </c>
      <c r="AL8" s="20">
        <f t="shared" si="4"/>
        <v>42.84429185647835</v>
      </c>
      <c r="AM8" s="59">
        <f t="shared" si="5"/>
        <v>336.17762518981169</v>
      </c>
      <c r="AN8" s="59">
        <f ca="1">AVERAGE(OFFSET($AM$3,0,0,'Données projet'!$E$10+1,1))-AVERAGE(OFFSET($H$3,0,0,'Données projet'!$E$10+1,1))</f>
        <v>422.10969295064359</v>
      </c>
      <c r="AO8" s="59">
        <f t="shared" si="36"/>
        <v>184.04075143033037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8.0399999999999991</v>
      </c>
      <c r="BD8" s="12">
        <f>IF('Données projet'!$A$88&gt;35,BD7+BC8-BL7,IF(A8&lt;'Données projet'!$A$88,$BA$205^A8,IF(A8='Données projet'!$A$88,'Données projet'!$B$88,BD7+BC8-BL7)))</f>
        <v>2.8882794580786531</v>
      </c>
      <c r="BE8" s="13">
        <f>BD8*VLOOKUP('Données projet'!$B$11,Paramètres!$A$1:$I$89,3,0)*VLOOKUP('Données projet'!$B$11,Paramètres!$A$1:$I$89,5,0)</f>
        <v>1.1639766216056973</v>
      </c>
      <c r="BF8" s="13">
        <f t="shared" si="37"/>
        <v>0.52701188684063172</v>
      </c>
      <c r="BG8" s="20">
        <f t="shared" si="7"/>
        <v>2.9451383188773561</v>
      </c>
      <c r="BH8" s="59">
        <f t="shared" si="8"/>
        <v>296.27847165221067</v>
      </c>
      <c r="BI8" s="59">
        <f ca="1">AVERAGE(OFFSET($BH$3,0,0,'Données projet'!$E$11+1,1))-AVERAGE(OFFSET($H$3,0,0,'Données projet'!$E$11+1,1))</f>
        <v>217.61052961346684</v>
      </c>
      <c r="BJ8" s="59">
        <f t="shared" si="38"/>
        <v>180.77145728128608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4.9119354838709679</v>
      </c>
      <c r="BY8" s="12">
        <f>IF('Données projet'!$A$114&gt;35,BY7+BX8-CG7,IF(A8&lt;'Données projet'!$A$114,$BV$205^A8,IF(A8='Données projet'!$A$114,'Données projet'!$B$114,BY7+BX8-CG7)))</f>
        <v>2.249233650006893</v>
      </c>
      <c r="BZ8" s="13">
        <f>BY8*VLOOKUP('Données projet'!$B$12,Paramètres!$A$1:$I$89,3,0)*VLOOKUP('Données projet'!$B$12,Paramètres!$A$1:$I$89,5,0)</f>
        <v>1.8947544267658067</v>
      </c>
      <c r="CA8" s="13">
        <f t="shared" si="39"/>
        <v>0.81058364005792016</v>
      </c>
      <c r="CB8" s="20">
        <f t="shared" si="10"/>
        <v>4.7117971330513244</v>
      </c>
      <c r="CC8" s="59">
        <f t="shared" si="11"/>
        <v>298.04513046638465</v>
      </c>
      <c r="CD8" s="59">
        <f ca="1">AVERAGE(OFFSET($CC$3,0,0,'Données projet'!$E$12+1,1))-AVERAGE(OFFSET($H$3,0,0,'Données projet'!$E$12+1,1))</f>
        <v>287.72859857368331</v>
      </c>
      <c r="CE8" s="59">
        <f t="shared" si="40"/>
        <v>179.60736986885922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4.333333333333333</v>
      </c>
      <c r="CT8" s="12">
        <f>IF('Données projet'!$A$140&gt;35,CT7+CS8-DB7,IF(A8&lt;'Données projet'!$A$140,$CQ$205^A8,IF(A8='Données projet'!$A$140,'Données projet'!$B$140,CT7+CS8-DB7)))</f>
        <v>4.0207257585890561</v>
      </c>
      <c r="CU8" s="17">
        <f>CT8*VLOOKUP('Données projet'!$B$13,Paramètres!$A$1:$I$89,3,0)*VLOOKUP('Données projet'!$B$13,Paramètres!$A$1:$I$89,5,0)</f>
        <v>3.1988894135334531</v>
      </c>
      <c r="CV8" s="13">
        <f t="shared" si="41"/>
        <v>1.2875656488183871</v>
      </c>
      <c r="CW8" s="20">
        <f t="shared" si="13"/>
        <v>7.8139092335961218</v>
      </c>
      <c r="CX8" s="59">
        <f t="shared" si="14"/>
        <v>301.14724256692944</v>
      </c>
      <c r="CY8" s="59">
        <f ca="1">AVERAGE(OFFSET($CX$3,0,0,'Données projet'!$E$13+1,1))-AVERAGE(OFFSET($H$3,0,0,'Données projet'!$E$13+1,1))</f>
        <v>243.33915530322201</v>
      </c>
      <c r="CZ8" s="59">
        <f t="shared" si="42"/>
        <v>247.73814704672577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9.300476190476191</v>
      </c>
      <c r="N9" s="13">
        <f>IF('Données projet'!$A$36&gt;35,N8+M9-V8,IF(A9&lt;'Données projet'!$A$36,$K$205^A9,IF(A9='Données projet'!$A$36,'Données projet'!$B$36,N8+M9-V8)))</f>
        <v>4.5132844786893322</v>
      </c>
      <c r="O9" s="13">
        <f>N9*VLOOKUP('Données projet'!$B$9,Paramètres!$A$1:$I$89,3,0)*VLOOKUP('Données projet'!$B$9,Paramètres!$A$1:$I$89,5,0)</f>
        <v>2.5229260235873365</v>
      </c>
      <c r="P9" s="13">
        <f t="shared" si="33"/>
        <v>1.0439384546728099</v>
      </c>
      <c r="Q9" s="20">
        <f t="shared" si="2"/>
        <v>6.2122889663030882</v>
      </c>
      <c r="R9" s="59">
        <f t="shared" si="0"/>
        <v>299.54562229963642</v>
      </c>
      <c r="S9" s="59">
        <f ca="1">AVERAGE(OFFSET($R$3,0,0,'Données projet'!$E$9+1,1))-AVERAGE(OFFSET($H$3,0,0,'Données projet'!$E$9+1,1))</f>
        <v>287.413090017863</v>
      </c>
      <c r="T9" s="59">
        <f t="shared" si="34"/>
        <v>258.48456031927117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4.0942857142857143</v>
      </c>
      <c r="AI9" s="13">
        <f>IF('Données projet'!$A$62&gt;35,AI8+AH9-AQ8,IF(A9&lt;'Données projet'!$A$62,$AF$205^A9,IF(A9='Données projet'!$A$62,'Données projet'!$B$62,AI8+AH9-AQ8)))</f>
        <v>24.565714285714286</v>
      </c>
      <c r="AJ9" s="13">
        <f>AI9*VLOOKUP('Données projet'!$B$10,Paramètres!$A$1:$I$89,3,0)*VLOOKUP('Données projet'!$B$10,Paramètres!$A$1:$I$89,5,0)</f>
        <v>22.227058285714286</v>
      </c>
      <c r="AK9" s="13">
        <f t="shared" si="35"/>
        <v>7.1393223235836674</v>
      </c>
      <c r="AL9" s="20">
        <f t="shared" si="4"/>
        <v>51.146446227860601</v>
      </c>
      <c r="AM9" s="59">
        <f t="shared" si="5"/>
        <v>344.47977956119394</v>
      </c>
      <c r="AN9" s="59">
        <f ca="1">AVERAGE(OFFSET($AM$3,0,0,'Données projet'!$E$10+1,1))-AVERAGE(OFFSET($H$3,0,0,'Données projet'!$E$10+1,1))</f>
        <v>422.10969295064359</v>
      </c>
      <c r="AO9" s="59">
        <f t="shared" si="36"/>
        <v>184.04075143033037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8.0399999999999991</v>
      </c>
      <c r="BD9" s="12">
        <f>IF('Données projet'!$A$88&gt;35,BD8+BC9-BL8,IF(A9&lt;'Données projet'!$A$88,$BA$205^A9,IF(A9='Données projet'!$A$88,'Données projet'!$B$88,BD8+BC9-BL8)))</f>
        <v>3.5708125607078376</v>
      </c>
      <c r="BE9" s="13">
        <f>BD9*VLOOKUP('Données projet'!$B$11,Paramètres!$A$1:$I$89,3,0)*VLOOKUP('Données projet'!$B$11,Paramètres!$A$1:$I$89,5,0)</f>
        <v>1.4390374619652586</v>
      </c>
      <c r="BF9" s="13">
        <f t="shared" si="37"/>
        <v>0.63565954450649487</v>
      </c>
      <c r="BG9" s="20">
        <f t="shared" si="7"/>
        <v>3.6134306196049706</v>
      </c>
      <c r="BH9" s="59">
        <f t="shared" si="8"/>
        <v>296.94676395293828</v>
      </c>
      <c r="BI9" s="59">
        <f ca="1">AVERAGE(OFFSET($BH$3,0,0,'Données projet'!$E$11+1,1))-AVERAGE(OFFSET($H$3,0,0,'Données projet'!$E$11+1,1))</f>
        <v>217.61052961346684</v>
      </c>
      <c r="BJ9" s="59">
        <f t="shared" si="38"/>
        <v>180.77145728128608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4.9119354838709679</v>
      </c>
      <c r="BY9" s="12">
        <f>IF('Données projet'!$A$114&gt;35,BY8+BX9-CG8,IF(A9&lt;'Données projet'!$A$114,$BV$205^A9,IF(A9='Données projet'!$A$114,'Données projet'!$B$114,BY8+BX9-CG8)))</f>
        <v>2.6450962917403449</v>
      </c>
      <c r="BZ9" s="13">
        <f>BY9*VLOOKUP('Données projet'!$B$12,Paramètres!$A$1:$I$89,3,0)*VLOOKUP('Données projet'!$B$12,Paramètres!$A$1:$I$89,5,0)</f>
        <v>2.2282291161620664</v>
      </c>
      <c r="CA9" s="13">
        <f t="shared" si="39"/>
        <v>0.93542588560272921</v>
      </c>
      <c r="CB9" s="20">
        <f t="shared" si="10"/>
        <v>5.5100324614070191</v>
      </c>
      <c r="CC9" s="59">
        <f t="shared" si="11"/>
        <v>298.84336579474035</v>
      </c>
      <c r="CD9" s="59">
        <f ca="1">AVERAGE(OFFSET($CC$3,0,0,'Données projet'!$E$12+1,1))-AVERAGE(OFFSET($H$3,0,0,'Données projet'!$E$12+1,1))</f>
        <v>287.72859857368331</v>
      </c>
      <c r="CE9" s="59">
        <f t="shared" si="40"/>
        <v>179.60736986885922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4.333333333333333</v>
      </c>
      <c r="CT9" s="12">
        <f>IF('Données projet'!$A$140&gt;35,CT8+CS9-DB8,IF(A9&lt;'Données projet'!$A$140,$CQ$205^A9,IF(A9='Données projet'!$A$140,'Données projet'!$B$140,CT8+CS9-DB8)))</f>
        <v>5.310865986667876</v>
      </c>
      <c r="CU9" s="17">
        <f>CT9*VLOOKUP('Données projet'!$B$13,Paramètres!$A$1:$I$89,3,0)*VLOOKUP('Données projet'!$B$13,Paramètres!$A$1:$I$89,5,0)</f>
        <v>4.2253249789929628</v>
      </c>
      <c r="CV9" s="13">
        <f t="shared" si="41"/>
        <v>1.6465012484432624</v>
      </c>
      <c r="CW9" s="20">
        <f t="shared" si="13"/>
        <v>10.226764012784757</v>
      </c>
      <c r="CX9" s="59">
        <f t="shared" si="14"/>
        <v>303.56009734611808</v>
      </c>
      <c r="CY9" s="59">
        <f ca="1">AVERAGE(OFFSET($CX$3,0,0,'Données projet'!$E$13+1,1))-AVERAGE(OFFSET($H$3,0,0,'Données projet'!$E$13+1,1))</f>
        <v>243.33915530322201</v>
      </c>
      <c r="CZ9" s="59">
        <f t="shared" si="42"/>
        <v>247.73814704672577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9.300476190476191</v>
      </c>
      <c r="N10" s="13">
        <f>IF('Données projet'!$A$36&gt;35,N9+M10-V9,IF(A10&lt;'Données projet'!$A$36,$K$205^A10,IF(A10='Données projet'!$A$36,'Données projet'!$B$36,N9+M10-V9)))</f>
        <v>5.8019612867699086</v>
      </c>
      <c r="O10" s="13">
        <f>N10*VLOOKUP('Données projet'!$B$9,Paramètres!$A$1:$I$89,3,0)*VLOOKUP('Données projet'!$B$9,Paramètres!$A$1:$I$89,5,0)</f>
        <v>3.2432963593043791</v>
      </c>
      <c r="P10" s="13">
        <f t="shared" si="33"/>
        <v>1.3033463953779079</v>
      </c>
      <c r="Q10" s="20">
        <f t="shared" si="2"/>
        <v>7.9187361310716495</v>
      </c>
      <c r="R10" s="59">
        <f t="shared" si="0"/>
        <v>301.25206946440494</v>
      </c>
      <c r="S10" s="59">
        <f ca="1">AVERAGE(OFFSET($R$3,0,0,'Données projet'!$E$9+1,1))-AVERAGE(OFFSET($H$3,0,0,'Données projet'!$E$9+1,1))</f>
        <v>287.413090017863</v>
      </c>
      <c r="T10" s="59">
        <f t="shared" si="34"/>
        <v>258.48456031927117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4.0942857142857143</v>
      </c>
      <c r="AI10" s="13">
        <f>IF('Données projet'!$A$62&gt;35,AI9+AH10-AQ9,IF(A10&lt;'Données projet'!$A$62,$AF$205^A10,IF(A10='Données projet'!$A$62,'Données projet'!$B$62,AI9+AH10-AQ9)))</f>
        <v>28.66</v>
      </c>
      <c r="AJ10" s="13">
        <f>AI10*VLOOKUP('Données projet'!$B$10,Paramètres!$A$1:$I$89,3,0)*VLOOKUP('Données projet'!$B$10,Paramètres!$A$1:$I$89,5,0)</f>
        <v>25.931567999999999</v>
      </c>
      <c r="AK10" s="13">
        <f t="shared" si="35"/>
        <v>8.1810900516051337</v>
      </c>
      <c r="AL10" s="20">
        <f t="shared" si="4"/>
        <v>59.412879439878935</v>
      </c>
      <c r="AM10" s="59">
        <f t="shared" si="5"/>
        <v>352.74621277321228</v>
      </c>
      <c r="AN10" s="59">
        <f ca="1">AVERAGE(OFFSET($AM$3,0,0,'Données projet'!$E$10+1,1))-AVERAGE(OFFSET($H$3,0,0,'Données projet'!$E$10+1,1))</f>
        <v>422.10969295064359</v>
      </c>
      <c r="AO10" s="59">
        <f t="shared" si="36"/>
        <v>184.04075143033037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8.0399999999999991</v>
      </c>
      <c r="BD10" s="12">
        <f>IF('Données projet'!$A$88&gt;35,BD9+BC10-BL9,IF(A10&lt;'Données projet'!$A$88,$BA$205^A10,IF(A10='Données projet'!$A$88,'Données projet'!$B$88,BD9+BC10-BL9)))</f>
        <v>4.4146359549954735</v>
      </c>
      <c r="BE10" s="13">
        <f>BD10*VLOOKUP('Données projet'!$B$11,Paramètres!$A$1:$I$89,3,0)*VLOOKUP('Données projet'!$B$11,Paramètres!$A$1:$I$89,5,0)</f>
        <v>1.7790982898631758</v>
      </c>
      <c r="BF10" s="13">
        <f t="shared" si="37"/>
        <v>0.76670577383844318</v>
      </c>
      <c r="BG10" s="20">
        <f t="shared" si="7"/>
        <v>4.4339420776136533</v>
      </c>
      <c r="BH10" s="59">
        <f t="shared" si="8"/>
        <v>297.76727541094698</v>
      </c>
      <c r="BI10" s="59">
        <f ca="1">AVERAGE(OFFSET($BH$3,0,0,'Données projet'!$E$11+1,1))-AVERAGE(OFFSET($H$3,0,0,'Données projet'!$E$11+1,1))</f>
        <v>217.61052961346684</v>
      </c>
      <c r="BJ10" s="59">
        <f t="shared" si="38"/>
        <v>180.77145728128608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4.9119354838709679</v>
      </c>
      <c r="BY10" s="12">
        <f>IF('Données projet'!$A$114&gt;35,BY9+BX10-CG9,IF(A10&lt;'Données projet'!$A$114,$BV$205^A10,IF(A10='Données projet'!$A$114,'Données projet'!$B$114,BY9+BX10-CG9)))</f>
        <v>3.110630321824094</v>
      </c>
      <c r="BZ10" s="13">
        <f>BY10*VLOOKUP('Données projet'!$B$12,Paramètres!$A$1:$I$89,3,0)*VLOOKUP('Données projet'!$B$12,Paramètres!$A$1:$I$89,5,0)</f>
        <v>2.6203949831046174</v>
      </c>
      <c r="CA10" s="13">
        <f t="shared" si="39"/>
        <v>1.0794957413563466</v>
      </c>
      <c r="CB10" s="20">
        <f t="shared" si="10"/>
        <v>6.443976345102846</v>
      </c>
      <c r="CC10" s="59">
        <f t="shared" si="11"/>
        <v>299.77730967843615</v>
      </c>
      <c r="CD10" s="59">
        <f ca="1">AVERAGE(OFFSET($CC$3,0,0,'Données projet'!$E$12+1,1))-AVERAGE(OFFSET($H$3,0,0,'Données projet'!$E$12+1,1))</f>
        <v>287.72859857368331</v>
      </c>
      <c r="CE10" s="59">
        <f t="shared" si="40"/>
        <v>179.60736986885922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4.333333333333333</v>
      </c>
      <c r="CT10" s="12">
        <f>IF('Données projet'!$A$140&gt;35,CT9+CS10-DB9,IF(A10&lt;'Données projet'!$A$140,$CQ$205^A10,IF(A10='Données projet'!$A$140,'Données projet'!$B$140,CT9+CS10-DB9)))</f>
        <v>7.0149767036694106</v>
      </c>
      <c r="CU10" s="17">
        <f>CT10*VLOOKUP('Données projet'!$B$13,Paramètres!$A$1:$I$89,3,0)*VLOOKUP('Données projet'!$B$13,Paramètres!$A$1:$I$89,5,0)</f>
        <v>5.5811154654393826</v>
      </c>
      <c r="CV10" s="13">
        <f t="shared" si="41"/>
        <v>2.1054975826771263</v>
      </c>
      <c r="CW10" s="20">
        <f t="shared" si="13"/>
        <v>13.387517725469587</v>
      </c>
      <c r="CX10" s="59">
        <f t="shared" si="14"/>
        <v>306.72085105880291</v>
      </c>
      <c r="CY10" s="59">
        <f ca="1">AVERAGE(OFFSET($CX$3,0,0,'Données projet'!$E$13+1,1))-AVERAGE(OFFSET($H$3,0,0,'Données projet'!$E$13+1,1))</f>
        <v>243.33915530322201</v>
      </c>
      <c r="CZ10" s="59">
        <f t="shared" si="42"/>
        <v>247.73814704672577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9.300476190476191</v>
      </c>
      <c r="N11" s="13">
        <f>IF('Données projet'!$A$36&gt;35,N10+M11-V10,IF(A11&lt;'Données projet'!$A$36,$K$205^A11,IF(A11='Données projet'!$A$36,'Données projet'!$B$36,N10+M11-V10)))</f>
        <v>7.4585936100691947</v>
      </c>
      <c r="O11" s="13">
        <f>N11*VLOOKUP('Données projet'!$B$9,Paramètres!$A$1:$I$89,3,0)*VLOOKUP('Données projet'!$B$9,Paramètres!$A$1:$I$89,5,0)</f>
        <v>4.1693538280286795</v>
      </c>
      <c r="P11" s="13">
        <f t="shared" si="33"/>
        <v>1.6272145342868833</v>
      </c>
      <c r="Q11" s="20">
        <f t="shared" si="2"/>
        <v>10.095689897699605</v>
      </c>
      <c r="R11" s="59">
        <f t="shared" si="0"/>
        <v>303.42902323103294</v>
      </c>
      <c r="S11" s="59">
        <f ca="1">AVERAGE(OFFSET($R$3,0,0,'Données projet'!$E$9+1,1))-AVERAGE(OFFSET($H$3,0,0,'Données projet'!$E$9+1,1))</f>
        <v>287.413090017863</v>
      </c>
      <c r="T11" s="59">
        <f t="shared" si="34"/>
        <v>258.48456031927117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4.0942857142857143</v>
      </c>
      <c r="AI11" s="13">
        <f>IF('Données projet'!$A$62&gt;35,AI10+AH11-AQ10,IF(A11&lt;'Données projet'!$A$62,$AF$205^A11,IF(A11='Données projet'!$A$62,'Données projet'!$B$62,AI10+AH11-AQ10)))</f>
        <v>32.754285714285714</v>
      </c>
      <c r="AJ11" s="13">
        <f>AI11*VLOOKUP('Données projet'!$B$10,Paramètres!$A$1:$I$89,3,0)*VLOOKUP('Données projet'!$B$10,Paramètres!$A$1:$I$89,5,0)</f>
        <v>29.636077714285712</v>
      </c>
      <c r="AK11" s="13">
        <f t="shared" si="35"/>
        <v>9.205616053429063</v>
      </c>
      <c r="AL11" s="20">
        <f t="shared" si="4"/>
        <v>67.649283312103222</v>
      </c>
      <c r="AM11" s="59">
        <f t="shared" si="5"/>
        <v>360.98261664543656</v>
      </c>
      <c r="AN11" s="59">
        <f ca="1">AVERAGE(OFFSET($AM$3,0,0,'Données projet'!$E$10+1,1))-AVERAGE(OFFSET($H$3,0,0,'Données projet'!$E$10+1,1))</f>
        <v>422.10969295064359</v>
      </c>
      <c r="AO11" s="59">
        <f t="shared" si="36"/>
        <v>184.04075143033037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8.0399999999999991</v>
      </c>
      <c r="BD11" s="12">
        <f>IF('Données projet'!$A$88&gt;35,BD10+BC11-BL10,IF(A11&lt;'Données projet'!$A$88,$BA$205^A11,IF(A11='Données projet'!$A$88,'Données projet'!$B$88,BD10+BC11-BL10)))</f>
        <v>5.4578643610673083</v>
      </c>
      <c r="BE11" s="13">
        <f>BD11*VLOOKUP('Données projet'!$B$11,Paramètres!$A$1:$I$89,3,0)*VLOOKUP('Données projet'!$B$11,Paramètres!$A$1:$I$89,5,0)</f>
        <v>2.1995193375101252</v>
      </c>
      <c r="BF11" s="13">
        <f t="shared" si="37"/>
        <v>0.92476821707063961</v>
      </c>
      <c r="BG11" s="20">
        <f t="shared" si="7"/>
        <v>5.4414674908948308</v>
      </c>
      <c r="BH11" s="59">
        <f t="shared" si="8"/>
        <v>298.77480082422812</v>
      </c>
      <c r="BI11" s="59">
        <f ca="1">AVERAGE(OFFSET($BH$3,0,0,'Données projet'!$E$11+1,1))-AVERAGE(OFFSET($H$3,0,0,'Données projet'!$E$11+1,1))</f>
        <v>217.61052961346684</v>
      </c>
      <c r="BJ11" s="59">
        <f t="shared" si="38"/>
        <v>180.77145728128608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4.9119354838709679</v>
      </c>
      <c r="BY11" s="12">
        <f>IF('Données projet'!$A$114&gt;35,BY10+BX11-CG10,IF(A11&lt;'Données projet'!$A$114,$BV$205^A11,IF(A11='Données projet'!$A$114,'Données projet'!$B$114,BY10+BX11-CG10)))</f>
        <v>3.6580978277675915</v>
      </c>
      <c r="BZ11" s="13">
        <f>BY11*VLOOKUP('Données projet'!$B$12,Paramètres!$A$1:$I$89,3,0)*VLOOKUP('Données projet'!$B$12,Paramètres!$A$1:$I$89,5,0)</f>
        <v>3.0815816101114191</v>
      </c>
      <c r="CA11" s="13">
        <f t="shared" si="39"/>
        <v>1.2457545525967939</v>
      </c>
      <c r="CB11" s="20">
        <f t="shared" si="10"/>
        <v>7.5367771500501375</v>
      </c>
      <c r="CC11" s="59">
        <f t="shared" si="11"/>
        <v>300.87011048338343</v>
      </c>
      <c r="CD11" s="59">
        <f ca="1">AVERAGE(OFFSET($CC$3,0,0,'Données projet'!$E$12+1,1))-AVERAGE(OFFSET($H$3,0,0,'Données projet'!$E$12+1,1))</f>
        <v>287.72859857368331</v>
      </c>
      <c r="CE11" s="59">
        <f t="shared" si="40"/>
        <v>179.60736986885922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4.333333333333333</v>
      </c>
      <c r="CT11" s="12">
        <f>IF('Données projet'!$A$140&gt;35,CT10+CS11-DB10,IF(A11&lt;'Données projet'!$A$140,$CQ$205^A11,IF(A11='Données projet'!$A$140,'Données projet'!$B$140,CT10+CS11-DB10)))</f>
        <v>9.2658896452214261</v>
      </c>
      <c r="CU11" s="17">
        <f>CT11*VLOOKUP('Données projet'!$B$13,Paramètres!$A$1:$I$89,3,0)*VLOOKUP('Données projet'!$B$13,Paramètres!$A$1:$I$89,5,0)</f>
        <v>7.3719418017381662</v>
      </c>
      <c r="CV11" s="13">
        <f t="shared" si="41"/>
        <v>2.6924486542908248</v>
      </c>
      <c r="CW11" s="20">
        <f t="shared" si="13"/>
        <v>17.528813377583827</v>
      </c>
      <c r="CX11" s="59">
        <f t="shared" si="14"/>
        <v>310.86214671091716</v>
      </c>
      <c r="CY11" s="59">
        <f ca="1">AVERAGE(OFFSET($CX$3,0,0,'Données projet'!$E$13+1,1))-AVERAGE(OFFSET($H$3,0,0,'Données projet'!$E$13+1,1))</f>
        <v>243.33915530322201</v>
      </c>
      <c r="CZ11" s="59">
        <f t="shared" si="42"/>
        <v>247.73814704672577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9.300476190476191</v>
      </c>
      <c r="N12" s="13">
        <f>IF('Données projet'!$A$36&gt;35,N11+M12-V11,IF(A12&lt;'Données projet'!$A$36,$K$205^A12,IF(A12='Données projet'!$A$36,'Données projet'!$B$36,N11+M12-V11)))</f>
        <v>9.5882436801187154</v>
      </c>
      <c r="O12" s="13">
        <f>N12*VLOOKUP('Données projet'!$B$9,Paramètres!$A$1:$I$89,3,0)*VLOOKUP('Données projet'!$B$9,Paramètres!$A$1:$I$89,5,0)</f>
        <v>5.3598282171863616</v>
      </c>
      <c r="P12" s="13">
        <f t="shared" si="33"/>
        <v>2.0315605659282445</v>
      </c>
      <c r="Q12" s="20">
        <f t="shared" si="2"/>
        <v>12.873335463924604</v>
      </c>
      <c r="R12" s="59">
        <f t="shared" si="0"/>
        <v>306.20666879725792</v>
      </c>
      <c r="S12" s="59">
        <f ca="1">AVERAGE(OFFSET($R$3,0,0,'Données projet'!$E$9+1,1))-AVERAGE(OFFSET($H$3,0,0,'Données projet'!$E$9+1,1))</f>
        <v>287.413090017863</v>
      </c>
      <c r="T12" s="59">
        <f t="shared" si="34"/>
        <v>258.48456031927117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4.0942857142857143</v>
      </c>
      <c r="AI12" s="13">
        <f>IF('Données projet'!$A$62&gt;35,AI11+AH12-AQ11,IF(A12&lt;'Données projet'!$A$62,$AF$205^A12,IF(A12='Données projet'!$A$62,'Données projet'!$B$62,AI11+AH12-AQ11)))</f>
        <v>36.848571428571432</v>
      </c>
      <c r="AJ12" s="13">
        <f>AI12*VLOOKUP('Données projet'!$B$10,Paramètres!$A$1:$I$89,3,0)*VLOOKUP('Données projet'!$B$10,Paramètres!$A$1:$I$89,5,0)</f>
        <v>33.340587428571432</v>
      </c>
      <c r="AK12" s="13">
        <f t="shared" si="35"/>
        <v>10.215302372953809</v>
      </c>
      <c r="AL12" s="20">
        <f t="shared" si="4"/>
        <v>75.85984140432312</v>
      </c>
      <c r="AM12" s="59">
        <f t="shared" si="5"/>
        <v>369.19317473765642</v>
      </c>
      <c r="AN12" s="59">
        <f ca="1">AVERAGE(OFFSET($AM$3,0,0,'Données projet'!$E$10+1,1))-AVERAGE(OFFSET($H$3,0,0,'Données projet'!$E$10+1,1))</f>
        <v>422.10969295064359</v>
      </c>
      <c r="AO12" s="59">
        <f t="shared" si="36"/>
        <v>184.04075143033037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8.0399999999999991</v>
      </c>
      <c r="BD12" s="12">
        <f>IF('Données projet'!$A$88&gt;35,BD11+BC12-BL11,IF(A12&lt;'Données projet'!$A$88,$BA$205^A12,IF(A12='Données projet'!$A$88,'Données projet'!$B$88,BD11+BC12-BL11)))</f>
        <v>6.7476194384955113</v>
      </c>
      <c r="BE12" s="13">
        <f>BD12*VLOOKUP('Données projet'!$B$11,Paramètres!$A$1:$I$89,3,0)*VLOOKUP('Données projet'!$B$11,Paramètres!$A$1:$I$89,5,0)</f>
        <v>2.7192906337136908</v>
      </c>
      <c r="BF12" s="13">
        <f t="shared" si="37"/>
        <v>1.1154164798088668</v>
      </c>
      <c r="BG12" s="20">
        <f t="shared" si="7"/>
        <v>6.6787815560517876</v>
      </c>
      <c r="BH12" s="59">
        <f t="shared" si="8"/>
        <v>300.01211488938509</v>
      </c>
      <c r="BI12" s="59">
        <f ca="1">AVERAGE(OFFSET($BH$3,0,0,'Données projet'!$E$11+1,1))-AVERAGE(OFFSET($H$3,0,0,'Données projet'!$E$11+1,1))</f>
        <v>217.61052961346684</v>
      </c>
      <c r="BJ12" s="59">
        <f t="shared" si="38"/>
        <v>180.77145728128608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4.9119354838709679</v>
      </c>
      <c r="BY12" s="12">
        <f>IF('Données projet'!$A$114&gt;35,BY11+BX12-CG11,IF(A12&lt;'Données projet'!$A$114,$BV$205^A12,IF(A12='Données projet'!$A$114,'Données projet'!$B$114,BY11+BX12-CG11)))</f>
        <v>4.3019190109581604</v>
      </c>
      <c r="BZ12" s="13">
        <f>BY12*VLOOKUP('Données projet'!$B$12,Paramètres!$A$1:$I$89,3,0)*VLOOKUP('Données projet'!$B$12,Paramètres!$A$1:$I$89,5,0)</f>
        <v>3.6239365748311547</v>
      </c>
      <c r="CA12" s="13">
        <f t="shared" si="39"/>
        <v>1.4376197569484881</v>
      </c>
      <c r="CB12" s="20">
        <f t="shared" si="10"/>
        <v>8.8155439445162127</v>
      </c>
      <c r="CC12" s="59">
        <f t="shared" si="11"/>
        <v>302.14887727784952</v>
      </c>
      <c r="CD12" s="59">
        <f ca="1">AVERAGE(OFFSET($CC$3,0,0,'Données projet'!$E$12+1,1))-AVERAGE(OFFSET($H$3,0,0,'Données projet'!$E$12+1,1))</f>
        <v>287.72859857368331</v>
      </c>
      <c r="CE12" s="59">
        <f t="shared" si="40"/>
        <v>179.60736986885922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4.333333333333333</v>
      </c>
      <c r="CT12" s="12">
        <f>IF('Données projet'!$A$140&gt;35,CT11+CS12-DB11,IF(A12&lt;'Données projet'!$A$140,$CQ$205^A12,IF(A12='Données projet'!$A$140,'Données projet'!$B$140,CT11+CS12-DB11)))</f>
        <v>12.23905859480781</v>
      </c>
      <c r="CU12" s="17">
        <f>CT12*VLOOKUP('Données projet'!$B$13,Paramètres!$A$1:$I$89,3,0)*VLOOKUP('Données projet'!$B$13,Paramètres!$A$1:$I$89,5,0)</f>
        <v>9.737395018029094</v>
      </c>
      <c r="CV12" s="13">
        <f t="shared" si="41"/>
        <v>3.4430244972188757</v>
      </c>
      <c r="CW12" s="20">
        <f t="shared" si="13"/>
        <v>22.955897322390214</v>
      </c>
      <c r="CX12" s="59">
        <f t="shared" si="14"/>
        <v>316.28923065572354</v>
      </c>
      <c r="CY12" s="59">
        <f ca="1">AVERAGE(OFFSET($CX$3,0,0,'Données projet'!$E$13+1,1))-AVERAGE(OFFSET($H$3,0,0,'Données projet'!$E$13+1,1))</f>
        <v>243.33915530322201</v>
      </c>
      <c r="CZ12" s="59">
        <f t="shared" si="42"/>
        <v>247.73814704672577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9.300476190476191</v>
      </c>
      <c r="N13" s="13">
        <f>IF('Données projet'!$A$36&gt;35,N12+M13-V12,IF(A13&lt;'Données projet'!$A$36,$K$205^A13,IF(A13='Données projet'!$A$36,'Données projet'!$B$36,N12+M13-V12)))</f>
        <v>12.325972116944925</v>
      </c>
      <c r="O13" s="13">
        <f>N13*VLOOKUP('Données projet'!$B$9,Paramètres!$A$1:$I$89,3,0)*VLOOKUP('Données projet'!$B$9,Paramètres!$A$1:$I$89,5,0)</f>
        <v>6.8902184133722137</v>
      </c>
      <c r="P13" s="13">
        <f t="shared" si="33"/>
        <v>2.5363824167434852</v>
      </c>
      <c r="Q13" s="20">
        <f t="shared" si="2"/>
        <v>16.417996445784841</v>
      </c>
      <c r="R13" s="59">
        <f t="shared" si="0"/>
        <v>309.75132977911818</v>
      </c>
      <c r="S13" s="59">
        <f ca="1">AVERAGE(OFFSET($R$3,0,0,'Données projet'!$E$9+1,1))-AVERAGE(OFFSET($H$3,0,0,'Données projet'!$E$9+1,1))</f>
        <v>287.413090017863</v>
      </c>
      <c r="T13" s="59">
        <f t="shared" si="34"/>
        <v>258.48456031927117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4.0942857142857143</v>
      </c>
      <c r="AI13" s="13">
        <f>IF('Données projet'!$A$62&gt;35,AI12+AH13-AQ12,IF(A13&lt;'Données projet'!$A$62,$AF$205^A13,IF(A13='Données projet'!$A$62,'Données projet'!$B$62,AI12+AH13-AQ12)))</f>
        <v>40.94285714285715</v>
      </c>
      <c r="AJ13" s="13">
        <f>AI13*VLOOKUP('Données projet'!$B$10,Paramètres!$A$1:$I$89,3,0)*VLOOKUP('Données projet'!$B$10,Paramètres!$A$1:$I$89,5,0)</f>
        <v>37.045097142857145</v>
      </c>
      <c r="AK13" s="13">
        <f t="shared" si="35"/>
        <v>11.211985951829543</v>
      </c>
      <c r="AL13" s="20">
        <f t="shared" si="4"/>
        <v>84.04775305657931</v>
      </c>
      <c r="AM13" s="59">
        <f t="shared" si="5"/>
        <v>377.38108638991264</v>
      </c>
      <c r="AN13" s="59">
        <f ca="1">AVERAGE(OFFSET($AM$3,0,0,'Données projet'!$E$10+1,1))-AVERAGE(OFFSET($H$3,0,0,'Données projet'!$E$10+1,1))</f>
        <v>422.10969295064359</v>
      </c>
      <c r="AO13" s="59">
        <f t="shared" si="36"/>
        <v>184.04075143033037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8.0399999999999991</v>
      </c>
      <c r="BD13" s="12">
        <f>IF('Données projet'!$A$88&gt;35,BD12+BC13-BL12,IF(A13&lt;'Données projet'!$A$88,$BA$205^A13,IF(A13='Données projet'!$A$88,'Données projet'!$B$88,BD12+BC13-BL12)))</f>
        <v>8.3421582279591178</v>
      </c>
      <c r="BE13" s="13">
        <f>BD13*VLOOKUP('Données projet'!$B$11,Paramètres!$A$1:$I$89,3,0)*VLOOKUP('Données projet'!$B$11,Paramètres!$A$1:$I$89,5,0)</f>
        <v>3.3618897658675246</v>
      </c>
      <c r="BF13" s="13">
        <f t="shared" si="37"/>
        <v>1.3453683857888989</v>
      </c>
      <c r="BG13" s="20">
        <f t="shared" si="7"/>
        <v>8.1984746141349376</v>
      </c>
      <c r="BH13" s="59">
        <f t="shared" si="8"/>
        <v>301.53180794746822</v>
      </c>
      <c r="BI13" s="59">
        <f ca="1">AVERAGE(OFFSET($BH$3,0,0,'Données projet'!$E$11+1,1))-AVERAGE(OFFSET($H$3,0,0,'Données projet'!$E$11+1,1))</f>
        <v>217.61052961346684</v>
      </c>
      <c r="BJ13" s="59">
        <f t="shared" si="38"/>
        <v>180.77145728128608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4.9119354838709679</v>
      </c>
      <c r="BY13" s="12">
        <f>IF('Données projet'!$A$114&gt;35,BY12+BX13-CG12,IF(A13&lt;'Données projet'!$A$114,$BV$205^A13,IF(A13='Données projet'!$A$114,'Données projet'!$B$114,BY12+BX13-CG12)))</f>
        <v>5.0590520123233302</v>
      </c>
      <c r="BZ13" s="13">
        <f>BY13*VLOOKUP('Données projet'!$B$12,Paramètres!$A$1:$I$89,3,0)*VLOOKUP('Données projet'!$B$12,Paramètres!$A$1:$I$89,5,0)</f>
        <v>4.2617454151811742</v>
      </c>
      <c r="CA13" s="13">
        <f t="shared" si="39"/>
        <v>1.6590351295610017</v>
      </c>
      <c r="CB13" s="20">
        <f t="shared" si="10"/>
        <v>10.312026115425956</v>
      </c>
      <c r="CC13" s="59">
        <f t="shared" si="11"/>
        <v>303.64535944875928</v>
      </c>
      <c r="CD13" s="59">
        <f ca="1">AVERAGE(OFFSET($CC$3,0,0,'Données projet'!$E$12+1,1))-AVERAGE(OFFSET($H$3,0,0,'Données projet'!$E$12+1,1))</f>
        <v>287.72859857368331</v>
      </c>
      <c r="CE13" s="59">
        <f t="shared" si="40"/>
        <v>179.60736986885922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4.333333333333333</v>
      </c>
      <c r="CT13" s="12">
        <f>IF('Données projet'!$A$140&gt;35,CT12+CS13-DB12,IF(A13&lt;'Données projet'!$A$140,$CQ$205^A13,IF(A13='Données projet'!$A$140,'Données projet'!$B$140,CT12+CS13-DB12)))</f>
        <v>16.166235625781542</v>
      </c>
      <c r="CU13" s="17">
        <f>CT13*VLOOKUP('Données projet'!$B$13,Paramètres!$A$1:$I$89,3,0)*VLOOKUP('Données projet'!$B$13,Paramètres!$A$1:$I$89,5,0)</f>
        <v>12.861857063871796</v>
      </c>
      <c r="CV13" s="13">
        <f t="shared" si="41"/>
        <v>4.4028389063455258</v>
      </c>
      <c r="CW13" s="20">
        <f t="shared" si="13"/>
        <v>30.069345481461834</v>
      </c>
      <c r="CX13" s="59">
        <f t="shared" si="14"/>
        <v>323.40267881479514</v>
      </c>
      <c r="CY13" s="59">
        <f ca="1">AVERAGE(OFFSET($CX$3,0,0,'Données projet'!$E$13+1,1))-AVERAGE(OFFSET($H$3,0,0,'Données projet'!$E$13+1,1))</f>
        <v>243.33915530322201</v>
      </c>
      <c r="CZ13" s="59">
        <f t="shared" si="42"/>
        <v>247.73814704672577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9.300476190476191</v>
      </c>
      <c r="N14" s="13">
        <f>IF('Données projet'!$A$36&gt;35,N13+M14-V13,IF(A14&lt;'Données projet'!$A$36,$K$205^A14,IF(A14='Données projet'!$A$36,'Données projet'!$B$36,N13+M14-V13)))</f>
        <v>15.845403360234862</v>
      </c>
      <c r="O14" s="13">
        <f>N14*VLOOKUP('Données projet'!$B$9,Paramètres!$A$1:$I$89,3,0)*VLOOKUP('Données projet'!$B$9,Paramètres!$A$1:$I$89,5,0)</f>
        <v>8.8575804783712879</v>
      </c>
      <c r="P14" s="13">
        <f t="shared" si="33"/>
        <v>3.1666472916725947</v>
      </c>
      <c r="Q14" s="20">
        <f t="shared" si="2"/>
        <v>20.942196699493092</v>
      </c>
      <c r="R14" s="59">
        <f t="shared" si="0"/>
        <v>314.2755300328264</v>
      </c>
      <c r="S14" s="59">
        <f ca="1">AVERAGE(OFFSET($R$3,0,0,'Données projet'!$E$9+1,1))-AVERAGE(OFFSET($H$3,0,0,'Données projet'!$E$9+1,1))</f>
        <v>287.413090017863</v>
      </c>
      <c r="T14" s="59">
        <f t="shared" si="34"/>
        <v>258.48456031927117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4.0942857142857143</v>
      </c>
      <c r="AI14" s="13">
        <f>IF('Données projet'!$A$62&gt;35,AI13+AH14-AQ13,IF(A14&lt;'Données projet'!$A$62,$AF$205^A14,IF(A14='Données projet'!$A$62,'Données projet'!$B$62,AI13+AH14-AQ13)))</f>
        <v>45.037142857142868</v>
      </c>
      <c r="AJ14" s="13">
        <f>AI14*VLOOKUP('Données projet'!$B$10,Paramètres!$A$1:$I$89,3,0)*VLOOKUP('Données projet'!$B$10,Paramètres!$A$1:$I$89,5,0)</f>
        <v>40.749606857142865</v>
      </c>
      <c r="AK14" s="13">
        <f t="shared" si="35"/>
        <v>12.197115083595657</v>
      </c>
      <c r="AL14" s="20">
        <f t="shared" si="4"/>
        <v>92.215540713452924</v>
      </c>
      <c r="AM14" s="59">
        <f t="shared" si="5"/>
        <v>385.54887404678624</v>
      </c>
      <c r="AN14" s="59">
        <f ca="1">AVERAGE(OFFSET($AM$3,0,0,'Données projet'!$E$10+1,1))-AVERAGE(OFFSET($H$3,0,0,'Données projet'!$E$10+1,1))</f>
        <v>422.10969295064359</v>
      </c>
      <c r="AO14" s="59">
        <f t="shared" si="36"/>
        <v>184.04075143033037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8.0399999999999991</v>
      </c>
      <c r="BD14" s="12">
        <f>IF('Données projet'!$A$88&gt;35,BD13+BC14-BL13,IF(A14&lt;'Données projet'!$A$88,$BA$205^A14,IF(A14='Données projet'!$A$88,'Données projet'!$B$88,BD13+BC14-BL13)))</f>
        <v>10.313504567741679</v>
      </c>
      <c r="BE14" s="13">
        <f>BD14*VLOOKUP('Données projet'!$B$11,Paramètres!$A$1:$I$89,3,0)*VLOOKUP('Données projet'!$B$11,Paramètres!$A$1:$I$89,5,0)</f>
        <v>4.1563423407998972</v>
      </c>
      <c r="BF14" s="13">
        <f t="shared" si="37"/>
        <v>1.6227266911014113</v>
      </c>
      <c r="BG14" s="20">
        <f t="shared" si="7"/>
        <v>10.065211897228112</v>
      </c>
      <c r="BH14" s="59">
        <f t="shared" si="8"/>
        <v>303.39854523056141</v>
      </c>
      <c r="BI14" s="59">
        <f ca="1">AVERAGE(OFFSET($BH$3,0,0,'Données projet'!$E$11+1,1))-AVERAGE(OFFSET($H$3,0,0,'Données projet'!$E$11+1,1))</f>
        <v>217.61052961346684</v>
      </c>
      <c r="BJ14" s="59">
        <f t="shared" si="38"/>
        <v>180.77145728128608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4.9119354838709679</v>
      </c>
      <c r="BY14" s="12">
        <f>IF('Données projet'!$A$114&gt;35,BY13+BX14-CG13,IF(A14&lt;'Données projet'!$A$114,$BV$205^A14,IF(A14='Données projet'!$A$114,'Données projet'!$B$114,BY13+BX14-CG13)))</f>
        <v>5.9494395868908336</v>
      </c>
      <c r="BZ14" s="13">
        <f>BY14*VLOOKUP('Données projet'!$B$12,Paramètres!$A$1:$I$89,3,0)*VLOOKUP('Données projet'!$B$12,Paramètres!$A$1:$I$89,5,0)</f>
        <v>5.0118079079968387</v>
      </c>
      <c r="CA14" s="13">
        <f t="shared" si="39"/>
        <v>1.914551847116909</v>
      </c>
      <c r="CB14" s="20">
        <f t="shared" si="10"/>
        <v>12.063409906823109</v>
      </c>
      <c r="CC14" s="59">
        <f t="shared" si="11"/>
        <v>305.39674324015641</v>
      </c>
      <c r="CD14" s="59">
        <f ca="1">AVERAGE(OFFSET($CC$3,0,0,'Données projet'!$E$12+1,1))-AVERAGE(OFFSET($H$3,0,0,'Données projet'!$E$12+1,1))</f>
        <v>287.72859857368331</v>
      </c>
      <c r="CE14" s="59">
        <f t="shared" si="40"/>
        <v>179.60736986885922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4.333333333333333</v>
      </c>
      <c r="CT14" s="12">
        <f>IF('Données projet'!$A$140&gt;35,CT13+CS14-DB13,IF(A14&lt;'Données projet'!$A$140,$CQ$205^A14,IF(A14='Données projet'!$A$140,'Données projet'!$B$140,CT13+CS14-DB13)))</f>
        <v>21.353535673010011</v>
      </c>
      <c r="CU14" s="17">
        <f>CT14*VLOOKUP('Données projet'!$B$13,Paramètres!$A$1:$I$89,3,0)*VLOOKUP('Données projet'!$B$13,Paramètres!$A$1:$I$89,5,0)</f>
        <v>16.988872981446764</v>
      </c>
      <c r="CV14" s="13">
        <f t="shared" si="41"/>
        <v>5.6302214668783828</v>
      </c>
      <c r="CW14" s="20">
        <f t="shared" si="13"/>
        <v>39.394922830832961</v>
      </c>
      <c r="CX14" s="59">
        <f t="shared" si="14"/>
        <v>332.72825616416628</v>
      </c>
      <c r="CY14" s="59">
        <f ca="1">AVERAGE(OFFSET($CX$3,0,0,'Données projet'!$E$13+1,1))-AVERAGE(OFFSET($H$3,0,0,'Données projet'!$E$13+1,1))</f>
        <v>243.33915530322201</v>
      </c>
      <c r="CZ14" s="59">
        <f t="shared" si="42"/>
        <v>247.73814704672577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9.300476190476191</v>
      </c>
      <c r="N15" s="13">
        <f>IF('Données projet'!$A$36&gt;35,N14+M15-V14,IF(A15&lt;'Données projet'!$A$36,$K$205^A15,IF(A15='Données projet'!$A$36,'Données projet'!$B$36,N14+M15-V14)))</f>
        <v>20.369736785578038</v>
      </c>
      <c r="O15" s="13">
        <f>N15*VLOOKUP('Données projet'!$B$9,Paramètres!$A$1:$I$89,3,0)*VLOOKUP('Données projet'!$B$9,Paramètres!$A$1:$I$89,5,0)</f>
        <v>11.386682863138123</v>
      </c>
      <c r="P15" s="13">
        <f t="shared" si="33"/>
        <v>3.9535264886168462</v>
      </c>
      <c r="Q15" s="20">
        <f t="shared" si="2"/>
        <v>26.717531287639904</v>
      </c>
      <c r="R15" s="59">
        <f t="shared" si="0"/>
        <v>320.05086462097324</v>
      </c>
      <c r="S15" s="59">
        <f ca="1">AVERAGE(OFFSET($R$3,0,0,'Données projet'!$E$9+1,1))-AVERAGE(OFFSET($H$3,0,0,'Données projet'!$E$9+1,1))</f>
        <v>287.413090017863</v>
      </c>
      <c r="T15" s="59">
        <f t="shared" si="34"/>
        <v>258.48456031927117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4.0942857142857143</v>
      </c>
      <c r="AI15" s="13">
        <f>IF('Données projet'!$A$62&gt;35,AI14+AH15-AQ14,IF(A15&lt;'Données projet'!$A$62,$AF$205^A15,IF(A15='Données projet'!$A$62,'Données projet'!$B$62,AI14+AH15-AQ14)))</f>
        <v>49.131428571428586</v>
      </c>
      <c r="AJ15" s="13">
        <f>AI15*VLOOKUP('Données projet'!$B$10,Paramètres!$A$1:$I$89,3,0)*VLOOKUP('Données projet'!$B$10,Paramètres!$A$1:$I$89,5,0)</f>
        <v>44.454116571428585</v>
      </c>
      <c r="AK15" s="13">
        <f t="shared" si="35"/>
        <v>13.17185963217473</v>
      </c>
      <c r="AL15" s="20">
        <f t="shared" si="4"/>
        <v>100.36524188794243</v>
      </c>
      <c r="AM15" s="59">
        <f t="shared" si="5"/>
        <v>393.69857522127575</v>
      </c>
      <c r="AN15" s="59">
        <f ca="1">AVERAGE(OFFSET($AM$3,0,0,'Données projet'!$E$10+1,1))-AVERAGE(OFFSET($H$3,0,0,'Données projet'!$E$10+1,1))</f>
        <v>422.10969295064359</v>
      </c>
      <c r="AO15" s="59">
        <f t="shared" si="36"/>
        <v>184.04075143033037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8.0399999999999991</v>
      </c>
      <c r="BD15" s="12">
        <f>IF('Données projet'!$A$88&gt;35,BD14+BC15-BL14,IF(A15&lt;'Données projet'!$A$88,$BA$205^A15,IF(A15='Données projet'!$A$88,'Données projet'!$B$88,BD14+BC15-BL14)))</f>
        <v>12.750702343708866</v>
      </c>
      <c r="BE15" s="13">
        <f>BD15*VLOOKUP('Données projet'!$B$11,Paramètres!$A$1:$I$89,3,0)*VLOOKUP('Données projet'!$B$11,Paramètres!$A$1:$I$89,5,0)</f>
        <v>5.1385330445146735</v>
      </c>
      <c r="BF15" s="13">
        <f t="shared" si="37"/>
        <v>1.9572645989216202</v>
      </c>
      <c r="BG15" s="20">
        <f t="shared" si="7"/>
        <v>12.358514228984879</v>
      </c>
      <c r="BH15" s="59">
        <f t="shared" si="8"/>
        <v>305.69184756231817</v>
      </c>
      <c r="BI15" s="59">
        <f ca="1">AVERAGE(OFFSET($BH$3,0,0,'Données projet'!$E$11+1,1))-AVERAGE(OFFSET($H$3,0,0,'Données projet'!$E$11+1,1))</f>
        <v>217.61052961346684</v>
      </c>
      <c r="BJ15" s="59">
        <f t="shared" si="38"/>
        <v>180.77145728128608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4.9119354838709679</v>
      </c>
      <c r="BY15" s="12">
        <f>IF('Données projet'!$A$114&gt;35,BY14+BX15-CG14,IF(A15&lt;'Données projet'!$A$114,$BV$205^A15,IF(A15='Données projet'!$A$114,'Données projet'!$B$114,BY14+BX15-CG14)))</f>
        <v>6.9965343925785239</v>
      </c>
      <c r="BZ15" s="13">
        <f>BY15*VLOOKUP('Données projet'!$B$12,Paramètres!$A$1:$I$89,3,0)*VLOOKUP('Données projet'!$B$12,Paramètres!$A$1:$I$89,5,0)</f>
        <v>5.8938805723081495</v>
      </c>
      <c r="CA15" s="13">
        <f t="shared" si="39"/>
        <v>2.2094220369334199</v>
      </c>
      <c r="CB15" s="20">
        <f t="shared" si="10"/>
        <v>14.113252044429068</v>
      </c>
      <c r="CC15" s="59">
        <f t="shared" si="11"/>
        <v>307.4465853777624</v>
      </c>
      <c r="CD15" s="59">
        <f ca="1">AVERAGE(OFFSET($CC$3,0,0,'Données projet'!$E$12+1,1))-AVERAGE(OFFSET($H$3,0,0,'Données projet'!$E$12+1,1))</f>
        <v>287.72859857368331</v>
      </c>
      <c r="CE15" s="59">
        <f t="shared" si="40"/>
        <v>179.60736986885922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4.333333333333333</v>
      </c>
      <c r="CT15" s="12">
        <f>IF('Données projet'!$A$140&gt;35,CT14+CS15-DB14,IF(A15&lt;'Données projet'!$A$140,$CQ$205^A15,IF(A15='Données projet'!$A$140,'Données projet'!$B$140,CT14+CS15-DB14)))</f>
        <v>28.205297528345746</v>
      </c>
      <c r="CU15" s="17">
        <f>CT15*VLOOKUP('Données projet'!$B$13,Paramètres!$A$1:$I$89,3,0)*VLOOKUP('Données projet'!$B$13,Paramètres!$A$1:$I$89,5,0)</f>
        <v>22.440134713551878</v>
      </c>
      <c r="CV15" s="13">
        <f t="shared" si="41"/>
        <v>7.1997623443392129</v>
      </c>
      <c r="CW15" s="20">
        <f t="shared" si="13"/>
        <v>51.622820709160315</v>
      </c>
      <c r="CX15" s="59">
        <f t="shared" si="14"/>
        <v>344.95615404249361</v>
      </c>
      <c r="CY15" s="59">
        <f ca="1">AVERAGE(OFFSET($CX$3,0,0,'Données projet'!$E$13+1,1))-AVERAGE(OFFSET($H$3,0,0,'Données projet'!$E$13+1,1))</f>
        <v>243.33915530322201</v>
      </c>
      <c r="CZ15" s="59">
        <f t="shared" si="42"/>
        <v>247.73814704672577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9.300476190476191</v>
      </c>
      <c r="N16" s="13">
        <f>IF('Données projet'!$A$36&gt;35,N15+M16-V15,IF(A16&lt;'Données projet'!$A$36,$K$205^A16,IF(A16='Données projet'!$A$36,'Données projet'!$B$36,N15+M16-V15)))</f>
        <v>26.185901821535015</v>
      </c>
      <c r="O16" s="13">
        <f>N16*VLOOKUP('Données projet'!$B$9,Paramètres!$A$1:$I$89,3,0)*VLOOKUP('Données projet'!$B$9,Paramètres!$A$1:$I$89,5,0)</f>
        <v>14.637919118238074</v>
      </c>
      <c r="P16" s="13">
        <f t="shared" si="33"/>
        <v>4.935937051561945</v>
      </c>
      <c r="Q16" s="20">
        <f t="shared" si="2"/>
        <v>34.091132829068357</v>
      </c>
      <c r="R16" s="59">
        <f t="shared" si="0"/>
        <v>327.4244661624017</v>
      </c>
      <c r="S16" s="59">
        <f ca="1">AVERAGE(OFFSET($R$3,0,0,'Données projet'!$E$9+1,1))-AVERAGE(OFFSET($H$3,0,0,'Données projet'!$E$9+1,1))</f>
        <v>287.413090017863</v>
      </c>
      <c r="T16" s="59">
        <f t="shared" si="34"/>
        <v>258.48456031927117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4.0942857142857143</v>
      </c>
      <c r="AI16" s="13">
        <f>IF('Données projet'!$A$62&gt;35,AI15+AH16-AQ15,IF(A16&lt;'Données projet'!$A$62,$AF$205^A16,IF(A16='Données projet'!$A$62,'Données projet'!$B$62,AI15+AH16-AQ15)))</f>
        <v>53.225714285714304</v>
      </c>
      <c r="AJ16" s="13">
        <f>AI16*VLOOKUP('Données projet'!$B$10,Paramètres!$A$1:$I$89,3,0)*VLOOKUP('Données projet'!$B$10,Paramètres!$A$1:$I$89,5,0)</f>
        <v>48.158626285714305</v>
      </c>
      <c r="AK16" s="13">
        <f t="shared" si="35"/>
        <v>14.137183365739432</v>
      </c>
      <c r="AL16" s="20">
        <f t="shared" si="4"/>
        <v>108.4985351429486</v>
      </c>
      <c r="AM16" s="59">
        <f t="shared" si="5"/>
        <v>401.8318684762819</v>
      </c>
      <c r="AN16" s="59">
        <f ca="1">AVERAGE(OFFSET($AM$3,0,0,'Données projet'!$E$10+1,1))-AVERAGE(OFFSET($H$3,0,0,'Données projet'!$E$10+1,1))</f>
        <v>422.10969295064359</v>
      </c>
      <c r="AO16" s="59">
        <f t="shared" si="36"/>
        <v>184.04075143033037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8.0399999999999991</v>
      </c>
      <c r="BD16" s="12">
        <f>IF('Données projet'!$A$88&gt;35,BD15+BC16-BL15,IF(A16&lt;'Données projet'!$A$88,$BA$205^A16,IF(A16='Données projet'!$A$88,'Données projet'!$B$88,BD15+BC16-BL15)))</f>
        <v>15.763837519050279</v>
      </c>
      <c r="BE16" s="13">
        <f>BD16*VLOOKUP('Données projet'!$B$11,Paramètres!$A$1:$I$89,3,0)*VLOOKUP('Données projet'!$B$11,Paramètres!$A$1:$I$89,5,0)</f>
        <v>6.3528265201772633</v>
      </c>
      <c r="BF16" s="13">
        <f t="shared" si="37"/>
        <v>2.3607701353526331</v>
      </c>
      <c r="BG16" s="20">
        <f t="shared" si="7"/>
        <v>15.176180841714569</v>
      </c>
      <c r="BH16" s="59">
        <f t="shared" si="8"/>
        <v>308.50951417504791</v>
      </c>
      <c r="BI16" s="59">
        <f ca="1">AVERAGE(OFFSET($BH$3,0,0,'Données projet'!$E$11+1,1))-AVERAGE(OFFSET($H$3,0,0,'Données projet'!$E$11+1,1))</f>
        <v>217.61052961346684</v>
      </c>
      <c r="BJ16" s="59">
        <f t="shared" si="38"/>
        <v>180.77145728128608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4.9119354838709679</v>
      </c>
      <c r="BY16" s="12">
        <f>IF('Données projet'!$A$114&gt;35,BY15+BX16-CG15,IF(A16&lt;'Données projet'!$A$114,$BV$205^A16,IF(A16='Données projet'!$A$114,'Données projet'!$B$114,BY15+BX16-CG15)))</f>
        <v>8.2279167292319872</v>
      </c>
      <c r="BZ16" s="13">
        <f>BY16*VLOOKUP('Données projet'!$B$12,Paramètres!$A$1:$I$89,3,0)*VLOOKUP('Données projet'!$B$12,Paramètres!$A$1:$I$89,5,0)</f>
        <v>6.9311970527050271</v>
      </c>
      <c r="CA16" s="13">
        <f t="shared" si="39"/>
        <v>2.5497067340527018</v>
      </c>
      <c r="CB16" s="20">
        <f t="shared" si="10"/>
        <v>16.512574095269713</v>
      </c>
      <c r="CC16" s="59">
        <f t="shared" si="11"/>
        <v>309.84590742860303</v>
      </c>
      <c r="CD16" s="59">
        <f ca="1">AVERAGE(OFFSET($CC$3,0,0,'Données projet'!$E$12+1,1))-AVERAGE(OFFSET($H$3,0,0,'Données projet'!$E$12+1,1))</f>
        <v>287.72859857368331</v>
      </c>
      <c r="CE16" s="59">
        <f t="shared" si="40"/>
        <v>179.60736986885922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4.333333333333333</v>
      </c>
      <c r="CT16" s="12">
        <f>IF('Données projet'!$A$140&gt;35,CT15+CS16-DB15,IF(A16&lt;'Données projet'!$A$140,$CQ$205^A16,IF(A16='Données projet'!$A$140,'Données projet'!$B$140,CT15+CS16-DB15)))</f>
        <v>37.255601172785397</v>
      </c>
      <c r="CU16" s="17">
        <f>CT16*VLOOKUP('Données projet'!$B$13,Paramètres!$A$1:$I$89,3,0)*VLOOKUP('Données projet'!$B$13,Paramètres!$A$1:$I$89,5,0)</f>
        <v>29.640556293068066</v>
      </c>
      <c r="CV16" s="13">
        <f t="shared" si="41"/>
        <v>9.2068452582035114</v>
      </c>
      <c r="CW16" s="20">
        <f t="shared" si="13"/>
        <v>67.659224368464649</v>
      </c>
      <c r="CX16" s="59">
        <f t="shared" si="14"/>
        <v>360.99255770179798</v>
      </c>
      <c r="CY16" s="59">
        <f ca="1">AVERAGE(OFFSET($CX$3,0,0,'Données projet'!$E$13+1,1))-AVERAGE(OFFSET($H$3,0,0,'Données projet'!$E$13+1,1))</f>
        <v>243.33915530322201</v>
      </c>
      <c r="CZ16" s="59">
        <f t="shared" si="42"/>
        <v>247.73814704672577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9.300476190476191</v>
      </c>
      <c r="N17" s="13">
        <f>IF('Données projet'!$A$36&gt;35,N16+M17-V16,IF(A17&lt;'Données projet'!$A$36,$K$205^A17,IF(A17='Données projet'!$A$36,'Données projet'!$B$36,N16+M17-V16)))</f>
        <v>33.662754773176729</v>
      </c>
      <c r="O17" s="13">
        <f>N17*VLOOKUP('Données projet'!$B$9,Paramètres!$A$1:$I$89,3,0)*VLOOKUP('Données projet'!$B$9,Paramètres!$A$1:$I$89,5,0)</f>
        <v>18.817479918205791</v>
      </c>
      <c r="P17" s="13">
        <f t="shared" si="33"/>
        <v>6.1624665086044912</v>
      </c>
      <c r="Q17" s="20">
        <f t="shared" si="2"/>
        <v>43.50674002669458</v>
      </c>
      <c r="R17" s="59">
        <f t="shared" si="0"/>
        <v>336.84007336002787</v>
      </c>
      <c r="S17" s="59">
        <f ca="1">AVERAGE(OFFSET($R$3,0,0,'Données projet'!$E$9+1,1))-AVERAGE(OFFSET($H$3,0,0,'Données projet'!$E$9+1,1))</f>
        <v>287.413090017863</v>
      </c>
      <c r="T17" s="59">
        <f t="shared" si="34"/>
        <v>258.48456031927117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4.0942857142857143</v>
      </c>
      <c r="AI17" s="13">
        <f>IF('Données projet'!$A$62&gt;35,AI16+AH17-AQ16,IF(A17&lt;'Données projet'!$A$62,$AF$205^A17,IF(A17='Données projet'!$A$62,'Données projet'!$B$62,AI16+AH17-AQ16)))</f>
        <v>57.320000000000022</v>
      </c>
      <c r="AJ17" s="13">
        <f>AI17*VLOOKUP('Données projet'!$B$10,Paramètres!$A$1:$I$89,3,0)*VLOOKUP('Données projet'!$B$10,Paramètres!$A$1:$I$89,5,0)</f>
        <v>51.863136000000019</v>
      </c>
      <c r="AK17" s="13">
        <f t="shared" si="35"/>
        <v>15.093893357630675</v>
      </c>
      <c r="AL17" s="20">
        <f t="shared" si="4"/>
        <v>116.61682613120678</v>
      </c>
      <c r="AM17" s="59">
        <f t="shared" si="5"/>
        <v>409.95015946454009</v>
      </c>
      <c r="AN17" s="59">
        <f ca="1">AVERAGE(OFFSET($AM$3,0,0,'Données projet'!$E$10+1,1))-AVERAGE(OFFSET($H$3,0,0,'Données projet'!$E$10+1,1))</f>
        <v>422.10969295064359</v>
      </c>
      <c r="AO17" s="59">
        <f t="shared" si="36"/>
        <v>184.04075143033037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8.0399999999999991</v>
      </c>
      <c r="BD17" s="12">
        <f>IF('Données projet'!$A$88&gt;35,BD16+BC17-BL16,IF(A17&lt;'Données projet'!$A$88,$BA$205^A17,IF(A17='Données projet'!$A$88,'Données projet'!$B$88,BD16+BC17-BL16)))</f>
        <v>19.489010615138803</v>
      </c>
      <c r="BE17" s="13">
        <f>BD17*VLOOKUP('Données projet'!$B$11,Paramètres!$A$1:$I$89,3,0)*VLOOKUP('Données projet'!$B$11,Paramètres!$A$1:$I$89,5,0)</f>
        <v>7.8540712779009372</v>
      </c>
      <c r="BF17" s="13">
        <f t="shared" si="37"/>
        <v>2.847461521065437</v>
      </c>
      <c r="BG17" s="20">
        <f t="shared" si="7"/>
        <v>18.638502958199769</v>
      </c>
      <c r="BH17" s="59">
        <f t="shared" si="8"/>
        <v>311.97183629153307</v>
      </c>
      <c r="BI17" s="59">
        <f ca="1">AVERAGE(OFFSET($BH$3,0,0,'Données projet'!$E$11+1,1))-AVERAGE(OFFSET($H$3,0,0,'Données projet'!$E$11+1,1))</f>
        <v>217.61052961346684</v>
      </c>
      <c r="BJ17" s="59">
        <f t="shared" si="38"/>
        <v>180.77145728128608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4.9119354838709679</v>
      </c>
      <c r="BY17" s="12">
        <f>IF('Données projet'!$A$114&gt;35,BY16+BX17-CG16,IF(A17&lt;'Données projet'!$A$114,$BV$205^A17,IF(A17='Données projet'!$A$114,'Données projet'!$B$114,BY16+BX17-CG16)))</f>
        <v>9.6760209990514667</v>
      </c>
      <c r="BZ17" s="13">
        <f>BY17*VLOOKUP('Données projet'!$B$12,Paramètres!$A$1:$I$89,3,0)*VLOOKUP('Données projet'!$B$12,Paramètres!$A$1:$I$89,5,0)</f>
        <v>8.1510800896009563</v>
      </c>
      <c r="CA17" s="13">
        <f t="shared" si="39"/>
        <v>2.9424004653709348</v>
      </c>
      <c r="CB17" s="20">
        <f t="shared" si="10"/>
        <v>19.321145299909375</v>
      </c>
      <c r="CC17" s="59">
        <f t="shared" si="11"/>
        <v>312.65447863324266</v>
      </c>
      <c r="CD17" s="59">
        <f ca="1">AVERAGE(OFFSET($CC$3,0,0,'Données projet'!$E$12+1,1))-AVERAGE(OFFSET($H$3,0,0,'Données projet'!$E$12+1,1))</f>
        <v>287.72859857368331</v>
      </c>
      <c r="CE17" s="59">
        <f t="shared" si="40"/>
        <v>179.60736986885922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4.333333333333333</v>
      </c>
      <c r="CT17" s="12">
        <f>IF('Données projet'!$A$140&gt;35,CT16+CS17-DB16,IF(A17&lt;'Données projet'!$A$140,$CQ$205^A17,IF(A17='Données projet'!$A$140,'Données projet'!$B$140,CT16+CS17-DB16)))</f>
        <v>49.209898153024547</v>
      </c>
      <c r="CU17" s="17">
        <f>CT17*VLOOKUP('Données projet'!$B$13,Paramètres!$A$1:$I$89,3,0)*VLOOKUP('Données projet'!$B$13,Paramètres!$A$1:$I$89,5,0)</f>
        <v>39.151394970546335</v>
      </c>
      <c r="CV17" s="13">
        <f t="shared" si="41"/>
        <v>11.773444115853561</v>
      </c>
      <c r="CW17" s="20">
        <f t="shared" si="13"/>
        <v>88.69409474214649</v>
      </c>
      <c r="CX17" s="59">
        <f t="shared" si="14"/>
        <v>382.0274280754798</v>
      </c>
      <c r="CY17" s="59">
        <f ca="1">AVERAGE(OFFSET($CX$3,0,0,'Données projet'!$E$13+1,1))-AVERAGE(OFFSET($H$3,0,0,'Données projet'!$E$13+1,1))</f>
        <v>243.33915530322201</v>
      </c>
      <c r="CZ17" s="59">
        <f t="shared" si="42"/>
        <v>247.73814704672577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9.300476190476191</v>
      </c>
      <c r="N18" s="13">
        <f>IF('Données projet'!$A$36&gt;35,N17+M18-V17,IF(A18&lt;'Données projet'!$A$36,$K$205^A18,IF(A18='Données projet'!$A$36,'Données projet'!$B$36,N17+M18-V17)))</f>
        <v>43.274471379370887</v>
      </c>
      <c r="O18" s="13">
        <f>N18*VLOOKUP('Données projet'!$B$9,Paramètres!$A$1:$I$89,3,0)*VLOOKUP('Données projet'!$B$9,Paramètres!$A$1:$I$89,5,0)</f>
        <v>24.190429501068326</v>
      </c>
      <c r="P18" s="13">
        <f t="shared" si="33"/>
        <v>7.6937758875297604</v>
      </c>
      <c r="Q18" s="20">
        <f t="shared" si="2"/>
        <v>55.531657718475003</v>
      </c>
      <c r="R18" s="59">
        <f t="shared" si="0"/>
        <v>348.86499105180832</v>
      </c>
      <c r="S18" s="59">
        <f ca="1">AVERAGE(OFFSET($R$3,0,0,'Données projet'!$E$9+1,1))-AVERAGE(OFFSET($H$3,0,0,'Données projet'!$E$9+1,1))</f>
        <v>287.413090017863</v>
      </c>
      <c r="T18" s="59">
        <f t="shared" si="34"/>
        <v>258.48456031927117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4.0942857142857143</v>
      </c>
      <c r="AI18" s="13">
        <f>IF('Données projet'!$A$62&gt;35,AI17+AH18-AQ17,IF(A18&lt;'Données projet'!$A$62,$AF$205^A18,IF(A18='Données projet'!$A$62,'Données projet'!$B$62,AI17+AH18-AQ17)))</f>
        <v>61.414285714285739</v>
      </c>
      <c r="AJ18" s="13">
        <f>AI18*VLOOKUP('Données projet'!$B$10,Paramètres!$A$1:$I$89,3,0)*VLOOKUP('Données projet'!$B$10,Paramètres!$A$1:$I$89,5,0)</f>
        <v>55.567645714285739</v>
      </c>
      <c r="AK18" s="13">
        <f t="shared" si="35"/>
        <v>16.042674851771864</v>
      </c>
      <c r="AL18" s="20">
        <f t="shared" si="4"/>
        <v>124.72130831921697</v>
      </c>
      <c r="AM18" s="59">
        <f t="shared" si="5"/>
        <v>418.05464165255029</v>
      </c>
      <c r="AN18" s="59">
        <f ca="1">AVERAGE(OFFSET($AM$3,0,0,'Données projet'!$E$10+1,1))-AVERAGE(OFFSET($H$3,0,0,'Données projet'!$E$10+1,1))</f>
        <v>422.10969295064359</v>
      </c>
      <c r="AO18" s="59">
        <f t="shared" si="36"/>
        <v>184.04075143033037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8.0399999999999991</v>
      </c>
      <c r="BD18" s="12">
        <f>IF('Données projet'!$A$88&gt;35,BD17+BC18-BL17,IF(A18&lt;'Données projet'!$A$88,$BA$205^A18,IF(A18='Données projet'!$A$88,'Données projet'!$B$88,BD17+BC18-BL17)))</f>
        <v>24.094484245856137</v>
      </c>
      <c r="BE18" s="13">
        <f>BD18*VLOOKUP('Données projet'!$B$11,Paramètres!$A$1:$I$89,3,0)*VLOOKUP('Données projet'!$B$11,Paramètres!$A$1:$I$89,5,0)</f>
        <v>9.7100771510800232</v>
      </c>
      <c r="BF18" s="13">
        <f t="shared" si="37"/>
        <v>3.4344881750790104</v>
      </c>
      <c r="BG18" s="20">
        <f t="shared" si="7"/>
        <v>22.893451276393652</v>
      </c>
      <c r="BH18" s="59">
        <f t="shared" si="8"/>
        <v>316.22678460972696</v>
      </c>
      <c r="BI18" s="59">
        <f ca="1">AVERAGE(OFFSET($BH$3,0,0,'Données projet'!$E$11+1,1))-AVERAGE(OFFSET($H$3,0,0,'Données projet'!$E$11+1,1))</f>
        <v>217.61052961346684</v>
      </c>
      <c r="BJ18" s="59">
        <f t="shared" si="38"/>
        <v>180.77145728128608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4.9119354838709679</v>
      </c>
      <c r="BY18" s="12">
        <f>IF('Données projet'!$A$114&gt;35,BY17+BX18-CG17,IF(A18&lt;'Données projet'!$A$114,$BV$205^A18,IF(A18='Données projet'!$A$114,'Données projet'!$B$114,BY17+BX18-CG17)))</f>
        <v>11.378990023252722</v>
      </c>
      <c r="BZ18" s="13">
        <f>BY18*VLOOKUP('Données projet'!$B$12,Paramètres!$A$1:$I$89,3,0)*VLOOKUP('Données projet'!$B$12,Paramètres!$A$1:$I$89,5,0)</f>
        <v>9.585661195588095</v>
      </c>
      <c r="CA18" s="13">
        <f t="shared" si="39"/>
        <v>3.3955750216236993</v>
      </c>
      <c r="CB18" s="20">
        <f t="shared" si="10"/>
        <v>22.608986411643873</v>
      </c>
      <c r="CC18" s="59">
        <f t="shared" si="11"/>
        <v>315.94231974497717</v>
      </c>
      <c r="CD18" s="59">
        <f ca="1">AVERAGE(OFFSET($CC$3,0,0,'Données projet'!$E$12+1,1))-AVERAGE(OFFSET($H$3,0,0,'Données projet'!$E$12+1,1))</f>
        <v>287.72859857368331</v>
      </c>
      <c r="CE18" s="59">
        <f t="shared" si="40"/>
        <v>179.60736986885922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65</v>
      </c>
      <c r="CR18" s="12">
        <f>VLOOKUP(A18,'Données projet'!$A$139:$I$159,9,0)</f>
        <v>4.333333333333333</v>
      </c>
      <c r="CS18" s="12">
        <f t="array" ref="CS18">INDEX(CR:CR,MIN(IF(ISNUMBER(CR18:CR214),ROW(CR18:CR214),"")))</f>
        <v>4.333333333333333</v>
      </c>
      <c r="CT18" s="12">
        <f>IF('Données projet'!$A$140&gt;35,CT17+CS18-DB17,IF(A18&lt;'Données projet'!$A$140,$CQ$205^A18,IF(A18='Données projet'!$A$140,'Données projet'!$B$140,CT17+CS18-DB17)))</f>
        <v>65</v>
      </c>
      <c r="CU18" s="17">
        <f>CT18*VLOOKUP('Données projet'!$B$13,Paramètres!$A$1:$I$89,3,0)*VLOOKUP('Données projet'!$B$13,Paramètres!$A$1:$I$89,5,0)</f>
        <v>51.713999999999999</v>
      </c>
      <c r="CV18" s="13">
        <f t="shared" si="41"/>
        <v>15.055535578337075</v>
      </c>
      <c r="CW18" s="20">
        <f t="shared" si="13"/>
        <v>116.29027446560372</v>
      </c>
      <c r="CX18" s="59">
        <f t="shared" si="14"/>
        <v>409.62360779893703</v>
      </c>
      <c r="CY18" s="59">
        <f ca="1">AVERAGE(OFFSET($CX$3,0,0,'Données projet'!$E$13+1,1))-AVERAGE(OFFSET($H$3,0,0,'Données projet'!$E$13+1,1))</f>
        <v>243.33915530322201</v>
      </c>
      <c r="CZ18" s="59">
        <f t="shared" si="42"/>
        <v>247.73814704672577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0.13250000000000001</v>
      </c>
      <c r="DE18" s="16">
        <f>IF(ISNA(VLOOKUP(A18,'Données projet'!$A$139:$I$159,7,0)),0%,VLOOKUP(A18,'Données projet'!$A$139:$I$159,7,0))</f>
        <v>0.25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3.7144488588845932</v>
      </c>
      <c r="DH18" s="21">
        <f>EXP(-LN(2)/2)*DH17+(1-EXP(-LN(2)/2))/(LN(2)/2)*DB18*DE18*VLOOKUP('Données projet'!$B$13,Paramètres!$A$1:$I$89,3,0)*0.475*44/12</f>
        <v>6.0053601060803743</v>
      </c>
      <c r="DI18" s="22">
        <f t="shared" si="15"/>
        <v>9.719808964964967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9.300476190476191</v>
      </c>
      <c r="N19" s="13">
        <f>IF('Données projet'!$A$36&gt;35,N18+M19-V18,IF(A19&lt;'Données projet'!$A$36,$K$205^A19,IF(A19='Données projet'!$A$36,'Données projet'!$B$36,N18+M19-V18)))</f>
        <v>55.630618640165025</v>
      </c>
      <c r="O19" s="13">
        <f>N19*VLOOKUP('Données projet'!$B$9,Paramètres!$A$1:$I$89,3,0)*VLOOKUP('Données projet'!$B$9,Paramètres!$A$1:$I$89,5,0)</f>
        <v>31.097515819852248</v>
      </c>
      <c r="P19" s="13">
        <f t="shared" si="33"/>
        <v>9.6055998559802376</v>
      </c>
      <c r="Q19" s="20">
        <f t="shared" si="2"/>
        <v>70.891259802074913</v>
      </c>
      <c r="R19" s="59">
        <f t="shared" si="0"/>
        <v>364.22459313540821</v>
      </c>
      <c r="S19" s="59">
        <f ca="1">AVERAGE(OFFSET($R$3,0,0,'Données projet'!$E$9+1,1))-AVERAGE(OFFSET($H$3,0,0,'Données projet'!$E$9+1,1))</f>
        <v>287.413090017863</v>
      </c>
      <c r="T19" s="59">
        <f t="shared" si="34"/>
        <v>258.48456031927117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4.0942857142857143</v>
      </c>
      <c r="AI19" s="13">
        <f>IF('Données projet'!$A$62&gt;35,AI18+AH19-AQ18,IF(A19&lt;'Données projet'!$A$62,$AF$205^A19,IF(A19='Données projet'!$A$62,'Données projet'!$B$62,AI18+AH19-AQ18)))</f>
        <v>65.508571428571457</v>
      </c>
      <c r="AJ19" s="13">
        <f>AI19*VLOOKUP('Données projet'!$B$10,Paramètres!$A$1:$I$89,3,0)*VLOOKUP('Données projet'!$B$10,Paramètres!$A$1:$I$89,5,0)</f>
        <v>59.272155428571445</v>
      </c>
      <c r="AK19" s="13">
        <f t="shared" si="35"/>
        <v>16.984116557241595</v>
      </c>
      <c r="AL19" s="20">
        <f t="shared" si="4"/>
        <v>132.81300704195772</v>
      </c>
      <c r="AM19" s="59">
        <f t="shared" si="5"/>
        <v>426.14634037529106</v>
      </c>
      <c r="AN19" s="59">
        <f ca="1">AVERAGE(OFFSET($AM$3,0,0,'Données projet'!$E$10+1,1))-AVERAGE(OFFSET($H$3,0,0,'Données projet'!$E$10+1,1))</f>
        <v>422.10969295064359</v>
      </c>
      <c r="AO19" s="59">
        <f t="shared" si="36"/>
        <v>184.04075143033037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8.0399999999999991</v>
      </c>
      <c r="BD19" s="12">
        <f>IF('Données projet'!$A$88&gt;35,BD18+BC19-BL18,IF(A19&lt;'Données projet'!$A$88,$BA$205^A19,IF(A19='Données projet'!$A$88,'Données projet'!$B$88,BD18+BC19-BL18)))</f>
        <v>29.788283383808658</v>
      </c>
      <c r="BE19" s="13">
        <f>BD19*VLOOKUP('Données projet'!$B$11,Paramètres!$A$1:$I$89,3,0)*VLOOKUP('Données projet'!$B$11,Paramètres!$A$1:$I$89,5,0)</f>
        <v>12.004678203674889</v>
      </c>
      <c r="BF19" s="13">
        <f t="shared" si="37"/>
        <v>4.1425350044217426</v>
      </c>
      <c r="BG19" s="20">
        <f t="shared" si="7"/>
        <v>28.123063004101628</v>
      </c>
      <c r="BH19" s="59">
        <f t="shared" si="8"/>
        <v>321.45639633743497</v>
      </c>
      <c r="BI19" s="59">
        <f ca="1">AVERAGE(OFFSET($BH$3,0,0,'Données projet'!$E$11+1,1))-AVERAGE(OFFSET($H$3,0,0,'Données projet'!$E$11+1,1))</f>
        <v>217.61052961346684</v>
      </c>
      <c r="BJ19" s="59">
        <f t="shared" si="38"/>
        <v>180.77145728128608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4.9119354838709679</v>
      </c>
      <c r="BY19" s="12">
        <f>IF('Données projet'!$A$114&gt;35,BY18+BX19-CG18,IF(A19&lt;'Données projet'!$A$114,$BV$205^A19,IF(A19='Données projet'!$A$114,'Données projet'!$B$114,BY18+BX19-CG18)))</f>
        <v>13.381679717517972</v>
      </c>
      <c r="BZ19" s="13">
        <f>BY19*VLOOKUP('Données projet'!$B$12,Paramètres!$A$1:$I$89,3,0)*VLOOKUP('Données projet'!$B$12,Paramètres!$A$1:$I$89,5,0)</f>
        <v>11.272726994037141</v>
      </c>
      <c r="CA19" s="13">
        <f t="shared" si="39"/>
        <v>3.9185453724502666</v>
      </c>
      <c r="CB19" s="20">
        <f t="shared" si="10"/>
        <v>26.458132704965564</v>
      </c>
      <c r="CC19" s="59">
        <f t="shared" si="11"/>
        <v>319.79146603829889</v>
      </c>
      <c r="CD19" s="59">
        <f ca="1">AVERAGE(OFFSET($CC$3,0,0,'Données projet'!$E$12+1,1))-AVERAGE(OFFSET($H$3,0,0,'Données projet'!$E$12+1,1))</f>
        <v>287.72859857368331</v>
      </c>
      <c r="CE19" s="59">
        <f t="shared" si="40"/>
        <v>179.60736986885922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13.8</v>
      </c>
      <c r="CT19" s="12">
        <f>IF('Données projet'!$A$140&gt;35,CT18+CS19-DB18,IF(A19&lt;'Données projet'!$A$140,$CQ$205^A19,IF(A19='Données projet'!$A$140,'Données projet'!$B$140,CT18+CS19-DB18)))</f>
        <v>46.8</v>
      </c>
      <c r="CU19" s="17">
        <f>CT19*VLOOKUP('Données projet'!$B$13,Paramètres!$A$1:$I$89,3,0)*VLOOKUP('Données projet'!$B$13,Paramètres!$A$1:$I$89,5,0)</f>
        <v>37.234079999999999</v>
      </c>
      <c r="CV19" s="13">
        <f t="shared" si="41"/>
        <v>11.262510356679771</v>
      </c>
      <c r="CW19" s="20">
        <f t="shared" si="13"/>
        <v>84.464894871217254</v>
      </c>
      <c r="CX19" s="59">
        <f t="shared" si="14"/>
        <v>377.79822820455058</v>
      </c>
      <c r="CY19" s="59">
        <f ca="1">AVERAGE(OFFSET($CX$3,0,0,'Données projet'!$E$13+1,1))-AVERAGE(OFFSET($H$3,0,0,'Données projet'!$E$13+1,1))</f>
        <v>243.33915530322201</v>
      </c>
      <c r="CZ19" s="59">
        <f t="shared" si="42"/>
        <v>247.73814704672577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3.6128770595040178</v>
      </c>
      <c r="DH19" s="21">
        <f>EXP(-LN(2)/2)*DH18+(1-EXP(-LN(2)/2))/(LN(2)/2)*DB19*DE19*VLOOKUP('Données projet'!$B$13,Paramètres!$A$1:$I$89,3,0)*0.475*44/12</f>
        <v>4.2464308544765972</v>
      </c>
      <c r="DI19" s="22">
        <f t="shared" si="15"/>
        <v>7.859307913980615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9.300476190476191</v>
      </c>
      <c r="N20" s="13">
        <f>IF('Données projet'!$A$36&gt;35,N19+M20-V19,IF(A20&lt;'Données projet'!$A$36,$K$205^A20,IF(A20='Données projet'!$A$36,'Données projet'!$B$36,N19+M20-V19)))</f>
        <v>71.514813044319794</v>
      </c>
      <c r="O20" s="13">
        <f>N20*VLOOKUP('Données projet'!$B$9,Paramètres!$A$1:$I$89,3,0)*VLOOKUP('Données projet'!$B$9,Paramètres!$A$1:$I$89,5,0)</f>
        <v>39.976780491774768</v>
      </c>
      <c r="P20" s="13">
        <f t="shared" si="33"/>
        <v>11.992492365518064</v>
      </c>
      <c r="Q20" s="20">
        <f t="shared" si="2"/>
        <v>90.513150226451685</v>
      </c>
      <c r="R20" s="59">
        <f t="shared" si="0"/>
        <v>383.84648355978499</v>
      </c>
      <c r="S20" s="59">
        <f ca="1">AVERAGE(OFFSET($R$3,0,0,'Données projet'!$E$9+1,1))-AVERAGE(OFFSET($H$3,0,0,'Données projet'!$E$9+1,1))</f>
        <v>287.413090017863</v>
      </c>
      <c r="T20" s="59">
        <f t="shared" si="34"/>
        <v>258.48456031927117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4.0942857142857143</v>
      </c>
      <c r="AI20" s="13">
        <f>IF('Données projet'!$A$62&gt;35,AI19+AH20-AQ19,IF(A20&lt;'Données projet'!$A$62,$AF$205^A20,IF(A20='Données projet'!$A$62,'Données projet'!$B$62,AI19+AH20-AQ19)))</f>
        <v>69.602857142857175</v>
      </c>
      <c r="AJ20" s="13">
        <f>AI20*VLOOKUP('Données projet'!$B$10,Paramètres!$A$1:$I$89,3,0)*VLOOKUP('Données projet'!$B$10,Paramètres!$A$1:$I$89,5,0)</f>
        <v>62.976665142857165</v>
      </c>
      <c r="AK20" s="13">
        <f t="shared" si="35"/>
        <v>17.918729435240664</v>
      </c>
      <c r="AL20" s="20">
        <f t="shared" si="4"/>
        <v>140.89281222352039</v>
      </c>
      <c r="AM20" s="59">
        <f t="shared" si="5"/>
        <v>434.22614555685368</v>
      </c>
      <c r="AN20" s="59">
        <f ca="1">AVERAGE(OFFSET($AM$3,0,0,'Données projet'!$E$10+1,1))-AVERAGE(OFFSET($H$3,0,0,'Données projet'!$E$10+1,1))</f>
        <v>422.10969295064359</v>
      </c>
      <c r="AO20" s="59">
        <f t="shared" si="36"/>
        <v>184.04075143033037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8.0399999999999991</v>
      </c>
      <c r="BD20" s="12">
        <f>IF('Données projet'!$A$88&gt;35,BD19+BC20-BL19,IF(A20&lt;'Données projet'!$A$88,$BA$205^A20,IF(A20='Données projet'!$A$88,'Données projet'!$B$88,BD19+BC20-BL19)))</f>
        <v>36.827591655409655</v>
      </c>
      <c r="BE20" s="13">
        <f>BD20*VLOOKUP('Données projet'!$B$11,Paramètres!$A$1:$I$89,3,0)*VLOOKUP('Données projet'!$B$11,Paramètres!$A$1:$I$89,5,0)</f>
        <v>14.841519437130092</v>
      </c>
      <c r="BF20" s="13">
        <f t="shared" si="37"/>
        <v>4.9965512728733366</v>
      </c>
      <c r="BG20" s="20">
        <f t="shared" si="7"/>
        <v>34.551306486589304</v>
      </c>
      <c r="BH20" s="59">
        <f t="shared" si="8"/>
        <v>327.8846398199226</v>
      </c>
      <c r="BI20" s="59">
        <f ca="1">AVERAGE(OFFSET($BH$3,0,0,'Données projet'!$E$11+1,1))-AVERAGE(OFFSET($H$3,0,0,'Données projet'!$E$11+1,1))</f>
        <v>217.61052961346684</v>
      </c>
      <c r="BJ20" s="59">
        <f t="shared" si="38"/>
        <v>180.77145728128608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4.9119354838709679</v>
      </c>
      <c r="BY20" s="12">
        <f>IF('Données projet'!$A$114&gt;35,BY19+BX20-CG19,IF(A20&lt;'Données projet'!$A$114,$BV$205^A20,IF(A20='Données projet'!$A$114,'Données projet'!$B$114,BY19+BX20-CG19)))</f>
        <v>15.736840589218154</v>
      </c>
      <c r="BZ20" s="13">
        <f>BY20*VLOOKUP('Données projet'!$B$12,Paramètres!$A$1:$I$89,3,0)*VLOOKUP('Données projet'!$B$12,Paramètres!$A$1:$I$89,5,0)</f>
        <v>13.256714512357373</v>
      </c>
      <c r="CA20" s="13">
        <f t="shared" si="39"/>
        <v>4.5220611349087303</v>
      </c>
      <c r="CB20" s="20">
        <f t="shared" si="10"/>
        <v>30.964700918988459</v>
      </c>
      <c r="CC20" s="59">
        <f t="shared" si="11"/>
        <v>324.29803425232177</v>
      </c>
      <c r="CD20" s="59">
        <f ca="1">AVERAGE(OFFSET($CC$3,0,0,'Données projet'!$E$12+1,1))-AVERAGE(OFFSET($H$3,0,0,'Données projet'!$E$12+1,1))</f>
        <v>287.72859857368331</v>
      </c>
      <c r="CE20" s="59">
        <f t="shared" si="40"/>
        <v>179.60736986885922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13.8</v>
      </c>
      <c r="CT20" s="12">
        <f>IF('Données projet'!$A$140&gt;35,CT19+CS20-DB19,IF(A20&lt;'Données projet'!$A$140,$CQ$205^A20,IF(A20='Données projet'!$A$140,'Données projet'!$B$140,CT19+CS20-DB19)))</f>
        <v>60.599999999999994</v>
      </c>
      <c r="CU20" s="17">
        <f>CT20*VLOOKUP('Données projet'!$B$13,Paramètres!$A$1:$I$89,3,0)*VLOOKUP('Données projet'!$B$13,Paramètres!$A$1:$I$89,5,0)</f>
        <v>48.213360000000002</v>
      </c>
      <c r="CV20" s="13">
        <f t="shared" si="41"/>
        <v>14.151379520104694</v>
      </c>
      <c r="CW20" s="20">
        <f t="shared" si="13"/>
        <v>108.61858799751566</v>
      </c>
      <c r="CX20" s="59">
        <f t="shared" si="14"/>
        <v>401.95192133084896</v>
      </c>
      <c r="CY20" s="59">
        <f ca="1">AVERAGE(OFFSET($CX$3,0,0,'Données projet'!$E$13+1,1))-AVERAGE(OFFSET($H$3,0,0,'Données projet'!$E$13+1,1))</f>
        <v>243.33915530322201</v>
      </c>
      <c r="CZ20" s="59">
        <f t="shared" si="42"/>
        <v>247.73814704672577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3.514082746318933</v>
      </c>
      <c r="DH20" s="21">
        <f>EXP(-LN(2)/2)*DH19+(1-EXP(-LN(2)/2))/(LN(2)/2)*DB20*DE20*VLOOKUP('Données projet'!$B$13,Paramètres!$A$1:$I$89,3,0)*0.475*44/12</f>
        <v>3.0026800530401876</v>
      </c>
      <c r="DI20" s="22">
        <f t="shared" si="15"/>
        <v>6.5167627993591211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9.300476190476191</v>
      </c>
      <c r="N21" s="13">
        <f>IF('Données projet'!$A$36&gt;35,N20+M21-V20,IF(A21&lt;'Données projet'!$A$36,$K$205^A21,IF(A21='Données projet'!$A$36,'Données projet'!$B$36,N20+M21-V20)))</f>
        <v>91.934416869336488</v>
      </c>
      <c r="O21" s="13">
        <f>N21*VLOOKUP('Données projet'!$B$9,Paramètres!$A$1:$I$89,3,0)*VLOOKUP('Données projet'!$B$9,Paramètres!$A$1:$I$89,5,0)</f>
        <v>51.391339029959099</v>
      </c>
      <c r="P21" s="13">
        <f t="shared" si="33"/>
        <v>14.972503049611195</v>
      </c>
      <c r="Q21" s="20">
        <f t="shared" si="2"/>
        <v>115.58369162191825</v>
      </c>
      <c r="R21" s="59">
        <f t="shared" si="0"/>
        <v>408.91702495525158</v>
      </c>
      <c r="S21" s="59">
        <f ca="1">AVERAGE(OFFSET($R$3,0,0,'Données projet'!$E$9+1,1))-AVERAGE(OFFSET($H$3,0,0,'Données projet'!$E$9+1,1))</f>
        <v>287.413090017863</v>
      </c>
      <c r="T21" s="59">
        <f t="shared" si="34"/>
        <v>258.48456031927117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4.0942857142857143</v>
      </c>
      <c r="AI21" s="13">
        <f>IF('Données projet'!$A$62&gt;35,AI20+AH21-AQ20,IF(A21&lt;'Données projet'!$A$62,$AF$205^A21,IF(A21='Données projet'!$A$62,'Données projet'!$B$62,AI20+AH21-AQ20)))</f>
        <v>73.697142857142893</v>
      </c>
      <c r="AJ21" s="13">
        <f>AI21*VLOOKUP('Données projet'!$B$10,Paramètres!$A$1:$I$89,3,0)*VLOOKUP('Données projet'!$B$10,Paramètres!$A$1:$I$89,5,0)</f>
        <v>66.681174857142892</v>
      </c>
      <c r="AK21" s="13">
        <f t="shared" si="35"/>
        <v>18.846960938055496</v>
      </c>
      <c r="AL21" s="20">
        <f t="shared" si="4"/>
        <v>148.96150317663719</v>
      </c>
      <c r="AM21" s="59">
        <f t="shared" si="5"/>
        <v>442.29483650997054</v>
      </c>
      <c r="AN21" s="59">
        <f ca="1">AVERAGE(OFFSET($AM$3,0,0,'Données projet'!$E$10+1,1))-AVERAGE(OFFSET($H$3,0,0,'Données projet'!$E$10+1,1))</f>
        <v>422.10969295064359</v>
      </c>
      <c r="AO21" s="59">
        <f t="shared" si="36"/>
        <v>184.04075143033037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8.0399999999999991</v>
      </c>
      <c r="BD21" s="12">
        <f>IF('Données projet'!$A$88&gt;35,BD20+BC21-BL20,IF(A21&lt;'Données projet'!$A$88,$BA$205^A21,IF(A21='Données projet'!$A$88,'Données projet'!$B$88,BD20+BC21-BL20)))</f>
        <v>45.530368086762479</v>
      </c>
      <c r="BE21" s="13">
        <f>BD21*VLOOKUP('Données projet'!$B$11,Paramètres!$A$1:$I$89,3,0)*VLOOKUP('Données projet'!$B$11,Paramètres!$A$1:$I$89,5,0)</f>
        <v>18.34873833896528</v>
      </c>
      <c r="BF21" s="13">
        <f t="shared" si="37"/>
        <v>6.0266297317473319</v>
      </c>
      <c r="BG21" s="20">
        <f t="shared" si="7"/>
        <v>42.453766056491126</v>
      </c>
      <c r="BH21" s="59">
        <f t="shared" si="8"/>
        <v>335.78709938982445</v>
      </c>
      <c r="BI21" s="59">
        <f ca="1">AVERAGE(OFFSET($BH$3,0,0,'Données projet'!$E$11+1,1))-AVERAGE(OFFSET($H$3,0,0,'Données projet'!$E$11+1,1))</f>
        <v>217.61052961346684</v>
      </c>
      <c r="BJ21" s="59">
        <f t="shared" si="38"/>
        <v>180.77145728128608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4.9119354838709679</v>
      </c>
      <c r="BY21" s="12">
        <f>IF('Données projet'!$A$114&gt;35,BY20+BX21-CG20,IF(A21&lt;'Données projet'!$A$114,$BV$205^A21,IF(A21='Données projet'!$A$114,'Données projet'!$B$114,BY20+BX21-CG20)))</f>
        <v>18.50650717684324</v>
      </c>
      <c r="BZ21" s="13">
        <f>BY21*VLOOKUP('Données projet'!$B$12,Paramètres!$A$1:$I$89,3,0)*VLOOKUP('Données projet'!$B$12,Paramètres!$A$1:$I$89,5,0)</f>
        <v>15.589881645772746</v>
      </c>
      <c r="CA21" s="13">
        <f t="shared" si="39"/>
        <v>5.2185275310632022</v>
      </c>
      <c r="CB21" s="20">
        <f t="shared" si="10"/>
        <v>36.241312649655946</v>
      </c>
      <c r="CC21" s="59">
        <f t="shared" si="11"/>
        <v>329.57464598298924</v>
      </c>
      <c r="CD21" s="59">
        <f ca="1">AVERAGE(OFFSET($CC$3,0,0,'Données projet'!$E$12+1,1))-AVERAGE(OFFSET($H$3,0,0,'Données projet'!$E$12+1,1))</f>
        <v>287.72859857368331</v>
      </c>
      <c r="CE21" s="59">
        <f t="shared" si="40"/>
        <v>179.60736986885922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13.8</v>
      </c>
      <c r="CT21" s="12">
        <f>IF('Données projet'!$A$140&gt;35,CT20+CS21-DB20,IF(A21&lt;'Données projet'!$A$140,$CQ$205^A21,IF(A21='Données projet'!$A$140,'Données projet'!$B$140,CT20+CS21-DB20)))</f>
        <v>74.399999999999991</v>
      </c>
      <c r="CU21" s="17">
        <f>CT21*VLOOKUP('Données projet'!$B$13,Paramètres!$A$1:$I$89,3,0)*VLOOKUP('Données projet'!$B$13,Paramètres!$A$1:$I$89,5,0)</f>
        <v>59.192639999999997</v>
      </c>
      <c r="CV21" s="13">
        <f t="shared" si="41"/>
        <v>16.963982408330725</v>
      </c>
      <c r="CW21" s="20">
        <f t="shared" si="13"/>
        <v>132.63945069450935</v>
      </c>
      <c r="CX21" s="59">
        <f t="shared" si="14"/>
        <v>425.97278402784264</v>
      </c>
      <c r="CY21" s="59">
        <f ca="1">AVERAGE(OFFSET($CX$3,0,0,'Données projet'!$E$13+1,1))-AVERAGE(OFFSET($H$3,0,0,'Données projet'!$E$13+1,1))</f>
        <v>243.33915530322201</v>
      </c>
      <c r="CZ21" s="59">
        <f t="shared" si="42"/>
        <v>247.73814704672577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3.4179899688232616</v>
      </c>
      <c r="DH21" s="21">
        <f>EXP(-LN(2)/2)*DH20+(1-EXP(-LN(2)/2))/(LN(2)/2)*DB21*DE21*VLOOKUP('Données projet'!$B$13,Paramètres!$A$1:$I$89,3,0)*0.475*44/12</f>
        <v>2.123215427238299</v>
      </c>
      <c r="DI21" s="22">
        <f t="shared" si="15"/>
        <v>5.5412053960615602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9.300476190476191</v>
      </c>
      <c r="N22" s="13">
        <f>IF('Données projet'!$A$36&gt;35,N21+M22-V21,IF(A22&lt;'Données projet'!$A$36,$K$205^A22,IF(A22='Données projet'!$A$36,'Données projet'!$B$36,N21+M22-V21)))</f>
        <v>118.18442425161669</v>
      </c>
      <c r="O22" s="13">
        <f>N22*VLOOKUP('Données projet'!$B$9,Paramètres!$A$1:$I$89,3,0)*VLOOKUP('Données projet'!$B$9,Paramètres!$A$1:$I$89,5,0)</f>
        <v>66.065093156653731</v>
      </c>
      <c r="P22" s="13">
        <f t="shared" si="33"/>
        <v>18.693015658295351</v>
      </c>
      <c r="Q22" s="20">
        <f t="shared" si="2"/>
        <v>147.62037285270299</v>
      </c>
      <c r="R22" s="59">
        <f t="shared" si="0"/>
        <v>440.9537061860363</v>
      </c>
      <c r="S22" s="59">
        <f ca="1">AVERAGE(OFFSET($R$3,0,0,'Données projet'!$E$9+1,1))-AVERAGE(OFFSET($H$3,0,0,'Données projet'!$E$9+1,1))</f>
        <v>287.413090017863</v>
      </c>
      <c r="T22" s="59">
        <f t="shared" si="34"/>
        <v>258.48456031927117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4.0942857142857143</v>
      </c>
      <c r="AI22" s="13">
        <f>IF('Données projet'!$A$62&gt;35,AI21+AH22-AQ21,IF(A22&lt;'Données projet'!$A$62,$AF$205^A22,IF(A22='Données projet'!$A$62,'Données projet'!$B$62,AI21+AH22-AQ21)))</f>
        <v>77.791428571428611</v>
      </c>
      <c r="AJ22" s="13">
        <f>AI22*VLOOKUP('Données projet'!$B$10,Paramètres!$A$1:$I$89,3,0)*VLOOKUP('Données projet'!$B$10,Paramètres!$A$1:$I$89,5,0)</f>
        <v>70.385684571428612</v>
      </c>
      <c r="AK22" s="13">
        <f t="shared" si="35"/>
        <v>19.769205993092573</v>
      </c>
      <c r="AL22" s="20">
        <f t="shared" si="4"/>
        <v>157.01976773320771</v>
      </c>
      <c r="AM22" s="59">
        <f t="shared" si="5"/>
        <v>450.35310106654106</v>
      </c>
      <c r="AN22" s="59">
        <f ca="1">AVERAGE(OFFSET($AM$3,0,0,'Données projet'!$E$10+1,1))-AVERAGE(OFFSET($H$3,0,0,'Données projet'!$E$10+1,1))</f>
        <v>422.10969295064359</v>
      </c>
      <c r="AO22" s="59">
        <f t="shared" si="36"/>
        <v>184.04075143033037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8.0399999999999991</v>
      </c>
      <c r="BD22" s="12">
        <f>IF('Données projet'!$A$88&gt;35,BD21+BC22-BL21,IF(A22&lt;'Données projet'!$A$88,$BA$205^A22,IF(A22='Données projet'!$A$88,'Données projet'!$B$88,BD21+BC22-BL21)))</f>
        <v>56.289709017982211</v>
      </c>
      <c r="BE22" s="13">
        <f>BD22*VLOOKUP('Données projet'!$B$11,Paramètres!$A$1:$I$89,3,0)*VLOOKUP('Données projet'!$B$11,Paramètres!$A$1:$I$89,5,0)</f>
        <v>22.684752734246832</v>
      </c>
      <c r="BF22" s="13">
        <f t="shared" si="37"/>
        <v>7.2690669904192653</v>
      </c>
      <c r="BG22" s="20">
        <f t="shared" si="7"/>
        <v>52.169569353793456</v>
      </c>
      <c r="BH22" s="59">
        <f t="shared" si="8"/>
        <v>345.50290268712678</v>
      </c>
      <c r="BI22" s="59">
        <f ca="1">AVERAGE(OFFSET($BH$3,0,0,'Données projet'!$E$11+1,1))-AVERAGE(OFFSET($H$3,0,0,'Données projet'!$E$11+1,1))</f>
        <v>217.61052961346684</v>
      </c>
      <c r="BJ22" s="59">
        <f t="shared" si="38"/>
        <v>180.77145728128608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4.9119354838709679</v>
      </c>
      <c r="BY22" s="12">
        <f>IF('Données projet'!$A$114&gt;35,BY21+BX22-CG21,IF(A22&lt;'Données projet'!$A$114,$BV$205^A22,IF(A22='Données projet'!$A$114,'Données projet'!$B$114,BY21+BX22-CG21)))</f>
        <v>21.763632029239876</v>
      </c>
      <c r="BZ22" s="13">
        <f>BY22*VLOOKUP('Données projet'!$B$12,Paramètres!$A$1:$I$89,3,0)*VLOOKUP('Données projet'!$B$12,Paramètres!$A$1:$I$89,5,0)</f>
        <v>18.333683621431675</v>
      </c>
      <c r="CA22" s="13">
        <f t="shared" si="39"/>
        <v>6.0222603764100286</v>
      </c>
      <c r="CB22" s="20">
        <f t="shared" si="10"/>
        <v>42.419935796240964</v>
      </c>
      <c r="CC22" s="59">
        <f t="shared" si="11"/>
        <v>335.75326912957428</v>
      </c>
      <c r="CD22" s="59">
        <f ca="1">AVERAGE(OFFSET($CC$3,0,0,'Données projet'!$E$12+1,1))-AVERAGE(OFFSET($H$3,0,0,'Données projet'!$E$12+1,1))</f>
        <v>287.72859857368331</v>
      </c>
      <c r="CE22" s="59">
        <f t="shared" si="40"/>
        <v>179.60736986885922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13.8</v>
      </c>
      <c r="CT22" s="12">
        <f>IF('Données projet'!$A$140&gt;35,CT21+CS22-DB21,IF(A22&lt;'Données projet'!$A$140,$CQ$205^A22,IF(A22='Données projet'!$A$140,'Données projet'!$B$140,CT21+CS22-DB21)))</f>
        <v>88.199999999999989</v>
      </c>
      <c r="CU22" s="17">
        <f>CT22*VLOOKUP('Données projet'!$B$13,Paramètres!$A$1:$I$89,3,0)*VLOOKUP('Données projet'!$B$13,Paramètres!$A$1:$I$89,5,0)</f>
        <v>70.171919999999986</v>
      </c>
      <c r="CV22" s="13">
        <f t="shared" si="41"/>
        <v>19.716145269554726</v>
      </c>
      <c r="CW22" s="20">
        <f t="shared" si="13"/>
        <v>156.55504701114111</v>
      </c>
      <c r="CX22" s="59">
        <f t="shared" si="14"/>
        <v>449.8883803444744</v>
      </c>
      <c r="CY22" s="59">
        <f ca="1">AVERAGE(OFFSET($CX$3,0,0,'Données projet'!$E$13+1,1))-AVERAGE(OFFSET($H$3,0,0,'Données projet'!$E$13+1,1))</f>
        <v>243.33915530322201</v>
      </c>
      <c r="CZ22" s="59">
        <f t="shared" si="42"/>
        <v>247.73814704672577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3.3245248533815088</v>
      </c>
      <c r="DH22" s="21">
        <f>EXP(-LN(2)/2)*DH21+(1-EXP(-LN(2)/2))/(LN(2)/2)*DB22*DE22*VLOOKUP('Données projet'!$B$13,Paramètres!$A$1:$I$89,3,0)*0.475*44/12</f>
        <v>1.501340026520094</v>
      </c>
      <c r="DI22" s="22">
        <f t="shared" si="15"/>
        <v>4.8258648799016033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9.300476190476191</v>
      </c>
      <c r="N23" s="13">
        <f>IF('Données projet'!$A$36&gt;35,N22+M23-V22,IF(A23&lt;'Données projet'!$A$36,$K$205^A23,IF(A23='Données projet'!$A$36,'Données projet'!$B$36,N22+M23-V22)))</f>
        <v>151.92958862770377</v>
      </c>
      <c r="O23" s="13">
        <f>N23*VLOOKUP('Données projet'!$B$9,Paramètres!$A$1:$I$89,3,0)*VLOOKUP('Données projet'!$B$9,Paramètres!$A$1:$I$89,5,0)</f>
        <v>84.928640042886414</v>
      </c>
      <c r="P23" s="13">
        <f t="shared" si="33"/>
        <v>23.338037283642365</v>
      </c>
      <c r="Q23" s="20">
        <f t="shared" si="2"/>
        <v>188.56446301037093</v>
      </c>
      <c r="R23" s="59">
        <f t="shared" si="0"/>
        <v>481.89779634370427</v>
      </c>
      <c r="S23" s="59">
        <f ca="1">AVERAGE(OFFSET($R$3,0,0,'Données projet'!$E$9+1,1))-AVERAGE(OFFSET($H$3,0,0,'Données projet'!$E$9+1,1))</f>
        <v>287.413090017863</v>
      </c>
      <c r="T23" s="59">
        <f t="shared" si="34"/>
        <v>258.48456031927117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4.0942857142857143</v>
      </c>
      <c r="AI23" s="13">
        <f>IF('Données projet'!$A$62&gt;35,AI22+AH23-AQ22,IF(A23&lt;'Données projet'!$A$62,$AF$205^A23,IF(A23='Données projet'!$A$62,'Données projet'!$B$62,AI22+AH23-AQ22)))</f>
        <v>81.885714285714329</v>
      </c>
      <c r="AJ23" s="13">
        <f>AI23*VLOOKUP('Données projet'!$B$10,Paramètres!$A$1:$I$89,3,0)*VLOOKUP('Données projet'!$B$10,Paramètres!$A$1:$I$89,5,0)</f>
        <v>74.090194285714318</v>
      </c>
      <c r="AK23" s="13">
        <f t="shared" si="35"/>
        <v>20.685815608516002</v>
      </c>
      <c r="AL23" s="20">
        <f t="shared" si="4"/>
        <v>165.06821723245113</v>
      </c>
      <c r="AM23" s="59">
        <f t="shared" si="5"/>
        <v>458.40155056578442</v>
      </c>
      <c r="AN23" s="59">
        <f ca="1">AVERAGE(OFFSET($AM$3,0,0,'Données projet'!$E$10+1,1))-AVERAGE(OFFSET($H$3,0,0,'Données projet'!$E$10+1,1))</f>
        <v>422.10969295064359</v>
      </c>
      <c r="AO23" s="59">
        <f t="shared" si="36"/>
        <v>184.04075143033037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8.0399999999999991</v>
      </c>
      <c r="BD23" s="12">
        <f>IF('Données projet'!$A$88&gt;35,BD22+BC23-BL22,IF(A23&lt;'Données projet'!$A$88,$BA$205^A23,IF(A23='Données projet'!$A$88,'Données projet'!$B$88,BD22+BC23-BL22)))</f>
        <v>69.591603900306012</v>
      </c>
      <c r="BE23" s="13">
        <f>BD23*VLOOKUP('Données projet'!$B$11,Paramètres!$A$1:$I$89,3,0)*VLOOKUP('Données projet'!$B$11,Paramètres!$A$1:$I$89,5,0)</f>
        <v>28.045416371823325</v>
      </c>
      <c r="BF23" s="13">
        <f t="shared" si="37"/>
        <v>8.7676424906036168</v>
      </c>
      <c r="BG23" s="20">
        <f t="shared" si="7"/>
        <v>64.116077518726925</v>
      </c>
      <c r="BH23" s="59">
        <f t="shared" si="8"/>
        <v>357.44941085206023</v>
      </c>
      <c r="BI23" s="59">
        <f ca="1">AVERAGE(OFFSET($BH$3,0,0,'Données projet'!$E$11+1,1))-AVERAGE(OFFSET($H$3,0,0,'Données projet'!$E$11+1,1))</f>
        <v>217.61052961346684</v>
      </c>
      <c r="BJ23" s="59">
        <f t="shared" si="38"/>
        <v>180.77145728128608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4.9119354838709679</v>
      </c>
      <c r="BY23" s="12">
        <f>IF('Données projet'!$A$114&gt;35,BY22+BX23-CG22,IF(A23&lt;'Données projet'!$A$114,$BV$205^A23,IF(A23='Données projet'!$A$114,'Données projet'!$B$114,BY22+BX23-CG22)))</f>
        <v>25.594007263392744</v>
      </c>
      <c r="BZ23" s="13">
        <f>BY23*VLOOKUP('Données projet'!$B$12,Paramètres!$A$1:$I$89,3,0)*VLOOKUP('Données projet'!$B$12,Paramètres!$A$1:$I$89,5,0)</f>
        <v>21.560391718682048</v>
      </c>
      <c r="CA23" s="13">
        <f t="shared" si="39"/>
        <v>6.949780340411313</v>
      </c>
      <c r="CB23" s="20">
        <f t="shared" si="10"/>
        <v>49.655216336254263</v>
      </c>
      <c r="CC23" s="59">
        <f t="shared" si="11"/>
        <v>342.9885496695876</v>
      </c>
      <c r="CD23" s="59">
        <f ca="1">AVERAGE(OFFSET($CC$3,0,0,'Données projet'!$E$12+1,1))-AVERAGE(OFFSET($H$3,0,0,'Données projet'!$E$12+1,1))</f>
        <v>287.72859857368331</v>
      </c>
      <c r="CE23" s="59">
        <f t="shared" si="40"/>
        <v>179.60736986885922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102</v>
      </c>
      <c r="CR23" s="12">
        <f>VLOOKUP(A23,'Données projet'!$A$139:$I$159,9,0)</f>
        <v>13.8</v>
      </c>
      <c r="CS23" s="12">
        <f t="array" ref="CS23">INDEX(CR:CR,MIN(IF(ISNUMBER(CR23:CR219),ROW(CR23:CR219),"")))</f>
        <v>13.8</v>
      </c>
      <c r="CT23" s="12">
        <f>IF('Données projet'!$A$140&gt;35,CT22+CS23-DB22,IF(A23&lt;'Données projet'!$A$140,$CQ$205^A23,IF(A23='Données projet'!$A$140,'Données projet'!$B$140,CT22+CS23-DB22)))</f>
        <v>101.99999999999999</v>
      </c>
      <c r="CU23" s="17">
        <f>CT23*VLOOKUP('Données projet'!$B$13,Paramètres!$A$1:$I$89,3,0)*VLOOKUP('Données projet'!$B$13,Paramètres!$A$1:$I$89,5,0)</f>
        <v>81.151200000000003</v>
      </c>
      <c r="CV23" s="13">
        <f t="shared" si="41"/>
        <v>22.418424032002342</v>
      </c>
      <c r="CW23" s="20">
        <f t="shared" si="13"/>
        <v>180.38376185573739</v>
      </c>
      <c r="CX23" s="59">
        <f t="shared" si="14"/>
        <v>473.71709518907073</v>
      </c>
      <c r="CY23" s="59">
        <f ca="1">AVERAGE(OFFSET($CX$3,0,0,'Données projet'!$E$13+1,1))-AVERAGE(OFFSET($H$3,0,0,'Données projet'!$E$13+1,1))</f>
        <v>243.33915530322201</v>
      </c>
      <c r="CZ23" s="59">
        <f t="shared" si="42"/>
        <v>247.73814704672577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35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7.2962939858416513</v>
      </c>
      <c r="DH23" s="21">
        <f>EXP(-LN(2)/2)*DH22+(1-EXP(-LN(2)/2))/(LN(2)/2)*DB23*DE23*VLOOKUP('Données projet'!$B$13,Paramètres!$A$1:$I$89,3,0)*0.475*44/12</f>
        <v>7.6299703296445607</v>
      </c>
      <c r="DI23" s="22">
        <f t="shared" si="15"/>
        <v>14.926264315486211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195.31</v>
      </c>
      <c r="L24" s="12">
        <f>VLOOKUP(A24,'Données projet'!$A$35:$I$55,9,0)</f>
        <v>9.300476190476191</v>
      </c>
      <c r="M24" s="12">
        <f t="array" ref="M24">INDEX(L:L,MIN(IF(ISNUMBER(L24:L220),ROW(L24:L220),"")))</f>
        <v>9.300476190476191</v>
      </c>
      <c r="N24" s="13">
        <f>IF('Données projet'!$A$36&gt;35,N23+M24-V23,IF(A24&lt;'Données projet'!$A$36,$K$205^A24,IF(A24='Données projet'!$A$36,'Données projet'!$B$36,N23+M24-V23)))</f>
        <v>195.31</v>
      </c>
      <c r="O24" s="13">
        <f>N24*VLOOKUP('Données projet'!$B$9,Paramètres!$A$1:$I$89,3,0)*VLOOKUP('Données projet'!$B$9,Paramètres!$A$1:$I$89,5,0)</f>
        <v>109.17829</v>
      </c>
      <c r="P24" s="13">
        <f t="shared" si="33"/>
        <v>29.137298882589644</v>
      </c>
      <c r="Q24" s="20">
        <f t="shared" si="2"/>
        <v>240.89965063717693</v>
      </c>
      <c r="R24" s="59">
        <f t="shared" si="0"/>
        <v>534.2329839705103</v>
      </c>
      <c r="S24" s="59">
        <f ca="1">AVERAGE(OFFSET($R$3,0,0,'Données projet'!$E$9+1,1))-AVERAGE(OFFSET($H$3,0,0,'Données projet'!$E$9+1,1))</f>
        <v>287.413090017863</v>
      </c>
      <c r="T24" s="59">
        <f t="shared" si="34"/>
        <v>258.48456031927117</v>
      </c>
      <c r="U24" s="15">
        <f>IF(ISNA(VLOOKUP(A24,'Données projet'!$A$35:$I$55,3,0)),0,VLOOKUP(A24,'Données projet'!$A$35:$I$55,3,0))</f>
        <v>1</v>
      </c>
      <c r="V24" s="15">
        <f>IF(ISNA(VLOOKUP(A24,'Données projet'!$A$35:$I$55,4,0)),0,VLOOKUP(A24,'Données projet'!$A$35:$I$55,4,0))</f>
        <v>64.599999999999994</v>
      </c>
      <c r="W24" s="16">
        <f>IF(ISNA(VLOOKUP(A24,'Données projet'!$A$35:$I$55,5,0)),0%,VLOOKUP(A24,'Données projet'!$A$35:$I$55,5,0)*VLOOKUP('Données projet'!$B$9,Paramètres!$A$1:$I$89,7,0))</f>
        <v>0.13750000000000001</v>
      </c>
      <c r="X24" s="16">
        <f>IF(ISNA(VLOOKUP(A24,'Données projet'!$A$35:$I$55,6,0)),0%,VLOOKUP(A24,'Données projet'!$A$35:$I$55,6,0)*VLOOKUP('Données projet'!$B$9,Paramètres!$A$1:$I$89,7,0))</f>
        <v>0.20350000000000001</v>
      </c>
      <c r="Y24" s="16">
        <f>IF(ISNA(VLOOKUP(A24,'Données projet'!$A$35:$I$55,7,0)),0%,VLOOKUP(A24,'Données projet'!$A$35:$I$55,7,0))</f>
        <v>0.38</v>
      </c>
      <c r="Z24" s="21">
        <f>EXP(-LN(2)/35)*Z23+(1-EXP(-LN(2)/35))/(LN(2)/35)*V24*W24*VLOOKUP('Données projet'!$B$9,Paramètres!$A$1:$I$89,3,0)*0.475*44/12</f>
        <v>6.5868137054719185</v>
      </c>
      <c r="AA24" s="21">
        <f>EXP(-LN(2)/25)*AA23+(1-EXP(-LN(2)/25))/(LN(2)/25)*Calculateur!V24*Calculateur!X24*VLOOKUP('Données projet'!$B$9,Paramètres!$A$1:$I$89,3,0)*0.475*44/12</f>
        <v>9.7101007870082245</v>
      </c>
      <c r="AB24" s="21">
        <f>EXP(-LN(2)/2)*AB23+(1-EXP(-LN(2)/2))/(LN(2)/2)*V24*Y24*VLOOKUP('Données projet'!$B$9,Paramètres!$A$1:$I$89,3,0)*0.475*44/12</f>
        <v>15.536867487780944</v>
      </c>
      <c r="AC24" s="22">
        <f t="shared" si="3"/>
        <v>31.833781980261087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4.0942857142857143</v>
      </c>
      <c r="AI24" s="13">
        <f>IF('Données projet'!$A$62&gt;35,AI23+AH24-AQ23,IF(A24&lt;'Données projet'!$A$62,$AF$205^A24,IF(A24='Données projet'!$A$62,'Données projet'!$B$62,AI23+AH24-AQ23)))</f>
        <v>85.980000000000047</v>
      </c>
      <c r="AJ24" s="13">
        <f>AI24*VLOOKUP('Données projet'!$B$10,Paramètres!$A$1:$I$89,3,0)*VLOOKUP('Données projet'!$B$10,Paramètres!$A$1:$I$89,5,0)</f>
        <v>77.794704000000038</v>
      </c>
      <c r="AK24" s="13">
        <f t="shared" si="35"/>
        <v>21.597103708846074</v>
      </c>
      <c r="AL24" s="20">
        <f t="shared" si="4"/>
        <v>173.10739842624028</v>
      </c>
      <c r="AM24" s="59">
        <f t="shared" si="5"/>
        <v>466.44073175957362</v>
      </c>
      <c r="AN24" s="59">
        <f ca="1">AVERAGE(OFFSET($AM$3,0,0,'Données projet'!$E$10+1,1))-AVERAGE(OFFSET($H$3,0,0,'Données projet'!$E$10+1,1))</f>
        <v>422.10969295064359</v>
      </c>
      <c r="AO24" s="59">
        <f t="shared" si="36"/>
        <v>184.04075143033037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8.0399999999999991</v>
      </c>
      <c r="BD24" s="12">
        <f>IF('Données projet'!$A$88&gt;35,BD23+BC24-BL23,IF(A24&lt;'Données projet'!$A$88,$BA$205^A24,IF(A24='Données projet'!$A$88,'Données projet'!$B$88,BD23+BC24-BL23)))</f>
        <v>86.036886988880212</v>
      </c>
      <c r="BE24" s="13">
        <f>BD24*VLOOKUP('Données projet'!$B$11,Paramètres!$A$1:$I$89,3,0)*VLOOKUP('Données projet'!$B$11,Paramètres!$A$1:$I$89,5,0)</f>
        <v>34.672865456518728</v>
      </c>
      <c r="BF24" s="13">
        <f t="shared" si="37"/>
        <v>10.575161151266848</v>
      </c>
      <c r="BG24" s="20">
        <f t="shared" si="7"/>
        <v>78.806979675226543</v>
      </c>
      <c r="BH24" s="59">
        <f t="shared" si="8"/>
        <v>372.14031300855987</v>
      </c>
      <c r="BI24" s="59">
        <f ca="1">AVERAGE(OFFSET($BH$3,0,0,'Données projet'!$E$11+1,1))-AVERAGE(OFFSET($H$3,0,0,'Données projet'!$E$11+1,1))</f>
        <v>217.61052961346684</v>
      </c>
      <c r="BJ24" s="59">
        <f t="shared" si="38"/>
        <v>180.77145728128608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4.9119354838709679</v>
      </c>
      <c r="BY24" s="12">
        <f>IF('Données projet'!$A$114&gt;35,BY23+BX24-CG23,IF(A24&lt;'Données projet'!$A$114,$BV$205^A24,IF(A24='Données projet'!$A$114,'Données projet'!$B$114,BY23+BX24-CG23)))</f>
        <v>30.098524314256156</v>
      </c>
      <c r="BZ24" s="13">
        <f>BY24*VLOOKUP('Données projet'!$B$12,Paramètres!$A$1:$I$89,3,0)*VLOOKUP('Données projet'!$B$12,Paramètres!$A$1:$I$89,5,0)</f>
        <v>25.354996882329388</v>
      </c>
      <c r="CA24" s="13">
        <f t="shared" si="39"/>
        <v>8.0201525276394197</v>
      </c>
      <c r="CB24" s="20">
        <f t="shared" si="10"/>
        <v>58.12838522236234</v>
      </c>
      <c r="CC24" s="59">
        <f t="shared" si="11"/>
        <v>351.46171855569565</v>
      </c>
      <c r="CD24" s="59">
        <f ca="1">AVERAGE(OFFSET($CC$3,0,0,'Données projet'!$E$12+1,1))-AVERAGE(OFFSET($H$3,0,0,'Données projet'!$E$12+1,1))</f>
        <v>287.72859857368331</v>
      </c>
      <c r="CE24" s="59">
        <f t="shared" si="40"/>
        <v>179.60736986885922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14.8</v>
      </c>
      <c r="CT24" s="12">
        <f>IF('Données projet'!$A$140&gt;35,CT23+CS24-DB23,IF(A24&lt;'Données projet'!$A$140,$CQ$205^A24,IF(A24='Données projet'!$A$140,'Données projet'!$B$140,CT23+CS24-DB23)))</f>
        <v>81.799999999999983</v>
      </c>
      <c r="CU24" s="17">
        <f>CT24*VLOOKUP('Données projet'!$B$13,Paramètres!$A$1:$I$89,3,0)*VLOOKUP('Données projet'!$B$13,Paramètres!$A$1:$I$89,5,0)</f>
        <v>65.080079999999981</v>
      </c>
      <c r="CV24" s="13">
        <f t="shared" si="41"/>
        <v>18.44653442602603</v>
      </c>
      <c r="CW24" s="20">
        <f t="shared" si="13"/>
        <v>145.47552012532864</v>
      </c>
      <c r="CX24" s="59">
        <f t="shared" si="14"/>
        <v>438.80885345866193</v>
      </c>
      <c r="CY24" s="59">
        <f ca="1">AVERAGE(OFFSET($CX$3,0,0,'Données projet'!$E$13+1,1))-AVERAGE(OFFSET($H$3,0,0,'Données projet'!$E$13+1,1))</f>
        <v>243.33915530322201</v>
      </c>
      <c r="CZ24" s="59">
        <f t="shared" si="42"/>
        <v>247.73814704672577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7.0967764431033862</v>
      </c>
      <c r="DH24" s="21">
        <f>EXP(-LN(2)/2)*DH23+(1-EXP(-LN(2)/2))/(LN(2)/2)*DB24*DE24*VLOOKUP('Données projet'!$B$13,Paramètres!$A$1:$I$89,3,0)*0.475*44/12</f>
        <v>5.3952037603438265</v>
      </c>
      <c r="DI24" s="22">
        <f t="shared" si="15"/>
        <v>12.491980203447213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21.61428571428571</v>
      </c>
      <c r="N25" s="13">
        <f>IF('Données projet'!$A$36&gt;35,N24+M25-V24,IF(A25&lt;'Données projet'!$A$36,$K$205^A25,IF(A25='Données projet'!$A$36,'Données projet'!$B$36,N24+M25-V24)))</f>
        <v>152.32428571428571</v>
      </c>
      <c r="O25" s="13">
        <f>N25*VLOOKUP('Données projet'!$B$9,Paramètres!$A$1:$I$89,3,0)*VLOOKUP('Données projet'!$B$9,Paramètres!$A$1:$I$89,5,0)</f>
        <v>85.149275714285707</v>
      </c>
      <c r="P25" s="13">
        <f t="shared" si="33"/>
        <v>23.391601652187223</v>
      </c>
      <c r="Q25" s="20">
        <f t="shared" si="2"/>
        <v>189.04202807994034</v>
      </c>
      <c r="R25" s="59">
        <f t="shared" si="0"/>
        <v>482.37536141327365</v>
      </c>
      <c r="S25" s="59">
        <f ca="1">AVERAGE(OFFSET($R$3,0,0,'Données projet'!$E$9+1,1))-AVERAGE(OFFSET($H$3,0,0,'Données projet'!$E$9+1,1))</f>
        <v>287.413090017863</v>
      </c>
      <c r="T25" s="59">
        <f t="shared" si="34"/>
        <v>258.48456031927117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6.457650306267273</v>
      </c>
      <c r="AA25" s="21">
        <f>EXP(-LN(2)/25)*AA24+(1-EXP(-LN(2)/25))/(LN(2)/25)*Calculateur!V25*Calculateur!X25*VLOOKUP('Données projet'!$B$9,Paramètres!$A$1:$I$89,3,0)*0.475*44/12</f>
        <v>9.4445775703554773</v>
      </c>
      <c r="AB25" s="21">
        <f>EXP(-LN(2)/2)*AB24+(1-EXP(-LN(2)/2))/(LN(2)/2)*V25*Y25*VLOOKUP('Données projet'!$B$9,Paramètres!$A$1:$I$89,3,0)*0.475*44/12</f>
        <v>10.986224359006705</v>
      </c>
      <c r="AC25" s="22">
        <f t="shared" si="3"/>
        <v>26.888452235629455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4.0942857142857143</v>
      </c>
      <c r="AI25" s="13">
        <f>IF('Données projet'!$A$62&gt;35,AI24+AH25-AQ24,IF(A25&lt;'Données projet'!$A$62,$AF$205^A25,IF(A25='Données projet'!$A$62,'Données projet'!$B$62,AI24+AH25-AQ24)))</f>
        <v>90.074285714285764</v>
      </c>
      <c r="AJ25" s="13">
        <f>AI25*VLOOKUP('Données projet'!$B$10,Paramètres!$A$1:$I$89,3,0)*VLOOKUP('Données projet'!$B$10,Paramètres!$A$1:$I$89,5,0)</f>
        <v>81.499213714285759</v>
      </c>
      <c r="AK25" s="13">
        <f t="shared" si="35"/>
        <v>22.503352631648468</v>
      </c>
      <c r="AL25" s="20">
        <f t="shared" si="4"/>
        <v>181.13780305250211</v>
      </c>
      <c r="AM25" s="59">
        <f t="shared" si="5"/>
        <v>474.47113638583539</v>
      </c>
      <c r="AN25" s="59">
        <f ca="1">AVERAGE(OFFSET($AM$3,0,0,'Données projet'!$E$10+1,1))-AVERAGE(OFFSET($H$3,0,0,'Données projet'!$E$10+1,1))</f>
        <v>422.10969295064359</v>
      </c>
      <c r="AO25" s="59">
        <f t="shared" si="36"/>
        <v>184.04075143033037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8.0399999999999991</v>
      </c>
      <c r="BD25" s="12">
        <f>IF('Données projet'!$A$88&gt;35,BD24+BC25-BL24,IF(A25&lt;'Données projet'!$A$88,$BA$205^A25,IF(A25='Données projet'!$A$88,'Données projet'!$B$88,BD24+BC25-BL24)))</f>
        <v>106.36837646882852</v>
      </c>
      <c r="BE25" s="13">
        <f>BD25*VLOOKUP('Données projet'!$B$11,Paramètres!$A$1:$I$89,3,0)*VLOOKUP('Données projet'!$B$11,Paramètres!$A$1:$I$89,5,0)</f>
        <v>42.866455716937892</v>
      </c>
      <c r="BF25" s="13">
        <f t="shared" si="37"/>
        <v>12.755314041957948</v>
      </c>
      <c r="BG25" s="20">
        <f t="shared" si="7"/>
        <v>96.874582330076919</v>
      </c>
      <c r="BH25" s="59">
        <f t="shared" si="8"/>
        <v>390.20791566341023</v>
      </c>
      <c r="BI25" s="59">
        <f ca="1">AVERAGE(OFFSET($BH$3,0,0,'Données projet'!$E$11+1,1))-AVERAGE(OFFSET($H$3,0,0,'Données projet'!$E$11+1,1))</f>
        <v>217.61052961346684</v>
      </c>
      <c r="BJ25" s="59">
        <f t="shared" si="38"/>
        <v>180.77145728128608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4.9119354838709679</v>
      </c>
      <c r="BY25" s="12">
        <f>IF('Données projet'!$A$114&gt;35,BY24+BX25-CG24,IF(A25&lt;'Données projet'!$A$114,$BV$205^A25,IF(A25='Données projet'!$A$114,'Données projet'!$B$114,BY24+BX25-CG24)))</f>
        <v>35.395831398063777</v>
      </c>
      <c r="BZ25" s="13">
        <f>BY25*VLOOKUP('Données projet'!$B$12,Paramètres!$A$1:$I$89,3,0)*VLOOKUP('Données projet'!$B$12,Paramètres!$A$1:$I$89,5,0)</f>
        <v>29.817448369728929</v>
      </c>
      <c r="CA25" s="13">
        <f t="shared" si="39"/>
        <v>9.2553783595977794</v>
      </c>
      <c r="CB25" s="20">
        <f t="shared" si="10"/>
        <v>68.05183988691067</v>
      </c>
      <c r="CC25" s="59">
        <f t="shared" si="11"/>
        <v>361.38517322024398</v>
      </c>
      <c r="CD25" s="59">
        <f ca="1">AVERAGE(OFFSET($CC$3,0,0,'Données projet'!$E$12+1,1))-AVERAGE(OFFSET($H$3,0,0,'Données projet'!$E$12+1,1))</f>
        <v>287.72859857368331</v>
      </c>
      <c r="CE25" s="59">
        <f t="shared" si="40"/>
        <v>179.60736986885922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14.8</v>
      </c>
      <c r="CT25" s="12">
        <f>IF('Données projet'!$A$140&gt;35,CT24+CS25-DB24,IF(A25&lt;'Données projet'!$A$140,$CQ$205^A25,IF(A25='Données projet'!$A$140,'Données projet'!$B$140,CT24+CS25-DB24)))</f>
        <v>96.59999999999998</v>
      </c>
      <c r="CU25" s="17">
        <f>CT25*VLOOKUP('Données projet'!$B$13,Paramètres!$A$1:$I$89,3,0)*VLOOKUP('Données projet'!$B$13,Paramètres!$A$1:$I$89,5,0)</f>
        <v>76.854959999999991</v>
      </c>
      <c r="CV25" s="13">
        <f t="shared" si="41"/>
        <v>21.366419773799993</v>
      </c>
      <c r="CW25" s="20">
        <f t="shared" si="13"/>
        <v>171.06890310603498</v>
      </c>
      <c r="CX25" s="59">
        <f t="shared" si="14"/>
        <v>464.40223643936827</v>
      </c>
      <c r="CY25" s="59">
        <f ca="1">AVERAGE(OFFSET($CX$3,0,0,'Données projet'!$E$13+1,1))-AVERAGE(OFFSET($H$3,0,0,'Données projet'!$E$13+1,1))</f>
        <v>243.33915530322201</v>
      </c>
      <c r="CZ25" s="59">
        <f t="shared" si="42"/>
        <v>247.73814704672577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6.9027147180634705</v>
      </c>
      <c r="DH25" s="21">
        <f>EXP(-LN(2)/2)*DH24+(1-EXP(-LN(2)/2))/(LN(2)/2)*DB25*DE25*VLOOKUP('Données projet'!$B$13,Paramètres!$A$1:$I$89,3,0)*0.475*44/12</f>
        <v>3.8149851648222808</v>
      </c>
      <c r="DI25" s="22">
        <f t="shared" si="15"/>
        <v>10.717699882885752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21.61428571428571</v>
      </c>
      <c r="N26" s="13">
        <f>IF('Données projet'!$A$36&gt;35,N25+M26-V25,IF(A26&lt;'Données projet'!$A$36,$K$205^A26,IF(A26='Données projet'!$A$36,'Données projet'!$B$36,N25+M26-V25)))</f>
        <v>173.93857142857141</v>
      </c>
      <c r="O26" s="13">
        <f>N26*VLOOKUP('Données projet'!$B$9,Paramètres!$A$1:$I$89,3,0)*VLOOKUP('Données projet'!$B$9,Paramètres!$A$1:$I$89,5,0)</f>
        <v>97.231661428571414</v>
      </c>
      <c r="P26" s="13">
        <f t="shared" si="33"/>
        <v>26.301405349792162</v>
      </c>
      <c r="Q26" s="20">
        <f t="shared" si="2"/>
        <v>215.15342463898321</v>
      </c>
      <c r="R26" s="59">
        <f t="shared" si="0"/>
        <v>508.48675797231652</v>
      </c>
      <c r="S26" s="59">
        <f ca="1">AVERAGE(OFFSET($R$3,0,0,'Données projet'!$E$9+1,1))-AVERAGE(OFFSET($H$3,0,0,'Données projet'!$E$9+1,1))</f>
        <v>287.413090017863</v>
      </c>
      <c r="T26" s="59">
        <f t="shared" si="34"/>
        <v>258.48456031927117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6.3310197225391365</v>
      </c>
      <c r="AA26" s="21">
        <f>EXP(-LN(2)/25)*AA25+(1-EXP(-LN(2)/25))/(LN(2)/25)*Calculateur!V26*Calculateur!X26*VLOOKUP('Données projet'!$B$9,Paramètres!$A$1:$I$89,3,0)*0.475*44/12</f>
        <v>9.1863151000253573</v>
      </c>
      <c r="AB26" s="21">
        <f>EXP(-LN(2)/2)*AB25+(1-EXP(-LN(2)/2))/(LN(2)/2)*V26*Y26*VLOOKUP('Données projet'!$B$9,Paramètres!$A$1:$I$89,3,0)*0.475*44/12</f>
        <v>7.7684337438904736</v>
      </c>
      <c r="AC26" s="22">
        <f t="shared" si="3"/>
        <v>23.285768566454966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4.0942857142857143</v>
      </c>
      <c r="AI26" s="13">
        <f>IF('Données projet'!$A$62&gt;35,AI25+AH26-AQ25,IF(A26&lt;'Données projet'!$A$62,$AF$205^A26,IF(A26='Données projet'!$A$62,'Données projet'!$B$62,AI25+AH26-AQ25)))</f>
        <v>94.168571428571482</v>
      </c>
      <c r="AJ26" s="13">
        <f>AI26*VLOOKUP('Données projet'!$B$10,Paramètres!$A$1:$I$89,3,0)*VLOOKUP('Données projet'!$B$10,Paramètres!$A$1:$I$89,5,0)</f>
        <v>85.203723428571479</v>
      </c>
      <c r="AK26" s="13">
        <f t="shared" si="35"/>
        <v>23.404817596574706</v>
      </c>
      <c r="AL26" s="20">
        <f t="shared" si="4"/>
        <v>189.15987561879626</v>
      </c>
      <c r="AM26" s="59">
        <f t="shared" si="5"/>
        <v>482.49320895212958</v>
      </c>
      <c r="AN26" s="59">
        <f ca="1">AVERAGE(OFFSET($AM$3,0,0,'Données projet'!$E$10+1,1))-AVERAGE(OFFSET($H$3,0,0,'Données projet'!$E$10+1,1))</f>
        <v>422.10969295064359</v>
      </c>
      <c r="AO26" s="59">
        <f t="shared" si="36"/>
        <v>184.04075143033037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8.0399999999999991</v>
      </c>
      <c r="BD26" s="12">
        <f>IF('Données projet'!$A$88&gt;35,BD25+BC26-BL25,IF(A26&lt;'Données projet'!$A$88,$BA$205^A26,IF(A26='Données projet'!$A$88,'Données projet'!$B$88,BD25+BC26-BL25)))</f>
        <v>131.50442686375592</v>
      </c>
      <c r="BE26" s="13">
        <f>BD26*VLOOKUP('Données projet'!$B$11,Paramètres!$A$1:$I$89,3,0)*VLOOKUP('Données projet'!$B$11,Paramètres!$A$1:$I$89,5,0)</f>
        <v>52.99628402609364</v>
      </c>
      <c r="BF26" s="13">
        <f t="shared" si="37"/>
        <v>15.384922648623599</v>
      </c>
      <c r="BG26" s="20">
        <f t="shared" si="7"/>
        <v>119.09726829179915</v>
      </c>
      <c r="BH26" s="59">
        <f t="shared" si="8"/>
        <v>412.43060162513245</v>
      </c>
      <c r="BI26" s="59">
        <f ca="1">AVERAGE(OFFSET($BH$3,0,0,'Données projet'!$E$11+1,1))-AVERAGE(OFFSET($H$3,0,0,'Données projet'!$E$11+1,1))</f>
        <v>217.61052961346684</v>
      </c>
      <c r="BJ26" s="59">
        <f t="shared" si="38"/>
        <v>180.77145728128608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4.9119354838709679</v>
      </c>
      <c r="BY26" s="12">
        <f>IF('Données projet'!$A$114&gt;35,BY25+BX26-CG25,IF(A26&lt;'Données projet'!$A$114,$BV$205^A26,IF(A26='Données projet'!$A$114,'Données projet'!$B$114,BY25+BX26-CG25)))</f>
        <v>41.625458686249885</v>
      </c>
      <c r="BZ26" s="13">
        <f>BY26*VLOOKUP('Données projet'!$B$12,Paramètres!$A$1:$I$89,3,0)*VLOOKUP('Données projet'!$B$12,Paramètres!$A$1:$I$89,5,0)</f>
        <v>35.065286397296909</v>
      </c>
      <c r="CA26" s="13">
        <f t="shared" si="39"/>
        <v>10.68084781232009</v>
      </c>
      <c r="CB26" s="20">
        <f t="shared" si="10"/>
        <v>79.674517081749613</v>
      </c>
      <c r="CC26" s="59">
        <f t="shared" si="11"/>
        <v>373.00785041508294</v>
      </c>
      <c r="CD26" s="59">
        <f ca="1">AVERAGE(OFFSET($CC$3,0,0,'Données projet'!$E$12+1,1))-AVERAGE(OFFSET($H$3,0,0,'Données projet'!$E$12+1,1))</f>
        <v>287.72859857368331</v>
      </c>
      <c r="CE26" s="59">
        <f t="shared" si="40"/>
        <v>179.60736986885922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14.8</v>
      </c>
      <c r="CT26" s="12">
        <f>IF('Données projet'!$A$140&gt;35,CT25+CS26-DB25,IF(A26&lt;'Données projet'!$A$140,$CQ$205^A26,IF(A26='Données projet'!$A$140,'Données projet'!$B$140,CT25+CS26-DB25)))</f>
        <v>111.39999999999998</v>
      </c>
      <c r="CU26" s="17">
        <f>CT26*VLOOKUP('Données projet'!$B$13,Paramètres!$A$1:$I$89,3,0)*VLOOKUP('Données projet'!$B$13,Paramètres!$A$1:$I$89,5,0)</f>
        <v>88.629839999999987</v>
      </c>
      <c r="CV26" s="13">
        <f t="shared" si="41"/>
        <v>24.23448093253452</v>
      </c>
      <c r="CW26" s="20">
        <f t="shared" si="13"/>
        <v>196.57202562416424</v>
      </c>
      <c r="CX26" s="59">
        <f t="shared" si="14"/>
        <v>489.90535895749758</v>
      </c>
      <c r="CY26" s="59">
        <f ca="1">AVERAGE(OFFSET($CX$3,0,0,'Données projet'!$E$13+1,1))-AVERAGE(OFFSET($H$3,0,0,'Données projet'!$E$13+1,1))</f>
        <v>243.33915530322201</v>
      </c>
      <c r="CZ26" s="59">
        <f t="shared" si="42"/>
        <v>247.73814704672577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6.7139596211000345</v>
      </c>
      <c r="DH26" s="21">
        <f>EXP(-LN(2)/2)*DH25+(1-EXP(-LN(2)/2))/(LN(2)/2)*DB26*DE26*VLOOKUP('Données projet'!$B$13,Paramètres!$A$1:$I$89,3,0)*0.475*44/12</f>
        <v>2.6976018801719137</v>
      </c>
      <c r="DI26" s="22">
        <f t="shared" si="15"/>
        <v>9.4115615012719473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21.61428571428571</v>
      </c>
      <c r="N27" s="13">
        <f>IF('Données projet'!$A$36&gt;35,N26+M27-V26,IF(A27&lt;'Données projet'!$A$36,$K$205^A27,IF(A27='Données projet'!$A$36,'Données projet'!$B$36,N26+M27-V26)))</f>
        <v>195.55285714285711</v>
      </c>
      <c r="O27" s="13">
        <f>N27*VLOOKUP('Données projet'!$B$9,Paramètres!$A$1:$I$89,3,0)*VLOOKUP('Données projet'!$B$9,Paramètres!$A$1:$I$89,5,0)</f>
        <v>109.31404714285712</v>
      </c>
      <c r="P27" s="13">
        <f t="shared" si="33"/>
        <v>29.169309937147133</v>
      </c>
      <c r="Q27" s="20">
        <f t="shared" si="2"/>
        <v>241.19184691434074</v>
      </c>
      <c r="R27" s="59">
        <f t="shared" si="0"/>
        <v>534.52518024767403</v>
      </c>
      <c r="S27" s="59">
        <f ca="1">AVERAGE(OFFSET($R$3,0,0,'Données projet'!$E$9+1,1))-AVERAGE(OFFSET($H$3,0,0,'Données projet'!$E$9+1,1))</f>
        <v>287.413090017863</v>
      </c>
      <c r="T27" s="59">
        <f t="shared" si="34"/>
        <v>258.48456031927117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6.2068722873208797</v>
      </c>
      <c r="AA27" s="21">
        <f>EXP(-LN(2)/25)*AA26+(1-EXP(-LN(2)/25))/(LN(2)/25)*Calculateur!V27*Calculateur!X27*VLOOKUP('Données projet'!$B$9,Paramètres!$A$1:$I$89,3,0)*0.475*44/12</f>
        <v>8.9351148305278478</v>
      </c>
      <c r="AB27" s="21">
        <f>EXP(-LN(2)/2)*AB26+(1-EXP(-LN(2)/2))/(LN(2)/2)*V27*Y27*VLOOKUP('Données projet'!$B$9,Paramètres!$A$1:$I$89,3,0)*0.475*44/12</f>
        <v>5.4931121795033535</v>
      </c>
      <c r="AC27" s="22">
        <f t="shared" si="3"/>
        <v>20.635099297352081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4.0942857142857143</v>
      </c>
      <c r="AI27" s="13">
        <f>IF('Données projet'!$A$62&gt;35,AI26+AH27-AQ26,IF(A27&lt;'Données projet'!$A$62,$AF$205^A27,IF(A27='Données projet'!$A$62,'Données projet'!$B$62,AI26+AH27-AQ26)))</f>
        <v>98.2628571428572</v>
      </c>
      <c r="AJ27" s="13">
        <f>AI27*VLOOKUP('Données projet'!$B$10,Paramètres!$A$1:$I$89,3,0)*VLOOKUP('Données projet'!$B$10,Paramètres!$A$1:$I$89,5,0)</f>
        <v>88.908233142857185</v>
      </c>
      <c r="AK27" s="13">
        <f t="shared" si="35"/>
        <v>24.301730375247274</v>
      </c>
      <c r="AL27" s="20">
        <f t="shared" si="4"/>
        <v>197.17401979403192</v>
      </c>
      <c r="AM27" s="59">
        <f t="shared" si="5"/>
        <v>490.50735312736526</v>
      </c>
      <c r="AN27" s="59">
        <f ca="1">AVERAGE(OFFSET($AM$3,0,0,'Données projet'!$E$10+1,1))-AVERAGE(OFFSET($H$3,0,0,'Données projet'!$E$10+1,1))</f>
        <v>422.10969295064359</v>
      </c>
      <c r="AO27" s="59">
        <f t="shared" si="36"/>
        <v>184.04075143033037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8.0399999999999991</v>
      </c>
      <c r="BD27" s="12">
        <f>IF('Données projet'!$A$88&gt;35,BD26+BC27-BL26,IF(A27&lt;'Données projet'!$A$88,$BA$205^A27,IF(A27='Données projet'!$A$88,'Données projet'!$B$88,BD26+BC27-BL26)))</f>
        <v>162.58041025786275</v>
      </c>
      <c r="BE27" s="13">
        <f>BD27*VLOOKUP('Données projet'!$B$11,Paramètres!$A$1:$I$89,3,0)*VLOOKUP('Données projet'!$B$11,Paramètres!$A$1:$I$89,5,0)</f>
        <v>65.519905333918686</v>
      </c>
      <c r="BF27" s="13">
        <f t="shared" si="37"/>
        <v>18.556645812524287</v>
      </c>
      <c r="BG27" s="20">
        <f t="shared" si="7"/>
        <v>146.43332658005482</v>
      </c>
      <c r="BH27" s="59">
        <f t="shared" si="8"/>
        <v>439.76665991338814</v>
      </c>
      <c r="BI27" s="59">
        <f ca="1">AVERAGE(OFFSET($BH$3,0,0,'Données projet'!$E$11+1,1))-AVERAGE(OFFSET($H$3,0,0,'Données projet'!$E$11+1,1))</f>
        <v>217.61052961346684</v>
      </c>
      <c r="BJ27" s="59">
        <f t="shared" si="38"/>
        <v>180.77145728128608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4.9119354838709679</v>
      </c>
      <c r="BY27" s="12">
        <f>IF('Données projet'!$A$114&gt;35,BY26+BX27-CG26,IF(A27&lt;'Données projet'!$A$114,$BV$205^A27,IF(A27='Données projet'!$A$114,'Données projet'!$B$114,BY26+BX27-CG26)))</f>
        <v>48.951493506534135</v>
      </c>
      <c r="BZ27" s="13">
        <f>BY27*VLOOKUP('Données projet'!$B$12,Paramètres!$A$1:$I$89,3,0)*VLOOKUP('Données projet'!$B$12,Paramètres!$A$1:$I$89,5,0)</f>
        <v>41.23673812990436</v>
      </c>
      <c r="CA27" s="13">
        <f t="shared" si="39"/>
        <v>12.325861305458343</v>
      </c>
      <c r="CB27" s="20">
        <f t="shared" si="10"/>
        <v>93.288194016590026</v>
      </c>
      <c r="CC27" s="59">
        <f t="shared" si="11"/>
        <v>386.62152734992333</v>
      </c>
      <c r="CD27" s="59">
        <f ca="1">AVERAGE(OFFSET($CC$3,0,0,'Données projet'!$E$12+1,1))-AVERAGE(OFFSET($H$3,0,0,'Données projet'!$E$12+1,1))</f>
        <v>287.72859857368331</v>
      </c>
      <c r="CE27" s="59">
        <f t="shared" si="40"/>
        <v>179.60736986885922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14.8</v>
      </c>
      <c r="CT27" s="12">
        <f>IF('Données projet'!$A$140&gt;35,CT26+CS27-DB26,IF(A27&lt;'Données projet'!$A$140,$CQ$205^A27,IF(A27='Données projet'!$A$140,'Données projet'!$B$140,CT26+CS27-DB26)))</f>
        <v>126.19999999999997</v>
      </c>
      <c r="CU27" s="17">
        <f>CT27*VLOOKUP('Données projet'!$B$13,Paramètres!$A$1:$I$89,3,0)*VLOOKUP('Données projet'!$B$13,Paramètres!$A$1:$I$89,5,0)</f>
        <v>100.40472</v>
      </c>
      <c r="CV27" s="13">
        <f t="shared" si="41"/>
        <v>27.058393830330502</v>
      </c>
      <c r="CW27" s="20">
        <f t="shared" si="13"/>
        <v>221.99825658782561</v>
      </c>
      <c r="CX27" s="59">
        <f t="shared" si="14"/>
        <v>515.33158992115887</v>
      </c>
      <c r="CY27" s="59">
        <f ca="1">AVERAGE(OFFSET($CX$3,0,0,'Données projet'!$E$13+1,1))-AVERAGE(OFFSET($H$3,0,0,'Données projet'!$E$13+1,1))</f>
        <v>243.33915530322201</v>
      </c>
      <c r="CZ27" s="59">
        <f t="shared" si="42"/>
        <v>247.73814704672577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6.5303660421892626</v>
      </c>
      <c r="DH27" s="21">
        <f>EXP(-LN(2)/2)*DH26+(1-EXP(-LN(2)/2))/(LN(2)/2)*DB27*DE27*VLOOKUP('Données projet'!$B$13,Paramètres!$A$1:$I$89,3,0)*0.475*44/12</f>
        <v>1.9074925824111406</v>
      </c>
      <c r="DI27" s="22">
        <f t="shared" si="15"/>
        <v>8.4378586246004037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21.61428571428571</v>
      </c>
      <c r="N28" s="13">
        <f>IF('Données projet'!$A$36&gt;35,N27+M28-V27,IF(A28&lt;'Données projet'!$A$36,$K$205^A28,IF(A28='Données projet'!$A$36,'Données projet'!$B$36,N27+M28-V27)))</f>
        <v>217.16714285714281</v>
      </c>
      <c r="O28" s="13">
        <f>N28*VLOOKUP('Données projet'!$B$9,Paramètres!$A$1:$I$89,3,0)*VLOOKUP('Données projet'!$B$9,Paramètres!$A$1:$I$89,5,0)</f>
        <v>121.39643285714283</v>
      </c>
      <c r="P28" s="13">
        <f t="shared" si="33"/>
        <v>32.00047469196349</v>
      </c>
      <c r="Q28" s="20">
        <f t="shared" si="2"/>
        <v>267.16628064802683</v>
      </c>
      <c r="R28" s="59">
        <f t="shared" si="0"/>
        <v>560.4996139813602</v>
      </c>
      <c r="S28" s="59">
        <f ca="1">AVERAGE(OFFSET($R$3,0,0,'Données projet'!$E$9+1,1))-AVERAGE(OFFSET($H$3,0,0,'Données projet'!$E$9+1,1))</f>
        <v>287.413090017863</v>
      </c>
      <c r="T28" s="59">
        <f t="shared" si="34"/>
        <v>258.48456031927117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6.0851593075847941</v>
      </c>
      <c r="AA28" s="21">
        <f>EXP(-LN(2)/25)*AA27+(1-EXP(-LN(2)/25))/(LN(2)/25)*Calculateur!V28*Calculateur!X28*VLOOKUP('Données projet'!$B$9,Paramètres!$A$1:$I$89,3,0)*0.475*44/12</f>
        <v>8.6907836456097964</v>
      </c>
      <c r="AB28" s="21">
        <f>EXP(-LN(2)/2)*AB27+(1-EXP(-LN(2)/2))/(LN(2)/2)*V28*Y28*VLOOKUP('Données projet'!$B$9,Paramètres!$A$1:$I$89,3,0)*0.475*44/12</f>
        <v>3.8842168719452372</v>
      </c>
      <c r="AC28" s="22">
        <f t="shared" si="3"/>
        <v>18.660159825139829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4.0942857142857143</v>
      </c>
      <c r="AI28" s="13">
        <f>IF('Données projet'!$A$62&gt;35,AI27+AH28-AQ27,IF(A28&lt;'Données projet'!$A$62,$AF$205^A28,IF(A28='Données projet'!$A$62,'Données projet'!$B$62,AI27+AH28-AQ27)))</f>
        <v>102.35714285714292</v>
      </c>
      <c r="AJ28" s="13">
        <f>AI28*VLOOKUP('Données projet'!$B$10,Paramètres!$A$1:$I$89,3,0)*VLOOKUP('Données projet'!$B$10,Paramètres!$A$1:$I$89,5,0)</f>
        <v>92.612742857142905</v>
      </c>
      <c r="AK28" s="13">
        <f t="shared" si="35"/>
        <v>25.194302332262133</v>
      </c>
      <c r="AL28" s="20">
        <f t="shared" si="4"/>
        <v>205.18060370488044</v>
      </c>
      <c r="AM28" s="59">
        <f t="shared" si="5"/>
        <v>498.51393703821373</v>
      </c>
      <c r="AN28" s="59">
        <f ca="1">AVERAGE(OFFSET($AM$3,0,0,'Données projet'!$E$10+1,1))-AVERAGE(OFFSET($H$3,0,0,'Données projet'!$E$10+1,1))</f>
        <v>422.10969295064359</v>
      </c>
      <c r="AO28" s="59">
        <f t="shared" si="36"/>
        <v>184.04075143033037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201</v>
      </c>
      <c r="BB28" s="12">
        <f>VLOOKUP(A28,'Données projet'!$A$87:$I$107,9,0)</f>
        <v>8.0399999999999991</v>
      </c>
      <c r="BC28" s="12">
        <f t="array" ref="BC28">INDEX(BB:BB,MIN(IF(ISNUMBER(BB28:BB224),ROW(BB28:BB224),"")))</f>
        <v>8.0399999999999991</v>
      </c>
      <c r="BD28" s="12">
        <f>IF('Données projet'!$A$88&gt;35,BD27+BC28-BL27,IF(A28&lt;'Données projet'!$A$88,$BA$205^A28,IF(A28='Données projet'!$A$88,'Données projet'!$B$88,BD27+BC28-BL27)))</f>
        <v>201</v>
      </c>
      <c r="BE28" s="13">
        <f>BD28*VLOOKUP('Données projet'!$B$11,Paramètres!$A$1:$I$89,3,0)*VLOOKUP('Données projet'!$B$11,Paramètres!$A$1:$I$89,5,0)</f>
        <v>81.003</v>
      </c>
      <c r="BF28" s="13">
        <f t="shared" si="37"/>
        <v>22.382244725961105</v>
      </c>
      <c r="BG28" s="20">
        <f t="shared" si="7"/>
        <v>180.06263456438225</v>
      </c>
      <c r="BH28" s="59">
        <f t="shared" si="8"/>
        <v>473.39596789771554</v>
      </c>
      <c r="BI28" s="59">
        <f ca="1">AVERAGE(OFFSET($BH$3,0,0,'Données projet'!$E$11+1,1))-AVERAGE(OFFSET($H$3,0,0,'Données projet'!$E$11+1,1))</f>
        <v>217.61052961346684</v>
      </c>
      <c r="BJ28" s="59">
        <f t="shared" si="38"/>
        <v>180.77145728128608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42</v>
      </c>
      <c r="BM28" s="16">
        <f>IF(ISNA(VLOOKUP(A28,'Données projet'!$A$87:$I$107,5,0)),0%,VLOOKUP(A28,'Données projet'!$A$87:$I$107,5,0)*VLOOKUP('Données projet'!$B$11,Paramètres!$A$1:$I$89,7,0))</f>
        <v>0.13750000000000001</v>
      </c>
      <c r="BN28" s="16">
        <f>IF(ISNA(VLOOKUP(A28,'Données projet'!$A$87:$I$107,6,0)),0%,VLOOKUP(A28,'Données projet'!$A$87:$I$107,6,0)*VLOOKUP('Données projet'!$B$11,Paramètres!$A$1:$I$89,7,0))</f>
        <v>0.20350000000000001</v>
      </c>
      <c r="BO28" s="16">
        <f>IF(ISNA(VLOOKUP(A28,'Données projet'!$A$87:$I$107,7,0)),0%,VLOOKUP(A28,'Données projet'!$A$87:$I$107,7,0))</f>
        <v>0.38</v>
      </c>
      <c r="BP28" s="21">
        <f>EXP(-LN(2)/35)*BP27+(1-EXP(-LN(2)/35))/(LN(2)/35)*BL28*BM28*VLOOKUP('Données projet'!$B$11,Paramètres!$A$1:$I$89,3,0)*0.475*44/12</f>
        <v>3.0873466212558274</v>
      </c>
      <c r="BQ28" s="21">
        <f>EXP(-LN(2)/25)*BQ27+(1-EXP(-LN(2)/25))/(LN(2)/25)*Calculateur!BL28*Calculateur!BN28*VLOOKUP('Données projet'!$B$11,Paramètres!$A$1:$I$89,3,0)*0.475*44/12</f>
        <v>4.5512820306302491</v>
      </c>
      <c r="BR28" s="21">
        <f>EXP(-LN(2)/2)*BR27+(1-EXP(-LN(2)/2))/(LN(2)/2)*BL28*BO28*VLOOKUP('Données projet'!$B$11,Paramètres!$A$1:$I$89,3,0)*0.475*44/12</f>
        <v>7.2823822698145255</v>
      </c>
      <c r="BS28" s="22">
        <f t="shared" si="9"/>
        <v>14.921010921700603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4.9119354838709679</v>
      </c>
      <c r="BY28" s="12">
        <f>IF('Données projet'!$A$114&gt;35,BY27+BX28-CG27,IF(A28&lt;'Données projet'!$A$114,$BV$205^A28,IF(A28='Données projet'!$A$114,'Données projet'!$B$114,BY27+BX28-CG27)))</f>
        <v>57.566902375343794</v>
      </c>
      <c r="BZ28" s="13">
        <f>BY28*VLOOKUP('Données projet'!$B$12,Paramètres!$A$1:$I$89,3,0)*VLOOKUP('Données projet'!$B$12,Paramètres!$A$1:$I$89,5,0)</f>
        <v>48.494358560989618</v>
      </c>
      <c r="CA28" s="13">
        <f t="shared" si="39"/>
        <v>14.224231970251598</v>
      </c>
      <c r="CB28" s="20">
        <f t="shared" si="10"/>
        <v>109.23487850857845</v>
      </c>
      <c r="CC28" s="59">
        <f t="shared" si="11"/>
        <v>402.56821184191176</v>
      </c>
      <c r="CD28" s="59">
        <f ca="1">AVERAGE(OFFSET($CC$3,0,0,'Données projet'!$E$12+1,1))-AVERAGE(OFFSET($H$3,0,0,'Données projet'!$E$12+1,1))</f>
        <v>287.72859857368331</v>
      </c>
      <c r="CE28" s="59">
        <f t="shared" si="40"/>
        <v>179.60736986885922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141</v>
      </c>
      <c r="CR28" s="12">
        <f>VLOOKUP(A28,'Données projet'!$A$139:$I$159,9,0)</f>
        <v>14.8</v>
      </c>
      <c r="CS28" s="12">
        <f t="array" ref="CS28">INDEX(CR:CR,MIN(IF(ISNUMBER(CR28:CR224),ROW(CR28:CR224),"")))</f>
        <v>14.8</v>
      </c>
      <c r="CT28" s="12">
        <f>IF('Données projet'!$A$140&gt;35,CT27+CS28-DB27,IF(A28&lt;'Données projet'!$A$140,$CQ$205^A28,IF(A28='Données projet'!$A$140,'Données projet'!$B$140,CT27+CS28-DB27)))</f>
        <v>140.99999999999997</v>
      </c>
      <c r="CU28" s="17">
        <f>CT28*VLOOKUP('Données projet'!$B$13,Paramètres!$A$1:$I$89,3,0)*VLOOKUP('Données projet'!$B$13,Paramètres!$A$1:$I$89,5,0)</f>
        <v>112.17959999999998</v>
      </c>
      <c r="CV28" s="13">
        <f t="shared" si="41"/>
        <v>29.8439274472838</v>
      </c>
      <c r="CW28" s="20">
        <f t="shared" si="13"/>
        <v>247.35764363735257</v>
      </c>
      <c r="CX28" s="59">
        <f t="shared" si="14"/>
        <v>540.69097697068582</v>
      </c>
      <c r="CY28" s="59">
        <f ca="1">AVERAGE(OFFSET($CX$3,0,0,'Données projet'!$E$13+1,1))-AVERAGE(OFFSET($H$3,0,0,'Données projet'!$E$13+1,1))</f>
        <v>243.33915530322201</v>
      </c>
      <c r="CZ28" s="59">
        <f t="shared" si="42"/>
        <v>247.73814704672577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35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0.13250000000000001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10.414471278753595</v>
      </c>
      <c r="DH28" s="21">
        <f>EXP(-LN(2)/2)*DH27+(1-EXP(-LN(2)/2))/(LN(2)/2)*DB28*DE28*VLOOKUP('Données projet'!$B$13,Paramètres!$A$1:$I$89,3,0)*0.475*44/12</f>
        <v>7.917163556111368</v>
      </c>
      <c r="DI28" s="22">
        <f t="shared" si="15"/>
        <v>18.331634834864964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21.61428571428571</v>
      </c>
      <c r="N29" s="13">
        <f>IF('Données projet'!$A$36&gt;35,N28+M29-V28,IF(A29&lt;'Données projet'!$A$36,$K$205^A29,IF(A29='Données projet'!$A$36,'Données projet'!$B$36,N28+M29-V28)))</f>
        <v>238.78142857142851</v>
      </c>
      <c r="O29" s="13">
        <f>N29*VLOOKUP('Données projet'!$B$9,Paramètres!$A$1:$I$89,3,0)*VLOOKUP('Données projet'!$B$9,Paramètres!$A$1:$I$89,5,0)</f>
        <v>133.47881857142855</v>
      </c>
      <c r="P29" s="13">
        <f t="shared" si="33"/>
        <v>34.798972504515248</v>
      </c>
      <c r="Q29" s="20">
        <f t="shared" si="2"/>
        <v>293.08381945726882</v>
      </c>
      <c r="R29" s="59">
        <f t="shared" si="0"/>
        <v>586.41715279060213</v>
      </c>
      <c r="S29" s="59">
        <f ca="1">AVERAGE(OFFSET($R$3,0,0,'Données projet'!$E$9+1,1))-AVERAGE(OFFSET($H$3,0,0,'Données projet'!$E$9+1,1))</f>
        <v>287.413090017863</v>
      </c>
      <c r="T29" s="59">
        <f t="shared" si="34"/>
        <v>258.48456031927117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5.9658330451437456</v>
      </c>
      <c r="AA29" s="21">
        <f>EXP(-LN(2)/25)*AA28+(1-EXP(-LN(2)/25))/(LN(2)/25)*Calculateur!V29*Calculateur!X29*VLOOKUP('Données projet'!$B$9,Paramètres!$A$1:$I$89,3,0)*0.475*44/12</f>
        <v>8.453133709792148</v>
      </c>
      <c r="AB29" s="21">
        <f>EXP(-LN(2)/2)*AB28+(1-EXP(-LN(2)/2))/(LN(2)/2)*V29*Y29*VLOOKUP('Données projet'!$B$9,Paramètres!$A$1:$I$89,3,0)*0.475*44/12</f>
        <v>2.7465560897516772</v>
      </c>
      <c r="AC29" s="22">
        <f t="shared" si="3"/>
        <v>17.165522844687573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4.0942857142857143</v>
      </c>
      <c r="AI29" s="13">
        <f>IF('Données projet'!$A$62&gt;35,AI28+AH29-AQ28,IF(A29&lt;'Données projet'!$A$62,$AF$205^A29,IF(A29='Données projet'!$A$62,'Données projet'!$B$62,AI28+AH29-AQ28)))</f>
        <v>106.45142857142864</v>
      </c>
      <c r="AJ29" s="13">
        <f>AI29*VLOOKUP('Données projet'!$B$10,Paramètres!$A$1:$I$89,3,0)*VLOOKUP('Données projet'!$B$10,Paramètres!$A$1:$I$89,5,0)</f>
        <v>96.317252571428625</v>
      </c>
      <c r="AK29" s="13">
        <f t="shared" si="35"/>
        <v>26.082726965934707</v>
      </c>
      <c r="AL29" s="20">
        <f t="shared" si="4"/>
        <v>213.1799643609078</v>
      </c>
      <c r="AM29" s="59">
        <f t="shared" si="5"/>
        <v>506.51329769424115</v>
      </c>
      <c r="AN29" s="59">
        <f ca="1">AVERAGE(OFFSET($AM$3,0,0,'Données projet'!$E$10+1,1))-AVERAGE(OFFSET($H$3,0,0,'Données projet'!$E$10+1,1))</f>
        <v>422.10969295064359</v>
      </c>
      <c r="AO29" s="59">
        <f t="shared" si="36"/>
        <v>184.04075143033037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22.6</v>
      </c>
      <c r="BD29" s="12">
        <f>IF('Données projet'!$A$88&gt;35,BD28+BC29-BL28,IF(A29&lt;'Données projet'!$A$88,$BA$205^A29,IF(A29='Données projet'!$A$88,'Données projet'!$B$88,BD28+BC29-BL28)))</f>
        <v>181.6</v>
      </c>
      <c r="BE29" s="13">
        <f>BD29*VLOOKUP('Données projet'!$B$11,Paramètres!$A$1:$I$89,3,0)*VLOOKUP('Données projet'!$B$11,Paramètres!$A$1:$I$89,5,0)</f>
        <v>73.184799999999996</v>
      </c>
      <c r="BF29" s="13">
        <f t="shared" si="37"/>
        <v>20.462296039728965</v>
      </c>
      <c r="BG29" s="20">
        <f t="shared" si="7"/>
        <v>163.10202560252796</v>
      </c>
      <c r="BH29" s="59">
        <f t="shared" si="8"/>
        <v>456.43535893586125</v>
      </c>
      <c r="BI29" s="59">
        <f ca="1">AVERAGE(OFFSET($BH$3,0,0,'Données projet'!$E$11+1,1))-AVERAGE(OFFSET($H$3,0,0,'Données projet'!$E$11+1,1))</f>
        <v>217.61052961346684</v>
      </c>
      <c r="BJ29" s="59">
        <f t="shared" si="38"/>
        <v>180.77145728128608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3.0268056371084993</v>
      </c>
      <c r="BQ29" s="21">
        <f>EXP(-LN(2)/25)*BQ28+(1-EXP(-LN(2)/25))/(LN(2)/25)*Calculateur!BL29*Calculateur!BN29*VLOOKUP('Données projet'!$B$11,Paramètres!$A$1:$I$89,3,0)*0.475*44/12</f>
        <v>4.4268269841611447</v>
      </c>
      <c r="BR29" s="21">
        <f>EXP(-LN(2)/2)*BR28+(1-EXP(-LN(2)/2))/(LN(2)/2)*BL29*BO29*VLOOKUP('Données projet'!$B$11,Paramètres!$A$1:$I$89,3,0)*0.475*44/12</f>
        <v>5.1494218861785335</v>
      </c>
      <c r="BS29" s="22">
        <f t="shared" si="9"/>
        <v>12.603054507448178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4.9119354838709679</v>
      </c>
      <c r="BY29" s="12">
        <f>IF('Données projet'!$A$114&gt;35,BY28+BX29-CG28,IF(A29&lt;'Données projet'!$A$114,$BV$205^A29,IF(A29='Données projet'!$A$114,'Données projet'!$B$114,BY28+BX29-CG28)))</f>
        <v>67.698613703175596</v>
      </c>
      <c r="BZ29" s="13">
        <f>BY29*VLOOKUP('Données projet'!$B$12,Paramètres!$A$1:$I$89,3,0)*VLOOKUP('Données projet'!$B$12,Paramètres!$A$1:$I$89,5,0)</f>
        <v>57.029312183555128</v>
      </c>
      <c r="CA29" s="13">
        <f t="shared" si="39"/>
        <v>16.414980675949117</v>
      </c>
      <c r="CB29" s="20">
        <f t="shared" si="10"/>
        <v>127.91547673030321</v>
      </c>
      <c r="CC29" s="59">
        <f t="shared" si="11"/>
        <v>421.24881006363654</v>
      </c>
      <c r="CD29" s="59">
        <f ca="1">AVERAGE(OFFSET($CC$3,0,0,'Données projet'!$E$12+1,1))-AVERAGE(OFFSET($H$3,0,0,'Données projet'!$E$12+1,1))</f>
        <v>287.72859857368331</v>
      </c>
      <c r="CE29" s="59">
        <f t="shared" si="40"/>
        <v>179.60736986885922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120.19999999999996</v>
      </c>
      <c r="CU29" s="17">
        <f>CT29*VLOOKUP('Données projet'!$B$13,Paramètres!$A$1:$I$89,3,0)*VLOOKUP('Données projet'!$B$13,Paramètres!$A$1:$I$89,5,0)</f>
        <v>95.631119999999967</v>
      </c>
      <c r="CV29" s="13">
        <f t="shared" si="41"/>
        <v>25.918481589892234</v>
      </c>
      <c r="CW29" s="20">
        <f t="shared" si="13"/>
        <v>211.69888943572892</v>
      </c>
      <c r="CX29" s="59">
        <f t="shared" si="14"/>
        <v>505.03222276906223</v>
      </c>
      <c r="CY29" s="59">
        <f ca="1">AVERAGE(OFFSET($CX$3,0,0,'Données projet'!$E$13+1,1))-AVERAGE(OFFSET($H$3,0,0,'Données projet'!$E$13+1,1))</f>
        <v>243.33915530322201</v>
      </c>
      <c r="CZ29" s="59">
        <f t="shared" si="42"/>
        <v>247.73814704672577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10.129687013962837</v>
      </c>
      <c r="DH29" s="21">
        <f>EXP(-LN(2)/2)*DH28+(1-EXP(-LN(2)/2))/(LN(2)/2)*DB29*DE29*VLOOKUP('Données projet'!$B$13,Paramètres!$A$1:$I$89,3,0)*0.475*44/12</f>
        <v>5.5982800382893503</v>
      </c>
      <c r="DI29" s="22">
        <f t="shared" si="15"/>
        <v>15.727967052252186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21.61428571428571</v>
      </c>
      <c r="N30" s="13">
        <f>IF('Données projet'!$A$36&gt;35,N29+M30-V29,IF(A30&lt;'Données projet'!$A$36,$K$205^A30,IF(A30='Données projet'!$A$36,'Données projet'!$B$36,N29+M30-V29)))</f>
        <v>260.39571428571423</v>
      </c>
      <c r="O30" s="13">
        <f>N30*VLOOKUP('Données projet'!$B$9,Paramètres!$A$1:$I$89,3,0)*VLOOKUP('Données projet'!$B$9,Paramètres!$A$1:$I$89,5,0)</f>
        <v>145.56120428571427</v>
      </c>
      <c r="P30" s="13">
        <f t="shared" si="33"/>
        <v>37.568096638366988</v>
      </c>
      <c r="Q30" s="20">
        <f t="shared" si="2"/>
        <v>318.95019910944154</v>
      </c>
      <c r="R30" s="59">
        <f t="shared" si="0"/>
        <v>612.28353244277491</v>
      </c>
      <c r="S30" s="59">
        <f ca="1">AVERAGE(OFFSET($R$3,0,0,'Données projet'!$E$9+1,1))-AVERAGE(OFFSET($H$3,0,0,'Données projet'!$E$9+1,1))</f>
        <v>287.413090017863</v>
      </c>
      <c r="T30" s="59">
        <f t="shared" si="34"/>
        <v>258.48456031927117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5.8488466979273328</v>
      </c>
      <c r="AA30" s="21">
        <f>EXP(-LN(2)/25)*AA29+(1-EXP(-LN(2)/25))/(LN(2)/25)*Calculateur!V30*Calculateur!X30*VLOOKUP('Données projet'!$B$9,Paramètres!$A$1:$I$89,3,0)*0.475*44/12</f>
        <v>8.2219823239669001</v>
      </c>
      <c r="AB30" s="21">
        <f>EXP(-LN(2)/2)*AB29+(1-EXP(-LN(2)/2))/(LN(2)/2)*V30*Y30*VLOOKUP('Données projet'!$B$9,Paramètres!$A$1:$I$89,3,0)*0.475*44/12</f>
        <v>1.9421084359726188</v>
      </c>
      <c r="AC30" s="22">
        <f t="shared" si="3"/>
        <v>16.012937457866851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4.0942857142857143</v>
      </c>
      <c r="AI30" s="13">
        <f>IF('Données projet'!$A$62&gt;35,AI29+AH30-AQ29,IF(A30&lt;'Données projet'!$A$62,$AF$205^A30,IF(A30='Données projet'!$A$62,'Données projet'!$B$62,AI29+AH30-AQ29)))</f>
        <v>110.54571428571435</v>
      </c>
      <c r="AJ30" s="13">
        <f>AI30*VLOOKUP('Données projet'!$B$10,Paramètres!$A$1:$I$89,3,0)*VLOOKUP('Données projet'!$B$10,Paramètres!$A$1:$I$89,5,0)</f>
        <v>100.02176228571433</v>
      </c>
      <c r="AK30" s="13">
        <f t="shared" si="35"/>
        <v>26.967182047167292</v>
      </c>
      <c r="AL30" s="20">
        <f t="shared" si="4"/>
        <v>221.17241137976885</v>
      </c>
      <c r="AM30" s="59">
        <f t="shared" si="5"/>
        <v>514.5057447131021</v>
      </c>
      <c r="AN30" s="59">
        <f ca="1">AVERAGE(OFFSET($AM$3,0,0,'Données projet'!$E$10+1,1))-AVERAGE(OFFSET($H$3,0,0,'Données projet'!$E$10+1,1))</f>
        <v>422.10969295064359</v>
      </c>
      <c r="AO30" s="59">
        <f t="shared" si="36"/>
        <v>184.04075143033037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22.6</v>
      </c>
      <c r="BD30" s="12">
        <f>IF('Données projet'!$A$88&gt;35,BD29+BC30-BL29,IF(A30&lt;'Données projet'!$A$88,$BA$205^A30,IF(A30='Données projet'!$A$88,'Données projet'!$B$88,BD29+BC30-BL29)))</f>
        <v>204.2</v>
      </c>
      <c r="BE30" s="13">
        <f>BD30*VLOOKUP('Données projet'!$B$11,Paramètres!$A$1:$I$89,3,0)*VLOOKUP('Données projet'!$B$11,Paramètres!$A$1:$I$89,5,0)</f>
        <v>82.292599999999993</v>
      </c>
      <c r="BF30" s="13">
        <f t="shared" si="37"/>
        <v>22.69681164218413</v>
      </c>
      <c r="BG30" s="20">
        <f t="shared" si="7"/>
        <v>182.85655861013734</v>
      </c>
      <c r="BH30" s="59">
        <f t="shared" si="8"/>
        <v>476.18989194347068</v>
      </c>
      <c r="BI30" s="59">
        <f ca="1">AVERAGE(OFFSET($BH$3,0,0,'Données projet'!$E$11+1,1))-AVERAGE(OFFSET($H$3,0,0,'Données projet'!$E$11+1,1))</f>
        <v>217.61052961346684</v>
      </c>
      <c r="BJ30" s="59">
        <f t="shared" si="38"/>
        <v>180.77145728128608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2.9674518247339461</v>
      </c>
      <c r="BQ30" s="21">
        <f>EXP(-LN(2)/25)*BQ29+(1-EXP(-LN(2)/25))/(LN(2)/25)*Calculateur!BL30*Calculateur!BN30*VLOOKUP('Données projet'!$B$11,Paramètres!$A$1:$I$89,3,0)*0.475*44/12</f>
        <v>4.3057751674825449</v>
      </c>
      <c r="BR30" s="21">
        <f>EXP(-LN(2)/2)*BR29+(1-EXP(-LN(2)/2))/(LN(2)/2)*BL30*BO30*VLOOKUP('Données projet'!$B$11,Paramètres!$A$1:$I$89,3,0)*0.475*44/12</f>
        <v>3.6411911349072632</v>
      </c>
      <c r="BS30" s="22">
        <f t="shared" si="9"/>
        <v>10.914418127123755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4.9119354838709679</v>
      </c>
      <c r="BY30" s="12">
        <f>IF('Données projet'!$A$114&gt;35,BY29+BX30-CG29,IF(A30&lt;'Données projet'!$A$114,$BV$205^A30,IF(A30='Données projet'!$A$114,'Données projet'!$B$114,BY29+BX30-CG29)))</f>
        <v>79.613495050495573</v>
      </c>
      <c r="BZ30" s="13">
        <f>BY30*VLOOKUP('Données projet'!$B$12,Paramètres!$A$1:$I$89,3,0)*VLOOKUP('Données projet'!$B$12,Paramètres!$A$1:$I$89,5,0)</f>
        <v>67.066408230537476</v>
      </c>
      <c r="CA30" s="13">
        <f t="shared" si="39"/>
        <v>18.943138100904928</v>
      </c>
      <c r="CB30" s="20">
        <f t="shared" si="10"/>
        <v>149.79995986059552</v>
      </c>
      <c r="CC30" s="59">
        <f t="shared" si="11"/>
        <v>443.13329319392881</v>
      </c>
      <c r="CD30" s="59">
        <f ca="1">AVERAGE(OFFSET($CC$3,0,0,'Données projet'!$E$12+1,1))-AVERAGE(OFFSET($H$3,0,0,'Données projet'!$E$12+1,1))</f>
        <v>287.72859857368331</v>
      </c>
      <c r="CE30" s="59">
        <f t="shared" si="40"/>
        <v>179.60736986885922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134.39999999999995</v>
      </c>
      <c r="CU30" s="17">
        <f>CT30*VLOOKUP('Données projet'!$B$13,Paramètres!$A$1:$I$89,3,0)*VLOOKUP('Données projet'!$B$13,Paramètres!$A$1:$I$89,5,0)</f>
        <v>106.92863999999996</v>
      </c>
      <c r="CV30" s="13">
        <f t="shared" si="41"/>
        <v>28.606159868782917</v>
      </c>
      <c r="CW30" s="20">
        <f t="shared" si="13"/>
        <v>236.05644310479681</v>
      </c>
      <c r="CX30" s="59">
        <f t="shared" si="14"/>
        <v>529.38977643813018</v>
      </c>
      <c r="CY30" s="59">
        <f ca="1">AVERAGE(OFFSET($CX$3,0,0,'Données projet'!$E$13+1,1))-AVERAGE(OFFSET($H$3,0,0,'Données projet'!$E$13+1,1))</f>
        <v>243.33915530322201</v>
      </c>
      <c r="CZ30" s="59">
        <f t="shared" si="42"/>
        <v>247.73814704672577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9.8526901898689339</v>
      </c>
      <c r="DH30" s="21">
        <f>EXP(-LN(2)/2)*DH29+(1-EXP(-LN(2)/2))/(LN(2)/2)*DB30*DE30*VLOOKUP('Données projet'!$B$13,Paramètres!$A$1:$I$89,3,0)*0.475*44/12</f>
        <v>3.9585817780556849</v>
      </c>
      <c r="DI30" s="22">
        <f t="shared" si="15"/>
        <v>13.811271967924618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282.01</v>
      </c>
      <c r="L31" s="12">
        <f>VLOOKUP(A31,'Données projet'!$A$35:$I$55,9,0)</f>
        <v>21.61428571428571</v>
      </c>
      <c r="M31" s="12">
        <f t="array" ref="M31">INDEX(L:L,MIN(IF(ISNUMBER(L31:L227),ROW(L31:L227),"")))</f>
        <v>21.61428571428571</v>
      </c>
      <c r="N31" s="13">
        <f>IF('Données projet'!$A$36&gt;35,N30+M31-V30,IF(A31&lt;'Données projet'!$A$36,$K$205^A31,IF(A31='Données projet'!$A$36,'Données projet'!$B$36,N30+M31-V30)))</f>
        <v>282.00999999999993</v>
      </c>
      <c r="O31" s="13">
        <f>N31*VLOOKUP('Données projet'!$B$9,Paramètres!$A$1:$I$89,3,0)*VLOOKUP('Données projet'!$B$9,Paramètres!$A$1:$I$89,5,0)</f>
        <v>157.64358999999996</v>
      </c>
      <c r="P31" s="13">
        <f t="shared" si="33"/>
        <v>40.310562469543989</v>
      </c>
      <c r="Q31" s="20">
        <f t="shared" si="2"/>
        <v>344.77014888445569</v>
      </c>
      <c r="R31" s="59">
        <f t="shared" si="0"/>
        <v>638.10348221778895</v>
      </c>
      <c r="S31" s="59">
        <f ca="1">AVERAGE(OFFSET($R$3,0,0,'Données projet'!$E$9+1,1))-AVERAGE(OFFSET($H$3,0,0,'Données projet'!$E$9+1,1))</f>
        <v>287.413090017863</v>
      </c>
      <c r="T31" s="59">
        <f t="shared" si="34"/>
        <v>258.48456031927117</v>
      </c>
      <c r="U31" s="15">
        <f>IF(ISNA(VLOOKUP(A31,'Données projet'!$A$35:$I$55,3,0)),0,VLOOKUP(A31,'Données projet'!$A$35:$I$55,3,0))</f>
        <v>2</v>
      </c>
      <c r="V31" s="15">
        <f>IF(ISNA(VLOOKUP(A31,'Données projet'!$A$35:$I$55,4,0)),0,VLOOKUP(A31,'Données projet'!$A$35:$I$55,4,0))</f>
        <v>67.639999999999986</v>
      </c>
      <c r="W31" s="16">
        <f>IF(ISNA(VLOOKUP(A31,'Données projet'!$A$35:$I$55,5,0)),0%,VLOOKUP(A31,'Données projet'!$A$35:$I$55,5,0)*VLOOKUP('Données projet'!$B$9,Paramètres!$A$1:$I$89,7,0))</f>
        <v>0.13750000000000001</v>
      </c>
      <c r="X31" s="16">
        <f>IF(ISNA(VLOOKUP(A31,'Données projet'!$A$35:$I$55,6,0)),0%,VLOOKUP(A31,'Données projet'!$A$35:$I$55,6,0)*VLOOKUP('Données projet'!$B$9,Paramètres!$A$1:$I$89,7,0))</f>
        <v>0.20350000000000001</v>
      </c>
      <c r="Y31" s="16">
        <f>IF(ISNA(VLOOKUP(A31,'Données projet'!$A$35:$I$55,7,0)),0%,VLOOKUP(A31,'Données projet'!$A$35:$I$55,7,0))</f>
        <v>0.38</v>
      </c>
      <c r="Z31" s="21">
        <f>EXP(-LN(2)/35)*Z30+(1-EXP(-LN(2)/35))/(LN(2)/35)*V31*W31*VLOOKUP('Données projet'!$B$9,Paramètres!$A$1:$I$89,3,0)*0.475*44/12</f>
        <v>12.630935790884042</v>
      </c>
      <c r="AA31" s="21">
        <f>EXP(-LN(2)/25)*AA30+(1-EXP(-LN(2)/25))/(LN(2)/25)*Calculateur!V31*Calculateur!X31*VLOOKUP('Données projet'!$B$9,Paramètres!$A$1:$I$89,3,0)*0.475*44/12</f>
        <v>18.164198491339612</v>
      </c>
      <c r="AB31" s="21">
        <f>EXP(-LN(2)/2)*AB30+(1-EXP(-LN(2)/2))/(LN(2)/2)*V31*Y31*VLOOKUP('Données projet'!$B$9,Paramètres!$A$1:$I$89,3,0)*0.475*44/12</f>
        <v>17.641292237964119</v>
      </c>
      <c r="AC31" s="22">
        <f t="shared" si="3"/>
        <v>48.436426520187773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4.0942857142857143</v>
      </c>
      <c r="AI31" s="13">
        <f>IF('Données projet'!$A$62&gt;35,AI30+AH31-AQ30,IF(A31&lt;'Données projet'!$A$62,$AF$205^A31,IF(A31='Données projet'!$A$62,'Données projet'!$B$62,AI30+AH31-AQ30)))</f>
        <v>114.64000000000007</v>
      </c>
      <c r="AJ31" s="13">
        <f>AI31*VLOOKUP('Données projet'!$B$10,Paramètres!$A$1:$I$89,3,0)*VLOOKUP('Données projet'!$B$10,Paramètres!$A$1:$I$89,5,0)</f>
        <v>103.72627200000005</v>
      </c>
      <c r="AK31" s="13">
        <f t="shared" si="35"/>
        <v>27.847831432539717</v>
      </c>
      <c r="AL31" s="20">
        <f t="shared" si="4"/>
        <v>229.15823014500677</v>
      </c>
      <c r="AM31" s="59">
        <f t="shared" si="5"/>
        <v>522.49156347834014</v>
      </c>
      <c r="AN31" s="59">
        <f ca="1">AVERAGE(OFFSET($AM$3,0,0,'Données projet'!$E$10+1,1))-AVERAGE(OFFSET($H$3,0,0,'Données projet'!$E$10+1,1))</f>
        <v>422.10969295064359</v>
      </c>
      <c r="AO31" s="59">
        <f t="shared" si="36"/>
        <v>184.04075143033037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22.6</v>
      </c>
      <c r="BD31" s="12">
        <f>IF('Données projet'!$A$88&gt;35,BD30+BC31-BL30,IF(A31&lt;'Données projet'!$A$88,$BA$205^A31,IF(A31='Données projet'!$A$88,'Données projet'!$B$88,BD30+BC31-BL30)))</f>
        <v>226.79999999999998</v>
      </c>
      <c r="BE31" s="13">
        <f>BD31*VLOOKUP('Données projet'!$B$11,Paramètres!$A$1:$I$89,3,0)*VLOOKUP('Données projet'!$B$11,Paramètres!$A$1:$I$89,5,0)</f>
        <v>91.400399999999991</v>
      </c>
      <c r="BF31" s="13">
        <f t="shared" si="37"/>
        <v>24.902663651802118</v>
      </c>
      <c r="BG31" s="20">
        <f t="shared" si="7"/>
        <v>202.56116919355532</v>
      </c>
      <c r="BH31" s="59">
        <f t="shared" si="8"/>
        <v>495.89450252688863</v>
      </c>
      <c r="BI31" s="59">
        <f ca="1">AVERAGE(OFFSET($BH$3,0,0,'Données projet'!$E$11+1,1))-AVERAGE(OFFSET($H$3,0,0,'Données projet'!$E$11+1,1))</f>
        <v>217.61052961346684</v>
      </c>
      <c r="BJ31" s="59">
        <f t="shared" si="38"/>
        <v>180.77145728128608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2.9092619044178072</v>
      </c>
      <c r="BQ31" s="21">
        <f>EXP(-LN(2)/25)*BQ30+(1-EXP(-LN(2)/25))/(LN(2)/25)*Calculateur!BL31*Calculateur!BN31*VLOOKUP('Données projet'!$B$11,Paramètres!$A$1:$I$89,3,0)*0.475*44/12</f>
        <v>4.1880335190968596</v>
      </c>
      <c r="BR31" s="21">
        <f>EXP(-LN(2)/2)*BR30+(1-EXP(-LN(2)/2))/(LN(2)/2)*BL31*BO31*VLOOKUP('Données projet'!$B$11,Paramètres!$A$1:$I$89,3,0)*0.475*44/12</f>
        <v>2.5747109430892672</v>
      </c>
      <c r="BS31" s="22">
        <f t="shared" si="9"/>
        <v>9.6720063666039344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4.9119354838709679</v>
      </c>
      <c r="BY31" s="12">
        <f>IF('Données projet'!$A$114&gt;35,BY30+BX31-CG30,IF(A31&lt;'Données projet'!$A$114,$BV$205^A31,IF(A31='Données projet'!$A$114,'Données projet'!$B$114,BY30+BX31-CG30)))</f>
        <v>93.625382374084964</v>
      </c>
      <c r="BZ31" s="13">
        <f>BY31*VLOOKUP('Données projet'!$B$12,Paramètres!$A$1:$I$89,3,0)*VLOOKUP('Données projet'!$B$12,Paramètres!$A$1:$I$89,5,0)</f>
        <v>78.870022111929188</v>
      </c>
      <c r="CA31" s="13">
        <f t="shared" si="39"/>
        <v>21.860670334856028</v>
      </c>
      <c r="CB31" s="20">
        <f t="shared" si="10"/>
        <v>175.43928934481758</v>
      </c>
      <c r="CC31" s="59">
        <f t="shared" si="11"/>
        <v>468.77262267815092</v>
      </c>
      <c r="CD31" s="59">
        <f ca="1">AVERAGE(OFFSET($CC$3,0,0,'Données projet'!$E$12+1,1))-AVERAGE(OFFSET($H$3,0,0,'Données projet'!$E$12+1,1))</f>
        <v>287.72859857368331</v>
      </c>
      <c r="CE31" s="59">
        <f t="shared" si="40"/>
        <v>179.60736986885922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148.59999999999994</v>
      </c>
      <c r="CU31" s="17">
        <f>CT31*VLOOKUP('Données projet'!$B$13,Paramètres!$A$1:$I$89,3,0)*VLOOKUP('Données projet'!$B$13,Paramètres!$A$1:$I$89,5,0)</f>
        <v>118.22615999999996</v>
      </c>
      <c r="CV31" s="13">
        <f t="shared" si="41"/>
        <v>31.260922342884676</v>
      </c>
      <c r="CW31" s="20">
        <f t="shared" si="13"/>
        <v>260.35666841385739</v>
      </c>
      <c r="CX31" s="59">
        <f t="shared" si="14"/>
        <v>553.69000174719076</v>
      </c>
      <c r="CY31" s="59">
        <f ca="1">AVERAGE(OFFSET($CX$3,0,0,'Données projet'!$E$13+1,1))-AVERAGE(OFFSET($H$3,0,0,'Données projet'!$E$13+1,1))</f>
        <v>243.33915530322201</v>
      </c>
      <c r="CZ31" s="59">
        <f t="shared" si="42"/>
        <v>247.73814704672577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9.5832678584965088</v>
      </c>
      <c r="DH31" s="21">
        <f>EXP(-LN(2)/2)*DH30+(1-EXP(-LN(2)/2))/(LN(2)/2)*DB31*DE31*VLOOKUP('Données projet'!$B$13,Paramètres!$A$1:$I$89,3,0)*0.475*44/12</f>
        <v>2.7991400191446756</v>
      </c>
      <c r="DI31" s="22">
        <f t="shared" si="15"/>
        <v>12.382407877641185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23.265714285714289</v>
      </c>
      <c r="N32" s="13">
        <f>IF('Données projet'!$A$36&gt;35,N31+M32-V31,IF(A32&lt;'Données projet'!$A$36,$K$205^A32,IF(A32='Données projet'!$A$36,'Données projet'!$B$36,N31+M32-V31)))</f>
        <v>237.63571428571424</v>
      </c>
      <c r="O32" s="13">
        <f>N32*VLOOKUP('Données projet'!$B$9,Paramètres!$A$1:$I$89,3,0)*VLOOKUP('Données projet'!$B$9,Paramètres!$A$1:$I$89,5,0)</f>
        <v>132.83836428571425</v>
      </c>
      <c r="P32" s="13">
        <f t="shared" si="33"/>
        <v>34.651395262904387</v>
      </c>
      <c r="Q32" s="20">
        <f t="shared" si="2"/>
        <v>291.71133121384406</v>
      </c>
      <c r="R32" s="59">
        <f t="shared" si="0"/>
        <v>585.04466454717738</v>
      </c>
      <c r="S32" s="59">
        <f ca="1">AVERAGE(OFFSET($R$3,0,0,'Données projet'!$E$9+1,1))-AVERAGE(OFFSET($H$3,0,0,'Données projet'!$E$9+1,1))</f>
        <v>287.413090017863</v>
      </c>
      <c r="T32" s="59">
        <f t="shared" si="34"/>
        <v>258.48456031927117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12.38325084413492</v>
      </c>
      <c r="AA32" s="21">
        <f>EXP(-LN(2)/25)*AA31+(1-EXP(-LN(2)/25))/(LN(2)/25)*Calculateur!V32*Calculateur!X32*VLOOKUP('Données projet'!$B$9,Paramètres!$A$1:$I$89,3,0)*0.475*44/12</f>
        <v>17.667497528380245</v>
      </c>
      <c r="AB32" s="21">
        <f>EXP(-LN(2)/2)*AB31+(1-EXP(-LN(2)/2))/(LN(2)/2)*V32*Y32*VLOOKUP('Données projet'!$B$9,Paramètres!$A$1:$I$89,3,0)*0.475*44/12</f>
        <v>12.474277370358035</v>
      </c>
      <c r="AC32" s="22">
        <f t="shared" si="3"/>
        <v>42.525025742873197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4.0942857142857143</v>
      </c>
      <c r="AI32" s="13">
        <f>IF('Données projet'!$A$62&gt;35,AI31+AH32-AQ31,IF(A32&lt;'Données projet'!$A$62,$AF$205^A32,IF(A32='Données projet'!$A$62,'Données projet'!$B$62,AI31+AH32-AQ31)))</f>
        <v>118.73428571428579</v>
      </c>
      <c r="AJ32" s="13">
        <f>AI32*VLOOKUP('Données projet'!$B$10,Paramètres!$A$1:$I$89,3,0)*VLOOKUP('Données projet'!$B$10,Paramètres!$A$1:$I$89,5,0)</f>
        <v>107.43078171428577</v>
      </c>
      <c r="AK32" s="13">
        <f t="shared" si="35"/>
        <v>28.724826611108305</v>
      </c>
      <c r="AL32" s="20">
        <f t="shared" si="4"/>
        <v>237.13768450006134</v>
      </c>
      <c r="AM32" s="59">
        <f t="shared" si="5"/>
        <v>530.47101783339463</v>
      </c>
      <c r="AN32" s="59">
        <f ca="1">AVERAGE(OFFSET($AM$3,0,0,'Données projet'!$E$10+1,1))-AVERAGE(OFFSET($H$3,0,0,'Données projet'!$E$10+1,1))</f>
        <v>422.10969295064359</v>
      </c>
      <c r="AO32" s="59">
        <f t="shared" si="36"/>
        <v>184.04075143033037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22.6</v>
      </c>
      <c r="BD32" s="12">
        <f>IF('Données projet'!$A$88&gt;35,BD31+BC32-BL31,IF(A32&lt;'Données projet'!$A$88,$BA$205^A32,IF(A32='Données projet'!$A$88,'Données projet'!$B$88,BD31+BC32-BL31)))</f>
        <v>249.39999999999998</v>
      </c>
      <c r="BE32" s="13">
        <f>BD32*VLOOKUP('Données projet'!$B$11,Paramètres!$A$1:$I$89,3,0)*VLOOKUP('Données projet'!$B$11,Paramètres!$A$1:$I$89,5,0)</f>
        <v>100.50819999999999</v>
      </c>
      <c r="BF32" s="13">
        <f t="shared" si="37"/>
        <v>27.083033448335232</v>
      </c>
      <c r="BG32" s="20">
        <f t="shared" si="7"/>
        <v>222.22139825585046</v>
      </c>
      <c r="BH32" s="59">
        <f t="shared" si="8"/>
        <v>515.5547315891838</v>
      </c>
      <c r="BI32" s="59">
        <f ca="1">AVERAGE(OFFSET($BH$3,0,0,'Données projet'!$E$11+1,1))-AVERAGE(OFFSET($H$3,0,0,'Données projet'!$E$11+1,1))</f>
        <v>217.61052961346684</v>
      </c>
      <c r="BJ32" s="59">
        <f t="shared" si="38"/>
        <v>180.77145728128608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2.8522130529467207</v>
      </c>
      <c r="BQ32" s="21">
        <f>EXP(-LN(2)/25)*BQ31+(1-EXP(-LN(2)/25))/(LN(2)/25)*Calculateur!BL32*Calculateur!BN32*VLOOKUP('Données projet'!$B$11,Paramètres!$A$1:$I$89,3,0)*0.475*44/12</f>
        <v>4.0735115222780447</v>
      </c>
      <c r="BR32" s="21">
        <f>EXP(-LN(2)/2)*BR31+(1-EXP(-LN(2)/2))/(LN(2)/2)*BL32*BO32*VLOOKUP('Données projet'!$B$11,Paramètres!$A$1:$I$89,3,0)*0.475*44/12</f>
        <v>1.820595567453632</v>
      </c>
      <c r="BS32" s="22">
        <f t="shared" si="9"/>
        <v>8.7463201426783979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4.9119354838709679</v>
      </c>
      <c r="BY32" s="12">
        <f>IF('Données projet'!$A$114&gt;35,BY31+BX32-CG31,IF(A32&lt;'Données projet'!$A$114,$BV$205^A32,IF(A32='Données projet'!$A$114,'Données projet'!$B$114,BY31+BX32-CG31)))</f>
        <v>110.1033464129905</v>
      </c>
      <c r="BZ32" s="13">
        <f>BY32*VLOOKUP('Données projet'!$B$12,Paramètres!$A$1:$I$89,3,0)*VLOOKUP('Données projet'!$B$12,Paramètres!$A$1:$I$89,5,0)</f>
        <v>92.751059018303209</v>
      </c>
      <c r="CA32" s="13">
        <f t="shared" si="39"/>
        <v>25.22754703807103</v>
      </c>
      <c r="CB32" s="20">
        <f t="shared" si="10"/>
        <v>205.47940554818516</v>
      </c>
      <c r="CC32" s="59">
        <f t="shared" si="11"/>
        <v>498.8127388815185</v>
      </c>
      <c r="CD32" s="59">
        <f ca="1">AVERAGE(OFFSET($CC$3,0,0,'Données projet'!$E$12+1,1))-AVERAGE(OFFSET($H$3,0,0,'Données projet'!$E$12+1,1))</f>
        <v>287.72859857368331</v>
      </c>
      <c r="CE32" s="59">
        <f t="shared" si="40"/>
        <v>179.60736986885922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162.79999999999993</v>
      </c>
      <c r="CU32" s="17">
        <f>CT32*VLOOKUP('Données projet'!$B$13,Paramètres!$A$1:$I$89,3,0)*VLOOKUP('Données projet'!$B$13,Paramètres!$A$1:$I$89,5,0)</f>
        <v>129.52367999999996</v>
      </c>
      <c r="CV32" s="13">
        <f t="shared" si="41"/>
        <v>33.886272262901727</v>
      </c>
      <c r="CW32" s="20">
        <f t="shared" si="13"/>
        <v>284.60566685788712</v>
      </c>
      <c r="CX32" s="59">
        <f t="shared" si="14"/>
        <v>577.93900019122043</v>
      </c>
      <c r="CY32" s="59">
        <f ca="1">AVERAGE(OFFSET($CX$3,0,0,'Données projet'!$E$13+1,1))-AVERAGE(OFFSET($H$3,0,0,'Données projet'!$E$13+1,1))</f>
        <v>243.33915530322201</v>
      </c>
      <c r="CZ32" s="59">
        <f t="shared" si="42"/>
        <v>247.73814704672577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9.321212894943768</v>
      </c>
      <c r="DH32" s="21">
        <f>EXP(-LN(2)/2)*DH31+(1-EXP(-LN(2)/2))/(LN(2)/2)*DB32*DE32*VLOOKUP('Données projet'!$B$13,Paramètres!$A$1:$I$89,3,0)*0.475*44/12</f>
        <v>1.9792908890278427</v>
      </c>
      <c r="DI32" s="22">
        <f t="shared" si="15"/>
        <v>11.30050378397161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23.265714285714289</v>
      </c>
      <c r="N33" s="13">
        <f>IF('Données projet'!$A$36&gt;35,N32+M33-V32,IF(A33&lt;'Données projet'!$A$36,$K$205^A33,IF(A33='Données projet'!$A$36,'Données projet'!$B$36,N32+M33-V32)))</f>
        <v>260.90142857142854</v>
      </c>
      <c r="O33" s="13">
        <f>N33*VLOOKUP('Données projet'!$B$9,Paramètres!$A$1:$I$89,3,0)*VLOOKUP('Données projet'!$B$9,Paramètres!$A$1:$I$89,5,0)</f>
        <v>145.84389857142855</v>
      </c>
      <c r="P33" s="13">
        <f t="shared" si="33"/>
        <v>37.632557667341459</v>
      </c>
      <c r="Q33" s="20">
        <f t="shared" si="2"/>
        <v>319.55482794919106</v>
      </c>
      <c r="R33" s="59">
        <f t="shared" si="0"/>
        <v>612.88816128252438</v>
      </c>
      <c r="S33" s="59">
        <f ca="1">AVERAGE(OFFSET($R$3,0,0,'Données projet'!$E$9+1,1))-AVERAGE(OFFSET($H$3,0,0,'Données projet'!$E$9+1,1))</f>
        <v>287.413090017863</v>
      </c>
      <c r="T33" s="59">
        <f t="shared" si="34"/>
        <v>258.48456031927117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12.14042284811865</v>
      </c>
      <c r="AA33" s="21">
        <f>EXP(-LN(2)/25)*AA32+(1-EXP(-LN(2)/25))/(LN(2)/25)*Calculateur!V33*Calculateur!X33*VLOOKUP('Données projet'!$B$9,Paramètres!$A$1:$I$89,3,0)*0.475*44/12</f>
        <v>17.184378879373373</v>
      </c>
      <c r="AB33" s="21">
        <f>EXP(-LN(2)/2)*AB32+(1-EXP(-LN(2)/2))/(LN(2)/2)*V33*Y33*VLOOKUP('Données projet'!$B$9,Paramètres!$A$1:$I$89,3,0)*0.475*44/12</f>
        <v>8.8206461189820615</v>
      </c>
      <c r="AC33" s="22">
        <f t="shared" si="3"/>
        <v>38.145447846474084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4.0942857142857143</v>
      </c>
      <c r="AI33" s="13">
        <f>IF('Données projet'!$A$62&gt;35,AI32+AH33-AQ32,IF(A33&lt;'Données projet'!$A$62,$AF$205^A33,IF(A33='Données projet'!$A$62,'Données projet'!$B$62,AI32+AH33-AQ32)))</f>
        <v>122.82857142857151</v>
      </c>
      <c r="AJ33" s="13">
        <f>AI33*VLOOKUP('Données projet'!$B$10,Paramètres!$A$1:$I$89,3,0)*VLOOKUP('Données projet'!$B$10,Paramètres!$A$1:$I$89,5,0)</f>
        <v>111.13529142857149</v>
      </c>
      <c r="AK33" s="13">
        <f t="shared" si="35"/>
        <v>29.598308031859261</v>
      </c>
      <c r="AL33" s="20">
        <f t="shared" si="4"/>
        <v>245.11101906025024</v>
      </c>
      <c r="AM33" s="59">
        <f t="shared" si="5"/>
        <v>538.44435239358359</v>
      </c>
      <c r="AN33" s="59">
        <f ca="1">AVERAGE(OFFSET($AM$3,0,0,'Données projet'!$E$10+1,1))-AVERAGE(OFFSET($H$3,0,0,'Données projet'!$E$10+1,1))</f>
        <v>422.10969295064359</v>
      </c>
      <c r="AO33" s="59">
        <f t="shared" si="36"/>
        <v>184.04075143033037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272</v>
      </c>
      <c r="BB33" s="12">
        <f>VLOOKUP(A33,'Données projet'!$A$87:$I$107,9,0)</f>
        <v>22.6</v>
      </c>
      <c r="BC33" s="12">
        <f t="array" ref="BC33">INDEX(BB:BB,MIN(IF(ISNUMBER(BB33:BB229),ROW(BB33:BB229),"")))</f>
        <v>22.6</v>
      </c>
      <c r="BD33" s="12">
        <f>IF('Données projet'!$A$88&gt;35,BD32+BC33-BL32,IF(A33&lt;'Données projet'!$A$88,$BA$205^A33,IF(A33='Données projet'!$A$88,'Données projet'!$B$88,BD32+BC33-BL32)))</f>
        <v>272</v>
      </c>
      <c r="BE33" s="13">
        <f>BD33*VLOOKUP('Données projet'!$B$11,Paramètres!$A$1:$I$89,3,0)*VLOOKUP('Données projet'!$B$11,Paramètres!$A$1:$I$89,5,0)</f>
        <v>109.616</v>
      </c>
      <c r="BF33" s="13">
        <f t="shared" si="37"/>
        <v>29.24049277198435</v>
      </c>
      <c r="BG33" s="20">
        <f t="shared" si="7"/>
        <v>241.84172491120603</v>
      </c>
      <c r="BH33" s="59">
        <f t="shared" si="8"/>
        <v>535.17505824453929</v>
      </c>
      <c r="BI33" s="59">
        <f ca="1">AVERAGE(OFFSET($BH$3,0,0,'Données projet'!$E$11+1,1))-AVERAGE(OFFSET($H$3,0,0,'Données projet'!$E$11+1,1))</f>
        <v>217.61052961346684</v>
      </c>
      <c r="BJ33" s="59">
        <f t="shared" si="38"/>
        <v>180.77145728128608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56</v>
      </c>
      <c r="BM33" s="16">
        <f>IF(ISNA(VLOOKUP(A33,'Données projet'!$A$87:$I$107,5,0)),0%,VLOOKUP(A33,'Données projet'!$A$87:$I$107,5,0)*VLOOKUP('Données projet'!$B$11,Paramètres!$A$1:$I$89,7,0))</f>
        <v>0.13750000000000001</v>
      </c>
      <c r="BN33" s="16">
        <f>IF(ISNA(VLOOKUP(A33,'Données projet'!$A$87:$I$107,6,0)),0%,VLOOKUP(A33,'Données projet'!$A$87:$I$107,6,0)*VLOOKUP('Données projet'!$B$11,Paramètres!$A$1:$I$89,7,0))</f>
        <v>0.20350000000000001</v>
      </c>
      <c r="BO33" s="16">
        <f>IF(ISNA(VLOOKUP(A33,'Données projet'!$A$87:$I$107,7,0)),0%,VLOOKUP(A33,'Données projet'!$A$87:$I$107,7,0))</f>
        <v>0.38</v>
      </c>
      <c r="BP33" s="21">
        <f>EXP(-LN(2)/35)*BP32+(1-EXP(-LN(2)/35))/(LN(2)/35)*BL33*BM33*VLOOKUP('Données projet'!$B$11,Paramètres!$A$1:$I$89,3,0)*0.475*44/12</f>
        <v>6.9127450563310564</v>
      </c>
      <c r="BQ33" s="21">
        <f>EXP(-LN(2)/25)*BQ32+(1-EXP(-LN(2)/25))/(LN(2)/25)*Calculateur!BL33*Calculateur!BN33*VLOOKUP('Données projet'!$B$11,Paramètres!$A$1:$I$89,3,0)*0.475*44/12</f>
        <v>10.030497176325024</v>
      </c>
      <c r="BR33" s="21">
        <f>EXP(-LN(2)/2)*BR32+(1-EXP(-LN(2)/2))/(LN(2)/2)*BL33*BO33*VLOOKUP('Données projet'!$B$11,Paramètres!$A$1:$I$89,3,0)*0.475*44/12</f>
        <v>10.997198497964003</v>
      </c>
      <c r="BS33" s="22">
        <f t="shared" si="9"/>
        <v>27.940440730620086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4.9119354838709679</v>
      </c>
      <c r="BY33" s="12">
        <f>IF('Données projet'!$A$114&gt;35,BY32+BX33-CG32,IF(A33&lt;'Données projet'!$A$114,$BV$205^A33,IF(A33='Données projet'!$A$114,'Données projet'!$B$114,BY32+BX33-CG32)))</f>
        <v>129.48141394928501</v>
      </c>
      <c r="BZ33" s="13">
        <f>BY33*VLOOKUP('Données projet'!$B$12,Paramètres!$A$1:$I$89,3,0)*VLOOKUP('Données projet'!$B$12,Paramètres!$A$1:$I$89,5,0)</f>
        <v>109.0751431108777</v>
      </c>
      <c r="CA33" s="13">
        <f t="shared" si="39"/>
        <v>29.112974113301696</v>
      </c>
      <c r="CB33" s="20">
        <f t="shared" si="10"/>
        <v>240.67763749877909</v>
      </c>
      <c r="CC33" s="59">
        <f t="shared" si="11"/>
        <v>534.01097083211243</v>
      </c>
      <c r="CD33" s="59">
        <f ca="1">AVERAGE(OFFSET($CC$3,0,0,'Données projet'!$E$12+1,1))-AVERAGE(OFFSET($H$3,0,0,'Données projet'!$E$12+1,1))</f>
        <v>287.72859857368331</v>
      </c>
      <c r="CE33" s="59">
        <f t="shared" si="40"/>
        <v>179.60736986885922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177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176.99999999999991</v>
      </c>
      <c r="CU33" s="17">
        <f>CT33*VLOOKUP('Données projet'!$B$13,Paramètres!$A$1:$I$89,3,0)*VLOOKUP('Données projet'!$B$13,Paramètres!$A$1:$I$89,5,0)</f>
        <v>140.82119999999992</v>
      </c>
      <c r="CV33" s="13">
        <f t="shared" si="41"/>
        <v>36.485066799987997</v>
      </c>
      <c r="CW33" s="20">
        <f t="shared" si="13"/>
        <v>308.80841467664561</v>
      </c>
      <c r="CX33" s="59">
        <f t="shared" si="14"/>
        <v>602.14174800997898</v>
      </c>
      <c r="CY33" s="59">
        <f ca="1">AVERAGE(OFFSET($CX$3,0,0,'Données projet'!$E$13+1,1))-AVERAGE(OFFSET($H$3,0,0,'Données projet'!$E$13+1,1))</f>
        <v>243.33915530322201</v>
      </c>
      <c r="CZ33" s="59">
        <f t="shared" si="42"/>
        <v>247.73814704672577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35</v>
      </c>
      <c r="DC33" s="16">
        <f>IF(ISNA(VLOOKUP(A33,'Données projet'!$A$139:$I$159,5,0)),0%,VLOOKUP(A33,'Données projet'!$A$139:$I$159,5,0)*VLOOKUP('Données projet'!$B$13,Paramètres!$A$1:$I$89,7,0))</f>
        <v>0.13250000000000001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4.078737984972876</v>
      </c>
      <c r="DG33" s="21">
        <f>EXP(-LN(2)/25)*DG32+(1-EXP(-LN(2)/25))/(LN(2)/25)*Calculateur!DB33*Calculateur!DD33*VLOOKUP('Données projet'!$B$13,Paramètres!$A$1:$I$89,3,0)*0.475*44/12</f>
        <v>13.129002277555273</v>
      </c>
      <c r="DH33" s="21">
        <f>EXP(-LN(2)/2)*DH32+(1-EXP(-LN(2)/2))/(LN(2)/2)*DB33*DE33*VLOOKUP('Données projet'!$B$13,Paramètres!$A$1:$I$89,3,0)*0.475*44/12</f>
        <v>7.967932625597749</v>
      </c>
      <c r="DI33" s="22">
        <f t="shared" si="15"/>
        <v>25.175672888125895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23.265714285714289</v>
      </c>
      <c r="N34" s="13">
        <f>IF('Données projet'!$A$36&gt;35,N33+M34-V33,IF(A34&lt;'Données projet'!$A$36,$K$205^A34,IF(A34='Données projet'!$A$36,'Données projet'!$B$36,N33+M34-V33)))</f>
        <v>284.16714285714284</v>
      </c>
      <c r="O34" s="13">
        <f>N34*VLOOKUP('Données projet'!$B$9,Paramètres!$A$1:$I$89,3,0)*VLOOKUP('Données projet'!$B$9,Paramètres!$A$1:$I$89,5,0)</f>
        <v>158.84943285714286</v>
      </c>
      <c r="P34" s="13">
        <f t="shared" si="33"/>
        <v>40.582892872917235</v>
      </c>
      <c r="Q34" s="20">
        <f t="shared" si="2"/>
        <v>347.34463397985468</v>
      </c>
      <c r="R34" s="59">
        <f t="shared" si="0"/>
        <v>640.67796731318799</v>
      </c>
      <c r="S34" s="59">
        <f ca="1">AVERAGE(OFFSET($R$3,0,0,'Données projet'!$E$9+1,1))-AVERAGE(OFFSET($H$3,0,0,'Données projet'!$E$9+1,1))</f>
        <v>287.413090017863</v>
      </c>
      <c r="T34" s="59">
        <f t="shared" si="34"/>
        <v>258.48456031927117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11.902356560993805</v>
      </c>
      <c r="AA34" s="21">
        <f>EXP(-LN(2)/25)*AA33+(1-EXP(-LN(2)/25))/(LN(2)/25)*Calculateur!V34*Calculateur!X34*VLOOKUP('Données projet'!$B$9,Paramètres!$A$1:$I$89,3,0)*0.475*44/12</f>
        <v>16.714471135229697</v>
      </c>
      <c r="AB34" s="21">
        <f>EXP(-LN(2)/2)*AB33+(1-EXP(-LN(2)/2))/(LN(2)/2)*V34*Y34*VLOOKUP('Données projet'!$B$9,Paramètres!$A$1:$I$89,3,0)*0.475*44/12</f>
        <v>6.2371386851790183</v>
      </c>
      <c r="AC34" s="22">
        <f t="shared" si="3"/>
        <v>34.853966381402522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4.0942857142857143</v>
      </c>
      <c r="AI34" s="13">
        <f>IF('Données projet'!$A$62&gt;35,AI33+AH34-AQ33,IF(A34&lt;'Données projet'!$A$62,$AF$205^A34,IF(A34='Données projet'!$A$62,'Données projet'!$B$62,AI33+AH34-AQ33)))</f>
        <v>126.92285714285723</v>
      </c>
      <c r="AJ34" s="13">
        <f>AI34*VLOOKUP('Données projet'!$B$10,Paramètres!$A$1:$I$89,3,0)*VLOOKUP('Données projet'!$B$10,Paramètres!$A$1:$I$89,5,0)</f>
        <v>114.83980114285721</v>
      </c>
      <c r="AK34" s="13">
        <f t="shared" si="35"/>
        <v>30.468406249196239</v>
      </c>
      <c r="AL34" s="20">
        <f t="shared" si="4"/>
        <v>253.07846120782642</v>
      </c>
      <c r="AM34" s="59">
        <f t="shared" si="5"/>
        <v>546.41179454115968</v>
      </c>
      <c r="AN34" s="59">
        <f ca="1">AVERAGE(OFFSET($AM$3,0,0,'Données projet'!$E$10+1,1))-AVERAGE(OFFSET($H$3,0,0,'Données projet'!$E$10+1,1))</f>
        <v>422.10969295064359</v>
      </c>
      <c r="AO34" s="59">
        <f t="shared" si="36"/>
        <v>184.04075143033037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23.4</v>
      </c>
      <c r="BD34" s="12">
        <f>IF('Données projet'!$A$88&gt;35,BD33+BC34-BL33,IF(A34&lt;'Données projet'!$A$88,$BA$205^A34,IF(A34='Données projet'!$A$88,'Données projet'!$B$88,BD33+BC34-BL33)))</f>
        <v>239.39999999999998</v>
      </c>
      <c r="BE34" s="13">
        <f>BD34*VLOOKUP('Données projet'!$B$11,Paramètres!$A$1:$I$89,3,0)*VLOOKUP('Données projet'!$B$11,Paramètres!$A$1:$I$89,5,0)</f>
        <v>96.478200000000001</v>
      </c>
      <c r="BF34" s="13">
        <f t="shared" si="37"/>
        <v>26.121234565468765</v>
      </c>
      <c r="BG34" s="20">
        <f t="shared" si="7"/>
        <v>213.52734853485811</v>
      </c>
      <c r="BH34" s="59">
        <f t="shared" si="8"/>
        <v>506.86068186819142</v>
      </c>
      <c r="BI34" s="59">
        <f ca="1">AVERAGE(OFFSET($BH$3,0,0,'Données projet'!$E$11+1,1))-AVERAGE(OFFSET($H$3,0,0,'Données projet'!$E$11+1,1))</f>
        <v>217.61052961346684</v>
      </c>
      <c r="BJ34" s="59">
        <f t="shared" si="38"/>
        <v>180.77145728128608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6.7771903421345581</v>
      </c>
      <c r="BQ34" s="21">
        <f>EXP(-LN(2)/25)*BQ33+(1-EXP(-LN(2)/25))/(LN(2)/25)*Calculateur!BL34*Calculateur!BN34*VLOOKUP('Données projet'!$B$11,Paramètres!$A$1:$I$89,3,0)*0.475*44/12</f>
        <v>9.7562127035574946</v>
      </c>
      <c r="BR34" s="21">
        <f>EXP(-LN(2)/2)*BR33+(1-EXP(-LN(2)/2))/(LN(2)/2)*BL34*BO34*VLOOKUP('Données projet'!$B$11,Paramètres!$A$1:$I$89,3,0)*0.475*44/12</f>
        <v>7.7761936319648619</v>
      </c>
      <c r="BS34" s="22">
        <f t="shared" si="9"/>
        <v>24.309596677656916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>
        <f>VLOOKUP(A34,'Données projet'!$A$113:$I$133,2,0)</f>
        <v>152.27000000000001</v>
      </c>
      <c r="BW34" s="12">
        <f>VLOOKUP(A34,'Données projet'!$A$113:$I$133,9,0)</f>
        <v>4.9119354838709679</v>
      </c>
      <c r="BX34" s="12">
        <f t="array" ref="BX34">INDEX(BW:BW,MIN(IF(ISNUMBER(BW34:BW230),ROW(BW34:BW230),"")))</f>
        <v>4.9119354838709679</v>
      </c>
      <c r="BY34" s="12">
        <f>IF('Données projet'!$A$114&gt;35,BY33+BX34-CG33,IF(A34&lt;'Données projet'!$A$114,$BV$205^A34,IF(A34='Données projet'!$A$114,'Données projet'!$B$114,BY33+BX34-CG33)))</f>
        <v>152.27000000000001</v>
      </c>
      <c r="BZ34" s="13">
        <f>BY34*VLOOKUP('Données projet'!$B$12,Paramètres!$A$1:$I$89,3,0)*VLOOKUP('Données projet'!$B$12,Paramètres!$A$1:$I$89,5,0)</f>
        <v>128.27224800000002</v>
      </c>
      <c r="CA34" s="13">
        <f t="shared" si="39"/>
        <v>33.596816228018859</v>
      </c>
      <c r="CB34" s="20">
        <f t="shared" si="10"/>
        <v>281.92195353046623</v>
      </c>
      <c r="CC34" s="59">
        <f t="shared" si="11"/>
        <v>575.25528686379948</v>
      </c>
      <c r="CD34" s="59">
        <f ca="1">AVERAGE(OFFSET($CC$3,0,0,'Données projet'!$E$12+1,1))-AVERAGE(OFFSET($H$3,0,0,'Données projet'!$E$12+1,1))</f>
        <v>287.72859857368331</v>
      </c>
      <c r="CE34" s="59">
        <f t="shared" si="40"/>
        <v>179.60736986885922</v>
      </c>
      <c r="CF34" s="15">
        <f>IF(ISNA(VLOOKUP(A34,'Données projet'!$A$113:$I$133,3,0)),0,VLOOKUP(A34,'Données projet'!$A$113:$I$133,3,0))</f>
        <v>1</v>
      </c>
      <c r="CG34" s="15">
        <f>IF(ISNA(VLOOKUP(A34,'Données projet'!$A$113:$I$133,4,0)),0,VLOOKUP(A34,'Données projet'!$A$113:$I$133,4,0))</f>
        <v>65.77000000000001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0.34400000000000003</v>
      </c>
      <c r="CJ34" s="16">
        <f>IF(ISNA(VLOOKUP(A34,'Données projet'!$A$113:$I$133,7,0)),0%,VLOOKUP(A34,'Données projet'!$A$113:$I$133,7,0))</f>
        <v>0.2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20.986421678291009</v>
      </c>
      <c r="CM34" s="21">
        <f>EXP(-LN(2)/2)*CM33+(1-EXP(-LN(2)/2))/(LN(2)/2)*CG34*CJ34*VLOOKUP('Données projet'!$B$12,Paramètres!$A$1:$I$89,3,0)*0.475*44/12</f>
        <v>10.45515531644752</v>
      </c>
      <c r="CN34" s="22">
        <f t="shared" si="12"/>
        <v>31.441576994738529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12.8</v>
      </c>
      <c r="CT34" s="12">
        <f>IF('Données projet'!$A$140&gt;35,CT33+CS34-DB33,IF(A34&lt;'Données projet'!$A$140,$CQ$205^A34,IF(A34='Données projet'!$A$140,'Données projet'!$B$140,CT33+CS34-DB33)))</f>
        <v>154.79999999999993</v>
      </c>
      <c r="CU34" s="17">
        <f>CT34*VLOOKUP('Données projet'!$B$13,Paramètres!$A$1:$I$89,3,0)*VLOOKUP('Données projet'!$B$13,Paramètres!$A$1:$I$89,5,0)</f>
        <v>123.15887999999995</v>
      </c>
      <c r="CV34" s="13">
        <f t="shared" si="41"/>
        <v>32.410638331814873</v>
      </c>
      <c r="CW34" s="20">
        <f t="shared" si="13"/>
        <v>270.95024442791083</v>
      </c>
      <c r="CX34" s="59">
        <f t="shared" si="14"/>
        <v>564.28357776124415</v>
      </c>
      <c r="CY34" s="59">
        <f ca="1">AVERAGE(OFFSET($CX$3,0,0,'Données projet'!$E$13+1,1))-AVERAGE(OFFSET($H$3,0,0,'Données projet'!$E$13+1,1))</f>
        <v>243.33915530322201</v>
      </c>
      <c r="CZ34" s="59">
        <f t="shared" si="42"/>
        <v>247.73814704672577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3.9987564208720805</v>
      </c>
      <c r="DG34" s="21">
        <f>EXP(-LN(2)/25)*DG33+(1-EXP(-LN(2)/25))/(LN(2)/25)*Calculateur!DB34*Calculateur!DD34*VLOOKUP('Données projet'!$B$13,Paramètres!$A$1:$I$89,3,0)*0.475*44/12</f>
        <v>12.7699890198513</v>
      </c>
      <c r="DH34" s="21">
        <f>EXP(-LN(2)/2)*DH33+(1-EXP(-LN(2)/2))/(LN(2)/2)*DB34*DE34*VLOOKUP('Données projet'!$B$13,Paramètres!$A$1:$I$89,3,0)*0.475*44/12</f>
        <v>5.6341791915977009</v>
      </c>
      <c r="DI34" s="22">
        <f t="shared" si="15"/>
        <v>22.402924632321081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23.265714285714289</v>
      </c>
      <c r="N35" s="13">
        <f>IF('Données projet'!$A$36&gt;35,N34+M35-V34,IF(A35&lt;'Données projet'!$A$36,$K$205^A35,IF(A35='Données projet'!$A$36,'Données projet'!$B$36,N34+M35-V34)))</f>
        <v>307.43285714285713</v>
      </c>
      <c r="O35" s="13">
        <f>N35*VLOOKUP('Données projet'!$B$9,Paramètres!$A$1:$I$89,3,0)*VLOOKUP('Données projet'!$B$9,Paramètres!$A$1:$I$89,5,0)</f>
        <v>171.85496714285716</v>
      </c>
      <c r="P35" s="13">
        <f t="shared" si="33"/>
        <v>43.505211750246715</v>
      </c>
      <c r="Q35" s="20">
        <f t="shared" ref="Q35:Q66" si="53">(O35+P35)*0.475*44/12</f>
        <v>375.08564490548923</v>
      </c>
      <c r="R35" s="59">
        <f t="shared" si="0"/>
        <v>668.41897823882255</v>
      </c>
      <c r="S35" s="59">
        <f ca="1">AVERAGE(OFFSET($R$3,0,0,'Données projet'!$E$9+1,1))-AVERAGE(OFFSET($H$3,0,0,'Données projet'!$E$9+1,1))</f>
        <v>287.413090017863</v>
      </c>
      <c r="T35" s="59">
        <f t="shared" si="34"/>
        <v>258.48456031927117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11.668958608553382</v>
      </c>
      <c r="AA35" s="21">
        <f>EXP(-LN(2)/25)*AA34+(1-EXP(-LN(2)/25))/(LN(2)/25)*Calculateur!V35*Calculateur!X35*VLOOKUP('Données projet'!$B$9,Paramètres!$A$1:$I$89,3,0)*0.475*44/12</f>
        <v>16.257413043061007</v>
      </c>
      <c r="AB35" s="21">
        <f>EXP(-LN(2)/2)*AB34+(1-EXP(-LN(2)/2))/(LN(2)/2)*V35*Y35*VLOOKUP('Données projet'!$B$9,Paramètres!$A$1:$I$89,3,0)*0.475*44/12</f>
        <v>4.4103230594910308</v>
      </c>
      <c r="AC35" s="22">
        <f t="shared" si="3"/>
        <v>32.336694711105423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4.0942857142857143</v>
      </c>
      <c r="AI35" s="13">
        <f>IF('Données projet'!$A$62&gt;35,AI34+AH35-AQ34,IF(A35&lt;'Données projet'!$A$62,$AF$205^A35,IF(A35='Données projet'!$A$62,'Données projet'!$B$62,AI34+AH35-AQ34)))</f>
        <v>131.01714285714294</v>
      </c>
      <c r="AJ35" s="13">
        <f>AI35*VLOOKUP('Données projet'!$B$10,Paramètres!$A$1:$I$89,3,0)*VLOOKUP('Données projet'!$B$10,Paramètres!$A$1:$I$89,5,0)</f>
        <v>118.54431085714293</v>
      </c>
      <c r="AK35" s="13">
        <f t="shared" si="35"/>
        <v>31.335242916471387</v>
      </c>
      <c r="AL35" s="20">
        <f t="shared" si="4"/>
        <v>261.04022282237821</v>
      </c>
      <c r="AM35" s="59">
        <f t="shared" si="5"/>
        <v>554.37355615571153</v>
      </c>
      <c r="AN35" s="59">
        <f ca="1">AVERAGE(OFFSET($AM$3,0,0,'Données projet'!$E$10+1,1))-AVERAGE(OFFSET($H$3,0,0,'Données projet'!$E$10+1,1))</f>
        <v>422.10969295064359</v>
      </c>
      <c r="AO35" s="59">
        <f t="shared" si="36"/>
        <v>184.04075143033037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23.4</v>
      </c>
      <c r="BD35" s="12">
        <f>IF('Données projet'!$A$88&gt;35,BD34+BC35-BL34,IF(A35&lt;'Données projet'!$A$88,$BA$205^A35,IF(A35='Données projet'!$A$88,'Données projet'!$B$88,BD34+BC35-BL34)))</f>
        <v>262.79999999999995</v>
      </c>
      <c r="BE35" s="13">
        <f>BD35*VLOOKUP('Données projet'!$B$11,Paramètres!$A$1:$I$89,3,0)*VLOOKUP('Données projet'!$B$11,Paramètres!$A$1:$I$89,5,0)</f>
        <v>105.90839999999999</v>
      </c>
      <c r="BF35" s="13">
        <f t="shared" si="37"/>
        <v>28.36485530760914</v>
      </c>
      <c r="BG35" s="20">
        <f t="shared" si="7"/>
        <v>233.85925299408589</v>
      </c>
      <c r="BH35" s="59">
        <f t="shared" si="8"/>
        <v>527.19258632741924</v>
      </c>
      <c r="BI35" s="59">
        <f ca="1">AVERAGE(OFFSET($BH$3,0,0,'Données projet'!$E$11+1,1))-AVERAGE(OFFSET($H$3,0,0,'Données projet'!$E$11+1,1))</f>
        <v>217.61052961346684</v>
      </c>
      <c r="BJ35" s="59">
        <f t="shared" si="38"/>
        <v>180.77145728128608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6.6442937732032412</v>
      </c>
      <c r="BQ35" s="21">
        <f>EXP(-LN(2)/25)*BQ34+(1-EXP(-LN(2)/25))/(LN(2)/25)*Calculateur!BL35*Calculateur!BN35*VLOOKUP('Données projet'!$B$11,Paramètres!$A$1:$I$89,3,0)*0.475*44/12</f>
        <v>9.4894285541217869</v>
      </c>
      <c r="BR35" s="21">
        <f>EXP(-LN(2)/2)*BR34+(1-EXP(-LN(2)/2))/(LN(2)/2)*BL35*BO35*VLOOKUP('Données projet'!$B$11,Paramètres!$A$1:$I$89,3,0)*0.475*44/12</f>
        <v>5.4985992489820026</v>
      </c>
      <c r="BS35" s="22">
        <f t="shared" si="9"/>
        <v>21.632321576307032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12.998333333333335</v>
      </c>
      <c r="BY35" s="12">
        <f>IF('Données projet'!$A$114&gt;35,BY34+BX35-CG34,IF(A35&lt;'Données projet'!$A$114,$BV$205^A35,IF(A35='Données projet'!$A$114,'Données projet'!$B$114,BY34+BX35-CG34)))</f>
        <v>99.498333333333335</v>
      </c>
      <c r="BZ35" s="13">
        <f>BY35*VLOOKUP('Données projet'!$B$12,Paramètres!$A$1:$I$89,3,0)*VLOOKUP('Données projet'!$B$12,Paramètres!$A$1:$I$89,5,0)</f>
        <v>83.817396000000002</v>
      </c>
      <c r="CA35" s="13">
        <f t="shared" si="39"/>
        <v>23.068010073991108</v>
      </c>
      <c r="CB35" s="20">
        <f t="shared" si="10"/>
        <v>186.15874891220116</v>
      </c>
      <c r="CC35" s="59">
        <f t="shared" si="11"/>
        <v>479.49208224553445</v>
      </c>
      <c r="CD35" s="59">
        <f ca="1">AVERAGE(OFFSET($CC$3,0,0,'Données projet'!$E$12+1,1))-AVERAGE(OFFSET($H$3,0,0,'Données projet'!$E$12+1,1))</f>
        <v>287.72859857368331</v>
      </c>
      <c r="CE35" s="59">
        <f t="shared" si="40"/>
        <v>179.60736986885922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20.412546873870191</v>
      </c>
      <c r="CM35" s="21">
        <f>EXP(-LN(2)/2)*CM34+(1-EXP(-LN(2)/2))/(LN(2)/2)*CG35*CJ35*VLOOKUP('Données projet'!$B$12,Paramètres!$A$1:$I$89,3,0)*0.475*44/12</f>
        <v>7.3929112226186264</v>
      </c>
      <c r="CN35" s="22">
        <f t="shared" si="12"/>
        <v>27.805458096488817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12.8</v>
      </c>
      <c r="CT35" s="12">
        <f>IF('Données projet'!$A$140&gt;35,CT34+CS35-DB34,IF(A35&lt;'Données projet'!$A$140,$CQ$205^A35,IF(A35='Données projet'!$A$140,'Données projet'!$B$140,CT34+CS35-DB34)))</f>
        <v>167.59999999999994</v>
      </c>
      <c r="CU35" s="17">
        <f>CT35*VLOOKUP('Données projet'!$B$13,Paramètres!$A$1:$I$89,3,0)*VLOOKUP('Données projet'!$B$13,Paramètres!$A$1:$I$89,5,0)</f>
        <v>133.34255999999996</v>
      </c>
      <c r="CV35" s="13">
        <f t="shared" si="41"/>
        <v>34.767581918978188</v>
      </c>
      <c r="CW35" s="20">
        <f t="shared" si="13"/>
        <v>292.7918305088869</v>
      </c>
      <c r="CX35" s="59">
        <f t="shared" si="14"/>
        <v>586.12516384222022</v>
      </c>
      <c r="CY35" s="59">
        <f ca="1">AVERAGE(OFFSET($CX$3,0,0,'Données projet'!$E$13+1,1))-AVERAGE(OFFSET($H$3,0,0,'Données projet'!$E$13+1,1))</f>
        <v>243.33915530322201</v>
      </c>
      <c r="CZ35" s="59">
        <f t="shared" si="42"/>
        <v>247.73814704672577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3.9203432464593644</v>
      </c>
      <c r="DG35" s="21">
        <f>EXP(-LN(2)/25)*DG34+(1-EXP(-LN(2)/25))/(LN(2)/25)*Calculateur!DB35*Calculateur!DD35*VLOOKUP('Données projet'!$B$13,Paramètres!$A$1:$I$89,3,0)*0.475*44/12</f>
        <v>12.42079299855893</v>
      </c>
      <c r="DH35" s="21">
        <f>EXP(-LN(2)/2)*DH34+(1-EXP(-LN(2)/2))/(LN(2)/2)*DB35*DE35*VLOOKUP('Données projet'!$B$13,Paramètres!$A$1:$I$89,3,0)*0.475*44/12</f>
        <v>3.9839663127988749</v>
      </c>
      <c r="DI35" s="22">
        <f t="shared" si="15"/>
        <v>20.325102557817168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23.265714285714289</v>
      </c>
      <c r="N36" s="13">
        <f>IF('Données projet'!$A$36&gt;35,N35+M36-V35,IF(A36&lt;'Données projet'!$A$36,$K$205^A36,IF(A36='Données projet'!$A$36,'Données projet'!$B$36,N35+M36-V35)))</f>
        <v>330.69857142857143</v>
      </c>
      <c r="O36" s="13">
        <f>N36*VLOOKUP('Données projet'!$B$9,Paramètres!$A$1:$I$89,3,0)*VLOOKUP('Données projet'!$B$9,Paramètres!$A$1:$I$89,5,0)</f>
        <v>184.86050142857144</v>
      </c>
      <c r="P36" s="13">
        <f t="shared" si="33"/>
        <v>46.401875578821517</v>
      </c>
      <c r="Q36" s="20">
        <f t="shared" si="53"/>
        <v>402.7819732878761</v>
      </c>
      <c r="R36" s="59">
        <f t="shared" si="0"/>
        <v>696.11530662120936</v>
      </c>
      <c r="S36" s="59">
        <f ca="1">AVERAGE(OFFSET($R$3,0,0,'Données projet'!$E$9+1,1))-AVERAGE(OFFSET($H$3,0,0,'Données projet'!$E$9+1,1))</f>
        <v>287.413090017863</v>
      </c>
      <c r="T36" s="59">
        <f t="shared" si="34"/>
        <v>258.48456031927117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11.44013744760162</v>
      </c>
      <c r="AA36" s="21">
        <f>EXP(-LN(2)/25)*AA35+(1-EXP(-LN(2)/25))/(LN(2)/25)*Calculateur!V36*Calculateur!X36*VLOOKUP('Données projet'!$B$9,Paramètres!$A$1:$I$89,3,0)*0.475*44/12</f>
        <v>15.812853228458309</v>
      </c>
      <c r="AB36" s="21">
        <f>EXP(-LN(2)/2)*AB35+(1-EXP(-LN(2)/2))/(LN(2)/2)*V36*Y36*VLOOKUP('Données projet'!$B$9,Paramètres!$A$1:$I$89,3,0)*0.475*44/12</f>
        <v>3.1185693425895091</v>
      </c>
      <c r="AC36" s="22">
        <f t="shared" si="3"/>
        <v>30.37156001864944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4.0942857142857143</v>
      </c>
      <c r="AI36" s="13">
        <f>IF('Données projet'!$A$62&gt;35,AI35+AH36-AQ35,IF(A36&lt;'Données projet'!$A$62,$AF$205^A36,IF(A36='Données projet'!$A$62,'Données projet'!$B$62,AI35+AH36-AQ35)))</f>
        <v>135.11142857142866</v>
      </c>
      <c r="AJ36" s="13">
        <f>AI36*VLOOKUP('Données projet'!$B$10,Paramètres!$A$1:$I$89,3,0)*VLOOKUP('Données projet'!$B$10,Paramètres!$A$1:$I$89,5,0)</f>
        <v>122.24882057142865</v>
      </c>
      <c r="AK36" s="13">
        <f t="shared" si="35"/>
        <v>32.198931651835657</v>
      </c>
      <c r="AL36" s="20">
        <f t="shared" si="4"/>
        <v>268.99650178885196</v>
      </c>
      <c r="AM36" s="59">
        <f t="shared" si="5"/>
        <v>562.32983512218527</v>
      </c>
      <c r="AN36" s="59">
        <f ca="1">AVERAGE(OFFSET($AM$3,0,0,'Données projet'!$E$10+1,1))-AVERAGE(OFFSET($H$3,0,0,'Données projet'!$E$10+1,1))</f>
        <v>422.10969295064359</v>
      </c>
      <c r="AO36" s="59">
        <f t="shared" si="36"/>
        <v>184.04075143033037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23.4</v>
      </c>
      <c r="BD36" s="12">
        <f>IF('Données projet'!$A$88&gt;35,BD35+BC36-BL35,IF(A36&lt;'Données projet'!$A$88,$BA$205^A36,IF(A36='Données projet'!$A$88,'Données projet'!$B$88,BD35+BC36-BL35)))</f>
        <v>286.19999999999993</v>
      </c>
      <c r="BE36" s="13">
        <f>BD36*VLOOKUP('Données projet'!$B$11,Paramètres!$A$1:$I$89,3,0)*VLOOKUP('Données projet'!$B$11,Paramètres!$A$1:$I$89,5,0)</f>
        <v>115.33859999999997</v>
      </c>
      <c r="BF36" s="13">
        <f t="shared" si="37"/>
        <v>30.585310106626213</v>
      </c>
      <c r="BG36" s="20">
        <f t="shared" si="7"/>
        <v>254.15081010237392</v>
      </c>
      <c r="BH36" s="59">
        <f t="shared" si="8"/>
        <v>547.48414343570721</v>
      </c>
      <c r="BI36" s="59">
        <f ca="1">AVERAGE(OFFSET($BH$3,0,0,'Données projet'!$E$11+1,1))-AVERAGE(OFFSET($H$3,0,0,'Données projet'!$E$11+1,1))</f>
        <v>217.61052961346684</v>
      </c>
      <c r="BJ36" s="59">
        <f t="shared" si="38"/>
        <v>180.77145728128608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6.5140032249297644</v>
      </c>
      <c r="BQ36" s="21">
        <f>EXP(-LN(2)/25)*BQ35+(1-EXP(-LN(2)/25))/(LN(2)/25)*Calculateur!BL36*Calculateur!BN36*VLOOKUP('Données projet'!$B$11,Paramètres!$A$1:$I$89,3,0)*0.475*44/12</f>
        <v>9.229939631281967</v>
      </c>
      <c r="BR36" s="21">
        <f>EXP(-LN(2)/2)*BR35+(1-EXP(-LN(2)/2))/(LN(2)/2)*BL36*BO36*VLOOKUP('Données projet'!$B$11,Paramètres!$A$1:$I$89,3,0)*0.475*44/12</f>
        <v>3.8880968159824318</v>
      </c>
      <c r="BS36" s="22">
        <f t="shared" si="9"/>
        <v>19.632039672194164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12.998333333333335</v>
      </c>
      <c r="BY36" s="12">
        <f>IF('Données projet'!$A$114&gt;35,BY35+BX36-CG35,IF(A36&lt;'Données projet'!$A$114,$BV$205^A36,IF(A36='Données projet'!$A$114,'Données projet'!$B$114,BY35+BX36-CG35)))</f>
        <v>112.49666666666667</v>
      </c>
      <c r="BZ36" s="13">
        <f>BY36*VLOOKUP('Données projet'!$B$12,Paramètres!$A$1:$I$89,3,0)*VLOOKUP('Données projet'!$B$12,Paramètres!$A$1:$I$89,5,0)</f>
        <v>94.767192000000009</v>
      </c>
      <c r="CA36" s="13">
        <f t="shared" si="39"/>
        <v>25.711480504393407</v>
      </c>
      <c r="CB36" s="20">
        <f t="shared" si="10"/>
        <v>209.83368794515187</v>
      </c>
      <c r="CC36" s="59">
        <f t="shared" si="11"/>
        <v>503.16702127848521</v>
      </c>
      <c r="CD36" s="59">
        <f ca="1">AVERAGE(OFFSET($CC$3,0,0,'Données projet'!$E$12+1,1))-AVERAGE(OFFSET($H$3,0,0,'Données projet'!$E$12+1,1))</f>
        <v>287.72859857368331</v>
      </c>
      <c r="CE36" s="59">
        <f t="shared" si="40"/>
        <v>179.60736986885922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19.854364706155025</v>
      </c>
      <c r="CM36" s="21">
        <f>EXP(-LN(2)/2)*CM35+(1-EXP(-LN(2)/2))/(LN(2)/2)*CG36*CJ36*VLOOKUP('Données projet'!$B$12,Paramètres!$A$1:$I$89,3,0)*0.475*44/12</f>
        <v>5.227577658223761</v>
      </c>
      <c r="CN36" s="22">
        <f t="shared" si="12"/>
        <v>25.081942364378786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12.8</v>
      </c>
      <c r="CT36" s="12">
        <f>IF('Données projet'!$A$140&gt;35,CT35+CS36-DB35,IF(A36&lt;'Données projet'!$A$140,$CQ$205^A36,IF(A36='Données projet'!$A$140,'Données projet'!$B$140,CT35+CS36-DB35)))</f>
        <v>180.39999999999995</v>
      </c>
      <c r="CU36" s="17">
        <f>CT36*VLOOKUP('Données projet'!$B$13,Paramètres!$A$1:$I$89,3,0)*VLOOKUP('Données projet'!$B$13,Paramètres!$A$1:$I$89,5,0)</f>
        <v>143.52623999999997</v>
      </c>
      <c r="CV36" s="13">
        <f t="shared" si="41"/>
        <v>37.103644337236275</v>
      </c>
      <c r="CW36" s="20">
        <f t="shared" si="13"/>
        <v>314.59704855401981</v>
      </c>
      <c r="CX36" s="59">
        <f t="shared" si="14"/>
        <v>607.93038188735318</v>
      </c>
      <c r="CY36" s="59">
        <f ca="1">AVERAGE(OFFSET($CX$3,0,0,'Données projet'!$E$13+1,1))-AVERAGE(OFFSET($H$3,0,0,'Données projet'!$E$13+1,1))</f>
        <v>243.33915530322201</v>
      </c>
      <c r="CZ36" s="59">
        <f t="shared" si="42"/>
        <v>247.73814704672577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3.8434677065695677</v>
      </c>
      <c r="DG36" s="21">
        <f>EXP(-LN(2)/25)*DG35+(1-EXP(-LN(2)/25))/(LN(2)/25)*Calculateur!DB36*Calculateur!DD36*VLOOKUP('Données projet'!$B$13,Paramètres!$A$1:$I$89,3,0)*0.475*44/12</f>
        <v>12.081145760832221</v>
      </c>
      <c r="DH36" s="21">
        <f>EXP(-LN(2)/2)*DH35+(1-EXP(-LN(2)/2))/(LN(2)/2)*DB36*DE36*VLOOKUP('Données projet'!$B$13,Paramètres!$A$1:$I$89,3,0)*0.475*44/12</f>
        <v>2.8170895957988509</v>
      </c>
      <c r="DI36" s="22">
        <f t="shared" si="15"/>
        <v>18.741703063200639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23.265714285714289</v>
      </c>
      <c r="N37" s="13">
        <f>IF('Données projet'!$A$36&gt;35,N36+M37-V36,IF(A37&lt;'Données projet'!$A$36,$K$205^A37,IF(A37='Données projet'!$A$36,'Données projet'!$B$36,N36+M37-V36)))</f>
        <v>353.96428571428572</v>
      </c>
      <c r="O37" s="13">
        <f>N37*VLOOKUP('Données projet'!$B$9,Paramètres!$A$1:$I$89,3,0)*VLOOKUP('Données projet'!$B$9,Paramètres!$A$1:$I$89,5,0)</f>
        <v>197.86603571428572</v>
      </c>
      <c r="P37" s="13">
        <f t="shared" si="33"/>
        <v>49.274894571766396</v>
      </c>
      <c r="Q37" s="20">
        <f t="shared" si="53"/>
        <v>430.43712024820735</v>
      </c>
      <c r="R37" s="59">
        <f t="shared" si="0"/>
        <v>723.77045358154066</v>
      </c>
      <c r="S37" s="59">
        <f ca="1">AVERAGE(OFFSET($R$3,0,0,'Données projet'!$E$9+1,1))-AVERAGE(OFFSET($H$3,0,0,'Données projet'!$E$9+1,1))</f>
        <v>287.413090017863</v>
      </c>
      <c r="T37" s="59">
        <f t="shared" si="34"/>
        <v>258.48456031927117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11.215803330048995</v>
      </c>
      <c r="AA37" s="21">
        <f>EXP(-LN(2)/25)*AA36+(1-EXP(-LN(2)/25))/(LN(2)/25)*Calculateur!V37*Calculateur!X37*VLOOKUP('Données projet'!$B$9,Paramètres!$A$1:$I$89,3,0)*0.475*44/12</f>
        <v>15.380449925364307</v>
      </c>
      <c r="AB37" s="21">
        <f>EXP(-LN(2)/2)*AB36+(1-EXP(-LN(2)/2))/(LN(2)/2)*V37*Y37*VLOOKUP('Données projet'!$B$9,Paramètres!$A$1:$I$89,3,0)*0.475*44/12</f>
        <v>2.2051615297455154</v>
      </c>
      <c r="AC37" s="22">
        <f t="shared" si="3"/>
        <v>28.801414785158819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4.0942857142857143</v>
      </c>
      <c r="AI37" s="13">
        <f>IF('Données projet'!$A$62&gt;35,AI36+AH37-AQ36,IF(A37&lt;'Données projet'!$A$62,$AF$205^A37,IF(A37='Données projet'!$A$62,'Données projet'!$B$62,AI36+AH37-AQ36)))</f>
        <v>139.20571428571438</v>
      </c>
      <c r="AJ37" s="13">
        <f>AI37*VLOOKUP('Données projet'!$B$10,Paramètres!$A$1:$I$89,3,0)*VLOOKUP('Données projet'!$B$10,Paramètres!$A$1:$I$89,5,0)</f>
        <v>125.95333028571436</v>
      </c>
      <c r="AK37" s="13">
        <f t="shared" si="35"/>
        <v>33.059578796189285</v>
      </c>
      <c r="AL37" s="20">
        <f t="shared" si="4"/>
        <v>276.94748331764885</v>
      </c>
      <c r="AM37" s="59">
        <f t="shared" si="5"/>
        <v>570.28081665098216</v>
      </c>
      <c r="AN37" s="59">
        <f ca="1">AVERAGE(OFFSET($AM$3,0,0,'Données projet'!$E$10+1,1))-AVERAGE(OFFSET($H$3,0,0,'Données projet'!$E$10+1,1))</f>
        <v>422.10969295064359</v>
      </c>
      <c r="AO37" s="59">
        <f t="shared" si="36"/>
        <v>184.04075143033037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23.4</v>
      </c>
      <c r="BD37" s="12">
        <f>IF('Données projet'!$A$88&gt;35,BD36+BC37-BL36,IF(A37&lt;'Données projet'!$A$88,$BA$205^A37,IF(A37='Données projet'!$A$88,'Données projet'!$B$88,BD36+BC37-BL36)))</f>
        <v>309.59999999999991</v>
      </c>
      <c r="BE37" s="13">
        <f>BD37*VLOOKUP('Données projet'!$B$11,Paramètres!$A$1:$I$89,3,0)*VLOOKUP('Données projet'!$B$11,Paramètres!$A$1:$I$89,5,0)</f>
        <v>124.76879999999997</v>
      </c>
      <c r="BF37" s="13">
        <f t="shared" si="37"/>
        <v>32.784708369928126</v>
      </c>
      <c r="BG37" s="20">
        <f t="shared" si="7"/>
        <v>274.40569374429145</v>
      </c>
      <c r="BH37" s="59">
        <f t="shared" si="8"/>
        <v>567.73902707762477</v>
      </c>
      <c r="BI37" s="59">
        <f ca="1">AVERAGE(OFFSET($BH$3,0,0,'Données projet'!$E$11+1,1))-AVERAGE(OFFSET($H$3,0,0,'Données projet'!$E$11+1,1))</f>
        <v>217.61052961346684</v>
      </c>
      <c r="BJ37" s="59">
        <f t="shared" si="38"/>
        <v>180.77145728128608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6.386267594838543</v>
      </c>
      <c r="BQ37" s="21">
        <f>EXP(-LN(2)/25)*BQ36+(1-EXP(-LN(2)/25))/(LN(2)/25)*Calculateur!BL37*Calculateur!BN37*VLOOKUP('Données projet'!$B$11,Paramètres!$A$1:$I$89,3,0)*0.475*44/12</f>
        <v>8.9775464466831316</v>
      </c>
      <c r="BR37" s="21">
        <f>EXP(-LN(2)/2)*BR36+(1-EXP(-LN(2)/2))/(LN(2)/2)*BL37*BO37*VLOOKUP('Données projet'!$B$11,Paramètres!$A$1:$I$89,3,0)*0.475*44/12</f>
        <v>2.7492996244910017</v>
      </c>
      <c r="BS37" s="22">
        <f t="shared" si="9"/>
        <v>18.113113666012676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12.998333333333335</v>
      </c>
      <c r="BY37" s="12">
        <f>IF('Données projet'!$A$114&gt;35,BY36+BX37-CG36,IF(A37&lt;'Données projet'!$A$114,$BV$205^A37,IF(A37='Données projet'!$A$114,'Données projet'!$B$114,BY36+BX37-CG36)))</f>
        <v>125.495</v>
      </c>
      <c r="BZ37" s="13">
        <f>BY37*VLOOKUP('Données projet'!$B$12,Paramètres!$A$1:$I$89,3,0)*VLOOKUP('Données projet'!$B$12,Paramètres!$A$1:$I$89,5,0)</f>
        <v>105.71698800000001</v>
      </c>
      <c r="CA37" s="13">
        <f t="shared" si="39"/>
        <v>28.319552956235832</v>
      </c>
      <c r="CB37" s="20">
        <f t="shared" si="10"/>
        <v>233.44697549877742</v>
      </c>
      <c r="CC37" s="59">
        <f t="shared" si="11"/>
        <v>526.78030883211068</v>
      </c>
      <c r="CD37" s="59">
        <f ca="1">AVERAGE(OFFSET($CC$3,0,0,'Données projet'!$E$12+1,1))-AVERAGE(OFFSET($H$3,0,0,'Données projet'!$E$12+1,1))</f>
        <v>287.72859857368331</v>
      </c>
      <c r="CE37" s="59">
        <f t="shared" si="40"/>
        <v>179.60736986885922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19.311446059169555</v>
      </c>
      <c r="CM37" s="21">
        <f>EXP(-LN(2)/2)*CM36+(1-EXP(-LN(2)/2))/(LN(2)/2)*CG37*CJ37*VLOOKUP('Données projet'!$B$12,Paramètres!$A$1:$I$89,3,0)*0.475*44/12</f>
        <v>3.6964556113093137</v>
      </c>
      <c r="CN37" s="22">
        <f t="shared" si="12"/>
        <v>23.007901670478869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12.8</v>
      </c>
      <c r="CT37" s="12">
        <f>IF('Données projet'!$A$140&gt;35,CT36+CS37-DB36,IF(A37&lt;'Données projet'!$A$140,$CQ$205^A37,IF(A37='Données projet'!$A$140,'Données projet'!$B$140,CT36+CS37-DB36)))</f>
        <v>193.19999999999996</v>
      </c>
      <c r="CU37" s="17">
        <f>CT37*VLOOKUP('Données projet'!$B$13,Paramètres!$A$1:$I$89,3,0)*VLOOKUP('Données projet'!$B$13,Paramètres!$A$1:$I$89,5,0)</f>
        <v>153.70991999999998</v>
      </c>
      <c r="CV37" s="13">
        <f t="shared" si="41"/>
        <v>39.420475690379831</v>
      </c>
      <c r="CW37" s="20">
        <f t="shared" si="13"/>
        <v>336.3687724940782</v>
      </c>
      <c r="CX37" s="59">
        <f t="shared" si="14"/>
        <v>629.70210582741151</v>
      </c>
      <c r="CY37" s="59">
        <f ca="1">AVERAGE(OFFSET($CX$3,0,0,'Données projet'!$E$13+1,1))-AVERAGE(OFFSET($H$3,0,0,'Données projet'!$E$13+1,1))</f>
        <v>243.33915530322201</v>
      </c>
      <c r="CZ37" s="59">
        <f t="shared" si="42"/>
        <v>247.73814704672577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3.7680996491275609</v>
      </c>
      <c r="DG37" s="21">
        <f>EXP(-LN(2)/25)*DG36+(1-EXP(-LN(2)/25))/(LN(2)/25)*Calculateur!DB37*Calculateur!DD37*VLOOKUP('Données projet'!$B$13,Paramètres!$A$1:$I$89,3,0)*0.475*44/12</f>
        <v>11.750786194682421</v>
      </c>
      <c r="DH37" s="21">
        <f>EXP(-LN(2)/2)*DH36+(1-EXP(-LN(2)/2))/(LN(2)/2)*DB37*DE37*VLOOKUP('Données projet'!$B$13,Paramètres!$A$1:$I$89,3,0)*0.475*44/12</f>
        <v>1.9919831563994377</v>
      </c>
      <c r="DI37" s="22">
        <f t="shared" si="15"/>
        <v>17.510869000209421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377.23</v>
      </c>
      <c r="L38" s="12">
        <f>VLOOKUP(A38,'Données projet'!$A$35:$I$55,9,0)</f>
        <v>23.265714285714289</v>
      </c>
      <c r="M38" s="12">
        <f t="array" ref="M38">INDEX(L:L,MIN(IF(ISNUMBER(L38:L234),ROW(L38:L234),"")))</f>
        <v>23.265714285714289</v>
      </c>
      <c r="N38" s="13">
        <f>IF('Données projet'!$A$36&gt;35,N37+M38-V37,IF(A38&lt;'Données projet'!$A$36,$K$205^A38,IF(A38='Données projet'!$A$36,'Données projet'!$B$36,N37+M38-V37)))</f>
        <v>377.23</v>
      </c>
      <c r="O38" s="13">
        <f>N38*VLOOKUP('Données projet'!$B$9,Paramètres!$A$1:$I$89,3,0)*VLOOKUP('Données projet'!$B$9,Paramètres!$A$1:$I$89,5,0)</f>
        <v>210.87157000000002</v>
      </c>
      <c r="P38" s="13">
        <f t="shared" si="33"/>
        <v>52.125999737089174</v>
      </c>
      <c r="Q38" s="20">
        <f t="shared" si="53"/>
        <v>458.05410062543029</v>
      </c>
      <c r="R38" s="59">
        <f t="shared" si="0"/>
        <v>751.38743395876361</v>
      </c>
      <c r="S38" s="59">
        <f ca="1">AVERAGE(OFFSET($R$3,0,0,'Données projet'!$E$9+1,1))-AVERAGE(OFFSET($H$3,0,0,'Données projet'!$E$9+1,1))</f>
        <v>287.413090017863</v>
      </c>
      <c r="T38" s="59">
        <f t="shared" si="34"/>
        <v>258.48456031927117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86.700000000000045</v>
      </c>
      <c r="W38" s="16">
        <f>IF(ISNA(VLOOKUP(A38,'Données projet'!$A$35:$I$55,5,0)),0%,VLOOKUP(A38,'Données projet'!$A$35:$I$55,5,0)*VLOOKUP('Données projet'!$B$9,Paramètres!$A$1:$I$89,7,0))</f>
        <v>0.33</v>
      </c>
      <c r="X38" s="16">
        <f>IF(ISNA(VLOOKUP(A38,'Données projet'!$A$35:$I$55,6,0)),0%,VLOOKUP(A38,'Données projet'!$A$35:$I$55,6,0)*VLOOKUP('Données projet'!$B$9,Paramètres!$A$1:$I$89,7,0))</f>
        <v>0.11000000000000001</v>
      </c>
      <c r="Y38" s="16">
        <f>IF(ISNA(VLOOKUP(A38,'Données projet'!$A$35:$I$55,7,0)),0%,VLOOKUP(A38,'Données projet'!$A$35:$I$55,7,0))</f>
        <v>0.2</v>
      </c>
      <c r="Z38" s="21">
        <f>EXP(-LN(2)/35)*Z37+(1-EXP(-LN(2)/35))/(LN(2)/35)*V38*W38*VLOOKUP('Données projet'!$B$9,Paramètres!$A$1:$I$89,3,0)*0.475*44/12</f>
        <v>32.212341887441895</v>
      </c>
      <c r="AA38" s="21">
        <f>EXP(-LN(2)/25)*AA37+(1-EXP(-LN(2)/25))/(LN(2)/25)*Calculateur!V38*Calculateur!X38*VLOOKUP('Données projet'!$B$9,Paramètres!$A$1:$I$89,3,0)*0.475*44/12</f>
        <v>22.004182806325677</v>
      </c>
      <c r="AB38" s="21">
        <f>EXP(-LN(2)/2)*AB37+(1-EXP(-LN(2)/2))/(LN(2)/2)*V38*Y38*VLOOKUP('Données projet'!$B$9,Paramètres!$A$1:$I$89,3,0)*0.475*44/12</f>
        <v>12.534080265156646</v>
      </c>
      <c r="AC38" s="22">
        <f t="shared" si="3"/>
        <v>66.750604958924214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4.0942857142857143</v>
      </c>
      <c r="AI38" s="13">
        <f>IF('Données projet'!$A$62&gt;35,AI37+AH38-AQ37,IF(A38&lt;'Données projet'!$A$62,$AF$205^A38,IF(A38='Données projet'!$A$62,'Données projet'!$B$62,AI37+AH38-AQ37)))</f>
        <v>143.3000000000001</v>
      </c>
      <c r="AJ38" s="13">
        <f>AI38*VLOOKUP('Données projet'!$B$10,Paramètres!$A$1:$I$89,3,0)*VLOOKUP('Données projet'!$B$10,Paramètres!$A$1:$I$89,5,0)</f>
        <v>129.65784000000008</v>
      </c>
      <c r="AK38" s="13">
        <f t="shared" si="35"/>
        <v>33.917284079455818</v>
      </c>
      <c r="AL38" s="20">
        <f t="shared" si="4"/>
        <v>284.89334110505234</v>
      </c>
      <c r="AM38" s="59">
        <f t="shared" si="5"/>
        <v>578.22667443838566</v>
      </c>
      <c r="AN38" s="59">
        <f ca="1">AVERAGE(OFFSET($AM$3,0,0,'Données projet'!$E$10+1,1))-AVERAGE(OFFSET($H$3,0,0,'Données projet'!$E$10+1,1))</f>
        <v>422.10969295064359</v>
      </c>
      <c r="AO38" s="59">
        <f t="shared" si="36"/>
        <v>184.04075143033037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333</v>
      </c>
      <c r="BB38" s="12">
        <f>VLOOKUP(A38,'Données projet'!$A$87:$I$107,9,0)</f>
        <v>23.4</v>
      </c>
      <c r="BC38" s="12">
        <f t="array" ref="BC38">INDEX(BB:BB,MIN(IF(ISNUMBER(BB38:BB234),ROW(BB38:BB234),"")))</f>
        <v>23.4</v>
      </c>
      <c r="BD38" s="12">
        <f>IF('Données projet'!$A$88&gt;35,BD37+BC38-BL37,IF(A38&lt;'Données projet'!$A$88,$BA$205^A38,IF(A38='Données projet'!$A$88,'Données projet'!$B$88,BD37+BC38-BL37)))</f>
        <v>332.99999999999989</v>
      </c>
      <c r="BE38" s="13">
        <f>BD38*VLOOKUP('Données projet'!$B$11,Paramètres!$A$1:$I$89,3,0)*VLOOKUP('Données projet'!$B$11,Paramètres!$A$1:$I$89,5,0)</f>
        <v>134.19899999999996</v>
      </c>
      <c r="BF38" s="13">
        <f t="shared" si="37"/>
        <v>34.964822539731379</v>
      </c>
      <c r="BG38" s="20">
        <f t="shared" si="7"/>
        <v>294.62699092336538</v>
      </c>
      <c r="BH38" s="59">
        <f t="shared" si="8"/>
        <v>587.96032425669864</v>
      </c>
      <c r="BI38" s="59">
        <f ca="1">AVERAGE(OFFSET($BH$3,0,0,'Données projet'!$E$11+1,1))-AVERAGE(OFFSET($H$3,0,0,'Données projet'!$E$11+1,1))</f>
        <v>217.61052961346684</v>
      </c>
      <c r="BJ38" s="59">
        <f t="shared" si="38"/>
        <v>180.77145728128608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56</v>
      </c>
      <c r="BM38" s="16">
        <f>IF(ISNA(VLOOKUP(A38,'Données projet'!$A$87:$I$107,5,0)),0%,VLOOKUP(A38,'Données projet'!$A$87:$I$107,5,0)*VLOOKUP('Données projet'!$B$11,Paramètres!$A$1:$I$89,7,0))</f>
        <v>0.13750000000000001</v>
      </c>
      <c r="BN38" s="16">
        <f>IF(ISNA(VLOOKUP(A38,'Données projet'!$A$87:$I$107,6,0)),0%,VLOOKUP(A38,'Données projet'!$A$87:$I$107,6,0)*VLOOKUP('Données projet'!$B$11,Paramètres!$A$1:$I$89,7,0))</f>
        <v>0.20350000000000001</v>
      </c>
      <c r="BO38" s="16">
        <f>IF(ISNA(VLOOKUP(A38,'Données projet'!$A$87:$I$107,7,0)),0%,VLOOKUP(A38,'Données projet'!$A$87:$I$107,7,0))</f>
        <v>0.38</v>
      </c>
      <c r="BP38" s="21">
        <f>EXP(-LN(2)/35)*BP37+(1-EXP(-LN(2)/35))/(LN(2)/35)*BL38*BM38*VLOOKUP('Données projet'!$B$11,Paramètres!$A$1:$I$89,3,0)*0.475*44/12</f>
        <v>10.377498944216807</v>
      </c>
      <c r="BQ38" s="21">
        <f>EXP(-LN(2)/25)*BQ37+(1-EXP(-LN(2)/25))/(LN(2)/25)*Calculateur!BL38*Calculateur!BN38*VLOOKUP('Données projet'!$B$11,Paramètres!$A$1:$I$89,3,0)*0.475*44/12</f>
        <v>14.800431007830266</v>
      </c>
      <c r="BR38" s="21">
        <f>EXP(-LN(2)/2)*BR37+(1-EXP(-LN(2)/2))/(LN(2)/2)*BL38*BO38*VLOOKUP('Données projet'!$B$11,Paramètres!$A$1:$I$89,3,0)*0.475*44/12</f>
        <v>11.653891434410586</v>
      </c>
      <c r="BS38" s="22">
        <f t="shared" si="9"/>
        <v>36.831821386457662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12.998333333333335</v>
      </c>
      <c r="BY38" s="12">
        <f>IF('Données projet'!$A$114&gt;35,BY37+BX38-CG37,IF(A38&lt;'Données projet'!$A$114,$BV$205^A38,IF(A38='Données projet'!$A$114,'Données projet'!$B$114,BY37+BX38-CG37)))</f>
        <v>138.49333333333334</v>
      </c>
      <c r="BZ38" s="13">
        <f>BY38*VLOOKUP('Données projet'!$B$12,Paramètres!$A$1:$I$89,3,0)*VLOOKUP('Données projet'!$B$12,Paramètres!$A$1:$I$89,5,0)</f>
        <v>116.66678400000002</v>
      </c>
      <c r="CA38" s="13">
        <f t="shared" si="39"/>
        <v>30.896311433156317</v>
      </c>
      <c r="CB38" s="20">
        <f t="shared" si="10"/>
        <v>257.00572454608067</v>
      </c>
      <c r="CC38" s="59">
        <f t="shared" si="11"/>
        <v>550.33905787941399</v>
      </c>
      <c r="CD38" s="59">
        <f ca="1">AVERAGE(OFFSET($CC$3,0,0,'Données projet'!$E$12+1,1))-AVERAGE(OFFSET($H$3,0,0,'Données projet'!$E$12+1,1))</f>
        <v>287.72859857368331</v>
      </c>
      <c r="CE38" s="59">
        <f t="shared" si="40"/>
        <v>179.60736986885922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18.783373551136751</v>
      </c>
      <c r="CM38" s="21">
        <f>EXP(-LN(2)/2)*CM37+(1-EXP(-LN(2)/2))/(LN(2)/2)*CG38*CJ38*VLOOKUP('Données projet'!$B$12,Paramètres!$A$1:$I$89,3,0)*0.475*44/12</f>
        <v>2.6137888291118809</v>
      </c>
      <c r="CN38" s="22">
        <f t="shared" si="12"/>
        <v>21.397162380248631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206</v>
      </c>
      <c r="CR38" s="12">
        <f>VLOOKUP(A38,'Données projet'!$A$139:$I$159,9,0)</f>
        <v>12.8</v>
      </c>
      <c r="CS38" s="12">
        <f t="array" ref="CS38">INDEX(CR:CR,MIN(IF(ISNUMBER(CR38:CR234),ROW(CR38:CR234),"")))</f>
        <v>12.8</v>
      </c>
      <c r="CT38" s="12">
        <f>IF('Données projet'!$A$140&gt;35,CT37+CS38-DB37,IF(A38&lt;'Données projet'!$A$140,$CQ$205^A38,IF(A38='Données projet'!$A$140,'Données projet'!$B$140,CT37+CS38-DB37)))</f>
        <v>205.99999999999997</v>
      </c>
      <c r="CU38" s="17">
        <f>CT38*VLOOKUP('Données projet'!$B$13,Paramètres!$A$1:$I$89,3,0)*VLOOKUP('Données projet'!$B$13,Paramètres!$A$1:$I$89,5,0)</f>
        <v>163.89359999999999</v>
      </c>
      <c r="CV38" s="13">
        <f t="shared" si="41"/>
        <v>41.71949506642347</v>
      </c>
      <c r="CW38" s="20">
        <f t="shared" si="13"/>
        <v>358.10947390735419</v>
      </c>
      <c r="CX38" s="59">
        <f t="shared" si="14"/>
        <v>651.44280724068744</v>
      </c>
      <c r="CY38" s="59">
        <f ca="1">AVERAGE(OFFSET($CX$3,0,0,'Données projet'!$E$13+1,1))-AVERAGE(OFFSET($H$3,0,0,'Données projet'!$E$13+1,1))</f>
        <v>243.33915530322201</v>
      </c>
      <c r="CZ38" s="59">
        <f t="shared" si="42"/>
        <v>247.73814704672577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35</v>
      </c>
      <c r="DC38" s="16">
        <f>IF(ISNA(VLOOKUP(A38,'Données projet'!$A$139:$I$159,5,0)),0%,VLOOKUP(A38,'Données projet'!$A$139:$I$159,5,0)*VLOOKUP('Données projet'!$B$13,Paramètres!$A$1:$I$89,7,0))</f>
        <v>0.13250000000000001</v>
      </c>
      <c r="DD38" s="16">
        <f>IF(ISNA(VLOOKUP(A38,'Données projet'!$A$139:$I$159,6,0)),0%,VLOOKUP(A38,'Données projet'!$A$139:$I$159,6,0)*VLOOKUP('Données projet'!$B$13,Paramètres!$A$1:$I$89,7,0))</f>
        <v>0.13250000000000001</v>
      </c>
      <c r="DE38" s="16">
        <f>IF(ISNA(VLOOKUP(A38,'Données projet'!$A$139:$I$159,7,0)),0%,VLOOKUP(A38,'Données projet'!$A$139:$I$159,7,0))</f>
        <v>0.25</v>
      </c>
      <c r="DF38" s="21">
        <f>EXP(-LN(2)/35)*DF37+(1-EXP(-LN(2)/35))/(LN(2)/35)*DB38*DC38*VLOOKUP('Données projet'!$B$13,Paramètres!$A$1:$I$89,3,0)*0.475*44/12</f>
        <v>7.7729474982948918</v>
      </c>
      <c r="DG38" s="21">
        <f>EXP(-LN(2)/25)*DG37+(1-EXP(-LN(2)/25))/(LN(2)/25)*Calculateur!DB38*Calculateur!DD38*VLOOKUP('Données projet'!$B$13,Paramètres!$A$1:$I$89,3,0)*0.475*44/12</f>
        <v>15.492138767646864</v>
      </c>
      <c r="DH38" s="21">
        <f>EXP(-LN(2)/2)*DH37+(1-EXP(-LN(2)/2))/(LN(2)/2)*DB38*DE38*VLOOKUP('Données projet'!$B$13,Paramètres!$A$1:$I$89,3,0)*0.475*44/12</f>
        <v>7.9769074139248364</v>
      </c>
      <c r="DI38" s="22">
        <f t="shared" si="15"/>
        <v>31.241993679866589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22.851428571428578</v>
      </c>
      <c r="N39" s="13">
        <f>IF('Données projet'!$A$36&gt;35,N38+M39-V38,IF(A39&lt;'Données projet'!$A$36,$K$205^A39,IF(A39='Données projet'!$A$36,'Données projet'!$B$36,N38+M39-V38)))</f>
        <v>313.38142857142856</v>
      </c>
      <c r="O39" s="13">
        <f>N39*VLOOKUP('Données projet'!$B$9,Paramètres!$A$1:$I$89,3,0)*VLOOKUP('Données projet'!$B$9,Paramètres!$A$1:$I$89,5,0)</f>
        <v>175.18021857142855</v>
      </c>
      <c r="P39" s="13">
        <f t="shared" si="33"/>
        <v>44.248185618905715</v>
      </c>
      <c r="Q39" s="20">
        <f t="shared" si="53"/>
        <v>382.17113729816555</v>
      </c>
      <c r="R39" s="59">
        <f t="shared" si="0"/>
        <v>675.50447063149886</v>
      </c>
      <c r="S39" s="59">
        <f ca="1">AVERAGE(OFFSET($R$3,0,0,'Données projet'!$E$9+1,1))-AVERAGE(OFFSET($H$3,0,0,'Données projet'!$E$9+1,1))</f>
        <v>287.413090017863</v>
      </c>
      <c r="T39" s="59">
        <f t="shared" si="34"/>
        <v>258.48456031927117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31.580677510617672</v>
      </c>
      <c r="AA39" s="21">
        <f>EXP(-LN(2)/25)*AA38+(1-EXP(-LN(2)/25))/(LN(2)/25)*Calculateur!V39*Calculateur!X39*VLOOKUP('Données projet'!$B$9,Paramètres!$A$1:$I$89,3,0)*0.475*44/12</f>
        <v>21.40247727033702</v>
      </c>
      <c r="AB39" s="21">
        <f>EXP(-LN(2)/2)*AB38+(1-EXP(-LN(2)/2))/(LN(2)/2)*V39*Y39*VLOOKUP('Données projet'!$B$9,Paramètres!$A$1:$I$89,3,0)*0.475*44/12</f>
        <v>8.862933151428745</v>
      </c>
      <c r="AC39" s="22">
        <f t="shared" si="3"/>
        <v>61.84608793238344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4.0942857142857143</v>
      </c>
      <c r="AI39" s="13">
        <f>IF('Données projet'!$A$62&gt;35,AI38+AH39-AQ38,IF(A39&lt;'Données projet'!$A$62,$AF$205^A39,IF(A39='Données projet'!$A$62,'Données projet'!$B$62,AI38+AH39-AQ38)))</f>
        <v>147.39428571428581</v>
      </c>
      <c r="AJ39" s="13">
        <f>AI39*VLOOKUP('Données projet'!$B$10,Paramètres!$A$1:$I$89,3,0)*VLOOKUP('Données projet'!$B$10,Paramètres!$A$1:$I$89,5,0)</f>
        <v>133.36234971428578</v>
      </c>
      <c r="AK39" s="13">
        <f t="shared" si="35"/>
        <v>34.772141208569977</v>
      </c>
      <c r="AL39" s="20">
        <f t="shared" si="4"/>
        <v>292.83423835730713</v>
      </c>
      <c r="AM39" s="59">
        <f t="shared" si="5"/>
        <v>586.16757169064044</v>
      </c>
      <c r="AN39" s="59">
        <f ca="1">AVERAGE(OFFSET($AM$3,0,0,'Données projet'!$E$10+1,1))-AVERAGE(OFFSET($H$3,0,0,'Données projet'!$E$10+1,1))</f>
        <v>422.10969295064359</v>
      </c>
      <c r="AO39" s="59">
        <f t="shared" si="36"/>
        <v>184.04075143033037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23.4</v>
      </c>
      <c r="BD39" s="12">
        <f>IF('Données projet'!$A$88&gt;35,BD38+BC39-BL38,IF(A39&lt;'Données projet'!$A$88,$BA$205^A39,IF(A39='Données projet'!$A$88,'Données projet'!$B$88,BD38+BC39-BL38)))</f>
        <v>300.39999999999986</v>
      </c>
      <c r="BE39" s="13">
        <f>BD39*VLOOKUP('Données projet'!$B$11,Paramètres!$A$1:$I$89,3,0)*VLOOKUP('Données projet'!$B$11,Paramètres!$A$1:$I$89,5,0)</f>
        <v>121.06119999999994</v>
      </c>
      <c r="BF39" s="13">
        <f t="shared" si="37"/>
        <v>31.922379796868473</v>
      </c>
      <c r="BG39" s="20">
        <f t="shared" si="7"/>
        <v>266.44640147954584</v>
      </c>
      <c r="BH39" s="59">
        <f t="shared" si="8"/>
        <v>559.77973481287916</v>
      </c>
      <c r="BI39" s="59">
        <f ca="1">AVERAGE(OFFSET($BH$3,0,0,'Données projet'!$E$11+1,1))-AVERAGE(OFFSET($H$3,0,0,'Données projet'!$E$11+1,1))</f>
        <v>217.61052961346684</v>
      </c>
      <c r="BJ39" s="59">
        <f t="shared" si="38"/>
        <v>180.77145728128608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10.17400251957007</v>
      </c>
      <c r="BQ39" s="21">
        <f>EXP(-LN(2)/25)*BQ38+(1-EXP(-LN(2)/25))/(LN(2)/25)*Calculateur!BL39*Calculateur!BN39*VLOOKUP('Données projet'!$B$11,Paramètres!$A$1:$I$89,3,0)*0.475*44/12</f>
        <v>14.395712443600308</v>
      </c>
      <c r="BR39" s="21">
        <f>EXP(-LN(2)/2)*BR38+(1-EXP(-LN(2)/2))/(LN(2)/2)*BL39*BO39*VLOOKUP('Données projet'!$B$11,Paramètres!$A$1:$I$89,3,0)*0.475*44/12</f>
        <v>8.2405456604835461</v>
      </c>
      <c r="BS39" s="22">
        <f t="shared" si="9"/>
        <v>32.810260623653924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12.998333333333335</v>
      </c>
      <c r="BY39" s="12">
        <f>IF('Données projet'!$A$114&gt;35,BY38+BX39-CG38,IF(A39&lt;'Données projet'!$A$114,$BV$205^A39,IF(A39='Données projet'!$A$114,'Données projet'!$B$114,BY38+BX39-CG38)))</f>
        <v>151.49166666666667</v>
      </c>
      <c r="BZ39" s="13">
        <f>BY39*VLOOKUP('Données projet'!$B$12,Paramètres!$A$1:$I$89,3,0)*VLOOKUP('Données projet'!$B$12,Paramètres!$A$1:$I$89,5,0)</f>
        <v>127.61658000000001</v>
      </c>
      <c r="CA39" s="13">
        <f t="shared" si="39"/>
        <v>33.445029241298066</v>
      </c>
      <c r="CB39" s="20">
        <f t="shared" si="10"/>
        <v>280.51563609526079</v>
      </c>
      <c r="CC39" s="59">
        <f t="shared" si="11"/>
        <v>573.84896942859405</v>
      </c>
      <c r="CD39" s="59">
        <f ca="1">AVERAGE(OFFSET($CC$3,0,0,'Données projet'!$E$12+1,1))-AVERAGE(OFFSET($H$3,0,0,'Données projet'!$E$12+1,1))</f>
        <v>287.72859857368331</v>
      </c>
      <c r="CE39" s="59">
        <f t="shared" si="40"/>
        <v>179.60736986885922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18.269741213606231</v>
      </c>
      <c r="CM39" s="21">
        <f>EXP(-LN(2)/2)*CM38+(1-EXP(-LN(2)/2))/(LN(2)/2)*CG39*CJ39*VLOOKUP('Données projet'!$B$12,Paramètres!$A$1:$I$89,3,0)*0.475*44/12</f>
        <v>1.8482278056546573</v>
      </c>
      <c r="CN39" s="22">
        <f t="shared" si="12"/>
        <v>20.11796901926089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11.4</v>
      </c>
      <c r="CT39" s="12">
        <f>IF('Données projet'!$A$140&gt;35,CT38+CS39-DB38,IF(A39&lt;'Données projet'!$A$140,$CQ$205^A39,IF(A39='Données projet'!$A$140,'Données projet'!$B$140,CT38+CS39-DB38)))</f>
        <v>182.39999999999998</v>
      </c>
      <c r="CU39" s="17">
        <f>CT39*VLOOKUP('Données projet'!$B$13,Paramètres!$A$1:$I$89,3,0)*VLOOKUP('Données projet'!$B$13,Paramètres!$A$1:$I$89,5,0)</f>
        <v>145.11743999999999</v>
      </c>
      <c r="CV39" s="13">
        <f t="shared" si="41"/>
        <v>37.466878406916173</v>
      </c>
      <c r="CW39" s="20">
        <f t="shared" si="13"/>
        <v>318.00102122537896</v>
      </c>
      <c r="CX39" s="59">
        <f t="shared" si="14"/>
        <v>611.33435455871222</v>
      </c>
      <c r="CY39" s="59">
        <f ca="1">AVERAGE(OFFSET($CX$3,0,0,'Données projet'!$E$13+1,1))-AVERAGE(OFFSET($H$3,0,0,'Données projet'!$E$13+1,1))</f>
        <v>243.33915530322201</v>
      </c>
      <c r="CZ39" s="59">
        <f t="shared" si="42"/>
        <v>247.73814704672577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7.620524738883165</v>
      </c>
      <c r="DG39" s="21">
        <f>EXP(-LN(2)/25)*DG38+(1-EXP(-LN(2)/25))/(LN(2)/25)*Calculateur!DB39*Calculateur!DD39*VLOOKUP('Données projet'!$B$13,Paramètres!$A$1:$I$89,3,0)*0.475*44/12</f>
        <v>15.068505418349391</v>
      </c>
      <c r="DH39" s="21">
        <f>EXP(-LN(2)/2)*DH38+(1-EXP(-LN(2)/2))/(LN(2)/2)*DB39*DE39*VLOOKUP('Données projet'!$B$13,Paramètres!$A$1:$I$89,3,0)*0.475*44/12</f>
        <v>5.6405253252834981</v>
      </c>
      <c r="DI39" s="22">
        <f t="shared" si="15"/>
        <v>28.329555482516053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22.851428571428578</v>
      </c>
      <c r="N40" s="13">
        <f>IF('Données projet'!$A$36&gt;35,N39+M40-V39,IF(A40&lt;'Données projet'!$A$36,$K$205^A40,IF(A40='Données projet'!$A$36,'Données projet'!$B$36,N39+M40-V39)))</f>
        <v>336.23285714285714</v>
      </c>
      <c r="O40" s="13">
        <f>N40*VLOOKUP('Données projet'!$B$9,Paramètres!$A$1:$I$89,3,0)*VLOOKUP('Données projet'!$B$9,Paramètres!$A$1:$I$89,5,0)</f>
        <v>187.95416714285713</v>
      </c>
      <c r="P40" s="13">
        <f t="shared" si="33"/>
        <v>47.087363665282226</v>
      </c>
      <c r="Q40" s="20">
        <f t="shared" si="53"/>
        <v>409.36399949084267</v>
      </c>
      <c r="R40" s="59">
        <f t="shared" si="0"/>
        <v>702.69733282417599</v>
      </c>
      <c r="S40" s="59">
        <f ca="1">AVERAGE(OFFSET($R$3,0,0,'Données projet'!$E$9+1,1))-AVERAGE(OFFSET($H$3,0,0,'Données projet'!$E$9+1,1))</f>
        <v>287.413090017863</v>
      </c>
      <c r="T40" s="59">
        <f t="shared" si="34"/>
        <v>258.48456031927117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30.961399686945747</v>
      </c>
      <c r="AA40" s="21">
        <f>EXP(-LN(2)/25)*AA39+(1-EXP(-LN(2)/25))/(LN(2)/25)*Calculateur!V40*Calculateur!X40*VLOOKUP('Données projet'!$B$9,Paramètres!$A$1:$I$89,3,0)*0.475*44/12</f>
        <v>20.817225403872289</v>
      </c>
      <c r="AB40" s="21">
        <f>EXP(-LN(2)/2)*AB39+(1-EXP(-LN(2)/2))/(LN(2)/2)*V40*Y40*VLOOKUP('Données projet'!$B$9,Paramètres!$A$1:$I$89,3,0)*0.475*44/12</f>
        <v>6.267040132578324</v>
      </c>
      <c r="AC40" s="22">
        <f t="shared" si="3"/>
        <v>58.045665223396362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4.0942857142857143</v>
      </c>
      <c r="AI40" s="13">
        <f>IF('Données projet'!$A$62&gt;35,AI39+AH40-AQ39,IF(A40&lt;'Données projet'!$A$62,$AF$205^A40,IF(A40='Données projet'!$A$62,'Données projet'!$B$62,AI39+AH40-AQ39)))</f>
        <v>151.48857142857153</v>
      </c>
      <c r="AJ40" s="13">
        <f>AI40*VLOOKUP('Données projet'!$B$10,Paramètres!$A$1:$I$89,3,0)*VLOOKUP('Données projet'!$B$10,Paramètres!$A$1:$I$89,5,0)</f>
        <v>137.06685942857152</v>
      </c>
      <c r="AK40" s="13">
        <f t="shared" si="35"/>
        <v>35.624238388297236</v>
      </c>
      <c r="AL40" s="20">
        <f t="shared" si="4"/>
        <v>300.77032869771307</v>
      </c>
      <c r="AM40" s="59">
        <f t="shared" si="5"/>
        <v>594.10366203104638</v>
      </c>
      <c r="AN40" s="59">
        <f ca="1">AVERAGE(OFFSET($AM$3,0,0,'Données projet'!$E$10+1,1))-AVERAGE(OFFSET($H$3,0,0,'Données projet'!$E$10+1,1))</f>
        <v>422.10969295064359</v>
      </c>
      <c r="AO40" s="59">
        <f t="shared" si="36"/>
        <v>184.04075143033037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23.4</v>
      </c>
      <c r="BD40" s="12">
        <f>IF('Données projet'!$A$88&gt;35,BD39+BC40-BL39,IF(A40&lt;'Données projet'!$A$88,$BA$205^A40,IF(A40='Données projet'!$A$88,'Données projet'!$B$88,BD39+BC40-BL39)))</f>
        <v>323.79999999999984</v>
      </c>
      <c r="BE40" s="13">
        <f>BD40*VLOOKUP('Données projet'!$B$11,Paramètres!$A$1:$I$89,3,0)*VLOOKUP('Données projet'!$B$11,Paramètres!$A$1:$I$89,5,0)</f>
        <v>130.49139999999994</v>
      </c>
      <c r="BF40" s="13">
        <f t="shared" si="37"/>
        <v>34.109882499428728</v>
      </c>
      <c r="BG40" s="20">
        <f t="shared" si="7"/>
        <v>286.68056701983824</v>
      </c>
      <c r="BH40" s="59">
        <f t="shared" si="8"/>
        <v>580.01390035317149</v>
      </c>
      <c r="BI40" s="59">
        <f ca="1">AVERAGE(OFFSET($BH$3,0,0,'Données projet'!$E$11+1,1))-AVERAGE(OFFSET($H$3,0,0,'Données projet'!$E$11+1,1))</f>
        <v>217.61052961346684</v>
      </c>
      <c r="BJ40" s="59">
        <f t="shared" si="38"/>
        <v>180.77145728128608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9.9744965356900934</v>
      </c>
      <c r="BQ40" s="21">
        <f>EXP(-LN(2)/25)*BQ39+(1-EXP(-LN(2)/25))/(LN(2)/25)*Calculateur!BL40*Calculateur!BN40*VLOOKUP('Données projet'!$B$11,Paramètres!$A$1:$I$89,3,0)*0.475*44/12</f>
        <v>14.002060929792442</v>
      </c>
      <c r="BR40" s="21">
        <f>EXP(-LN(2)/2)*BR39+(1-EXP(-LN(2)/2))/(LN(2)/2)*BL40*BO40*VLOOKUP('Données projet'!$B$11,Paramètres!$A$1:$I$89,3,0)*0.475*44/12</f>
        <v>5.8269457172052928</v>
      </c>
      <c r="BS40" s="22">
        <f t="shared" si="9"/>
        <v>29.803503182687827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>
        <f>VLOOKUP(A40,'Données projet'!$A$113:$I$133,2,0)</f>
        <v>164.49</v>
      </c>
      <c r="BW40" s="12">
        <f>VLOOKUP(A40,'Données projet'!$A$113:$I$133,9,0)</f>
        <v>12.998333333333335</v>
      </c>
      <c r="BX40" s="12">
        <f t="array" ref="BX40">INDEX(BW:BW,MIN(IF(ISNUMBER(BW40:BW236),ROW(BW40:BW236),"")))</f>
        <v>12.998333333333335</v>
      </c>
      <c r="BY40" s="12">
        <f>IF('Données projet'!$A$114&gt;35,BY39+BX40-CG39,IF(A40&lt;'Données projet'!$A$114,$BV$205^A40,IF(A40='Données projet'!$A$114,'Données projet'!$B$114,BY39+BX40-CG39)))</f>
        <v>164.49</v>
      </c>
      <c r="BZ40" s="13">
        <f>BY40*VLOOKUP('Données projet'!$B$12,Paramètres!$A$1:$I$89,3,0)*VLOOKUP('Données projet'!$B$12,Paramètres!$A$1:$I$89,5,0)</f>
        <v>138.56637600000002</v>
      </c>
      <c r="CA40" s="13">
        <f t="shared" si="39"/>
        <v>35.968385885318511</v>
      </c>
      <c r="CB40" s="20">
        <f t="shared" si="10"/>
        <v>303.9813769502631</v>
      </c>
      <c r="CC40" s="59">
        <f t="shared" si="11"/>
        <v>597.31471028359647</v>
      </c>
      <c r="CD40" s="59">
        <f ca="1">AVERAGE(OFFSET($CC$3,0,0,'Données projet'!$E$12+1,1))-AVERAGE(OFFSET($H$3,0,0,'Données projet'!$E$12+1,1))</f>
        <v>287.72859857368331</v>
      </c>
      <c r="CE40" s="59">
        <f t="shared" si="40"/>
        <v>179.60736986885922</v>
      </c>
      <c r="CF40" s="15">
        <f>IF(ISNA(VLOOKUP(A40,'Données projet'!$A$113:$I$133,3,0)),0,VLOOKUP(A40,'Données projet'!$A$113:$I$133,3,0))</f>
        <v>2</v>
      </c>
      <c r="CG40" s="15">
        <f>IF(ISNA(VLOOKUP(A40,'Données projet'!$A$113:$I$133,4,0)),0,VLOOKUP(A40,'Données projet'!$A$113:$I$133,4,0))</f>
        <v>43.890000000000015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0.34400000000000003</v>
      </c>
      <c r="CJ40" s="16">
        <f>IF(ISNA(VLOOKUP(A40,'Données projet'!$A$113:$I$133,7,0)),0%,VLOOKUP(A40,'Données projet'!$A$113:$I$133,7,0))</f>
        <v>0.2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31.774929114131851</v>
      </c>
      <c r="CM40" s="21">
        <f>EXP(-LN(2)/2)*CM39+(1-EXP(-LN(2)/2))/(LN(2)/2)*CG40*CJ40*VLOOKUP('Données projet'!$B$12,Paramètres!$A$1:$I$89,3,0)*0.475*44/12</f>
        <v>8.2838864601524413</v>
      </c>
      <c r="CN40" s="22">
        <f t="shared" si="12"/>
        <v>40.058815574284296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11.4</v>
      </c>
      <c r="CT40" s="12">
        <f>IF('Données projet'!$A$140&gt;35,CT39+CS40-DB39,IF(A40&lt;'Données projet'!$A$140,$CQ$205^A40,IF(A40='Données projet'!$A$140,'Données projet'!$B$140,CT39+CS40-DB39)))</f>
        <v>193.79999999999998</v>
      </c>
      <c r="CU40" s="17">
        <f>CT40*VLOOKUP('Données projet'!$B$13,Paramètres!$A$1:$I$89,3,0)*VLOOKUP('Données projet'!$B$13,Paramètres!$A$1:$I$89,5,0)</f>
        <v>154.18727999999999</v>
      </c>
      <c r="CV40" s="13">
        <f t="shared" si="41"/>
        <v>39.528629863903078</v>
      </c>
      <c r="CW40" s="20">
        <f t="shared" si="13"/>
        <v>337.38854301296448</v>
      </c>
      <c r="CX40" s="59">
        <f t="shared" si="14"/>
        <v>630.72187634629779</v>
      </c>
      <c r="CY40" s="59">
        <f ca="1">AVERAGE(OFFSET($CX$3,0,0,'Données projet'!$E$13+1,1))-AVERAGE(OFFSET($H$3,0,0,'Données projet'!$E$13+1,1))</f>
        <v>243.33915530322201</v>
      </c>
      <c r="CZ40" s="59">
        <f t="shared" si="42"/>
        <v>247.73814704672577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7.4710908968147987</v>
      </c>
      <c r="DG40" s="21">
        <f>EXP(-LN(2)/25)*DG39+(1-EXP(-LN(2)/25))/(LN(2)/25)*Calculateur!DB40*Calculateur!DD40*VLOOKUP('Données projet'!$B$13,Paramètres!$A$1:$I$89,3,0)*0.475*44/12</f>
        <v>14.656456345266367</v>
      </c>
      <c r="DH40" s="21">
        <f>EXP(-LN(2)/2)*DH39+(1-EXP(-LN(2)/2))/(LN(2)/2)*DB40*DE40*VLOOKUP('Données projet'!$B$13,Paramètres!$A$1:$I$89,3,0)*0.475*44/12</f>
        <v>3.9884537069624186</v>
      </c>
      <c r="DI40" s="22">
        <f t="shared" si="15"/>
        <v>26.116000949043581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22.851428571428578</v>
      </c>
      <c r="N41" s="13">
        <f>IF('Données projet'!$A$36&gt;35,N40+M41-V40,IF(A41&lt;'Données projet'!$A$36,$K$205^A41,IF(A41='Données projet'!$A$36,'Données projet'!$B$36,N40+M41-V40)))</f>
        <v>359.08428571428573</v>
      </c>
      <c r="O41" s="13">
        <f>N41*VLOOKUP('Données projet'!$B$9,Paramètres!$A$1:$I$89,3,0)*VLOOKUP('Données projet'!$B$9,Paramètres!$A$1:$I$89,5,0)</f>
        <v>200.72811571428574</v>
      </c>
      <c r="P41" s="13">
        <f t="shared" si="33"/>
        <v>49.904151662519681</v>
      </c>
      <c r="Q41" s="20">
        <f t="shared" si="53"/>
        <v>436.51786568126948</v>
      </c>
      <c r="R41" s="59">
        <f t="shared" si="0"/>
        <v>729.8511990146028</v>
      </c>
      <c r="S41" s="59">
        <f ca="1">AVERAGE(OFFSET($R$3,0,0,'Données projet'!$E$9+1,1))-AVERAGE(OFFSET($H$3,0,0,'Données projet'!$E$9+1,1))</f>
        <v>287.413090017863</v>
      </c>
      <c r="T41" s="59">
        <f t="shared" si="34"/>
        <v>258.48456031927117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30.354265523673853</v>
      </c>
      <c r="AA41" s="21">
        <f>EXP(-LN(2)/25)*AA40+(1-EXP(-LN(2)/25))/(LN(2)/25)*Calculateur!V41*Calculateur!X41*VLOOKUP('Données projet'!$B$9,Paramètres!$A$1:$I$89,3,0)*0.475*44/12</f>
        <v>20.247977280473094</v>
      </c>
      <c r="AB41" s="21">
        <f>EXP(-LN(2)/2)*AB40+(1-EXP(-LN(2)/2))/(LN(2)/2)*V41*Y41*VLOOKUP('Données projet'!$B$9,Paramètres!$A$1:$I$89,3,0)*0.475*44/12</f>
        <v>4.4314665757143734</v>
      </c>
      <c r="AC41" s="22">
        <f t="shared" si="3"/>
        <v>55.033709379861321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4.0942857142857143</v>
      </c>
      <c r="AI41" s="13">
        <f>IF('Données projet'!$A$62&gt;35,AI40+AH41-AQ40,IF(A41&lt;'Données projet'!$A$62,$AF$205^A41,IF(A41='Données projet'!$A$62,'Données projet'!$B$62,AI40+AH41-AQ40)))</f>
        <v>155.58285714285725</v>
      </c>
      <c r="AJ41" s="13">
        <f>AI41*VLOOKUP('Données projet'!$B$10,Paramètres!$A$1:$I$89,3,0)*VLOOKUP('Données projet'!$B$10,Paramètres!$A$1:$I$89,5,0)</f>
        <v>140.77136914285722</v>
      </c>
      <c r="AK41" s="13">
        <f t="shared" si="35"/>
        <v>36.473658784165018</v>
      </c>
      <c r="AL41" s="20">
        <f t="shared" si="4"/>
        <v>308.70175697289704</v>
      </c>
      <c r="AM41" s="59">
        <f t="shared" si="5"/>
        <v>602.03509030623036</v>
      </c>
      <c r="AN41" s="59">
        <f ca="1">AVERAGE(OFFSET($AM$3,0,0,'Données projet'!$E$10+1,1))-AVERAGE(OFFSET($H$3,0,0,'Données projet'!$E$10+1,1))</f>
        <v>422.10969295064359</v>
      </c>
      <c r="AO41" s="59">
        <f t="shared" si="36"/>
        <v>184.04075143033037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23.4</v>
      </c>
      <c r="BD41" s="12">
        <f>IF('Données projet'!$A$88&gt;35,BD40+BC41-BL40,IF(A41&lt;'Données projet'!$A$88,$BA$205^A41,IF(A41='Données projet'!$A$88,'Données projet'!$B$88,BD40+BC41-BL40)))</f>
        <v>347.19999999999982</v>
      </c>
      <c r="BE41" s="13">
        <f>BD41*VLOOKUP('Données projet'!$B$11,Paramètres!$A$1:$I$89,3,0)*VLOOKUP('Données projet'!$B$11,Paramètres!$A$1:$I$89,5,0)</f>
        <v>139.92159999999993</v>
      </c>
      <c r="BF41" s="13">
        <f t="shared" si="37"/>
        <v>36.279044570451561</v>
      </c>
      <c r="BG41" s="20">
        <f t="shared" si="7"/>
        <v>306.88278929353635</v>
      </c>
      <c r="BH41" s="59">
        <f t="shared" si="8"/>
        <v>600.21612262686972</v>
      </c>
      <c r="BI41" s="59">
        <f ca="1">AVERAGE(OFFSET($BH$3,0,0,'Données projet'!$E$11+1,1))-AVERAGE(OFFSET($H$3,0,0,'Données projet'!$E$11+1,1))</f>
        <v>217.61052961346684</v>
      </c>
      <c r="BJ41" s="59">
        <f t="shared" si="38"/>
        <v>180.77145728128608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9.778902742467368</v>
      </c>
      <c r="BQ41" s="21">
        <f>EXP(-LN(2)/25)*BQ40+(1-EXP(-LN(2)/25))/(LN(2)/25)*Calculateur!BL41*Calculateur!BN41*VLOOKUP('Données projet'!$B$11,Paramètres!$A$1:$I$89,3,0)*0.475*44/12</f>
        <v>13.619173837330885</v>
      </c>
      <c r="BR41" s="21">
        <f>EXP(-LN(2)/2)*BR40+(1-EXP(-LN(2)/2))/(LN(2)/2)*BL41*BO41*VLOOKUP('Données projet'!$B$11,Paramètres!$A$1:$I$89,3,0)*0.475*44/12</f>
        <v>4.120272830241773</v>
      </c>
      <c r="BS41" s="22">
        <f t="shared" si="9"/>
        <v>27.518349410040027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13.987142857142857</v>
      </c>
      <c r="BY41" s="12">
        <f>IF('Données projet'!$A$114&gt;35,BY40+BX41-CG40,IF(A41&lt;'Données projet'!$A$114,$BV$205^A41,IF(A41='Données projet'!$A$114,'Données projet'!$B$114,BY40+BX41-CG40)))</f>
        <v>134.58714285714285</v>
      </c>
      <c r="BZ41" s="13">
        <f>BY41*VLOOKUP('Données projet'!$B$12,Paramètres!$A$1:$I$89,3,0)*VLOOKUP('Données projet'!$B$12,Paramètres!$A$1:$I$89,5,0)</f>
        <v>113.37620914285714</v>
      </c>
      <c r="CA41" s="13">
        <f t="shared" si="39"/>
        <v>30.125040801765408</v>
      </c>
      <c r="CB41" s="20">
        <f t="shared" si="10"/>
        <v>249.93134365355093</v>
      </c>
      <c r="CC41" s="59">
        <f t="shared" si="11"/>
        <v>543.2646769868843</v>
      </c>
      <c r="CD41" s="59">
        <f ca="1">AVERAGE(OFFSET($CC$3,0,0,'Données projet'!$E$12+1,1))-AVERAGE(OFFSET($H$3,0,0,'Données projet'!$E$12+1,1))</f>
        <v>287.72859857368331</v>
      </c>
      <c r="CE41" s="59">
        <f t="shared" si="40"/>
        <v>179.60736986885922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30.906042006535017</v>
      </c>
      <c r="CM41" s="21">
        <f>EXP(-LN(2)/2)*CM40+(1-EXP(-LN(2)/2))/(LN(2)/2)*CG41*CJ41*VLOOKUP('Données projet'!$B$12,Paramètres!$A$1:$I$89,3,0)*0.475*44/12</f>
        <v>5.8575922905532165</v>
      </c>
      <c r="CN41" s="22">
        <f t="shared" si="12"/>
        <v>36.763634297088231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11.4</v>
      </c>
      <c r="CT41" s="12">
        <f>IF('Données projet'!$A$140&gt;35,CT40+CS41-DB40,IF(A41&lt;'Données projet'!$A$140,$CQ$205^A41,IF(A41='Données projet'!$A$140,'Données projet'!$B$140,CT40+CS41-DB40)))</f>
        <v>205.2</v>
      </c>
      <c r="CU41" s="17">
        <f>CT41*VLOOKUP('Données projet'!$B$13,Paramètres!$A$1:$I$89,3,0)*VLOOKUP('Données projet'!$B$13,Paramètres!$A$1:$I$89,5,0)</f>
        <v>163.25712000000001</v>
      </c>
      <c r="CV41" s="13">
        <f t="shared" si="41"/>
        <v>41.576304038313076</v>
      </c>
      <c r="CW41" s="20">
        <f t="shared" si="13"/>
        <v>356.75154686672863</v>
      </c>
      <c r="CX41" s="59">
        <f t="shared" si="14"/>
        <v>650.08488020006189</v>
      </c>
      <c r="CY41" s="59">
        <f ca="1">AVERAGE(OFFSET($CX$3,0,0,'Données projet'!$E$13+1,1))-AVERAGE(OFFSET($H$3,0,0,'Données projet'!$E$13+1,1))</f>
        <v>243.33915530322201</v>
      </c>
      <c r="CZ41" s="59">
        <f t="shared" si="42"/>
        <v>247.73814704672577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7.3245873612437498</v>
      </c>
      <c r="DG41" s="21">
        <f>EXP(-LN(2)/25)*DG40+(1-EXP(-LN(2)/25))/(LN(2)/25)*Calculateur!DB41*Calculateur!DD41*VLOOKUP('Données projet'!$B$13,Paramètres!$A$1:$I$89,3,0)*0.475*44/12</f>
        <v>14.255674775755518</v>
      </c>
      <c r="DH41" s="21">
        <f>EXP(-LN(2)/2)*DH40+(1-EXP(-LN(2)/2))/(LN(2)/2)*DB41*DE41*VLOOKUP('Données projet'!$B$13,Paramètres!$A$1:$I$89,3,0)*0.475*44/12</f>
        <v>2.8202626626417495</v>
      </c>
      <c r="DI41" s="22">
        <f t="shared" si="15"/>
        <v>24.400524799641016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22.851428571428578</v>
      </c>
      <c r="N42" s="13">
        <f>IF('Données projet'!$A$36&gt;35,N41+M42-V41,IF(A42&lt;'Données projet'!$A$36,$K$205^A42,IF(A42='Données projet'!$A$36,'Données projet'!$B$36,N41+M42-V41)))</f>
        <v>381.93571428571431</v>
      </c>
      <c r="O42" s="13">
        <f>N42*VLOOKUP('Données projet'!$B$9,Paramètres!$A$1:$I$89,3,0)*VLOOKUP('Données projet'!$B$9,Paramètres!$A$1:$I$89,5,0)</f>
        <v>213.50206428571431</v>
      </c>
      <c r="P42" s="13">
        <f t="shared" si="33"/>
        <v>52.700136656354076</v>
      </c>
      <c r="Q42" s="20">
        <f t="shared" si="53"/>
        <v>463.6354999741024</v>
      </c>
      <c r="R42" s="59">
        <f t="shared" si="0"/>
        <v>756.96883330743572</v>
      </c>
      <c r="S42" s="59">
        <f ca="1">AVERAGE(OFFSET($R$3,0,0,'Données projet'!$E$9+1,1))-AVERAGE(OFFSET($H$3,0,0,'Données projet'!$E$9+1,1))</f>
        <v>287.413090017863</v>
      </c>
      <c r="T42" s="59">
        <f t="shared" si="34"/>
        <v>258.48456031927117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29.759036891028444</v>
      </c>
      <c r="AA42" s="21">
        <f>EXP(-LN(2)/25)*AA41+(1-EXP(-LN(2)/25))/(LN(2)/25)*Calculateur!V42*Calculateur!X42*VLOOKUP('Données projet'!$B$9,Paramètres!$A$1:$I$89,3,0)*0.475*44/12</f>
        <v>19.694295276943709</v>
      </c>
      <c r="AB42" s="21">
        <f>EXP(-LN(2)/2)*AB41+(1-EXP(-LN(2)/2))/(LN(2)/2)*V42*Y42*VLOOKUP('Données projet'!$B$9,Paramètres!$A$1:$I$89,3,0)*0.475*44/12</f>
        <v>3.1335200662891629</v>
      </c>
      <c r="AC42" s="22">
        <f t="shared" si="3"/>
        <v>52.586852234261315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4.0942857142857143</v>
      </c>
      <c r="AI42" s="13">
        <f>IF('Données projet'!$A$62&gt;35,AI41+AH42-AQ41,IF(A42&lt;'Données projet'!$A$62,$AF$205^A42,IF(A42='Données projet'!$A$62,'Données projet'!$B$62,AI41+AH42-AQ41)))</f>
        <v>159.67714285714297</v>
      </c>
      <c r="AJ42" s="13">
        <f>AI42*VLOOKUP('Données projet'!$B$10,Paramètres!$A$1:$I$89,3,0)*VLOOKUP('Données projet'!$B$10,Paramètres!$A$1:$I$89,5,0)</f>
        <v>144.47587885714296</v>
      </c>
      <c r="AK42" s="13">
        <f t="shared" si="35"/>
        <v>37.320480935293446</v>
      </c>
      <c r="AL42" s="20">
        <f t="shared" si="4"/>
        <v>316.62865997182678</v>
      </c>
      <c r="AM42" s="59">
        <f t="shared" si="5"/>
        <v>609.96199330516015</v>
      </c>
      <c r="AN42" s="59">
        <f ca="1">AVERAGE(OFFSET($AM$3,0,0,'Données projet'!$E$10+1,1))-AVERAGE(OFFSET($H$3,0,0,'Données projet'!$E$10+1,1))</f>
        <v>422.10969295064359</v>
      </c>
      <c r="AO42" s="59">
        <f t="shared" si="36"/>
        <v>184.04075143033037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23.4</v>
      </c>
      <c r="BD42" s="12">
        <f>IF('Données projet'!$A$88&gt;35,BD41+BC42-BL41,IF(A42&lt;'Données projet'!$A$88,$BA$205^A42,IF(A42='Données projet'!$A$88,'Données projet'!$B$88,BD41+BC42-BL41)))</f>
        <v>370.5999999999998</v>
      </c>
      <c r="BE42" s="13">
        <f>BD42*VLOOKUP('Données projet'!$B$11,Paramètres!$A$1:$I$89,3,0)*VLOOKUP('Données projet'!$B$11,Paramètres!$A$1:$I$89,5,0)</f>
        <v>149.35179999999991</v>
      </c>
      <c r="BF42" s="13">
        <f t="shared" si="37"/>
        <v>38.431242737524485</v>
      </c>
      <c r="BG42" s="20">
        <f t="shared" si="7"/>
        <v>327.0554661011883</v>
      </c>
      <c r="BH42" s="59">
        <f t="shared" si="8"/>
        <v>620.38879943452162</v>
      </c>
      <c r="BI42" s="59">
        <f ca="1">AVERAGE(OFFSET($BH$3,0,0,'Données projet'!$E$11+1,1))-AVERAGE(OFFSET($H$3,0,0,'Données projet'!$E$11+1,1))</f>
        <v>217.61052961346684</v>
      </c>
      <c r="BJ42" s="59">
        <f t="shared" si="38"/>
        <v>180.77145728128608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9.5871444242293062</v>
      </c>
      <c r="BQ42" s="21">
        <f>EXP(-LN(2)/25)*BQ41+(1-EXP(-LN(2)/25))/(LN(2)/25)*Calculateur!BL42*Calculateur!BN42*VLOOKUP('Données projet'!$B$11,Paramètres!$A$1:$I$89,3,0)*0.475*44/12</f>
        <v>13.246756812547847</v>
      </c>
      <c r="BR42" s="21">
        <f>EXP(-LN(2)/2)*BR41+(1-EXP(-LN(2)/2))/(LN(2)/2)*BL42*BO42*VLOOKUP('Données projet'!$B$11,Paramètres!$A$1:$I$89,3,0)*0.475*44/12</f>
        <v>2.9134728586026464</v>
      </c>
      <c r="BS42" s="22">
        <f t="shared" si="9"/>
        <v>25.747374095379797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13.987142857142857</v>
      </c>
      <c r="BY42" s="12">
        <f>IF('Données projet'!$A$114&gt;35,BY41+BX42-CG41,IF(A42&lt;'Données projet'!$A$114,$BV$205^A42,IF(A42='Données projet'!$A$114,'Données projet'!$B$114,BY41+BX42-CG41)))</f>
        <v>148.57428571428571</v>
      </c>
      <c r="BZ42" s="13">
        <f>BY42*VLOOKUP('Données projet'!$B$12,Paramètres!$A$1:$I$89,3,0)*VLOOKUP('Données projet'!$B$12,Paramètres!$A$1:$I$89,5,0)</f>
        <v>125.1589782857143</v>
      </c>
      <c r="CA42" s="13">
        <f t="shared" si="39"/>
        <v>32.875282708584329</v>
      </c>
      <c r="CB42" s="20">
        <f t="shared" si="10"/>
        <v>275.24300456507007</v>
      </c>
      <c r="CC42" s="59">
        <f t="shared" si="11"/>
        <v>568.57633789840338</v>
      </c>
      <c r="CD42" s="59">
        <f ca="1">AVERAGE(OFFSET($CC$3,0,0,'Données projet'!$E$12+1,1))-AVERAGE(OFFSET($H$3,0,0,'Données projet'!$E$12+1,1))</f>
        <v>287.72859857368331</v>
      </c>
      <c r="CE42" s="59">
        <f t="shared" si="40"/>
        <v>179.60736986885922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30.060914662588203</v>
      </c>
      <c r="CM42" s="21">
        <f>EXP(-LN(2)/2)*CM41+(1-EXP(-LN(2)/2))/(LN(2)/2)*CG42*CJ42*VLOOKUP('Données projet'!$B$12,Paramètres!$A$1:$I$89,3,0)*0.475*44/12</f>
        <v>4.1419432300762216</v>
      </c>
      <c r="CN42" s="22">
        <f t="shared" si="12"/>
        <v>34.202857892664426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11.4</v>
      </c>
      <c r="CT42" s="12">
        <f>IF('Données projet'!$A$140&gt;35,CT41+CS42-DB41,IF(A42&lt;'Données projet'!$A$140,$CQ$205^A42,IF(A42='Données projet'!$A$140,'Données projet'!$B$140,CT41+CS42-DB41)))</f>
        <v>216.6</v>
      </c>
      <c r="CU42" s="17">
        <f>CT42*VLOOKUP('Données projet'!$B$13,Paramètres!$A$1:$I$89,3,0)*VLOOKUP('Données projet'!$B$13,Paramètres!$A$1:$I$89,5,0)</f>
        <v>172.32695999999999</v>
      </c>
      <c r="CV42" s="13">
        <f t="shared" si="41"/>
        <v>43.61077213808133</v>
      </c>
      <c r="CW42" s="20">
        <f t="shared" si="13"/>
        <v>376.09155014049156</v>
      </c>
      <c r="CX42" s="59">
        <f t="shared" si="14"/>
        <v>669.42488347382482</v>
      </c>
      <c r="CY42" s="59">
        <f ca="1">AVERAGE(OFFSET($CX$3,0,0,'Données projet'!$E$13+1,1))-AVERAGE(OFFSET($H$3,0,0,'Données projet'!$E$13+1,1))</f>
        <v>243.33915530322201</v>
      </c>
      <c r="CZ42" s="59">
        <f t="shared" si="42"/>
        <v>247.73814704672577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7.1809566706469159</v>
      </c>
      <c r="DG42" s="21">
        <f>EXP(-LN(2)/25)*DG41+(1-EXP(-LN(2)/25))/(LN(2)/25)*Calculateur!DB42*Calculateur!DD42*VLOOKUP('Données projet'!$B$13,Paramètres!$A$1:$I$89,3,0)*0.475*44/12</f>
        <v>13.865852599339128</v>
      </c>
      <c r="DH42" s="21">
        <f>EXP(-LN(2)/2)*DH41+(1-EXP(-LN(2)/2))/(LN(2)/2)*DB42*DE42*VLOOKUP('Données projet'!$B$13,Paramètres!$A$1:$I$89,3,0)*0.475*44/12</f>
        <v>1.9942268534812095</v>
      </c>
      <c r="DI42" s="22">
        <f t="shared" si="15"/>
        <v>23.041036123467251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22.851428571428578</v>
      </c>
      <c r="N43" s="13">
        <f>IF('Données projet'!$A$36&gt;35,N42+M43-V42,IF(A43&lt;'Données projet'!$A$36,$K$205^A43,IF(A43='Données projet'!$A$36,'Données projet'!$B$36,N42+M43-V42)))</f>
        <v>404.7871428571429</v>
      </c>
      <c r="O43" s="13">
        <f>N43*VLOOKUP('Données projet'!$B$9,Paramètres!$A$1:$I$89,3,0)*VLOOKUP('Données projet'!$B$9,Paramètres!$A$1:$I$89,5,0)</f>
        <v>226.27601285714289</v>
      </c>
      <c r="P43" s="13">
        <f t="shared" si="33"/>
        <v>55.476705055614268</v>
      </c>
      <c r="Q43" s="20">
        <f t="shared" si="53"/>
        <v>490.71931703138534</v>
      </c>
      <c r="R43" s="59">
        <f t="shared" si="0"/>
        <v>784.0526503647186</v>
      </c>
      <c r="S43" s="59">
        <f ca="1">AVERAGE(OFFSET($R$3,0,0,'Données projet'!$E$9+1,1))-AVERAGE(OFFSET($H$3,0,0,'Données projet'!$E$9+1,1))</f>
        <v>287.413090017863</v>
      </c>
      <c r="T43" s="59">
        <f t="shared" si="34"/>
        <v>258.48456031927117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29.175480328815595</v>
      </c>
      <c r="AA43" s="21">
        <f>EXP(-LN(2)/25)*AA42+(1-EXP(-LN(2)/25))/(LN(2)/25)*Calculateur!V43*Calculateur!X43*VLOOKUP('Données projet'!$B$9,Paramètres!$A$1:$I$89,3,0)*0.475*44/12</f>
        <v>19.155753736917706</v>
      </c>
      <c r="AB43" s="21">
        <f>EXP(-LN(2)/2)*AB42+(1-EXP(-LN(2)/2))/(LN(2)/2)*V43*Y43*VLOOKUP('Données projet'!$B$9,Paramètres!$A$1:$I$89,3,0)*0.475*44/12</f>
        <v>2.2157332878571872</v>
      </c>
      <c r="AC43" s="22">
        <f t="shared" si="3"/>
        <v>50.546967353590489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4.0942857142857143</v>
      </c>
      <c r="AI43" s="13">
        <f>IF('Données projet'!$A$62&gt;35,AI42+AH43-AQ42,IF(A43&lt;'Données projet'!$A$62,$AF$205^A43,IF(A43='Données projet'!$A$62,'Données projet'!$B$62,AI42+AH43-AQ42)))</f>
        <v>163.77142857142869</v>
      </c>
      <c r="AJ43" s="13">
        <f>AI43*VLOOKUP('Données projet'!$B$10,Paramètres!$A$1:$I$89,3,0)*VLOOKUP('Données projet'!$B$10,Paramètres!$A$1:$I$89,5,0)</f>
        <v>148.18038857142867</v>
      </c>
      <c r="AK43" s="13">
        <f t="shared" si="35"/>
        <v>38.16477912369308</v>
      </c>
      <c r="AL43" s="20">
        <f t="shared" si="4"/>
        <v>324.55116706900372</v>
      </c>
      <c r="AM43" s="59">
        <f t="shared" si="5"/>
        <v>617.88450040233704</v>
      </c>
      <c r="AN43" s="59">
        <f ca="1">AVERAGE(OFFSET($AM$3,0,0,'Données projet'!$E$10+1,1))-AVERAGE(OFFSET($H$3,0,0,'Données projet'!$E$10+1,1))</f>
        <v>422.10969295064359</v>
      </c>
      <c r="AO43" s="59">
        <f t="shared" si="36"/>
        <v>184.04075143033037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394</v>
      </c>
      <c r="BB43" s="12">
        <f>VLOOKUP(A43,'Données projet'!$A$87:$I$107,9,0)</f>
        <v>23.4</v>
      </c>
      <c r="BC43" s="12">
        <f t="array" ref="BC43">INDEX(BB:BB,MIN(IF(ISNUMBER(BB43:BB239),ROW(BB43:BB239),"")))</f>
        <v>23.4</v>
      </c>
      <c r="BD43" s="12">
        <f>IF('Données projet'!$A$88&gt;35,BD42+BC43-BL42,IF(A43&lt;'Données projet'!$A$88,$BA$205^A43,IF(A43='Données projet'!$A$88,'Données projet'!$B$88,BD42+BC43-BL42)))</f>
        <v>393.99999999999977</v>
      </c>
      <c r="BE43" s="13">
        <f>BD43*VLOOKUP('Données projet'!$B$11,Paramètres!$A$1:$I$89,3,0)*VLOOKUP('Données projet'!$B$11,Paramètres!$A$1:$I$89,5,0)</f>
        <v>158.78199999999993</v>
      </c>
      <c r="BF43" s="13">
        <f t="shared" si="37"/>
        <v>40.567670045181565</v>
      </c>
      <c r="BG43" s="20">
        <f t="shared" si="7"/>
        <v>347.20067532869103</v>
      </c>
      <c r="BH43" s="59">
        <f t="shared" si="8"/>
        <v>640.53400866202435</v>
      </c>
      <c r="BI43" s="59">
        <f ca="1">AVERAGE(OFFSET($BH$3,0,0,'Données projet'!$E$11+1,1))-AVERAGE(OFFSET($H$3,0,0,'Données projet'!$E$11+1,1))</f>
        <v>217.61052961346684</v>
      </c>
      <c r="BJ43" s="59">
        <f t="shared" si="38"/>
        <v>180.77145728128608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0.13750000000000001</v>
      </c>
      <c r="BN43" s="16">
        <f>IF(ISNA(VLOOKUP(A43,'Données projet'!$A$87:$I$107,6,0)),0%,VLOOKUP(A43,'Données projet'!$A$87:$I$107,6,0)*VLOOKUP('Données projet'!$B$11,Paramètres!$A$1:$I$89,7,0))</f>
        <v>0.20350000000000001</v>
      </c>
      <c r="BO43" s="16">
        <f>IF(ISNA(VLOOKUP(A43,'Données projet'!$A$87:$I$107,7,0)),0%,VLOOKUP(A43,'Données projet'!$A$87:$I$107,7,0))</f>
        <v>0.38</v>
      </c>
      <c r="BP43" s="21">
        <f>EXP(-LN(2)/35)*BP42+(1-EXP(-LN(2)/35))/(LN(2)/35)*BL43*BM43*VLOOKUP('Données projet'!$B$11,Paramètres!$A$1:$I$89,3,0)*0.475*44/12</f>
        <v>13.515608531325306</v>
      </c>
      <c r="BQ43" s="21">
        <f>EXP(-LN(2)/25)*BQ42+(1-EXP(-LN(2)/25))/(LN(2)/25)*Calculateur!BL43*Calculateur!BN43*VLOOKUP('Données projet'!$B$11,Paramètres!$A$1:$I$89,3,0)*0.475*44/12</f>
        <v>18.952899591732393</v>
      </c>
      <c r="BR43" s="21">
        <f>EXP(-LN(2)/2)*BR42+(1-EXP(-LN(2)/2))/(LN(2)/2)*BL43*BO43*VLOOKUP('Données projet'!$B$11,Paramètres!$A$1:$I$89,3,0)*0.475*44/12</f>
        <v>11.769979441540256</v>
      </c>
      <c r="BS43" s="22">
        <f t="shared" si="9"/>
        <v>44.23848756459796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13.987142857142857</v>
      </c>
      <c r="BY43" s="12">
        <f>IF('Données projet'!$A$114&gt;35,BY42+BX43-CG42,IF(A43&lt;'Données projet'!$A$114,$BV$205^A43,IF(A43='Données projet'!$A$114,'Données projet'!$B$114,BY42+BX43-CG42)))</f>
        <v>162.56142857142856</v>
      </c>
      <c r="BZ43" s="13">
        <f>BY43*VLOOKUP('Données projet'!$B$12,Paramètres!$A$1:$I$89,3,0)*VLOOKUP('Données projet'!$B$12,Paramètres!$A$1:$I$89,5,0)</f>
        <v>136.94174742857143</v>
      </c>
      <c r="CA43" s="13">
        <f t="shared" si="39"/>
        <v>35.595504732914314</v>
      </c>
      <c r="CB43" s="20">
        <f t="shared" si="10"/>
        <v>300.50238084792096</v>
      </c>
      <c r="CC43" s="59">
        <f t="shared" si="11"/>
        <v>593.83571418125427</v>
      </c>
      <c r="CD43" s="59">
        <f ca="1">AVERAGE(OFFSET($CC$3,0,0,'Données projet'!$E$12+1,1))-AVERAGE(OFFSET($H$3,0,0,'Données projet'!$E$12+1,1))</f>
        <v>287.72859857368331</v>
      </c>
      <c r="CE43" s="59">
        <f t="shared" si="40"/>
        <v>179.60736986885922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29.238897370304933</v>
      </c>
      <c r="CM43" s="21">
        <f>EXP(-LN(2)/2)*CM42+(1-EXP(-LN(2)/2))/(LN(2)/2)*CG43*CJ43*VLOOKUP('Données projet'!$B$12,Paramètres!$A$1:$I$89,3,0)*0.475*44/12</f>
        <v>2.9287961452766087</v>
      </c>
      <c r="CN43" s="22">
        <f t="shared" si="12"/>
        <v>32.16769351558154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228</v>
      </c>
      <c r="CR43" s="12">
        <f>VLOOKUP(A43,'Données projet'!$A$139:$I$159,9,0)</f>
        <v>11.4</v>
      </c>
      <c r="CS43" s="12">
        <f t="array" ref="CS43">INDEX(CR:CR,MIN(IF(ISNUMBER(CR43:CR239),ROW(CR43:CR239),"")))</f>
        <v>11.4</v>
      </c>
      <c r="CT43" s="12">
        <f>IF('Données projet'!$A$140&gt;35,CT42+CS43-DB42,IF(A43&lt;'Données projet'!$A$140,$CQ$205^A43,IF(A43='Données projet'!$A$140,'Données projet'!$B$140,CT42+CS43-DB42)))</f>
        <v>228</v>
      </c>
      <c r="CU43" s="17">
        <f>CT43*VLOOKUP('Données projet'!$B$13,Paramètres!$A$1:$I$89,3,0)*VLOOKUP('Données projet'!$B$13,Paramètres!$A$1:$I$89,5,0)</f>
        <v>181.39680000000001</v>
      </c>
      <c r="CV43" s="13">
        <f t="shared" si="41"/>
        <v>45.63280848550832</v>
      </c>
      <c r="CW43" s="20">
        <f t="shared" si="13"/>
        <v>395.40990144559368</v>
      </c>
      <c r="CX43" s="59">
        <f t="shared" si="14"/>
        <v>688.74323477892699</v>
      </c>
      <c r="CY43" s="59">
        <f ca="1">AVERAGE(OFFSET($CX$3,0,0,'Données projet'!$E$13+1,1))-AVERAGE(OFFSET($H$3,0,0,'Données projet'!$E$13+1,1))</f>
        <v>243.33915530322201</v>
      </c>
      <c r="CZ43" s="59">
        <f t="shared" si="42"/>
        <v>247.73814704672577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35</v>
      </c>
      <c r="DC43" s="16">
        <f>IF(ISNA(VLOOKUP(A43,'Données projet'!$A$139:$I$159,5,0)),0%,VLOOKUP(A43,'Données projet'!$A$139:$I$159,5,0)*VLOOKUP('Données projet'!$B$13,Paramètres!$A$1:$I$89,7,0))</f>
        <v>0.13250000000000001</v>
      </c>
      <c r="DD43" s="16">
        <f>IF(ISNA(VLOOKUP(A43,'Données projet'!$A$139:$I$159,6,0)),0%,VLOOKUP(A43,'Données projet'!$A$139:$I$159,6,0)*VLOOKUP('Données projet'!$B$13,Paramètres!$A$1:$I$89,7,0))</f>
        <v>0.13250000000000001</v>
      </c>
      <c r="DE43" s="16">
        <f>IF(ISNA(VLOOKUP(A43,'Données projet'!$A$139:$I$159,7,0)),0%,VLOOKUP(A43,'Données projet'!$A$139:$I$159,7,0))</f>
        <v>0.25</v>
      </c>
      <c r="DF43" s="21">
        <f>EXP(-LN(2)/35)*DF42+(1-EXP(-LN(2)/35))/(LN(2)/35)*DB43*DC43*VLOOKUP('Données projet'!$B$13,Paramètres!$A$1:$I$89,3,0)*0.475*44/12</f>
        <v>11.118880475259491</v>
      </c>
      <c r="DG43" s="21">
        <f>EXP(-LN(2)/25)*DG42+(1-EXP(-LN(2)/25))/(LN(2)/25)*Calculateur!DB43*Calculateur!DD43*VLOOKUP('Données projet'!$B$13,Paramètres!$A$1:$I$89,3,0)*0.475*44/12</f>
        <v>17.549368570241725</v>
      </c>
      <c r="DH43" s="21">
        <f>EXP(-LN(2)/2)*DH42+(1-EXP(-LN(2)/2))/(LN(2)/2)*DB43*DE43*VLOOKUP('Données projet'!$B$13,Paramètres!$A$1:$I$89,3,0)*0.475*44/12</f>
        <v>7.9784939473462853</v>
      </c>
      <c r="DI43" s="22">
        <f t="shared" si="15"/>
        <v>36.6467429928475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22.851428571428578</v>
      </c>
      <c r="N44" s="13">
        <f>IF('Données projet'!$A$36&gt;35,N43+M44-V43,IF(A44&lt;'Données projet'!$A$36,$K$205^A44,IF(A44='Données projet'!$A$36,'Données projet'!$B$36,N43+M44-V43)))</f>
        <v>427.63857142857148</v>
      </c>
      <c r="O44" s="13">
        <f>N44*VLOOKUP('Données projet'!$B$9,Paramètres!$A$1:$I$89,3,0)*VLOOKUP('Données projet'!$B$9,Paramètres!$A$1:$I$89,5,0)</f>
        <v>239.04996142857144</v>
      </c>
      <c r="P44" s="13">
        <f t="shared" si="33"/>
        <v>58.235077894233235</v>
      </c>
      <c r="Q44" s="20">
        <f t="shared" si="53"/>
        <v>517.77144348721811</v>
      </c>
      <c r="R44" s="59">
        <f t="shared" si="0"/>
        <v>811.10477682055148</v>
      </c>
      <c r="S44" s="59">
        <f ca="1">AVERAGE(OFFSET($R$3,0,0,'Données projet'!$E$9+1,1))-AVERAGE(OFFSET($H$3,0,0,'Données projet'!$E$9+1,1))</f>
        <v>287.413090017863</v>
      </c>
      <c r="T44" s="59">
        <f t="shared" si="34"/>
        <v>258.48456031927117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28.603366954853385</v>
      </c>
      <c r="AA44" s="21">
        <f>EXP(-LN(2)/25)*AA43+(1-EXP(-LN(2)/25))/(LN(2)/25)*Calculateur!V44*Calculateur!X44*VLOOKUP('Données projet'!$B$9,Paramètres!$A$1:$I$89,3,0)*0.475*44/12</f>
        <v>18.631938643624384</v>
      </c>
      <c r="AB44" s="21">
        <f>EXP(-LN(2)/2)*AB43+(1-EXP(-LN(2)/2))/(LN(2)/2)*V44*Y44*VLOOKUP('Données projet'!$B$9,Paramètres!$A$1:$I$89,3,0)*0.475*44/12</f>
        <v>1.5667600331445817</v>
      </c>
      <c r="AC44" s="22">
        <f t="shared" si="3"/>
        <v>48.802065631622348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4.0942857142857143</v>
      </c>
      <c r="AI44" s="13">
        <f>IF('Données projet'!$A$62&gt;35,AI43+AH44-AQ43,IF(A44&lt;'Données projet'!$A$62,$AF$205^A44,IF(A44='Données projet'!$A$62,'Données projet'!$B$62,AI43+AH44-AQ43)))</f>
        <v>167.8657142857144</v>
      </c>
      <c r="AJ44" s="13">
        <f>AI44*VLOOKUP('Données projet'!$B$10,Paramètres!$A$1:$I$89,3,0)*VLOOKUP('Données projet'!$B$10,Paramètres!$A$1:$I$89,5,0)</f>
        <v>151.88489828571437</v>
      </c>
      <c r="AK44" s="13">
        <f t="shared" si="35"/>
        <v>39.006623705593562</v>
      </c>
      <c r="AL44" s="20">
        <f t="shared" si="4"/>
        <v>332.46940080152797</v>
      </c>
      <c r="AM44" s="59">
        <f t="shared" si="5"/>
        <v>625.80273413486134</v>
      </c>
      <c r="AN44" s="59">
        <f ca="1">AVERAGE(OFFSET($AM$3,0,0,'Données projet'!$E$10+1,1))-AVERAGE(OFFSET($H$3,0,0,'Données projet'!$E$10+1,1))</f>
        <v>422.10969295064359</v>
      </c>
      <c r="AO44" s="59">
        <f t="shared" si="36"/>
        <v>184.04075143033037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22.4</v>
      </c>
      <c r="BD44" s="12">
        <f>IF('Données projet'!$A$88&gt;35,BD43+BC44-BL43,IF(A44&lt;'Données projet'!$A$88,$BA$205^A44,IF(A44='Données projet'!$A$88,'Données projet'!$B$88,BD43+BC44-BL43)))</f>
        <v>360.39999999999975</v>
      </c>
      <c r="BE44" s="13">
        <f>BD44*VLOOKUP('Données projet'!$B$11,Paramètres!$A$1:$I$89,3,0)*VLOOKUP('Données projet'!$B$11,Paramètres!$A$1:$I$89,5,0)</f>
        <v>145.24119999999991</v>
      </c>
      <c r="BF44" s="13">
        <f t="shared" si="37"/>
        <v>37.495110453415265</v>
      </c>
      <c r="BG44" s="20">
        <f t="shared" si="7"/>
        <v>318.26574070636474</v>
      </c>
      <c r="BH44" s="59">
        <f t="shared" si="8"/>
        <v>611.59907403969805</v>
      </c>
      <c r="BI44" s="59">
        <f ca="1">AVERAGE(OFFSET($BH$3,0,0,'Données projet'!$E$11+1,1))-AVERAGE(OFFSET($H$3,0,0,'Données projet'!$E$11+1,1))</f>
        <v>217.61052961346684</v>
      </c>
      <c r="BJ44" s="59">
        <f t="shared" si="38"/>
        <v>180.77145728128608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13.250575691733221</v>
      </c>
      <c r="BQ44" s="21">
        <f>EXP(-LN(2)/25)*BQ43+(1-EXP(-LN(2)/25))/(LN(2)/25)*Calculateur!BL44*Calculateur!BN44*VLOOKUP('Données projet'!$B$11,Paramètres!$A$1:$I$89,3,0)*0.475*44/12</f>
        <v>18.434631555706797</v>
      </c>
      <c r="BR44" s="21">
        <f>EXP(-LN(2)/2)*BR43+(1-EXP(-LN(2)/2))/(LN(2)/2)*BL44*BO44*VLOOKUP('Données projet'!$B$11,Paramètres!$A$1:$I$89,3,0)*0.475*44/12</f>
        <v>8.3226322775393697</v>
      </c>
      <c r="BS44" s="22">
        <f t="shared" si="9"/>
        <v>40.007839524979389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13.987142857142857</v>
      </c>
      <c r="BY44" s="12">
        <f>IF('Données projet'!$A$114&gt;35,BY43+BX44-CG43,IF(A44&lt;'Données projet'!$A$114,$BV$205^A44,IF(A44='Données projet'!$A$114,'Données projet'!$B$114,BY43+BX44-CG43)))</f>
        <v>176.54857142857142</v>
      </c>
      <c r="BZ44" s="13">
        <f>BY44*VLOOKUP('Données projet'!$B$12,Paramètres!$A$1:$I$89,3,0)*VLOOKUP('Données projet'!$B$12,Paramètres!$A$1:$I$89,5,0)</f>
        <v>148.72451657142858</v>
      </c>
      <c r="CA44" s="13">
        <f t="shared" si="39"/>
        <v>38.288583531630934</v>
      </c>
      <c r="CB44" s="20">
        <f t="shared" si="10"/>
        <v>325.71448267949529</v>
      </c>
      <c r="CC44" s="59">
        <f t="shared" si="11"/>
        <v>619.04781601282866</v>
      </c>
      <c r="CD44" s="59">
        <f ca="1">AVERAGE(OFFSET($CC$3,0,0,'Données projet'!$E$12+1,1))-AVERAGE(OFFSET($H$3,0,0,'Données projet'!$E$12+1,1))</f>
        <v>287.72859857368331</v>
      </c>
      <c r="CE44" s="59">
        <f t="shared" si="40"/>
        <v>179.60736986885922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28.43935818410716</v>
      </c>
      <c r="CM44" s="21">
        <f>EXP(-LN(2)/2)*CM43+(1-EXP(-LN(2)/2))/(LN(2)/2)*CG44*CJ44*VLOOKUP('Données projet'!$B$12,Paramètres!$A$1:$I$89,3,0)*0.475*44/12</f>
        <v>2.0709716150381108</v>
      </c>
      <c r="CN44" s="22">
        <f t="shared" si="12"/>
        <v>30.510329799145271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9.8000000000000007</v>
      </c>
      <c r="CT44" s="12">
        <f>IF('Données projet'!$A$140&gt;35,CT43+CS44-DB43,IF(A44&lt;'Données projet'!$A$140,$CQ$205^A44,IF(A44='Données projet'!$A$140,'Données projet'!$B$140,CT43+CS44-DB43)))</f>
        <v>202.8</v>
      </c>
      <c r="CU44" s="17">
        <f>CT44*VLOOKUP('Données projet'!$B$13,Paramètres!$A$1:$I$89,3,0)*VLOOKUP('Données projet'!$B$13,Paramètres!$A$1:$I$89,5,0)</f>
        <v>161.34768000000003</v>
      </c>
      <c r="CV44" s="13">
        <f t="shared" si="41"/>
        <v>41.146339844316657</v>
      </c>
      <c r="CW44" s="20">
        <f t="shared" si="13"/>
        <v>352.6770845621848</v>
      </c>
      <c r="CX44" s="59">
        <f t="shared" si="14"/>
        <v>646.01041789551812</v>
      </c>
      <c r="CY44" s="59">
        <f ca="1">AVERAGE(OFFSET($CX$3,0,0,'Données projet'!$E$13+1,1))-AVERAGE(OFFSET($H$3,0,0,'Données projet'!$E$13+1,1))</f>
        <v>243.33915530322201</v>
      </c>
      <c r="CZ44" s="59">
        <f t="shared" si="42"/>
        <v>247.73814704672577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10.90084601098709</v>
      </c>
      <c r="DG44" s="21">
        <f>EXP(-LN(2)/25)*DG43+(1-EXP(-LN(2)/25))/(LN(2)/25)*Calculateur!DB44*Calculateur!DD44*VLOOKUP('Données projet'!$B$13,Paramètres!$A$1:$I$89,3,0)*0.475*44/12</f>
        <v>17.069480163807281</v>
      </c>
      <c r="DH44" s="21">
        <f>EXP(-LN(2)/2)*DH43+(1-EXP(-LN(2)/2))/(LN(2)/2)*DB44*DE44*VLOOKUP('Données projet'!$B$13,Paramètres!$A$1:$I$89,3,0)*0.475*44/12</f>
        <v>5.6416471738243841</v>
      </c>
      <c r="DI44" s="22">
        <f t="shared" si="15"/>
        <v>33.611973348618754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450.49</v>
      </c>
      <c r="L45" s="12">
        <f>VLOOKUP(A45,'Données projet'!$A$35:$I$55,9,0)</f>
        <v>22.851428571428578</v>
      </c>
      <c r="M45" s="12">
        <f t="array" ref="M45">INDEX(L:L,MIN(IF(ISNUMBER(L45:L241),ROW(L45:L241),"")))</f>
        <v>22.851428571428578</v>
      </c>
      <c r="N45" s="13">
        <f>IF('Données projet'!$A$36&gt;35,N44+M45-V44,IF(A45&lt;'Données projet'!$A$36,$K$205^A45,IF(A45='Données projet'!$A$36,'Données projet'!$B$36,N44+M45-V44)))</f>
        <v>450.49000000000007</v>
      </c>
      <c r="O45" s="13">
        <f>N45*VLOOKUP('Données projet'!$B$9,Paramètres!$A$1:$I$89,3,0)*VLOOKUP('Données projet'!$B$9,Paramètres!$A$1:$I$89,5,0)</f>
        <v>251.82391000000004</v>
      </c>
      <c r="P45" s="13">
        <f t="shared" si="33"/>
        <v>60.976338340878812</v>
      </c>
      <c r="Q45" s="20">
        <f t="shared" si="53"/>
        <v>544.79376586036392</v>
      </c>
      <c r="R45" s="59">
        <f t="shared" si="0"/>
        <v>838.12709919369718</v>
      </c>
      <c r="S45" s="59">
        <f ca="1">AVERAGE(OFFSET($R$3,0,0,'Données projet'!$E$9+1,1))-AVERAGE(OFFSET($H$3,0,0,'Données projet'!$E$9+1,1))</f>
        <v>287.413090017863</v>
      </c>
      <c r="T45" s="59">
        <f t="shared" si="34"/>
        <v>258.48456031927117</v>
      </c>
      <c r="U45" s="15">
        <f>IF(ISNA(VLOOKUP(A45,'Données projet'!$A$35:$I$55,3,0)),0,VLOOKUP(A45,'Données projet'!$A$35:$I$55,3,0))</f>
        <v>4</v>
      </c>
      <c r="V45" s="15">
        <f>IF(ISNA(VLOOKUP(A45,'Données projet'!$A$35:$I$55,4,0)),0,VLOOKUP(A45,'Données projet'!$A$35:$I$55,4,0))</f>
        <v>100.04000000000002</v>
      </c>
      <c r="W45" s="16">
        <f>IF(ISNA(VLOOKUP(A45,'Données projet'!$A$35:$I$55,5,0)),0%,VLOOKUP(A45,'Données projet'!$A$35:$I$55,5,0)*VLOOKUP('Données projet'!$B$9,Paramètres!$A$1:$I$89,7,0))</f>
        <v>0.33</v>
      </c>
      <c r="X45" s="16">
        <f>IF(ISNA(VLOOKUP(A45,'Données projet'!$A$35:$I$55,6,0)),0%,VLOOKUP(A45,'Données projet'!$A$35:$I$55,6,0)*VLOOKUP('Données projet'!$B$9,Paramètres!$A$1:$I$89,7,0))</f>
        <v>0.11000000000000001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52.523395338496876</v>
      </c>
      <c r="AA45" s="21">
        <f>EXP(-LN(2)/25)*AA44+(1-EXP(-LN(2)/25))/(LN(2)/25)*Calculateur!V45*Calculateur!X45*VLOOKUP('Données projet'!$B$9,Paramètres!$A$1:$I$89,3,0)*0.475*44/12</f>
        <v>26.250624715479255</v>
      </c>
      <c r="AB45" s="21">
        <f>EXP(-LN(2)/2)*AB44+(1-EXP(-LN(2)/2))/(LN(2)/2)*V45*Y45*VLOOKUP('Données projet'!$B$9,Paramètres!$A$1:$I$89,3,0)*0.475*44/12</f>
        <v>13.771287073109026</v>
      </c>
      <c r="AC45" s="22">
        <f t="shared" si="3"/>
        <v>92.545307127085152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4.0942857142857143</v>
      </c>
      <c r="AH45" s="12">
        <f t="array" ref="AH45">INDEX(AG:AG,MIN(IF(ISNUMBER(AG45:AG241),ROW(AG45:AG241),"")))</f>
        <v>4.0942857142857143</v>
      </c>
      <c r="AI45" s="13">
        <f>IF('Données projet'!$A$62&gt;35,AI44+AH45-AQ44,IF(A45&lt;'Données projet'!$A$62,$AF$205^A45,IF(A45='Données projet'!$A$62,'Données projet'!$B$62,AI44+AH45-AQ44)))</f>
        <v>171.96000000000012</v>
      </c>
      <c r="AJ45" s="13">
        <f>AI45*VLOOKUP('Données projet'!$B$10,Paramètres!$A$1:$I$89,3,0)*VLOOKUP('Données projet'!$B$10,Paramètres!$A$1:$I$89,5,0)</f>
        <v>155.58940800000011</v>
      </c>
      <c r="AK45" s="13">
        <f t="shared" si="35"/>
        <v>39.846081409537142</v>
      </c>
      <c r="AL45" s="20">
        <f t="shared" si="4"/>
        <v>340.3834773882773</v>
      </c>
      <c r="AM45" s="59">
        <f t="shared" si="5"/>
        <v>633.71681072161061</v>
      </c>
      <c r="AN45" s="59">
        <f ca="1">AVERAGE(OFFSET($AM$3,0,0,'Données projet'!$E$10+1,1))-AVERAGE(OFFSET($H$3,0,0,'Données projet'!$E$10+1,1))</f>
        <v>422.10969295064359</v>
      </c>
      <c r="AO45" s="59">
        <f t="shared" si="36"/>
        <v>184.04075143033037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44.510000000000005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0.34400000000000003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15.254654682209745</v>
      </c>
      <c r="AW45" s="21">
        <f>EXP(-LN(2)/2)*AW44+(1-EXP(-LN(2)/2))/(LN(2)/2)*AQ45*AT45*VLOOKUP('Données projet'!$B$10,Paramètres!$A$1:$I$89,3,0)*0.475*44/12</f>
        <v>7.599665462085774</v>
      </c>
      <c r="AX45" s="21">
        <f t="shared" si="6"/>
        <v>22.854320144295521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22.4</v>
      </c>
      <c r="BD45" s="12">
        <f>IF('Données projet'!$A$88&gt;35,BD44+BC45-BL44,IF(A45&lt;'Données projet'!$A$88,$BA$205^A45,IF(A45='Données projet'!$A$88,'Données projet'!$B$88,BD44+BC45-BL44)))</f>
        <v>382.79999999999973</v>
      </c>
      <c r="BE45" s="13">
        <f>BD45*VLOOKUP('Données projet'!$B$11,Paramètres!$A$1:$I$89,3,0)*VLOOKUP('Données projet'!$B$11,Paramètres!$A$1:$I$89,5,0)</f>
        <v>154.2683999999999</v>
      </c>
      <c r="BF45" s="13">
        <f t="shared" si="37"/>
        <v>39.547005127064686</v>
      </c>
      <c r="BG45" s="20">
        <f t="shared" si="7"/>
        <v>337.56183059630416</v>
      </c>
      <c r="BH45" s="59">
        <f t="shared" si="8"/>
        <v>630.89516392963742</v>
      </c>
      <c r="BI45" s="59">
        <f ca="1">AVERAGE(OFFSET($BH$3,0,0,'Données projet'!$E$11+1,1))-AVERAGE(OFFSET($H$3,0,0,'Données projet'!$E$11+1,1))</f>
        <v>217.61052961346684</v>
      </c>
      <c r="BJ45" s="59">
        <f t="shared" si="38"/>
        <v>180.77145728128608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12.990739984471469</v>
      </c>
      <c r="BQ45" s="21">
        <f>EXP(-LN(2)/25)*BQ44+(1-EXP(-LN(2)/25))/(LN(2)/25)*Calculateur!BL45*Calculateur!BN45*VLOOKUP('Données projet'!$B$11,Paramètres!$A$1:$I$89,3,0)*0.475*44/12</f>
        <v>17.930535586380856</v>
      </c>
      <c r="BR45" s="21">
        <f>EXP(-LN(2)/2)*BR44+(1-EXP(-LN(2)/2))/(LN(2)/2)*BL45*BO45*VLOOKUP('Données projet'!$B$11,Paramètres!$A$1:$I$89,3,0)*0.475*44/12</f>
        <v>5.8849897207701289</v>
      </c>
      <c r="BS45" s="22">
        <f t="shared" si="9"/>
        <v>36.806265291622452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13.987142857142857</v>
      </c>
      <c r="BY45" s="12">
        <f>IF('Données projet'!$A$114&gt;35,BY44+BX45-CG44,IF(A45&lt;'Données projet'!$A$114,$BV$205^A45,IF(A45='Données projet'!$A$114,'Données projet'!$B$114,BY44+BX45-CG44)))</f>
        <v>190.53571428571428</v>
      </c>
      <c r="BZ45" s="13">
        <f>BY45*VLOOKUP('Données projet'!$B$12,Paramètres!$A$1:$I$89,3,0)*VLOOKUP('Données projet'!$B$12,Paramètres!$A$1:$I$89,5,0)</f>
        <v>160.50728571428573</v>
      </c>
      <c r="CA45" s="13">
        <f t="shared" si="39"/>
        <v>40.956914027108454</v>
      </c>
      <c r="CB45" s="20">
        <f t="shared" si="10"/>
        <v>350.88348121626149</v>
      </c>
      <c r="CC45" s="59">
        <f t="shared" si="11"/>
        <v>644.2168145495948</v>
      </c>
      <c r="CD45" s="59">
        <f ca="1">AVERAGE(OFFSET($CC$3,0,0,'Données projet'!$E$12+1,1))-AVERAGE(OFFSET($H$3,0,0,'Données projet'!$E$12+1,1))</f>
        <v>287.72859857368331</v>
      </c>
      <c r="CE45" s="59">
        <f t="shared" si="40"/>
        <v>179.60736986885922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27.6616824390019</v>
      </c>
      <c r="CM45" s="21">
        <f>EXP(-LN(2)/2)*CM44+(1-EXP(-LN(2)/2))/(LN(2)/2)*CG45*CJ45*VLOOKUP('Données projet'!$B$12,Paramètres!$A$1:$I$89,3,0)*0.475*44/12</f>
        <v>1.4643980726383043</v>
      </c>
      <c r="CN45" s="22">
        <f t="shared" si="12"/>
        <v>29.126080511640204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9.8000000000000007</v>
      </c>
      <c r="CT45" s="12">
        <f>IF('Données projet'!$A$140&gt;35,CT44+CS45-DB44,IF(A45&lt;'Données projet'!$A$140,$CQ$205^A45,IF(A45='Données projet'!$A$140,'Données projet'!$B$140,CT44+CS45-DB44)))</f>
        <v>212.60000000000002</v>
      </c>
      <c r="CU45" s="17">
        <f>CT45*VLOOKUP('Données projet'!$B$13,Paramètres!$A$1:$I$89,3,0)*VLOOKUP('Données projet'!$B$13,Paramètres!$A$1:$I$89,5,0)</f>
        <v>169.14456000000004</v>
      </c>
      <c r="CV45" s="13">
        <f t="shared" si="41"/>
        <v>42.898377267189964</v>
      </c>
      <c r="CW45" s="20">
        <f t="shared" si="13"/>
        <v>369.30811574035596</v>
      </c>
      <c r="CX45" s="59">
        <f t="shared" si="14"/>
        <v>662.64144907368927</v>
      </c>
      <c r="CY45" s="59">
        <f ca="1">AVERAGE(OFFSET($CX$3,0,0,'Données projet'!$E$13+1,1))-AVERAGE(OFFSET($H$3,0,0,'Données projet'!$E$13+1,1))</f>
        <v>243.33915530322201</v>
      </c>
      <c r="CZ45" s="59">
        <f t="shared" si="42"/>
        <v>247.73814704672577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10.687087069571179</v>
      </c>
      <c r="DG45" s="21">
        <f>EXP(-LN(2)/25)*DG44+(1-EXP(-LN(2)/25))/(LN(2)/25)*Calculateur!DB45*Calculateur!DD45*VLOOKUP('Données projet'!$B$13,Paramètres!$A$1:$I$89,3,0)*0.475*44/12</f>
        <v>16.602714331083021</v>
      </c>
      <c r="DH45" s="21">
        <f>EXP(-LN(2)/2)*DH44+(1-EXP(-LN(2)/2))/(LN(2)/2)*DB45*DE45*VLOOKUP('Données projet'!$B$13,Paramètres!$A$1:$I$89,3,0)*0.475*44/12</f>
        <v>3.9892469736731431</v>
      </c>
      <c r="DI45" s="22">
        <f t="shared" si="15"/>
        <v>31.279048374327342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21.970000000000002</v>
      </c>
      <c r="N46" s="13">
        <f>IF('Données projet'!$A$36&gt;35,N45+M46-V45,IF(A46&lt;'Données projet'!$A$36,$K$205^A46,IF(A46='Données projet'!$A$36,'Données projet'!$B$36,N45+M46-V45)))</f>
        <v>372.42000000000007</v>
      </c>
      <c r="O46" s="13">
        <f>N46*VLOOKUP('Données projet'!$B$9,Paramètres!$A$1:$I$89,3,0)*VLOOKUP('Données projet'!$B$9,Paramètres!$A$1:$I$89,5,0)</f>
        <v>208.18278000000007</v>
      </c>
      <c r="P46" s="13">
        <f t="shared" si="33"/>
        <v>51.538276765249073</v>
      </c>
      <c r="Q46" s="20">
        <f t="shared" si="53"/>
        <v>452.34750719947556</v>
      </c>
      <c r="R46" s="59">
        <f t="shared" si="0"/>
        <v>745.68084053280882</v>
      </c>
      <c r="S46" s="59">
        <f ca="1">AVERAGE(OFFSET($R$3,0,0,'Données projet'!$E$9+1,1))-AVERAGE(OFFSET($H$3,0,0,'Données projet'!$E$9+1,1))</f>
        <v>287.413090017863</v>
      </c>
      <c r="T46" s="59">
        <f t="shared" si="34"/>
        <v>258.48456031927117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51.493443592016803</v>
      </c>
      <c r="AA46" s="21">
        <f>EXP(-LN(2)/25)*AA45+(1-EXP(-LN(2)/25))/(LN(2)/25)*Calculateur!V46*Calculateur!X46*VLOOKUP('Données projet'!$B$9,Paramètres!$A$1:$I$89,3,0)*0.475*44/12</f>
        <v>25.532800002174117</v>
      </c>
      <c r="AB46" s="21">
        <f>EXP(-LN(2)/2)*AB45+(1-EXP(-LN(2)/2))/(LN(2)/2)*V46*Y46*VLOOKUP('Données projet'!$B$9,Paramètres!$A$1:$I$89,3,0)*0.475*44/12</f>
        <v>9.7377704750620353</v>
      </c>
      <c r="AC46" s="22">
        <f t="shared" si="3"/>
        <v>86.764014069252951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10.110000000000001</v>
      </c>
      <c r="AI46" s="13">
        <f>IF('Données projet'!$A$62&gt;35,AI45+AH46-AQ45,IF(A46&lt;'Données projet'!$A$62,$AF$205^A46,IF(A46='Données projet'!$A$62,'Données projet'!$B$62,AI45+AH46-AQ45)))</f>
        <v>137.56000000000012</v>
      </c>
      <c r="AJ46" s="13">
        <f>AI46*VLOOKUP('Données projet'!$B$10,Paramètres!$A$1:$I$89,3,0)*VLOOKUP('Données projet'!$B$10,Paramètres!$A$1:$I$89,5,0)</f>
        <v>124.4642880000001</v>
      </c>
      <c r="AK46" s="13">
        <f t="shared" si="35"/>
        <v>32.713997336243899</v>
      </c>
      <c r="AL46" s="20">
        <f t="shared" si="4"/>
        <v>273.75218029395825</v>
      </c>
      <c r="AM46" s="59">
        <f t="shared" si="5"/>
        <v>567.08551362729156</v>
      </c>
      <c r="AN46" s="59">
        <f ca="1">AVERAGE(OFFSET($AM$3,0,0,'Données projet'!$E$10+1,1))-AVERAGE(OFFSET($H$3,0,0,'Données projet'!$E$10+1,1))</f>
        <v>422.10969295064359</v>
      </c>
      <c r="AO46" s="59">
        <f t="shared" si="36"/>
        <v>184.04075143033037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14.837515347717295</v>
      </c>
      <c r="AW46" s="21">
        <f>EXP(-LN(2)/2)*AW45+(1-EXP(-LN(2)/2))/(LN(2)/2)*AQ46*AT46*VLOOKUP('Données projet'!$B$10,Paramètres!$A$1:$I$89,3,0)*0.475*44/12</f>
        <v>5.3737749829900485</v>
      </c>
      <c r="AX46" s="21">
        <f t="shared" si="6"/>
        <v>20.211290330707342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22.4</v>
      </c>
      <c r="BD46" s="12">
        <f>IF('Données projet'!$A$88&gt;35,BD45+BC46-BL45,IF(A46&lt;'Données projet'!$A$88,$BA$205^A46,IF(A46='Données projet'!$A$88,'Données projet'!$B$88,BD45+BC46-BL45)))</f>
        <v>405.1999999999997</v>
      </c>
      <c r="BE46" s="13">
        <f>BD46*VLOOKUP('Données projet'!$B$11,Paramètres!$A$1:$I$89,3,0)*VLOOKUP('Données projet'!$B$11,Paramètres!$A$1:$I$89,5,0)</f>
        <v>163.29559999999989</v>
      </c>
      <c r="BF46" s="13">
        <f t="shared" si="37"/>
        <v>41.584962855336265</v>
      </c>
      <c r="BG46" s="20">
        <f t="shared" si="7"/>
        <v>356.83364697304381</v>
      </c>
      <c r="BH46" s="59">
        <f t="shared" si="8"/>
        <v>650.16698030637713</v>
      </c>
      <c r="BI46" s="59">
        <f ca="1">AVERAGE(OFFSET($BH$3,0,0,'Données projet'!$E$11+1,1))-AVERAGE(OFFSET($H$3,0,0,'Données projet'!$E$11+1,1))</f>
        <v>217.61052961346684</v>
      </c>
      <c r="BJ46" s="59">
        <f t="shared" si="38"/>
        <v>180.77145728128608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12.735999496944986</v>
      </c>
      <c r="BQ46" s="21">
        <f>EXP(-LN(2)/25)*BQ45+(1-EXP(-LN(2)/25))/(LN(2)/25)*Calculateur!BL46*Calculateur!BN46*VLOOKUP('Données projet'!$B$11,Paramètres!$A$1:$I$89,3,0)*0.475*44/12</f>
        <v>17.440224147845385</v>
      </c>
      <c r="BR46" s="21">
        <f>EXP(-LN(2)/2)*BR45+(1-EXP(-LN(2)/2))/(LN(2)/2)*BL46*BO46*VLOOKUP('Données projet'!$B$11,Paramètres!$A$1:$I$89,3,0)*0.475*44/12</f>
        <v>4.1613161387696849</v>
      </c>
      <c r="BS46" s="22">
        <f t="shared" si="9"/>
        <v>34.337539783560054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13.987142857142857</v>
      </c>
      <c r="BY46" s="12">
        <f>IF('Données projet'!$A$114&gt;35,BY45+BX46-CG45,IF(A46&lt;'Données projet'!$A$114,$BV$205^A46,IF(A46='Données projet'!$A$114,'Données projet'!$B$114,BY45+BX46-CG45)))</f>
        <v>204.52285714285713</v>
      </c>
      <c r="BZ46" s="13">
        <f>BY46*VLOOKUP('Données projet'!$B$12,Paramètres!$A$1:$I$89,3,0)*VLOOKUP('Données projet'!$B$12,Paramètres!$A$1:$I$89,5,0)</f>
        <v>172.29005485714288</v>
      </c>
      <c r="CA46" s="13">
        <f t="shared" si="39"/>
        <v>43.602519580548581</v>
      </c>
      <c r="CB46" s="20">
        <f t="shared" si="10"/>
        <v>376.01290047897925</v>
      </c>
      <c r="CC46" s="59">
        <f t="shared" si="11"/>
        <v>669.34623381231256</v>
      </c>
      <c r="CD46" s="59">
        <f ca="1">AVERAGE(OFFSET($CC$3,0,0,'Données projet'!$E$12+1,1))-AVERAGE(OFFSET($H$3,0,0,'Données projet'!$E$12+1,1))</f>
        <v>287.72859857368331</v>
      </c>
      <c r="CE46" s="59">
        <f t="shared" si="40"/>
        <v>179.60736986885922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26.905272278042737</v>
      </c>
      <c r="CM46" s="21">
        <f>EXP(-LN(2)/2)*CM45+(1-EXP(-LN(2)/2))/(LN(2)/2)*CG46*CJ46*VLOOKUP('Données projet'!$B$12,Paramètres!$A$1:$I$89,3,0)*0.475*44/12</f>
        <v>1.0354858075190554</v>
      </c>
      <c r="CN46" s="22">
        <f t="shared" si="12"/>
        <v>27.940758085561793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9.8000000000000007</v>
      </c>
      <c r="CT46" s="12">
        <f>IF('Données projet'!$A$140&gt;35,CT45+CS46-DB45,IF(A46&lt;'Données projet'!$A$140,$CQ$205^A46,IF(A46='Données projet'!$A$140,'Données projet'!$B$140,CT45+CS46-DB45)))</f>
        <v>222.40000000000003</v>
      </c>
      <c r="CU46" s="17">
        <f>CT46*VLOOKUP('Données projet'!$B$13,Paramètres!$A$1:$I$89,3,0)*VLOOKUP('Données projet'!$B$13,Paramètres!$A$1:$I$89,5,0)</f>
        <v>176.94144000000003</v>
      </c>
      <c r="CV46" s="13">
        <f t="shared" si="41"/>
        <v>44.641035679901449</v>
      </c>
      <c r="CW46" s="20">
        <f t="shared" si="13"/>
        <v>385.92281180916171</v>
      </c>
      <c r="CX46" s="59">
        <f t="shared" si="14"/>
        <v>679.25614514249503</v>
      </c>
      <c r="CY46" s="59">
        <f ca="1">AVERAGE(OFFSET($CX$3,0,0,'Données projet'!$E$13+1,1))-AVERAGE(OFFSET($H$3,0,0,'Données projet'!$E$13+1,1))</f>
        <v>243.33915530322201</v>
      </c>
      <c r="CZ46" s="59">
        <f t="shared" si="42"/>
        <v>247.73814704672577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10.477519810616354</v>
      </c>
      <c r="DG46" s="21">
        <f>EXP(-LN(2)/25)*DG45+(1-EXP(-LN(2)/25))/(LN(2)/25)*Calculateur!DB46*Calculateur!DD46*VLOOKUP('Données projet'!$B$13,Paramètres!$A$1:$I$89,3,0)*0.475*44/12</f>
        <v>16.148712234600755</v>
      </c>
      <c r="DH46" s="21">
        <f>EXP(-LN(2)/2)*DH45+(1-EXP(-LN(2)/2))/(LN(2)/2)*DB46*DE46*VLOOKUP('Données projet'!$B$13,Paramètres!$A$1:$I$89,3,0)*0.475*44/12</f>
        <v>2.8208235869121925</v>
      </c>
      <c r="DI46" s="22">
        <f t="shared" si="15"/>
        <v>29.447055632129299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21.970000000000002</v>
      </c>
      <c r="N47" s="13">
        <f>IF('Données projet'!$A$36&gt;35,N46+M47-V46,IF(A47&lt;'Données projet'!$A$36,$K$205^A47,IF(A47='Données projet'!$A$36,'Données projet'!$B$36,N46+M47-V46)))</f>
        <v>394.3900000000001</v>
      </c>
      <c r="O47" s="13">
        <f>N47*VLOOKUP('Données projet'!$B$9,Paramètres!$A$1:$I$89,3,0)*VLOOKUP('Données projet'!$B$9,Paramètres!$A$1:$I$89,5,0)</f>
        <v>220.46401000000006</v>
      </c>
      <c r="P47" s="13">
        <f t="shared" si="33"/>
        <v>54.215723631671224</v>
      </c>
      <c r="Q47" s="20">
        <f t="shared" si="53"/>
        <v>478.4005360751608</v>
      </c>
      <c r="R47" s="59">
        <f t="shared" si="0"/>
        <v>771.73386940849412</v>
      </c>
      <c r="S47" s="59">
        <f ca="1">AVERAGE(OFFSET($R$3,0,0,'Données projet'!$E$9+1,1))-AVERAGE(OFFSET($H$3,0,0,'Données projet'!$E$9+1,1))</f>
        <v>287.413090017863</v>
      </c>
      <c r="T47" s="59">
        <f t="shared" si="34"/>
        <v>258.48456031927117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50.483688571076669</v>
      </c>
      <c r="AA47" s="21">
        <f>EXP(-LN(2)/25)*AA46+(1-EXP(-LN(2)/25))/(LN(2)/25)*Calculateur!V47*Calculateur!X47*VLOOKUP('Données projet'!$B$9,Paramètres!$A$1:$I$89,3,0)*0.475*44/12</f>
        <v>24.834604243403071</v>
      </c>
      <c r="AB47" s="21">
        <f>EXP(-LN(2)/2)*AB46+(1-EXP(-LN(2)/2))/(LN(2)/2)*V47*Y47*VLOOKUP('Données projet'!$B$9,Paramètres!$A$1:$I$89,3,0)*0.475*44/12</f>
        <v>6.8856435365545137</v>
      </c>
      <c r="AC47" s="22">
        <f t="shared" si="3"/>
        <v>82.203936351034258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10.110000000000001</v>
      </c>
      <c r="AI47" s="13">
        <f>IF('Données projet'!$A$62&gt;35,AI46+AH47-AQ46,IF(A47&lt;'Données projet'!$A$62,$AF$205^A47,IF(A47='Données projet'!$A$62,'Données projet'!$B$62,AI46+AH47-AQ46)))</f>
        <v>147.67000000000013</v>
      </c>
      <c r="AJ47" s="13">
        <f>AI47*VLOOKUP('Données projet'!$B$10,Paramètres!$A$1:$I$89,3,0)*VLOOKUP('Données projet'!$B$10,Paramètres!$A$1:$I$89,5,0)</f>
        <v>133.61181600000012</v>
      </c>
      <c r="AK47" s="13">
        <f t="shared" si="35"/>
        <v>34.829608206917271</v>
      </c>
      <c r="AL47" s="20">
        <f t="shared" si="4"/>
        <v>293.36881382704775</v>
      </c>
      <c r="AM47" s="59">
        <f t="shared" si="5"/>
        <v>586.70214716038106</v>
      </c>
      <c r="AN47" s="59">
        <f ca="1">AVERAGE(OFFSET($AM$3,0,0,'Données projet'!$E$10+1,1))-AVERAGE(OFFSET($H$3,0,0,'Données projet'!$E$10+1,1))</f>
        <v>422.10969295064359</v>
      </c>
      <c r="AO47" s="59">
        <f t="shared" si="36"/>
        <v>184.04075143033037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14.431782710262945</v>
      </c>
      <c r="AW47" s="21">
        <f>EXP(-LN(2)/2)*AW46+(1-EXP(-LN(2)/2))/(LN(2)/2)*AQ47*AT47*VLOOKUP('Données projet'!$B$10,Paramètres!$A$1:$I$89,3,0)*0.475*44/12</f>
        <v>3.7998327310428874</v>
      </c>
      <c r="AX47" s="21">
        <f t="shared" si="6"/>
        <v>18.231615441305834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22.4</v>
      </c>
      <c r="BD47" s="12">
        <f>IF('Données projet'!$A$88&gt;35,BD46+BC47-BL46,IF(A47&lt;'Données projet'!$A$88,$BA$205^A47,IF(A47='Données projet'!$A$88,'Données projet'!$B$88,BD46+BC47-BL46)))</f>
        <v>427.59999999999968</v>
      </c>
      <c r="BE47" s="13">
        <f>BD47*VLOOKUP('Données projet'!$B$11,Paramètres!$A$1:$I$89,3,0)*VLOOKUP('Données projet'!$B$11,Paramètres!$A$1:$I$89,5,0)</f>
        <v>172.32279999999989</v>
      </c>
      <c r="BF47" s="13">
        <f t="shared" si="37"/>
        <v>43.609841908390102</v>
      </c>
      <c r="BG47" s="20">
        <f t="shared" si="7"/>
        <v>376.08268465711257</v>
      </c>
      <c r="BH47" s="59">
        <f t="shared" si="8"/>
        <v>669.41601799044588</v>
      </c>
      <c r="BI47" s="59">
        <f ca="1">AVERAGE(OFFSET($BH$3,0,0,'Données projet'!$E$11+1,1))-AVERAGE(OFFSET($H$3,0,0,'Données projet'!$E$11+1,1))</f>
        <v>217.61052961346684</v>
      </c>
      <c r="BJ47" s="59">
        <f t="shared" si="38"/>
        <v>180.77145728128608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12.486254315002542</v>
      </c>
      <c r="BQ47" s="21">
        <f>EXP(-LN(2)/25)*BQ46+(1-EXP(-LN(2)/25))/(LN(2)/25)*Calculateur!BL47*Calculateur!BN47*VLOOKUP('Données projet'!$B$11,Paramètres!$A$1:$I$89,3,0)*0.475*44/12</f>
        <v>16.963320301381025</v>
      </c>
      <c r="BR47" s="21">
        <f>EXP(-LN(2)/2)*BR46+(1-EXP(-LN(2)/2))/(LN(2)/2)*BL47*BO47*VLOOKUP('Données projet'!$B$11,Paramètres!$A$1:$I$89,3,0)*0.475*44/12</f>
        <v>2.9424948603850645</v>
      </c>
      <c r="BS47" s="22">
        <f t="shared" si="9"/>
        <v>32.392069476768626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218.51</v>
      </c>
      <c r="BW47" s="12">
        <f>VLOOKUP(A47,'Données projet'!$A$113:$I$133,9,0)</f>
        <v>13.987142857142857</v>
      </c>
      <c r="BX47" s="12">
        <f t="array" ref="BX47">INDEX(BW:BW,MIN(IF(ISNUMBER(BW47:BW243),ROW(BW47:BW243),"")))</f>
        <v>13.987142857142857</v>
      </c>
      <c r="BY47" s="12">
        <f>IF('Données projet'!$A$114&gt;35,BY46+BX47-CG46,IF(A47&lt;'Données projet'!$A$114,$BV$205^A47,IF(A47='Données projet'!$A$114,'Données projet'!$B$114,BY46+BX47-CG46)))</f>
        <v>218.51</v>
      </c>
      <c r="BZ47" s="13">
        <f>BY47*VLOOKUP('Données projet'!$B$12,Paramètres!$A$1:$I$89,3,0)*VLOOKUP('Données projet'!$B$12,Paramètres!$A$1:$I$89,5,0)</f>
        <v>184.07282400000003</v>
      </c>
      <c r="CA47" s="13">
        <f t="shared" si="39"/>
        <v>46.227131136084815</v>
      </c>
      <c r="CB47" s="20">
        <f t="shared" si="10"/>
        <v>401.10575519534768</v>
      </c>
      <c r="CC47" s="59">
        <f t="shared" si="11"/>
        <v>694.43908852868094</v>
      </c>
      <c r="CD47" s="59">
        <f ca="1">AVERAGE(OFFSET($CC$3,0,0,'Données projet'!$E$12+1,1))-AVERAGE(OFFSET($H$3,0,0,'Données projet'!$E$12+1,1))</f>
        <v>287.72859857368331</v>
      </c>
      <c r="CE47" s="59">
        <f t="shared" si="40"/>
        <v>179.60736986885922</v>
      </c>
      <c r="CF47" s="15">
        <f>IF(ISNA(VLOOKUP(A47,'Données projet'!$A$113:$I$133,3,0)),0,VLOOKUP(A47,'Données projet'!$A$113:$I$133,3,0))</f>
        <v>3</v>
      </c>
      <c r="CG47" s="15">
        <f>IF(ISNA(VLOOKUP(A47,'Données projet'!$A$113:$I$133,4,0)),0,VLOOKUP(A47,'Données projet'!$A$113:$I$133,4,0))</f>
        <v>56.45999999999998</v>
      </c>
      <c r="CH47" s="16">
        <f>IF(ISNA(VLOOKUP(A47,'Données projet'!$A$113:$I$133,5,0)),0%,VLOOKUP(A47,'Données projet'!$A$113:$I$133,5,0)*VLOOKUP('Données projet'!$B$12,Paramètres!$A$1:$I$89,7,0))</f>
        <v>0.15049999999999999</v>
      </c>
      <c r="CI47" s="16">
        <f>IF(ISNA(VLOOKUP(A47,'Données projet'!$A$113:$I$133,6,0)),0%,VLOOKUP(A47,'Données projet'!$A$113:$I$133,6,0)*VLOOKUP('Données projet'!$B$12,Paramètres!$A$1:$I$89,7,0))</f>
        <v>8.6000000000000007E-2</v>
      </c>
      <c r="CJ47" s="16">
        <f>IF(ISNA(VLOOKUP(A47,'Données projet'!$A$113:$I$133,7,0)),0%,VLOOKUP(A47,'Données projet'!$A$113:$I$133,7,0))</f>
        <v>0.1</v>
      </c>
      <c r="CK47" s="21">
        <f>EXP(-LN(2)/35)*CK46+(1-EXP(-LN(2)/35))/(LN(2)/35)*CG47*CH47*VLOOKUP('Données projet'!$B$12,Paramètres!$A$1:$I$89,3,0)*0.475*44/12</f>
        <v>7.9130305479615517</v>
      </c>
      <c r="CL47" s="21">
        <f>EXP(-LN(2)/25)*CL46+(1-EXP(-LN(2)/25))/(LN(2)/25)*Calculateur!CG47*Calculateur!CI47*VLOOKUP('Données projet'!$B$12,Paramètres!$A$1:$I$89,3,0)*0.475*44/12</f>
        <v>30.673474153623289</v>
      </c>
      <c r="CM47" s="21">
        <f>EXP(-LN(2)/2)*CM46+(1-EXP(-LN(2)/2))/(LN(2)/2)*CG47*CJ47*VLOOKUP('Données projet'!$B$12,Paramètres!$A$1:$I$89,3,0)*0.475*44/12</f>
        <v>5.2197926897069191</v>
      </c>
      <c r="CN47" s="22">
        <f t="shared" si="12"/>
        <v>43.806297391291764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9.8000000000000007</v>
      </c>
      <c r="CT47" s="12">
        <f>IF('Données projet'!$A$140&gt;35,CT46+CS47-DB46,IF(A47&lt;'Données projet'!$A$140,$CQ$205^A47,IF(A47='Données projet'!$A$140,'Données projet'!$B$140,CT46+CS47-DB46)))</f>
        <v>232.20000000000005</v>
      </c>
      <c r="CU47" s="17">
        <f>CT47*VLOOKUP('Données projet'!$B$13,Paramètres!$A$1:$I$89,3,0)*VLOOKUP('Données projet'!$B$13,Paramètres!$A$1:$I$89,5,0)</f>
        <v>184.73832000000004</v>
      </c>
      <c r="CV47" s="13">
        <f t="shared" si="41"/>
        <v>46.374775595471988</v>
      </c>
      <c r="CW47" s="20">
        <f t="shared" si="13"/>
        <v>402.52197482878046</v>
      </c>
      <c r="CX47" s="59">
        <f t="shared" si="14"/>
        <v>695.85530816211372</v>
      </c>
      <c r="CY47" s="59">
        <f ca="1">AVERAGE(OFFSET($CX$3,0,0,'Données projet'!$E$13+1,1))-AVERAGE(OFFSET($H$3,0,0,'Données projet'!$E$13+1,1))</f>
        <v>243.33915530322201</v>
      </c>
      <c r="CZ47" s="59">
        <f t="shared" si="42"/>
        <v>247.73814704672577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10.272062037786226</v>
      </c>
      <c r="DG47" s="21">
        <f>EXP(-LN(2)/25)*DG46+(1-EXP(-LN(2)/25))/(LN(2)/25)*Calculateur!DB47*Calculateur!DD47*VLOOKUP('Données projet'!$B$13,Paramètres!$A$1:$I$89,3,0)*0.475*44/12</f>
        <v>15.70712484932173</v>
      </c>
      <c r="DH47" s="21">
        <f>EXP(-LN(2)/2)*DH46+(1-EXP(-LN(2)/2))/(LN(2)/2)*DB47*DE47*VLOOKUP('Données projet'!$B$13,Paramètres!$A$1:$I$89,3,0)*0.475*44/12</f>
        <v>1.994623486836572</v>
      </c>
      <c r="DI47" s="22">
        <f t="shared" si="15"/>
        <v>27.973810373944531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21.970000000000002</v>
      </c>
      <c r="N48" s="13">
        <f>IF('Données projet'!$A$36&gt;35,N47+M48-V47,IF(A48&lt;'Données projet'!$A$36,$K$205^A48,IF(A48='Données projet'!$A$36,'Données projet'!$B$36,N47+M48-V47)))</f>
        <v>416.36000000000013</v>
      </c>
      <c r="O48" s="13">
        <f>N48*VLOOKUP('Données projet'!$B$9,Paramètres!$A$1:$I$89,3,0)*VLOOKUP('Données projet'!$B$9,Paramètres!$A$1:$I$89,5,0)</f>
        <v>232.74524000000008</v>
      </c>
      <c r="P48" s="13">
        <f t="shared" si="33"/>
        <v>56.875856080072602</v>
      </c>
      <c r="Q48" s="20">
        <f t="shared" si="53"/>
        <v>504.42340900612658</v>
      </c>
      <c r="R48" s="59">
        <f t="shared" si="0"/>
        <v>797.75674233945983</v>
      </c>
      <c r="S48" s="59">
        <f ca="1">AVERAGE(OFFSET($R$3,0,0,'Données projet'!$E$9+1,1))-AVERAGE(OFFSET($H$3,0,0,'Données projet'!$E$9+1,1))</f>
        <v>287.413090017863</v>
      </c>
      <c r="T48" s="59">
        <f t="shared" si="34"/>
        <v>258.48456031927117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49.493734230207423</v>
      </c>
      <c r="AA48" s="21">
        <f>EXP(-LN(2)/25)*AA47+(1-EXP(-LN(2)/25))/(LN(2)/25)*Calculateur!V48*Calculateur!X48*VLOOKUP('Données projet'!$B$9,Paramètres!$A$1:$I$89,3,0)*0.475*44/12</f>
        <v>24.155500684372136</v>
      </c>
      <c r="AB48" s="21">
        <f>EXP(-LN(2)/2)*AB47+(1-EXP(-LN(2)/2))/(LN(2)/2)*V48*Y48*VLOOKUP('Données projet'!$B$9,Paramètres!$A$1:$I$89,3,0)*0.475*44/12</f>
        <v>4.8688852375310177</v>
      </c>
      <c r="AC48" s="22">
        <f t="shared" si="3"/>
        <v>78.518120152110569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10.110000000000001</v>
      </c>
      <c r="AI48" s="13">
        <f>IF('Données projet'!$A$62&gt;35,AI47+AH48-AQ47,IF(A48&lt;'Données projet'!$A$62,$AF$205^A48,IF(A48='Données projet'!$A$62,'Données projet'!$B$62,AI47+AH48-AQ47)))</f>
        <v>157.78000000000014</v>
      </c>
      <c r="AJ48" s="13">
        <f>AI48*VLOOKUP('Données projet'!$B$10,Paramètres!$A$1:$I$89,3,0)*VLOOKUP('Données projet'!$B$10,Paramètres!$A$1:$I$89,5,0)</f>
        <v>142.75934400000011</v>
      </c>
      <c r="AK48" s="13">
        <f t="shared" si="35"/>
        <v>36.928412609012774</v>
      </c>
      <c r="AL48" s="20">
        <f t="shared" si="4"/>
        <v>312.95617609403075</v>
      </c>
      <c r="AM48" s="59">
        <f t="shared" si="5"/>
        <v>606.28950942736401</v>
      </c>
      <c r="AN48" s="59">
        <f ca="1">AVERAGE(OFFSET($AM$3,0,0,'Données projet'!$E$10+1,1))-AVERAGE(OFFSET($H$3,0,0,'Données projet'!$E$10+1,1))</f>
        <v>422.10969295064359</v>
      </c>
      <c r="AO48" s="59">
        <f t="shared" si="36"/>
        <v>184.04075143033037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14.037144853116336</v>
      </c>
      <c r="AW48" s="21">
        <f>EXP(-LN(2)/2)*AW47+(1-EXP(-LN(2)/2))/(LN(2)/2)*AQ48*AT48*VLOOKUP('Données projet'!$B$10,Paramètres!$A$1:$I$89,3,0)*0.475*44/12</f>
        <v>2.6868874914950243</v>
      </c>
      <c r="AX48" s="21">
        <f t="shared" si="6"/>
        <v>16.724032344611359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450</v>
      </c>
      <c r="BB48" s="12">
        <f>VLOOKUP(A48,'Données projet'!$A$87:$I$107,9,0)</f>
        <v>22.4</v>
      </c>
      <c r="BC48" s="12">
        <f t="array" ref="BC48">INDEX(BB:BB,MIN(IF(ISNUMBER(BB48:BB244),ROW(BB48:BB244),"")))</f>
        <v>22.4</v>
      </c>
      <c r="BD48" s="12">
        <f>IF('Données projet'!$A$88&gt;35,BD47+BC48-BL47,IF(A48&lt;'Données projet'!$A$88,$BA$205^A48,IF(A48='Données projet'!$A$88,'Données projet'!$B$88,BD47+BC48-BL47)))</f>
        <v>449.99999999999966</v>
      </c>
      <c r="BE48" s="13">
        <f>BD48*VLOOKUP('Données projet'!$B$11,Paramètres!$A$1:$I$89,3,0)*VLOOKUP('Données projet'!$B$11,Paramètres!$A$1:$I$89,5,0)</f>
        <v>181.34999999999985</v>
      </c>
      <c r="BF48" s="13">
        <f t="shared" si="37"/>
        <v>45.622405555921794</v>
      </c>
      <c r="BG48" s="20">
        <f t="shared" si="7"/>
        <v>395.31027300989689</v>
      </c>
      <c r="BH48" s="59">
        <f t="shared" si="8"/>
        <v>688.6436063432302</v>
      </c>
      <c r="BI48" s="59">
        <f ca="1">AVERAGE(OFFSET($BH$3,0,0,'Données projet'!$E$11+1,1))-AVERAGE(OFFSET($H$3,0,0,'Données projet'!$E$11+1,1))</f>
        <v>217.61052961346684</v>
      </c>
      <c r="BJ48" s="59">
        <f t="shared" si="38"/>
        <v>180.77145728128608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56</v>
      </c>
      <c r="BM48" s="16">
        <f>IF(ISNA(VLOOKUP(A48,'Données projet'!$A$87:$I$107,5,0)),0%,VLOOKUP(A48,'Données projet'!$A$87:$I$107,5,0)*VLOOKUP('Données projet'!$B$11,Paramètres!$A$1:$I$89,7,0))</f>
        <v>0.13750000000000001</v>
      </c>
      <c r="BN48" s="16">
        <f>IF(ISNA(VLOOKUP(A48,'Données projet'!$A$87:$I$107,6,0)),0%,VLOOKUP(A48,'Données projet'!$A$87:$I$107,6,0)*VLOOKUP('Données projet'!$B$11,Paramètres!$A$1:$I$89,7,0))</f>
        <v>0.20350000000000001</v>
      </c>
      <c r="BO48" s="16">
        <f>IF(ISNA(VLOOKUP(A48,'Données projet'!$A$87:$I$107,7,0)),0%,VLOOKUP(A48,'Données projet'!$A$87:$I$107,7,0))</f>
        <v>0.38</v>
      </c>
      <c r="BP48" s="21">
        <f>EXP(-LN(2)/35)*BP47+(1-EXP(-LN(2)/35))/(LN(2)/35)*BL48*BM48*VLOOKUP('Données projet'!$B$11,Paramètres!$A$1:$I$89,3,0)*0.475*44/12</f>
        <v>16.357868645422908</v>
      </c>
      <c r="BQ48" s="21">
        <f>EXP(-LN(2)/25)*BQ47+(1-EXP(-LN(2)/25))/(LN(2)/25)*Calculateur!BL48*Calculateur!BN48*VLOOKUP('Données projet'!$B$11,Paramètres!$A$1:$I$89,3,0)*0.475*44/12</f>
        <v>22.56783345651785</v>
      </c>
      <c r="BR48" s="21">
        <f>EXP(-LN(2)/2)*BR47+(1-EXP(-LN(2)/2))/(LN(2)/2)*BL48*BO48*VLOOKUP('Données projet'!$B$11,Paramètres!$A$1:$I$89,3,0)*0.475*44/12</f>
        <v>11.790501095804212</v>
      </c>
      <c r="BS48" s="22">
        <f t="shared" si="9"/>
        <v>50.716203197744967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14.224285714285713</v>
      </c>
      <c r="BY48" s="12">
        <f>IF('Données projet'!$A$114&gt;35,BY47+BX48-CG47,IF(A48&lt;'Données projet'!$A$114,$BV$205^A48,IF(A48='Données projet'!$A$114,'Données projet'!$B$114,BY47+BX48-CG47)))</f>
        <v>176.27428571428572</v>
      </c>
      <c r="BZ48" s="13">
        <f>BY48*VLOOKUP('Données projet'!$B$12,Paramètres!$A$1:$I$89,3,0)*VLOOKUP('Données projet'!$B$12,Paramètres!$A$1:$I$89,5,0)</f>
        <v>148.4934582857143</v>
      </c>
      <c r="CA48" s="13">
        <f t="shared" si="39"/>
        <v>38.236017731685749</v>
      </c>
      <c r="CB48" s="20">
        <f t="shared" si="10"/>
        <v>325.22050406363837</v>
      </c>
      <c r="CC48" s="59">
        <f t="shared" si="11"/>
        <v>618.55383739697163</v>
      </c>
      <c r="CD48" s="59">
        <f ca="1">AVERAGE(OFFSET($CC$3,0,0,'Données projet'!$E$12+1,1))-AVERAGE(OFFSET($H$3,0,0,'Données projet'!$E$12+1,1))</f>
        <v>287.72859857368331</v>
      </c>
      <c r="CE48" s="59">
        <f t="shared" si="40"/>
        <v>179.60736986885922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7.7578608453880857</v>
      </c>
      <c r="CL48" s="21">
        <f>EXP(-LN(2)/25)*CL47+(1-EXP(-LN(2)/25))/(LN(2)/25)*Calculateur!CG48*Calculateur!CI48*VLOOKUP('Données projet'!$B$12,Paramètres!$A$1:$I$89,3,0)*0.475*44/12</f>
        <v>29.834706389844559</v>
      </c>
      <c r="CM48" s="21">
        <f>EXP(-LN(2)/2)*CM47+(1-EXP(-LN(2)/2))/(LN(2)/2)*CG48*CJ48*VLOOKUP('Données projet'!$B$12,Paramètres!$A$1:$I$89,3,0)*0.475*44/12</f>
        <v>3.690950807279731</v>
      </c>
      <c r="CN48" s="22">
        <f t="shared" si="12"/>
        <v>41.283518042512377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242</v>
      </c>
      <c r="CR48" s="12">
        <f>VLOOKUP(A48,'Données projet'!$A$139:$I$159,9,0)</f>
        <v>9.8000000000000007</v>
      </c>
      <c r="CS48" s="12">
        <f t="array" ref="CS48">INDEX(CR:CR,MIN(IF(ISNUMBER(CR48:CR244),ROW(CR48:CR244),"")))</f>
        <v>9.8000000000000007</v>
      </c>
      <c r="CT48" s="12">
        <f>IF('Données projet'!$A$140&gt;35,CT47+CS48-DB47,IF(A48&lt;'Données projet'!$A$140,$CQ$205^A48,IF(A48='Données projet'!$A$140,'Données projet'!$B$140,CT47+CS48-DB47)))</f>
        <v>242.00000000000006</v>
      </c>
      <c r="CU48" s="17">
        <f>CT48*VLOOKUP('Données projet'!$B$13,Paramètres!$A$1:$I$89,3,0)*VLOOKUP('Données projet'!$B$13,Paramètres!$A$1:$I$89,5,0)</f>
        <v>192.53520000000006</v>
      </c>
      <c r="CV48" s="13">
        <f t="shared" si="41"/>
        <v>48.100016456123079</v>
      </c>
      <c r="CW48" s="20">
        <f t="shared" si="13"/>
        <v>419.10633532774779</v>
      </c>
      <c r="CX48" s="59">
        <f t="shared" si="14"/>
        <v>712.4396686610811</v>
      </c>
      <c r="CY48" s="59">
        <f ca="1">AVERAGE(OFFSET($CX$3,0,0,'Données projet'!$E$13+1,1))-AVERAGE(OFFSET($H$3,0,0,'Données projet'!$E$13+1,1))</f>
        <v>243.33915530322201</v>
      </c>
      <c r="CZ48" s="59">
        <f t="shared" si="42"/>
        <v>247.73814704672577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24</v>
      </c>
      <c r="DC48" s="16">
        <f>IF(ISNA(VLOOKUP(A48,'Données projet'!$A$139:$I$159,5,0)),0%,VLOOKUP(A48,'Données projet'!$A$139:$I$159,5,0)*VLOOKUP('Données projet'!$B$13,Paramètres!$A$1:$I$89,7,0))</f>
        <v>0.13250000000000001</v>
      </c>
      <c r="DD48" s="16">
        <f>IF(ISNA(VLOOKUP(A48,'Données projet'!$A$139:$I$159,6,0)),0%,VLOOKUP(A48,'Données projet'!$A$139:$I$159,6,0)*VLOOKUP('Données projet'!$B$13,Paramètres!$A$1:$I$89,7,0))</f>
        <v>0.13250000000000001</v>
      </c>
      <c r="DE48" s="16">
        <f>IF(ISNA(VLOOKUP(A48,'Données projet'!$A$139:$I$159,7,0)),0%,VLOOKUP(A48,'Données projet'!$A$139:$I$159,7,0))</f>
        <v>0.25</v>
      </c>
      <c r="DF48" s="21">
        <f>EXP(-LN(2)/35)*DF47+(1-EXP(-LN(2)/35))/(LN(2)/35)*DB48*DC48*VLOOKUP('Données projet'!$B$13,Paramètres!$A$1:$I$89,3,0)*0.475*44/12</f>
        <v>12.867482070545831</v>
      </c>
      <c r="DG48" s="21">
        <f>EXP(-LN(2)/25)*DG47+(1-EXP(-LN(2)/25))/(LN(2)/25)*Calculateur!DB48*Calculateur!DD48*VLOOKUP('Données projet'!$B$13,Paramètres!$A$1:$I$89,3,0)*0.475*44/12</f>
        <v>18.063449338478677</v>
      </c>
      <c r="DH48" s="21">
        <f>EXP(-LN(2)/2)*DH47+(1-EXP(-LN(2)/2))/(LN(2)/2)*DB48*DE48*VLOOKUP('Données projet'!$B$13,Paramètres!$A$1:$I$89,3,0)*0.475*44/12</f>
        <v>5.914431873016377</v>
      </c>
      <c r="DI48" s="22">
        <f t="shared" si="15"/>
        <v>36.845363282040886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21.970000000000002</v>
      </c>
      <c r="N49" s="13">
        <f>IF('Données projet'!$A$36&gt;35,N48+M49-V48,IF(A49&lt;'Données projet'!$A$36,$K$205^A49,IF(A49='Données projet'!$A$36,'Données projet'!$B$36,N48+M49-V48)))</f>
        <v>438.33000000000015</v>
      </c>
      <c r="O49" s="13">
        <f>N49*VLOOKUP('Données projet'!$B$9,Paramètres!$A$1:$I$89,3,0)*VLOOKUP('Données projet'!$B$9,Paramètres!$A$1:$I$89,5,0)</f>
        <v>245.02647000000007</v>
      </c>
      <c r="P49" s="13">
        <f t="shared" si="33"/>
        <v>59.519691926533838</v>
      </c>
      <c r="Q49" s="20">
        <f t="shared" si="53"/>
        <v>530.41789868871319</v>
      </c>
      <c r="R49" s="59">
        <f t="shared" si="0"/>
        <v>823.75123202204645</v>
      </c>
      <c r="S49" s="59">
        <f ca="1">AVERAGE(OFFSET($R$3,0,0,'Données projet'!$E$9+1,1))-AVERAGE(OFFSET($H$3,0,0,'Données projet'!$E$9+1,1))</f>
        <v>287.413090017863</v>
      </c>
      <c r="T49" s="59">
        <f t="shared" si="34"/>
        <v>258.48456031927117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48.523192290150099</v>
      </c>
      <c r="AA49" s="21">
        <f>EXP(-LN(2)/25)*AA48+(1-EXP(-LN(2)/25))/(LN(2)/25)*Calculateur!V49*Calculateur!X49*VLOOKUP('Données projet'!$B$9,Paramètres!$A$1:$I$89,3,0)*0.475*44/12</f>
        <v>23.494967247875408</v>
      </c>
      <c r="AB49" s="21">
        <f>EXP(-LN(2)/2)*AB48+(1-EXP(-LN(2)/2))/(LN(2)/2)*V49*Y49*VLOOKUP('Données projet'!$B$9,Paramètres!$A$1:$I$89,3,0)*0.475*44/12</f>
        <v>3.4428217682772568</v>
      </c>
      <c r="AC49" s="22">
        <f t="shared" si="3"/>
        <v>75.46098130630277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10.110000000000001</v>
      </c>
      <c r="AI49" s="13">
        <f>IF('Données projet'!$A$62&gt;35,AI48+AH49-AQ48,IF(A49&lt;'Données projet'!$A$62,$AF$205^A49,IF(A49='Données projet'!$A$62,'Données projet'!$B$62,AI48+AH49-AQ48)))</f>
        <v>167.89000000000016</v>
      </c>
      <c r="AJ49" s="13">
        <f>AI49*VLOOKUP('Données projet'!$B$10,Paramètres!$A$1:$I$89,3,0)*VLOOKUP('Données projet'!$B$10,Paramètres!$A$1:$I$89,5,0)</f>
        <v>151.90687200000013</v>
      </c>
      <c r="AK49" s="13">
        <f t="shared" si="35"/>
        <v>39.011610015763097</v>
      </c>
      <c r="AL49" s="20">
        <f t="shared" si="4"/>
        <v>332.51635617745427</v>
      </c>
      <c r="AM49" s="59">
        <f t="shared" si="5"/>
        <v>625.84968951078758</v>
      </c>
      <c r="AN49" s="59">
        <f ca="1">AVERAGE(OFFSET($AM$3,0,0,'Données projet'!$E$10+1,1))-AVERAGE(OFFSET($H$3,0,0,'Données projet'!$E$10+1,1))</f>
        <v>422.10969295064359</v>
      </c>
      <c r="AO49" s="59">
        <f t="shared" si="36"/>
        <v>184.04075143033037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13.653298388926505</v>
      </c>
      <c r="AW49" s="21">
        <f>EXP(-LN(2)/2)*AW48+(1-EXP(-LN(2)/2))/(LN(2)/2)*AQ49*AT49*VLOOKUP('Données projet'!$B$10,Paramètres!$A$1:$I$89,3,0)*0.475*44/12</f>
        <v>1.8999163655214437</v>
      </c>
      <c r="AX49" s="21">
        <f t="shared" si="6"/>
        <v>15.553214754447948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21</v>
      </c>
      <c r="BD49" s="12">
        <f>IF('Données projet'!$A$88&gt;35,BD48+BC49-BL48,IF(A49&lt;'Données projet'!$A$88,$BA$205^A49,IF(A49='Données projet'!$A$88,'Données projet'!$B$88,BD48+BC49-BL48)))</f>
        <v>414.99999999999966</v>
      </c>
      <c r="BE49" s="13">
        <f>BD49*VLOOKUP('Données projet'!$B$11,Paramètres!$A$1:$I$89,3,0)*VLOOKUP('Données projet'!$B$11,Paramètres!$A$1:$I$89,5,0)</f>
        <v>167.24499999999986</v>
      </c>
      <c r="BF49" s="13">
        <f t="shared" si="37"/>
        <v>42.472409721797995</v>
      </c>
      <c r="BG49" s="20">
        <f t="shared" si="7"/>
        <v>365.25782193213126</v>
      </c>
      <c r="BH49" s="59">
        <f t="shared" si="8"/>
        <v>658.59115526546452</v>
      </c>
      <c r="BI49" s="59">
        <f ca="1">AVERAGE(OFFSET($BH$3,0,0,'Données projet'!$E$11+1,1))-AVERAGE(OFFSET($H$3,0,0,'Données projet'!$E$11+1,1))</f>
        <v>217.61052961346684</v>
      </c>
      <c r="BJ49" s="59">
        <f t="shared" si="38"/>
        <v>180.77145728128608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16.037100818600859</v>
      </c>
      <c r="BQ49" s="21">
        <f>EXP(-LN(2)/25)*BQ48+(1-EXP(-LN(2)/25))/(LN(2)/25)*Calculateur!BL49*Calculateur!BN49*VLOOKUP('Données projet'!$B$11,Paramètres!$A$1:$I$89,3,0)*0.475*44/12</f>
        <v>21.950714863858586</v>
      </c>
      <c r="BR49" s="21">
        <f>EXP(-LN(2)/2)*BR48+(1-EXP(-LN(2)/2))/(LN(2)/2)*BL49*BO49*VLOOKUP('Données projet'!$B$11,Paramètres!$A$1:$I$89,3,0)*0.475*44/12</f>
        <v>8.3371432784305775</v>
      </c>
      <c r="BS49" s="22">
        <f t="shared" si="9"/>
        <v>46.324958960890015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14.224285714285713</v>
      </c>
      <c r="BY49" s="12">
        <f>IF('Données projet'!$A$114&gt;35,BY48+BX49-CG48,IF(A49&lt;'Données projet'!$A$114,$BV$205^A49,IF(A49='Données projet'!$A$114,'Données projet'!$B$114,BY48+BX49-CG48)))</f>
        <v>190.49857142857144</v>
      </c>
      <c r="BZ49" s="13">
        <f>BY49*VLOOKUP('Données projet'!$B$12,Paramètres!$A$1:$I$89,3,0)*VLOOKUP('Données projet'!$B$12,Paramètres!$A$1:$I$89,5,0)</f>
        <v>160.4759965714286</v>
      </c>
      <c r="CA49" s="13">
        <f t="shared" si="39"/>
        <v>40.949859193473067</v>
      </c>
      <c r="CB49" s="20">
        <f t="shared" si="10"/>
        <v>350.81669879053698</v>
      </c>
      <c r="CC49" s="59">
        <f t="shared" si="11"/>
        <v>644.15003212387023</v>
      </c>
      <c r="CD49" s="59">
        <f ca="1">AVERAGE(OFFSET($CC$3,0,0,'Données projet'!$E$12+1,1))-AVERAGE(OFFSET($H$3,0,0,'Données projet'!$E$12+1,1))</f>
        <v>287.72859857368331</v>
      </c>
      <c r="CE49" s="59">
        <f t="shared" si="40"/>
        <v>179.60736986885922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7.605733926037912</v>
      </c>
      <c r="CL49" s="21">
        <f>EXP(-LN(2)/25)*CL48+(1-EXP(-LN(2)/25))/(LN(2)/25)*Calculateur!CG49*Calculateur!CI49*VLOOKUP('Données projet'!$B$12,Paramètres!$A$1:$I$89,3,0)*0.475*44/12</f>
        <v>29.01887477467524</v>
      </c>
      <c r="CM49" s="21">
        <f>EXP(-LN(2)/2)*CM48+(1-EXP(-LN(2)/2))/(LN(2)/2)*CG49*CJ49*VLOOKUP('Données projet'!$B$12,Paramètres!$A$1:$I$89,3,0)*0.475*44/12</f>
        <v>2.60989634485346</v>
      </c>
      <c r="CN49" s="22">
        <f t="shared" si="12"/>
        <v>39.234505045566614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8.6</v>
      </c>
      <c r="CT49" s="12">
        <f>IF('Données projet'!$A$140&gt;35,CT48+CS49-DB48,IF(A49&lt;'Données projet'!$A$140,$CQ$205^A49,IF(A49='Données projet'!$A$140,'Données projet'!$B$140,CT48+CS49-DB48)))</f>
        <v>226.60000000000005</v>
      </c>
      <c r="CU49" s="17">
        <f>CT49*VLOOKUP('Données projet'!$B$13,Paramètres!$A$1:$I$89,3,0)*VLOOKUP('Données projet'!$B$13,Paramètres!$A$1:$I$89,5,0)</f>
        <v>180.28296000000006</v>
      </c>
      <c r="CV49" s="13">
        <f t="shared" si="41"/>
        <v>45.385133797071397</v>
      </c>
      <c r="CW49" s="20">
        <f t="shared" si="13"/>
        <v>393.03859669656612</v>
      </c>
      <c r="CX49" s="59">
        <f t="shared" si="14"/>
        <v>686.37193002989943</v>
      </c>
      <c r="CY49" s="59">
        <f ca="1">AVERAGE(OFFSET($CX$3,0,0,'Données projet'!$E$13+1,1))-AVERAGE(OFFSET($H$3,0,0,'Données projet'!$E$13+1,1))</f>
        <v>243.33915530322201</v>
      </c>
      <c r="CZ49" s="59">
        <f t="shared" si="42"/>
        <v>247.73814704672577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12.615158595531527</v>
      </c>
      <c r="DG49" s="21">
        <f>EXP(-LN(2)/25)*DG48+(1-EXP(-LN(2)/25))/(LN(2)/25)*Calculateur!DB49*Calculateur!DD49*VLOOKUP('Données projet'!$B$13,Paramètres!$A$1:$I$89,3,0)*0.475*44/12</f>
        <v>17.569503366402461</v>
      </c>
      <c r="DH49" s="21">
        <f>EXP(-LN(2)/2)*DH48+(1-EXP(-LN(2)/2))/(LN(2)/2)*DB49*DE49*VLOOKUP('Données projet'!$B$13,Paramètres!$A$1:$I$89,3,0)*0.475*44/12</f>
        <v>4.182134884275734</v>
      </c>
      <c r="DI49" s="22">
        <f t="shared" si="15"/>
        <v>34.366796846209724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21.970000000000002</v>
      </c>
      <c r="N50" s="13">
        <f>IF('Données projet'!$A$36&gt;35,N49+M50-V49,IF(A50&lt;'Données projet'!$A$36,$K$205^A50,IF(A50='Données projet'!$A$36,'Données projet'!$B$36,N49+M50-V49)))</f>
        <v>460.30000000000018</v>
      </c>
      <c r="O50" s="13">
        <f>N50*VLOOKUP('Données projet'!$B$9,Paramètres!$A$1:$I$89,3,0)*VLOOKUP('Données projet'!$B$9,Paramètres!$A$1:$I$89,5,0)</f>
        <v>257.30770000000012</v>
      </c>
      <c r="P50" s="13">
        <f t="shared" si="33"/>
        <v>62.148141193508692</v>
      </c>
      <c r="Q50" s="20">
        <f t="shared" si="53"/>
        <v>556.38559007869458</v>
      </c>
      <c r="R50" s="59">
        <f t="shared" si="0"/>
        <v>849.71892341202783</v>
      </c>
      <c r="S50" s="59">
        <f ca="1">AVERAGE(OFFSET($R$3,0,0,'Données projet'!$E$9+1,1))-AVERAGE(OFFSET($H$3,0,0,'Données projet'!$E$9+1,1))</f>
        <v>287.413090017863</v>
      </c>
      <c r="T50" s="59">
        <f t="shared" si="34"/>
        <v>258.48456031927117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47.571682085565172</v>
      </c>
      <c r="AA50" s="21">
        <f>EXP(-LN(2)/25)*AA49+(1-EXP(-LN(2)/25))/(LN(2)/25)*Calculateur!V50*Calculateur!X50*VLOOKUP('Données projet'!$B$9,Paramètres!$A$1:$I$89,3,0)*0.475*44/12</f>
        <v>22.852496132935627</v>
      </c>
      <c r="AB50" s="21">
        <f>EXP(-LN(2)/2)*AB49+(1-EXP(-LN(2)/2))/(LN(2)/2)*V50*Y50*VLOOKUP('Données projet'!$B$9,Paramètres!$A$1:$I$89,3,0)*0.475*44/12</f>
        <v>2.4344426187655088</v>
      </c>
      <c r="AC50" s="22">
        <f t="shared" si="3"/>
        <v>72.858620837266301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10.110000000000001</v>
      </c>
      <c r="AI50" s="13">
        <f>IF('Données projet'!$A$62&gt;35,AI49+AH50-AQ49,IF(A50&lt;'Données projet'!$A$62,$AF$205^A50,IF(A50='Données projet'!$A$62,'Données projet'!$B$62,AI49+AH50-AQ49)))</f>
        <v>178.00000000000017</v>
      </c>
      <c r="AJ50" s="13">
        <f>AI50*VLOOKUP('Données projet'!$B$10,Paramètres!$A$1:$I$89,3,0)*VLOOKUP('Données projet'!$B$10,Paramètres!$A$1:$I$89,5,0)</f>
        <v>161.05440000000016</v>
      </c>
      <c r="AK50" s="13">
        <f t="shared" si="35"/>
        <v>41.080247278685491</v>
      </c>
      <c r="AL50" s="20">
        <f t="shared" si="4"/>
        <v>352.05117734371078</v>
      </c>
      <c r="AM50" s="59">
        <f t="shared" si="5"/>
        <v>645.38451067704409</v>
      </c>
      <c r="AN50" s="59">
        <f ca="1">AVERAGE(OFFSET($AM$3,0,0,'Données projet'!$E$10+1,1))-AVERAGE(OFFSET($H$3,0,0,'Données projet'!$E$10+1,1))</f>
        <v>422.10969295064359</v>
      </c>
      <c r="AO50" s="59">
        <f t="shared" si="36"/>
        <v>184.04075143033037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13.279948226485553</v>
      </c>
      <c r="AW50" s="21">
        <f>EXP(-LN(2)/2)*AW49+(1-EXP(-LN(2)/2))/(LN(2)/2)*AQ50*AT50*VLOOKUP('Données projet'!$B$10,Paramètres!$A$1:$I$89,3,0)*0.475*44/12</f>
        <v>1.3434437457475121</v>
      </c>
      <c r="AX50" s="21">
        <f t="shared" si="6"/>
        <v>14.623391972233065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21</v>
      </c>
      <c r="BD50" s="12">
        <f>IF('Données projet'!$A$88&gt;35,BD49+BC50-BL49,IF(A50&lt;'Données projet'!$A$88,$BA$205^A50,IF(A50='Données projet'!$A$88,'Données projet'!$B$88,BD49+BC50-BL49)))</f>
        <v>435.99999999999966</v>
      </c>
      <c r="BE50" s="13">
        <f>BD50*VLOOKUP('Données projet'!$B$11,Paramètres!$A$1:$I$89,3,0)*VLOOKUP('Données projet'!$B$11,Paramètres!$A$1:$I$89,5,0)</f>
        <v>175.70799999999986</v>
      </c>
      <c r="BF50" s="13">
        <f t="shared" si="37"/>
        <v>44.365958186246438</v>
      </c>
      <c r="BG50" s="20">
        <f t="shared" si="7"/>
        <v>383.2954771743789</v>
      </c>
      <c r="BH50" s="59">
        <f t="shared" si="8"/>
        <v>676.62881050771216</v>
      </c>
      <c r="BI50" s="59">
        <f ca="1">AVERAGE(OFFSET($BH$3,0,0,'Données projet'!$E$11+1,1))-AVERAGE(OFFSET($H$3,0,0,'Données projet'!$E$11+1,1))</f>
        <v>217.61052961346684</v>
      </c>
      <c r="BJ50" s="59">
        <f t="shared" si="38"/>
        <v>180.77145728128608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15.722623053213736</v>
      </c>
      <c r="BQ50" s="21">
        <f>EXP(-LN(2)/25)*BQ49+(1-EXP(-LN(2)/25))/(LN(2)/25)*Calculateur!BL50*Calculateur!BN50*VLOOKUP('Données projet'!$B$11,Paramètres!$A$1:$I$89,3,0)*0.475*44/12</f>
        <v>21.350471411568446</v>
      </c>
      <c r="BR50" s="21">
        <f>EXP(-LN(2)/2)*BR49+(1-EXP(-LN(2)/2))/(LN(2)/2)*BL50*BO50*VLOOKUP('Données projet'!$B$11,Paramètres!$A$1:$I$89,3,0)*0.475*44/12</f>
        <v>5.8952505479021058</v>
      </c>
      <c r="BS50" s="22">
        <f t="shared" si="9"/>
        <v>42.968345012684289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14.224285714285713</v>
      </c>
      <c r="BY50" s="12">
        <f>IF('Données projet'!$A$114&gt;35,BY49+BX50-CG49,IF(A50&lt;'Données projet'!$A$114,$BV$205^A50,IF(A50='Données projet'!$A$114,'Données projet'!$B$114,BY49+BX50-CG49)))</f>
        <v>204.72285714285715</v>
      </c>
      <c r="BZ50" s="13">
        <f>BY50*VLOOKUP('Données projet'!$B$12,Paramètres!$A$1:$I$89,3,0)*VLOOKUP('Données projet'!$B$12,Paramètres!$A$1:$I$89,5,0)</f>
        <v>172.45853485714287</v>
      </c>
      <c r="CA50" s="13">
        <f t="shared" si="39"/>
        <v>43.640192625939278</v>
      </c>
      <c r="CB50" s="20">
        <f t="shared" si="10"/>
        <v>376.37195036636803</v>
      </c>
      <c r="CC50" s="59">
        <f t="shared" si="11"/>
        <v>669.70528369970134</v>
      </c>
      <c r="CD50" s="59">
        <f ca="1">AVERAGE(OFFSET($CC$3,0,0,'Données projet'!$E$12+1,1))-AVERAGE(OFFSET($H$3,0,0,'Données projet'!$E$12+1,1))</f>
        <v>287.72859857368331</v>
      </c>
      <c r="CE50" s="59">
        <f t="shared" si="40"/>
        <v>179.60736986885922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7.4565901227879365</v>
      </c>
      <c r="CL50" s="21">
        <f>EXP(-LN(2)/25)*CL49+(1-EXP(-LN(2)/25))/(LN(2)/25)*Calculateur!CG50*Calculateur!CI50*VLOOKUP('Données projet'!$B$12,Paramètres!$A$1:$I$89,3,0)*0.475*44/12</f>
        <v>28.225352117925443</v>
      </c>
      <c r="CM50" s="21">
        <f>EXP(-LN(2)/2)*CM49+(1-EXP(-LN(2)/2))/(LN(2)/2)*CG50*CJ50*VLOOKUP('Données projet'!$B$12,Paramètres!$A$1:$I$89,3,0)*0.475*44/12</f>
        <v>1.845475403639866</v>
      </c>
      <c r="CN50" s="22">
        <f t="shared" si="12"/>
        <v>37.52741764435325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8.6</v>
      </c>
      <c r="CT50" s="12">
        <f>IF('Données projet'!$A$140&gt;35,CT49+CS50-DB49,IF(A50&lt;'Données projet'!$A$140,$CQ$205^A50,IF(A50='Données projet'!$A$140,'Données projet'!$B$140,CT49+CS50-DB49)))</f>
        <v>235.20000000000005</v>
      </c>
      <c r="CU50" s="17">
        <f>CT50*VLOOKUP('Données projet'!$B$13,Paramètres!$A$1:$I$89,3,0)*VLOOKUP('Données projet'!$B$13,Paramètres!$A$1:$I$89,5,0)</f>
        <v>187.12512000000004</v>
      </c>
      <c r="CV50" s="13">
        <f t="shared" si="41"/>
        <v>46.903794805770545</v>
      </c>
      <c r="CW50" s="20">
        <f t="shared" si="13"/>
        <v>407.60035995338376</v>
      </c>
      <c r="CX50" s="59">
        <f t="shared" si="14"/>
        <v>700.93369328671702</v>
      </c>
      <c r="CY50" s="59">
        <f ca="1">AVERAGE(OFFSET($CX$3,0,0,'Données projet'!$E$13+1,1))-AVERAGE(OFFSET($H$3,0,0,'Données projet'!$E$13+1,1))</f>
        <v>243.33915530322201</v>
      </c>
      <c r="CZ50" s="59">
        <f t="shared" si="42"/>
        <v>247.73814704672577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12.36778302996013</v>
      </c>
      <c r="DG50" s="21">
        <f>EXP(-LN(2)/25)*DG49+(1-EXP(-LN(2)/25))/(LN(2)/25)*Calculateur!DB50*Calculateur!DD50*VLOOKUP('Données projet'!$B$13,Paramètres!$A$1:$I$89,3,0)*0.475*44/12</f>
        <v>17.089064372908158</v>
      </c>
      <c r="DH50" s="21">
        <f>EXP(-LN(2)/2)*DH49+(1-EXP(-LN(2)/2))/(LN(2)/2)*DB50*DE50*VLOOKUP('Données projet'!$B$13,Paramètres!$A$1:$I$89,3,0)*0.475*44/12</f>
        <v>2.9572159365081889</v>
      </c>
      <c r="DI50" s="22">
        <f t="shared" si="15"/>
        <v>32.414063339376476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21.970000000000002</v>
      </c>
      <c r="N51" s="13">
        <f>IF('Données projet'!$A$36&gt;35,N50+M51-V50,IF(A51&lt;'Données projet'!$A$36,$K$205^A51,IF(A51='Données projet'!$A$36,'Données projet'!$B$36,N50+M51-V50)))</f>
        <v>482.27000000000021</v>
      </c>
      <c r="O51" s="13">
        <f>N51*VLOOKUP('Données projet'!$B$9,Paramètres!$A$1:$I$89,3,0)*VLOOKUP('Données projet'!$B$9,Paramètres!$A$1:$I$89,5,0)</f>
        <v>269.58893000000012</v>
      </c>
      <c r="P51" s="13">
        <f t="shared" si="33"/>
        <v>64.762022124596854</v>
      </c>
      <c r="Q51" s="20">
        <f t="shared" si="53"/>
        <v>582.32790828367308</v>
      </c>
      <c r="R51" s="59">
        <f t="shared" si="0"/>
        <v>875.66124161700645</v>
      </c>
      <c r="S51" s="59">
        <f ca="1">AVERAGE(OFFSET($R$3,0,0,'Données projet'!$E$9+1,1))-AVERAGE(OFFSET($H$3,0,0,'Données projet'!$E$9+1,1))</f>
        <v>287.413090017863</v>
      </c>
      <c r="T51" s="59">
        <f t="shared" si="34"/>
        <v>258.48456031927117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46.638830415728229</v>
      </c>
      <c r="AA51" s="21">
        <f>EXP(-LN(2)/25)*AA50+(1-EXP(-LN(2)/25))/(LN(2)/25)*Calculateur!V51*Calculateur!X51*VLOOKUP('Données projet'!$B$9,Paramètres!$A$1:$I$89,3,0)*0.475*44/12</f>
        <v>22.227593424419961</v>
      </c>
      <c r="AB51" s="21">
        <f>EXP(-LN(2)/2)*AB50+(1-EXP(-LN(2)/2))/(LN(2)/2)*V51*Y51*VLOOKUP('Données projet'!$B$9,Paramètres!$A$1:$I$89,3,0)*0.475*44/12</f>
        <v>1.7214108841386284</v>
      </c>
      <c r="AC51" s="22">
        <f t="shared" si="3"/>
        <v>70.587834724286822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10.110000000000001</v>
      </c>
      <c r="AI51" s="13">
        <f>IF('Données projet'!$A$62&gt;35,AI50+AH51-AQ50,IF(A51&lt;'Données projet'!$A$62,$AF$205^A51,IF(A51='Données projet'!$A$62,'Données projet'!$B$62,AI50+AH51-AQ50)))</f>
        <v>188.11000000000018</v>
      </c>
      <c r="AJ51" s="13">
        <f>AI51*VLOOKUP('Données projet'!$B$10,Paramètres!$A$1:$I$89,3,0)*VLOOKUP('Données projet'!$B$10,Paramètres!$A$1:$I$89,5,0)</f>
        <v>170.20192800000018</v>
      </c>
      <c r="AK51" s="13">
        <f t="shared" si="35"/>
        <v>43.135245614983553</v>
      </c>
      <c r="AL51" s="20">
        <f t="shared" si="4"/>
        <v>371.56224404609662</v>
      </c>
      <c r="AM51" s="59">
        <f t="shared" si="5"/>
        <v>664.89557737942994</v>
      </c>
      <c r="AN51" s="59">
        <f ca="1">AVERAGE(OFFSET($AM$3,0,0,'Données projet'!$E$10+1,1))-AVERAGE(OFFSET($H$3,0,0,'Données projet'!$E$10+1,1))</f>
        <v>422.10969295064359</v>
      </c>
      <c r="AO51" s="59">
        <f t="shared" si="36"/>
        <v>184.04075143033037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12.916807343870181</v>
      </c>
      <c r="AW51" s="21">
        <f>EXP(-LN(2)/2)*AW50+(1-EXP(-LN(2)/2))/(LN(2)/2)*AQ51*AT51*VLOOKUP('Données projet'!$B$10,Paramètres!$A$1:$I$89,3,0)*0.475*44/12</f>
        <v>0.94995818276072186</v>
      </c>
      <c r="AX51" s="21">
        <f t="shared" si="6"/>
        <v>13.866765526630903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21</v>
      </c>
      <c r="BD51" s="12">
        <f>IF('Données projet'!$A$88&gt;35,BD50+BC51-BL50,IF(A51&lt;'Données projet'!$A$88,$BA$205^A51,IF(A51='Données projet'!$A$88,'Données projet'!$B$88,BD50+BC51-BL50)))</f>
        <v>456.99999999999966</v>
      </c>
      <c r="BE51" s="13">
        <f>BD51*VLOOKUP('Données projet'!$B$11,Paramètres!$A$1:$I$89,3,0)*VLOOKUP('Données projet'!$B$11,Paramètres!$A$1:$I$89,5,0)</f>
        <v>184.17099999999988</v>
      </c>
      <c r="BF51" s="13">
        <f t="shared" si="37"/>
        <v>46.248915998874566</v>
      </c>
      <c r="BG51" s="20">
        <f t="shared" si="7"/>
        <v>401.31468703137301</v>
      </c>
      <c r="BH51" s="59">
        <f t="shared" si="8"/>
        <v>694.64802036470633</v>
      </c>
      <c r="BI51" s="59">
        <f ca="1">AVERAGE(OFFSET($BH$3,0,0,'Données projet'!$E$11+1,1))-AVERAGE(OFFSET($H$3,0,0,'Données projet'!$E$11+1,1))</f>
        <v>217.61052961346684</v>
      </c>
      <c r="BJ51" s="59">
        <f t="shared" si="38"/>
        <v>180.77145728128608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15.414312004993358</v>
      </c>
      <c r="BQ51" s="21">
        <f>EXP(-LN(2)/25)*BQ50+(1-EXP(-LN(2)/25))/(LN(2)/25)*Calculateur!BL51*Calculateur!BN51*VLOOKUP('Données projet'!$B$11,Paramètres!$A$1:$I$89,3,0)*0.475*44/12</f>
        <v>20.766641648046612</v>
      </c>
      <c r="BR51" s="21">
        <f>EXP(-LN(2)/2)*BR50+(1-EXP(-LN(2)/2))/(LN(2)/2)*BL51*BO51*VLOOKUP('Données projet'!$B$11,Paramètres!$A$1:$I$89,3,0)*0.475*44/12</f>
        <v>4.1685716392152887</v>
      </c>
      <c r="BS51" s="22">
        <f t="shared" si="9"/>
        <v>40.349525292255258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14.224285714285713</v>
      </c>
      <c r="BY51" s="12">
        <f>IF('Données projet'!$A$114&gt;35,BY50+BX51-CG50,IF(A51&lt;'Données projet'!$A$114,$BV$205^A51,IF(A51='Données projet'!$A$114,'Données projet'!$B$114,BY50+BX51-CG50)))</f>
        <v>218.94714285714286</v>
      </c>
      <c r="BZ51" s="13">
        <f>BY51*VLOOKUP('Données projet'!$B$12,Paramètres!$A$1:$I$89,3,0)*VLOOKUP('Données projet'!$B$12,Paramètres!$A$1:$I$89,5,0)</f>
        <v>184.44107314285716</v>
      </c>
      <c r="CA51" s="13">
        <f t="shared" si="39"/>
        <v>46.308837180748704</v>
      </c>
      <c r="CB51" s="20">
        <f t="shared" si="10"/>
        <v>401.88942714694684</v>
      </c>
      <c r="CC51" s="59">
        <f t="shared" si="11"/>
        <v>695.22276048028016</v>
      </c>
      <c r="CD51" s="59">
        <f ca="1">AVERAGE(OFFSET($CC$3,0,0,'Données projet'!$E$12+1,1))-AVERAGE(OFFSET($H$3,0,0,'Données projet'!$E$12+1,1))</f>
        <v>287.72859857368331</v>
      </c>
      <c r="CE51" s="59">
        <f t="shared" si="40"/>
        <v>179.60736986885922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7.310370938550955</v>
      </c>
      <c r="CL51" s="21">
        <f>EXP(-LN(2)/25)*CL50+(1-EXP(-LN(2)/25))/(LN(2)/25)*Calculateur!CG51*Calculateur!CI51*VLOOKUP('Données projet'!$B$12,Paramètres!$A$1:$I$89,3,0)*0.475*44/12</f>
        <v>27.453528379954015</v>
      </c>
      <c r="CM51" s="21">
        <f>EXP(-LN(2)/2)*CM50+(1-EXP(-LN(2)/2))/(LN(2)/2)*CG51*CJ51*VLOOKUP('Données projet'!$B$12,Paramètres!$A$1:$I$89,3,0)*0.475*44/12</f>
        <v>1.3049481724267302</v>
      </c>
      <c r="CN51" s="22">
        <f t="shared" si="12"/>
        <v>36.068847490931702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8.6</v>
      </c>
      <c r="CT51" s="12">
        <f>IF('Données projet'!$A$140&gt;35,CT50+CS51-DB50,IF(A51&lt;'Données projet'!$A$140,$CQ$205^A51,IF(A51='Données projet'!$A$140,'Données projet'!$B$140,CT50+CS51-DB50)))</f>
        <v>243.80000000000004</v>
      </c>
      <c r="CU51" s="17">
        <f>CT51*VLOOKUP('Données projet'!$B$13,Paramètres!$A$1:$I$89,3,0)*VLOOKUP('Données projet'!$B$13,Paramètres!$A$1:$I$89,5,0)</f>
        <v>193.96728000000004</v>
      </c>
      <c r="CV51" s="13">
        <f t="shared" si="41"/>
        <v>48.41600442423902</v>
      </c>
      <c r="CW51" s="20">
        <f t="shared" si="13"/>
        <v>422.15088703888301</v>
      </c>
      <c r="CX51" s="59">
        <f t="shared" si="14"/>
        <v>715.48422037221633</v>
      </c>
      <c r="CY51" s="59">
        <f ca="1">AVERAGE(OFFSET($CX$3,0,0,'Données projet'!$E$13+1,1))-AVERAGE(OFFSET($H$3,0,0,'Données projet'!$E$13+1,1))</f>
        <v>243.33915530322201</v>
      </c>
      <c r="CZ51" s="59">
        <f t="shared" si="42"/>
        <v>247.73814704672577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12.12525834834539</v>
      </c>
      <c r="DG51" s="21">
        <f>EXP(-LN(2)/25)*DG50+(1-EXP(-LN(2)/25))/(LN(2)/25)*Calculateur!DB51*Calculateur!DD51*VLOOKUP('Données projet'!$B$13,Paramètres!$A$1:$I$89,3,0)*0.475*44/12</f>
        <v>16.621763008956147</v>
      </c>
      <c r="DH51" s="21">
        <f>EXP(-LN(2)/2)*DH50+(1-EXP(-LN(2)/2))/(LN(2)/2)*DB51*DE51*VLOOKUP('Données projet'!$B$13,Paramètres!$A$1:$I$89,3,0)*0.475*44/12</f>
        <v>2.0910674421378674</v>
      </c>
      <c r="DI51" s="22">
        <f t="shared" si="15"/>
        <v>30.838088799439404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504.24</v>
      </c>
      <c r="L52" s="12">
        <f>VLOOKUP(A52,'Données projet'!$A$35:$I$55,9,0)</f>
        <v>21.970000000000002</v>
      </c>
      <c r="M52" s="12">
        <f t="array" ref="M52">INDEX(L:L,MIN(IF(ISNUMBER(L52:L248),ROW(L52:L248),"")))</f>
        <v>21.970000000000002</v>
      </c>
      <c r="N52" s="13">
        <f>IF('Données projet'!$A$36&gt;35,N51+M52-V51,IF(A52&lt;'Données projet'!$A$36,$K$205^A52,IF(A52='Données projet'!$A$36,'Données projet'!$B$36,N51+M52-V51)))</f>
        <v>504.24000000000024</v>
      </c>
      <c r="O52" s="13">
        <f>N52*VLOOKUP('Données projet'!$B$9,Paramètres!$A$1:$I$89,3,0)*VLOOKUP('Données projet'!$B$9,Paramètres!$A$1:$I$89,5,0)</f>
        <v>281.87016000000011</v>
      </c>
      <c r="P52" s="13">
        <f t="shared" si="33"/>
        <v>67.362074198579379</v>
      </c>
      <c r="Q52" s="20">
        <f t="shared" si="53"/>
        <v>608.24614122919252</v>
      </c>
      <c r="R52" s="59">
        <f t="shared" si="0"/>
        <v>901.57947456252577</v>
      </c>
      <c r="S52" s="59">
        <f ca="1">AVERAGE(OFFSET($R$3,0,0,'Données projet'!$E$9+1,1))-AVERAGE(OFFSET($H$3,0,0,'Données projet'!$E$9+1,1))</f>
        <v>287.413090017863</v>
      </c>
      <c r="T52" s="59">
        <f t="shared" si="34"/>
        <v>258.48456031927117</v>
      </c>
      <c r="U52" s="15">
        <f>IF(ISNA(VLOOKUP(A52,'Données projet'!$A$35:$I$55,3,0)),0,VLOOKUP(A52,'Données projet'!$A$35:$I$55,3,0))</f>
        <v>5</v>
      </c>
      <c r="V52" s="15">
        <f>IF(ISNA(VLOOKUP(A52,'Données projet'!$A$35:$I$55,4,0)),0,VLOOKUP(A52,'Données projet'!$A$35:$I$55,4,0))</f>
        <v>112.69999999999999</v>
      </c>
      <c r="W52" s="16">
        <f>IF(ISNA(VLOOKUP(A52,'Données projet'!$A$35:$I$55,5,0)),0%,VLOOKUP(A52,'Données projet'!$A$35:$I$55,5,0)*VLOOKUP('Données projet'!$B$9,Paramètres!$A$1:$I$89,7,0))</f>
        <v>0.33</v>
      </c>
      <c r="X52" s="16">
        <f>IF(ISNA(VLOOKUP(A52,'Données projet'!$A$35:$I$55,6,0)),0%,VLOOKUP(A52,'Données projet'!$A$35:$I$55,6,0)*VLOOKUP('Données projet'!$B$9,Paramètres!$A$1:$I$89,7,0))</f>
        <v>0.11000000000000001</v>
      </c>
      <c r="Y52" s="16">
        <f>IF(ISNA(VLOOKUP(A52,'Données projet'!$A$35:$I$55,7,0)),0%,VLOOKUP(A52,'Données projet'!$A$35:$I$55,7,0))</f>
        <v>0.2</v>
      </c>
      <c r="Z52" s="21">
        <f>EXP(-LN(2)/35)*Z51+(1-EXP(-LN(2)/35))/(LN(2)/35)*V52*W52*VLOOKUP('Données projet'!$B$9,Paramètres!$A$1:$I$89,3,0)*0.475*44/12</f>
        <v>73.303239990352296</v>
      </c>
      <c r="AA52" s="21">
        <f>EXP(-LN(2)/25)*AA51+(1-EXP(-LN(2)/25))/(LN(2)/25)*Calculateur!V52*Calculateur!X52*VLOOKUP('Données projet'!$B$9,Paramètres!$A$1:$I$89,3,0)*0.475*44/12</f>
        <v>30.776571941477684</v>
      </c>
      <c r="AB52" s="21">
        <f>EXP(-LN(2)/2)*AB51+(1-EXP(-LN(2)/2))/(LN(2)/2)*V52*Y52*VLOOKUP('Données projet'!$B$9,Paramètres!$A$1:$I$89,3,0)*0.475*44/12</f>
        <v>15.483189745694569</v>
      </c>
      <c r="AC52" s="22">
        <f t="shared" si="3"/>
        <v>119.56300167752455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10.110000000000001</v>
      </c>
      <c r="AI52" s="13">
        <f>IF('Données projet'!$A$62&gt;35,AI51+AH52-AQ51,IF(A52&lt;'Données projet'!$A$62,$AF$205^A52,IF(A52='Données projet'!$A$62,'Données projet'!$B$62,AI51+AH52-AQ51)))</f>
        <v>198.2200000000002</v>
      </c>
      <c r="AJ52" s="13">
        <f>AI52*VLOOKUP('Données projet'!$B$10,Paramètres!$A$1:$I$89,3,0)*VLOOKUP('Données projet'!$B$10,Paramètres!$A$1:$I$89,5,0)</f>
        <v>179.34945600000017</v>
      </c>
      <c r="AK52" s="13">
        <f t="shared" si="35"/>
        <v>45.177421627371096</v>
      </c>
      <c r="AL52" s="20">
        <f t="shared" si="4"/>
        <v>391.0509785343383</v>
      </c>
      <c r="AM52" s="59">
        <f t="shared" si="5"/>
        <v>684.38431186767161</v>
      </c>
      <c r="AN52" s="59">
        <f ca="1">AVERAGE(OFFSET($AM$3,0,0,'Données projet'!$E$10+1,1))-AVERAGE(OFFSET($H$3,0,0,'Données projet'!$E$10+1,1))</f>
        <v>422.10969295064359</v>
      </c>
      <c r="AO52" s="59">
        <f t="shared" si="36"/>
        <v>184.04075143033037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12.563596567786675</v>
      </c>
      <c r="AW52" s="21">
        <f>EXP(-LN(2)/2)*AW51+(1-EXP(-LN(2)/2))/(LN(2)/2)*AQ52*AT52*VLOOKUP('Données projet'!$B$10,Paramètres!$A$1:$I$89,3,0)*0.475*44/12</f>
        <v>0.67172187287375607</v>
      </c>
      <c r="AX52" s="21">
        <f t="shared" si="6"/>
        <v>13.23531844066043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21</v>
      </c>
      <c r="BD52" s="12">
        <f>IF('Données projet'!$A$88&gt;35,BD51+BC52-BL51,IF(A52&lt;'Données projet'!$A$88,$BA$205^A52,IF(A52='Données projet'!$A$88,'Données projet'!$B$88,BD51+BC52-BL51)))</f>
        <v>477.99999999999966</v>
      </c>
      <c r="BE52" s="13">
        <f>BD52*VLOOKUP('Données projet'!$B$11,Paramètres!$A$1:$I$89,3,0)*VLOOKUP('Données projet'!$B$11,Paramètres!$A$1:$I$89,5,0)</f>
        <v>192.63399999999987</v>
      </c>
      <c r="BF52" s="13">
        <f t="shared" si="37"/>
        <v>48.121825406693453</v>
      </c>
      <c r="BG52" s="20">
        <f t="shared" si="7"/>
        <v>419.31639591665754</v>
      </c>
      <c r="BH52" s="59">
        <f t="shared" si="8"/>
        <v>712.64972924999086</v>
      </c>
      <c r="BI52" s="59">
        <f ca="1">AVERAGE(OFFSET($BH$3,0,0,'Données projet'!$E$11+1,1))-AVERAGE(OFFSET($H$3,0,0,'Données projet'!$E$11+1,1))</f>
        <v>217.61052961346684</v>
      </c>
      <c r="BJ52" s="59">
        <f t="shared" si="38"/>
        <v>180.77145728128608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15.112046748377409</v>
      </c>
      <c r="BQ52" s="21">
        <f>EXP(-LN(2)/25)*BQ51+(1-EXP(-LN(2)/25))/(LN(2)/25)*Calculateur!BL52*Calculateur!BN52*VLOOKUP('Données projet'!$B$11,Paramètres!$A$1:$I$89,3,0)*0.475*44/12</f>
        <v>20.198776740110556</v>
      </c>
      <c r="BR52" s="21">
        <f>EXP(-LN(2)/2)*BR51+(1-EXP(-LN(2)/2))/(LN(2)/2)*BL52*BO52*VLOOKUP('Données projet'!$B$11,Paramètres!$A$1:$I$89,3,0)*0.475*44/12</f>
        <v>2.9476252739510529</v>
      </c>
      <c r="BS52" s="22">
        <f t="shared" si="9"/>
        <v>38.258448762439023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14.224285714285713</v>
      </c>
      <c r="BY52" s="12">
        <f>IF('Données projet'!$A$114&gt;35,BY51+BX52-CG51,IF(A52&lt;'Données projet'!$A$114,$BV$205^A52,IF(A52='Données projet'!$A$114,'Données projet'!$B$114,BY51+BX52-CG51)))</f>
        <v>233.17142857142858</v>
      </c>
      <c r="BZ52" s="13">
        <f>BY52*VLOOKUP('Données projet'!$B$12,Paramètres!$A$1:$I$89,3,0)*VLOOKUP('Données projet'!$B$12,Paramètres!$A$1:$I$89,5,0)</f>
        <v>196.42361142857146</v>
      </c>
      <c r="CA52" s="13">
        <f t="shared" si="39"/>
        <v>48.957362274220372</v>
      </c>
      <c r="CB52" s="20">
        <f t="shared" si="10"/>
        <v>427.3718625323624</v>
      </c>
      <c r="CC52" s="59">
        <f t="shared" si="11"/>
        <v>720.70519586569571</v>
      </c>
      <c r="CD52" s="59">
        <f ca="1">AVERAGE(OFFSET($CC$3,0,0,'Données projet'!$E$12+1,1))-AVERAGE(OFFSET($H$3,0,0,'Données projet'!$E$12+1,1))</f>
        <v>287.72859857368331</v>
      </c>
      <c r="CE52" s="59">
        <f t="shared" si="40"/>
        <v>179.60736986885922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7.1670190233319646</v>
      </c>
      <c r="CL52" s="21">
        <f>EXP(-LN(2)/25)*CL51+(1-EXP(-LN(2)/25))/(LN(2)/25)*Calculateur!CG52*Calculateur!CI52*VLOOKUP('Données projet'!$B$12,Paramètres!$A$1:$I$89,3,0)*0.475*44/12</f>
        <v>26.70281020268586</v>
      </c>
      <c r="CM52" s="21">
        <f>EXP(-LN(2)/2)*CM51+(1-EXP(-LN(2)/2))/(LN(2)/2)*CG52*CJ52*VLOOKUP('Données projet'!$B$12,Paramètres!$A$1:$I$89,3,0)*0.475*44/12</f>
        <v>0.92273770181993309</v>
      </c>
      <c r="CN52" s="22">
        <f t="shared" si="12"/>
        <v>34.792566927837761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8.6</v>
      </c>
      <c r="CT52" s="12">
        <f>IF('Données projet'!$A$140&gt;35,CT51+CS52-DB51,IF(A52&lt;'Données projet'!$A$140,$CQ$205^A52,IF(A52='Données projet'!$A$140,'Données projet'!$B$140,CT51+CS52-DB51)))</f>
        <v>252.40000000000003</v>
      </c>
      <c r="CU52" s="17">
        <f>CT52*VLOOKUP('Données projet'!$B$13,Paramètres!$A$1:$I$89,3,0)*VLOOKUP('Données projet'!$B$13,Paramètres!$A$1:$I$89,5,0)</f>
        <v>200.80944000000002</v>
      </c>
      <c r="CV52" s="13">
        <f t="shared" si="41"/>
        <v>49.922016299484312</v>
      </c>
      <c r="CW52" s="20">
        <f t="shared" si="13"/>
        <v>436.69061972160188</v>
      </c>
      <c r="CX52" s="59">
        <f t="shared" si="14"/>
        <v>730.02395305493519</v>
      </c>
      <c r="CY52" s="59">
        <f ca="1">AVERAGE(OFFSET($CX$3,0,0,'Données projet'!$E$13+1,1))-AVERAGE(OFFSET($H$3,0,0,'Données projet'!$E$13+1,1))</f>
        <v>243.33915530322201</v>
      </c>
      <c r="CZ52" s="59">
        <f t="shared" si="42"/>
        <v>247.73814704672577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11.887489427811667</v>
      </c>
      <c r="DG52" s="21">
        <f>EXP(-LN(2)/25)*DG51+(1-EXP(-LN(2)/25))/(LN(2)/25)*Calculateur!DB52*Calculateur!DD52*VLOOKUP('Données projet'!$B$13,Paramètres!$A$1:$I$89,3,0)*0.475*44/12</f>
        <v>16.167240025375715</v>
      </c>
      <c r="DH52" s="21">
        <f>EXP(-LN(2)/2)*DH51+(1-EXP(-LN(2)/2))/(LN(2)/2)*DB52*DE52*VLOOKUP('Données projet'!$B$13,Paramètres!$A$1:$I$89,3,0)*0.475*44/12</f>
        <v>1.4786079682540947</v>
      </c>
      <c r="DI52" s="22">
        <f t="shared" si="15"/>
        <v>29.53333742144148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20.355714285714278</v>
      </c>
      <c r="N53" s="13">
        <f>IF('Données projet'!$A$36&gt;35,N52+M53-V52,IF(A53&lt;'Données projet'!$A$36,$K$205^A53,IF(A53='Données projet'!$A$36,'Données projet'!$B$36,N52+M53-V52)))</f>
        <v>411.89571428571452</v>
      </c>
      <c r="O53" s="13">
        <f>N53*VLOOKUP('Données projet'!$B$9,Paramètres!$A$1:$I$89,3,0)*VLOOKUP('Données projet'!$B$9,Paramètres!$A$1:$I$89,5,0)</f>
        <v>230.24970428571442</v>
      </c>
      <c r="P53" s="13">
        <f t="shared" si="33"/>
        <v>56.336670025642462</v>
      </c>
      <c r="Q53" s="20">
        <f t="shared" si="53"/>
        <v>499.13793525894647</v>
      </c>
      <c r="R53" s="59">
        <f t="shared" si="0"/>
        <v>792.47126859227978</v>
      </c>
      <c r="S53" s="59">
        <f ca="1">AVERAGE(OFFSET($R$3,0,0,'Données projet'!$E$9+1,1))-AVERAGE(OFFSET($H$3,0,0,'Données projet'!$E$9+1,1))</f>
        <v>287.413090017863</v>
      </c>
      <c r="T53" s="59">
        <f t="shared" si="34"/>
        <v>258.48456031927117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71.865808164703083</v>
      </c>
      <c r="AA53" s="21">
        <f>EXP(-LN(2)/25)*AA52+(1-EXP(-LN(2)/25))/(LN(2)/25)*Calculateur!V53*Calculateur!X53*VLOOKUP('Données projet'!$B$9,Paramètres!$A$1:$I$89,3,0)*0.475*44/12</f>
        <v>29.934984963268398</v>
      </c>
      <c r="AB53" s="21">
        <f>EXP(-LN(2)/2)*AB52+(1-EXP(-LN(2)/2))/(LN(2)/2)*V53*Y53*VLOOKUP('Données projet'!$B$9,Paramètres!$A$1:$I$89,3,0)*0.475*44/12</f>
        <v>10.948268463578646</v>
      </c>
      <c r="AC53" s="22">
        <f t="shared" si="3"/>
        <v>112.74906159155012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10.110000000000001</v>
      </c>
      <c r="AH53" s="12">
        <f t="array" ref="AH53">INDEX(AG:AG,MIN(IF(ISNUMBER(AG53:AG249),ROW(AG53:AG249),"")))</f>
        <v>10.110000000000001</v>
      </c>
      <c r="AI53" s="13">
        <f>IF('Données projet'!$A$62&gt;35,AI52+AH53-AQ52,IF(A53&lt;'Données projet'!$A$62,$AF$205^A53,IF(A53='Données projet'!$A$62,'Données projet'!$B$62,AI52+AH53-AQ52)))</f>
        <v>208.33000000000021</v>
      </c>
      <c r="AJ53" s="13">
        <f>AI53*VLOOKUP('Données projet'!$B$10,Paramètres!$A$1:$I$89,3,0)*VLOOKUP('Données projet'!$B$10,Paramètres!$A$1:$I$89,5,0)</f>
        <v>188.4969840000002</v>
      </c>
      <c r="AK53" s="13">
        <f t="shared" si="35"/>
        <v>47.207503913482938</v>
      </c>
      <c r="AL53" s="20">
        <f t="shared" si="4"/>
        <v>410.51864978264985</v>
      </c>
      <c r="AM53" s="59">
        <f t="shared" si="5"/>
        <v>703.8519831159831</v>
      </c>
      <c r="AN53" s="59">
        <f ca="1">AVERAGE(OFFSET($AM$3,0,0,'Données projet'!$E$10+1,1))-AVERAGE(OFFSET($H$3,0,0,'Données projet'!$E$10+1,1))</f>
        <v>422.10969295064359</v>
      </c>
      <c r="AO53" s="59">
        <f t="shared" si="36"/>
        <v>184.04075143033037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37.54000000000002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0.34400000000000003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25.085911282565853</v>
      </c>
      <c r="AW53" s="21">
        <f>EXP(-LN(2)/2)*AW52+(1-EXP(-LN(2)/2))/(LN(2)/2)*AQ53*AT53*VLOOKUP('Données projet'!$B$10,Paramètres!$A$1:$I$89,3,0)*0.475*44/12</f>
        <v>6.8845823591112083</v>
      </c>
      <c r="AX53" s="21">
        <f t="shared" si="6"/>
        <v>31.970493641677059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499</v>
      </c>
      <c r="BB53" s="12">
        <f>VLOOKUP(A53,'Données projet'!$A$87:$I$107,9,0)</f>
        <v>21</v>
      </c>
      <c r="BC53" s="12">
        <f t="array" ref="BC53">INDEX(BB:BB,MIN(IF(ISNUMBER(BB53:BB249),ROW(BB53:BB249),"")))</f>
        <v>21</v>
      </c>
      <c r="BD53" s="12">
        <f>IF('Données projet'!$A$88&gt;35,BD52+BC53-BL52,IF(A53&lt;'Données projet'!$A$88,$BA$205^A53,IF(A53='Données projet'!$A$88,'Données projet'!$B$88,BD52+BC53-BL52)))</f>
        <v>498.99999999999966</v>
      </c>
      <c r="BE53" s="13">
        <f>BD53*VLOOKUP('Données projet'!$B$11,Paramètres!$A$1:$I$89,3,0)*VLOOKUP('Données projet'!$B$11,Paramètres!$A$1:$I$89,5,0)</f>
        <v>201.09699999999987</v>
      </c>
      <c r="BF53" s="13">
        <f t="shared" si="37"/>
        <v>49.985178317525332</v>
      </c>
      <c r="BG53" s="20">
        <f t="shared" si="7"/>
        <v>437.30146056968971</v>
      </c>
      <c r="BH53" s="59">
        <f t="shared" si="8"/>
        <v>730.63479390302302</v>
      </c>
      <c r="BI53" s="59">
        <f ca="1">AVERAGE(OFFSET($BH$3,0,0,'Données projet'!$E$11+1,1))-AVERAGE(OFFSET($H$3,0,0,'Données projet'!$E$11+1,1))</f>
        <v>217.61052961346684</v>
      </c>
      <c r="BJ53" s="59">
        <f t="shared" si="38"/>
        <v>180.77145728128608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56</v>
      </c>
      <c r="BM53" s="16">
        <f>IF(ISNA(VLOOKUP(A53,'Données projet'!$A$87:$I$107,5,0)),0%,VLOOKUP(A53,'Données projet'!$A$87:$I$107,5,0)*VLOOKUP('Données projet'!$B$11,Paramètres!$A$1:$I$89,7,0))</f>
        <v>0.33</v>
      </c>
      <c r="BN53" s="16">
        <f>IF(ISNA(VLOOKUP(A53,'Données projet'!$A$87:$I$107,6,0)),0%,VLOOKUP(A53,'Données projet'!$A$87:$I$107,6,0)*VLOOKUP('Données projet'!$B$11,Paramètres!$A$1:$I$89,7,0))</f>
        <v>0.11000000000000001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24.695217917098745</v>
      </c>
      <c r="BQ53" s="21">
        <f>EXP(-LN(2)/25)*BQ52+(1-EXP(-LN(2)/25))/(LN(2)/25)*Calculateur!BL53*Calculateur!BN53*VLOOKUP('Données projet'!$B$11,Paramètres!$A$1:$I$89,3,0)*0.475*44/12</f>
        <v>22.926643393263827</v>
      </c>
      <c r="BR53" s="21">
        <f>EXP(-LN(2)/2)*BR52+(1-EXP(-LN(2)/2))/(LN(2)/2)*BL53*BO53*VLOOKUP('Données projet'!$B$11,Paramètres!$A$1:$I$89,3,0)*0.475*44/12</f>
        <v>7.1947295177231005</v>
      </c>
      <c r="BS53" s="22">
        <f t="shared" si="9"/>
        <v>54.81659082808568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14.224285714285713</v>
      </c>
      <c r="BY53" s="12">
        <f>IF('Données projet'!$A$114&gt;35,BY52+BX53-CG52,IF(A53&lt;'Données projet'!$A$114,$BV$205^A53,IF(A53='Données projet'!$A$114,'Données projet'!$B$114,BY52+BX53-CG52)))</f>
        <v>247.39571428571429</v>
      </c>
      <c r="BZ53" s="13">
        <f>BY53*VLOOKUP('Données projet'!$B$12,Paramètres!$A$1:$I$89,3,0)*VLOOKUP('Données projet'!$B$12,Paramètres!$A$1:$I$89,5,0)</f>
        <v>208.40614971428573</v>
      </c>
      <c r="CA53" s="13">
        <f t="shared" si="39"/>
        <v>51.587135022941858</v>
      </c>
      <c r="CB53" s="20">
        <f t="shared" si="10"/>
        <v>452.82163758400475</v>
      </c>
      <c r="CC53" s="59">
        <f t="shared" si="11"/>
        <v>746.15497091733801</v>
      </c>
      <c r="CD53" s="59">
        <f ca="1">AVERAGE(OFFSET($CC$3,0,0,'Données projet'!$E$12+1,1))-AVERAGE(OFFSET($H$3,0,0,'Données projet'!$E$12+1,1))</f>
        <v>287.72859857368331</v>
      </c>
      <c r="CE53" s="59">
        <f t="shared" si="40"/>
        <v>179.60736986885922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7.0264781517343842</v>
      </c>
      <c r="CL53" s="21">
        <f>EXP(-LN(2)/25)*CL52+(1-EXP(-LN(2)/25))/(LN(2)/25)*Calculateur!CG53*Calculateur!CI53*VLOOKUP('Données projet'!$B$12,Paramètres!$A$1:$I$89,3,0)*0.475*44/12</f>
        <v>25.972620453453658</v>
      </c>
      <c r="CM53" s="21">
        <f>EXP(-LN(2)/2)*CM52+(1-EXP(-LN(2)/2))/(LN(2)/2)*CG53*CJ53*VLOOKUP('Données projet'!$B$12,Paramètres!$A$1:$I$89,3,0)*0.475*44/12</f>
        <v>0.65247408621336522</v>
      </c>
      <c r="CN53" s="22">
        <f t="shared" si="12"/>
        <v>33.651572691401405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261</v>
      </c>
      <c r="CR53" s="12">
        <f>VLOOKUP(A53,'Données projet'!$A$139:$I$159,9,0)</f>
        <v>8.6</v>
      </c>
      <c r="CS53" s="12">
        <f t="array" ref="CS53">INDEX(CR:CR,MIN(IF(ISNUMBER(CR53:CR249),ROW(CR53:CR249),"")))</f>
        <v>8.6</v>
      </c>
      <c r="CT53" s="12">
        <f>IF('Données projet'!$A$140&gt;35,CT52+CS53-DB52,IF(A53&lt;'Données projet'!$A$140,$CQ$205^A53,IF(A53='Données projet'!$A$140,'Données projet'!$B$140,CT52+CS53-DB52)))</f>
        <v>261.00000000000006</v>
      </c>
      <c r="CU53" s="17">
        <f>CT53*VLOOKUP('Données projet'!$B$13,Paramètres!$A$1:$I$89,3,0)*VLOOKUP('Données projet'!$B$13,Paramètres!$A$1:$I$89,5,0)</f>
        <v>207.65160000000006</v>
      </c>
      <c r="CV53" s="13">
        <f t="shared" si="41"/>
        <v>51.422065813018108</v>
      </c>
      <c r="CW53" s="20">
        <f t="shared" si="13"/>
        <v>451.2199679576733</v>
      </c>
      <c r="CX53" s="59">
        <f t="shared" si="14"/>
        <v>744.55330129100662</v>
      </c>
      <c r="CY53" s="59">
        <f ca="1">AVERAGE(OFFSET($CX$3,0,0,'Données projet'!$E$13+1,1))-AVERAGE(OFFSET($H$3,0,0,'Données projet'!$E$13+1,1))</f>
        <v>243.33915530322201</v>
      </c>
      <c r="CZ53" s="59">
        <f t="shared" si="42"/>
        <v>247.73814704672577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19</v>
      </c>
      <c r="DC53" s="16">
        <f>IF(ISNA(VLOOKUP(A53,'Données projet'!$A$139:$I$159,5,0)),0%,VLOOKUP(A53,'Données projet'!$A$139:$I$159,5,0)*VLOOKUP('Données projet'!$B$13,Paramètres!$A$1:$I$89,7,0))</f>
        <v>0.13250000000000001</v>
      </c>
      <c r="DD53" s="16">
        <f>IF(ISNA(VLOOKUP(A53,'Données projet'!$A$139:$I$159,6,0)),0%,VLOOKUP(A53,'Données projet'!$A$139:$I$159,6,0)*VLOOKUP('Données projet'!$B$13,Paramètres!$A$1:$I$89,7,0))</f>
        <v>0.13250000000000001</v>
      </c>
      <c r="DE53" s="16">
        <f>IF(ISNA(VLOOKUP(A53,'Données projet'!$A$139:$I$159,7,0)),0%,VLOOKUP(A53,'Données projet'!$A$139:$I$159,7,0))</f>
        <v>0.25</v>
      </c>
      <c r="DF53" s="21">
        <f>EXP(-LN(2)/35)*DF52+(1-EXP(-LN(2)/35))/(LN(2)/35)*DB53*DC53*VLOOKUP('Données projet'!$B$13,Paramètres!$A$1:$I$89,3,0)*0.475*44/12</f>
        <v>13.868555059770163</v>
      </c>
      <c r="DG53" s="21">
        <f>EXP(-LN(2)/25)*DG52+(1-EXP(-LN(2)/25))/(LN(2)/25)*Calculateur!DB53*Calculateur!DD53*VLOOKUP('Données projet'!$B$13,Paramètres!$A$1:$I$89,3,0)*0.475*44/12</f>
        <v>17.93060000664634</v>
      </c>
      <c r="DH53" s="21">
        <f>EXP(-LN(2)/2)*DH52+(1-EXP(-LN(2)/2))/(LN(2)/2)*DB53*DE53*VLOOKUP('Données projet'!$B$13,Paramètres!$A$1:$I$89,3,0)*0.475*44/12</f>
        <v>4.6112162840541568</v>
      </c>
      <c r="DI53" s="22">
        <f t="shared" si="15"/>
        <v>36.410371350470662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20.355714285714278</v>
      </c>
      <c r="N54" s="13">
        <f>IF('Données projet'!$A$36&gt;35,N53+M54-V53,IF(A54&lt;'Données projet'!$A$36,$K$205^A54,IF(A54='Données projet'!$A$36,'Données projet'!$B$36,N53+M54-V53)))</f>
        <v>432.25142857142879</v>
      </c>
      <c r="O54" s="13">
        <f>N54*VLOOKUP('Données projet'!$B$9,Paramètres!$A$1:$I$89,3,0)*VLOOKUP('Données projet'!$B$9,Paramètres!$A$1:$I$89,5,0)</f>
        <v>241.62854857142869</v>
      </c>
      <c r="P54" s="13">
        <f t="shared" si="33"/>
        <v>58.789782611687855</v>
      </c>
      <c r="Q54" s="20">
        <f t="shared" si="53"/>
        <v>523.22859347726126</v>
      </c>
      <c r="R54" s="59">
        <f t="shared" si="0"/>
        <v>816.56192681059451</v>
      </c>
      <c r="S54" s="59">
        <f ca="1">AVERAGE(OFFSET($R$3,0,0,'Données projet'!$E$9+1,1))-AVERAGE(OFFSET($H$3,0,0,'Données projet'!$E$9+1,1))</f>
        <v>287.413090017863</v>
      </c>
      <c r="T54" s="59">
        <f t="shared" si="34"/>
        <v>258.48456031927117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70.456563500408009</v>
      </c>
      <c r="AA54" s="21">
        <f>EXP(-LN(2)/25)*AA53+(1-EXP(-LN(2)/25))/(LN(2)/25)*Calculateur!V54*Calculateur!X54*VLOOKUP('Données projet'!$B$9,Paramètres!$A$1:$I$89,3,0)*0.475*44/12</f>
        <v>29.116411225235382</v>
      </c>
      <c r="AB54" s="21">
        <f>EXP(-LN(2)/2)*AB53+(1-EXP(-LN(2)/2))/(LN(2)/2)*V54*Y54*VLOOKUP('Données projet'!$B$9,Paramètres!$A$1:$I$89,3,0)*0.475*44/12</f>
        <v>7.7415948728472852</v>
      </c>
      <c r="AC54" s="22">
        <f t="shared" si="3"/>
        <v>107.31456959849068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10.36375</v>
      </c>
      <c r="AI54" s="13">
        <f>IF('Données projet'!$A$62&gt;35,AI53+AH54-AQ53,IF(A54&lt;'Données projet'!$A$62,$AF$205^A54,IF(A54='Données projet'!$A$62,'Données projet'!$B$62,AI53+AH54-AQ53)))</f>
        <v>181.1537500000002</v>
      </c>
      <c r="AJ54" s="13">
        <f>AI54*VLOOKUP('Données projet'!$B$10,Paramètres!$A$1:$I$89,3,0)*VLOOKUP('Données projet'!$B$10,Paramètres!$A$1:$I$89,5,0)</f>
        <v>163.90791300000018</v>
      </c>
      <c r="AK54" s="13">
        <f t="shared" si="35"/>
        <v>41.72271436472046</v>
      </c>
      <c r="AL54" s="20">
        <f t="shared" si="4"/>
        <v>358.14000932688845</v>
      </c>
      <c r="AM54" s="59">
        <f t="shared" si="5"/>
        <v>651.47334266022176</v>
      </c>
      <c r="AN54" s="59">
        <f ca="1">AVERAGE(OFFSET($AM$3,0,0,'Données projet'!$E$10+1,1))-AVERAGE(OFFSET($H$3,0,0,'Données projet'!$E$10+1,1))</f>
        <v>422.10969295064359</v>
      </c>
      <c r="AO54" s="59">
        <f t="shared" si="36"/>
        <v>184.04075143033037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24.399935719333349</v>
      </c>
      <c r="AW54" s="21">
        <f>EXP(-LN(2)/2)*AW53+(1-EXP(-LN(2)/2))/(LN(2)/2)*AQ54*AT54*VLOOKUP('Données projet'!$B$10,Paramètres!$A$1:$I$89,3,0)*0.475*44/12</f>
        <v>4.8681348717648145</v>
      </c>
      <c r="AX54" s="21">
        <f t="shared" si="6"/>
        <v>29.268070591098166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19.8</v>
      </c>
      <c r="BD54" s="12">
        <f>IF('Données projet'!$A$88&gt;35,BD53+BC54-BL53,IF(A54&lt;'Données projet'!$A$88,$BA$205^A54,IF(A54='Données projet'!$A$88,'Données projet'!$B$88,BD53+BC54-BL53)))</f>
        <v>462.79999999999961</v>
      </c>
      <c r="BE54" s="13">
        <f>BD54*VLOOKUP('Données projet'!$B$11,Paramètres!$A$1:$I$89,3,0)*VLOOKUP('Données projet'!$B$11,Paramètres!$A$1:$I$89,5,0)</f>
        <v>186.50839999999985</v>
      </c>
      <c r="BF54" s="13">
        <f t="shared" si="37"/>
        <v>46.767178345974088</v>
      </c>
      <c r="BG54" s="20">
        <f t="shared" si="7"/>
        <v>406.28829895257127</v>
      </c>
      <c r="BH54" s="59">
        <f t="shared" si="8"/>
        <v>699.62163228590452</v>
      </c>
      <c r="BI54" s="59">
        <f ca="1">AVERAGE(OFFSET($BH$3,0,0,'Données projet'!$E$11+1,1))-AVERAGE(OFFSET($H$3,0,0,'Données projet'!$E$11+1,1))</f>
        <v>217.61052961346684</v>
      </c>
      <c r="BJ54" s="59">
        <f t="shared" si="38"/>
        <v>180.77145728128608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24.21095975634006</v>
      </c>
      <c r="BQ54" s="21">
        <f>EXP(-LN(2)/25)*BQ53+(1-EXP(-LN(2)/25))/(LN(2)/25)*Calculateur!BL54*Calculateur!BN54*VLOOKUP('Données projet'!$B$11,Paramètres!$A$1:$I$89,3,0)*0.475*44/12</f>
        <v>22.299713124015252</v>
      </c>
      <c r="BR54" s="21">
        <f>EXP(-LN(2)/2)*BR53+(1-EXP(-LN(2)/2))/(LN(2)/2)*BL54*BO54*VLOOKUP('Données projet'!$B$11,Paramètres!$A$1:$I$89,3,0)*0.475*44/12</f>
        <v>5.0874420307850237</v>
      </c>
      <c r="BS54" s="22">
        <f t="shared" si="9"/>
        <v>51.598114911140343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>
        <f>VLOOKUP(A54,'Données projet'!$A$113:$I$133,2,0)</f>
        <v>261.62</v>
      </c>
      <c r="BW54" s="12">
        <f>VLOOKUP(A54,'Données projet'!$A$113:$I$133,9,0)</f>
        <v>14.224285714285713</v>
      </c>
      <c r="BX54" s="12">
        <f t="array" ref="BX54">INDEX(BW:BW,MIN(IF(ISNUMBER(BW54:BW250),ROW(BW54:BW250),"")))</f>
        <v>14.224285714285713</v>
      </c>
      <c r="BY54" s="12">
        <f>IF('Données projet'!$A$114&gt;35,BY53+BX54-CG53,IF(A54&lt;'Données projet'!$A$114,$BV$205^A54,IF(A54='Données projet'!$A$114,'Données projet'!$B$114,BY53+BX54-CG53)))</f>
        <v>261.62</v>
      </c>
      <c r="BZ54" s="13">
        <f>BY54*VLOOKUP('Données projet'!$B$12,Paramètres!$A$1:$I$89,3,0)*VLOOKUP('Données projet'!$B$12,Paramètres!$A$1:$I$89,5,0)</f>
        <v>220.388688</v>
      </c>
      <c r="CA54" s="13">
        <f t="shared" si="39"/>
        <v>54.199356456019601</v>
      </c>
      <c r="CB54" s="20">
        <f t="shared" si="10"/>
        <v>478.24084409423403</v>
      </c>
      <c r="CC54" s="59">
        <f t="shared" si="11"/>
        <v>771.57417742756729</v>
      </c>
      <c r="CD54" s="59">
        <f ca="1">AVERAGE(OFFSET($CC$3,0,0,'Données projet'!$E$12+1,1))-AVERAGE(OFFSET($H$3,0,0,'Données projet'!$E$12+1,1))</f>
        <v>287.72859857368331</v>
      </c>
      <c r="CE54" s="59">
        <f t="shared" si="40"/>
        <v>179.60736986885922</v>
      </c>
      <c r="CF54" s="15">
        <f>IF(ISNA(VLOOKUP(A54,'Données projet'!$A$113:$I$133,3,0)),0,VLOOKUP(A54,'Données projet'!$A$113:$I$133,3,0))</f>
        <v>4</v>
      </c>
      <c r="CG54" s="15">
        <f>IF(ISNA(VLOOKUP(A54,'Données projet'!$A$113:$I$133,4,0)),0,VLOOKUP(A54,'Données projet'!$A$113:$I$133,4,0))</f>
        <v>55.400000000000006</v>
      </c>
      <c r="CH54" s="16">
        <f>IF(ISNA(VLOOKUP(A54,'Données projet'!$A$113:$I$133,5,0)),0%,VLOOKUP(A54,'Données projet'!$A$113:$I$133,5,0)*VLOOKUP('Données projet'!$B$12,Paramètres!$A$1:$I$89,7,0))</f>
        <v>0.15049999999999999</v>
      </c>
      <c r="CI54" s="16">
        <f>IF(ISNA(VLOOKUP(A54,'Données projet'!$A$113:$I$133,6,0)),0%,VLOOKUP(A54,'Données projet'!$A$113:$I$133,6,0)*VLOOKUP('Données projet'!$B$12,Paramètres!$A$1:$I$89,7,0))</f>
        <v>8.6000000000000007E-2</v>
      </c>
      <c r="CJ54" s="16">
        <f>IF(ISNA(VLOOKUP(A54,'Données projet'!$A$113:$I$133,7,0)),0%,VLOOKUP(A54,'Données projet'!$A$113:$I$133,7,0))</f>
        <v>0.1</v>
      </c>
      <c r="CK54" s="21">
        <f>EXP(-LN(2)/35)*CK53+(1-EXP(-LN(2)/35))/(LN(2)/35)*CG54*CH54*VLOOKUP('Données projet'!$B$12,Paramètres!$A$1:$I$89,3,0)*0.475*44/12</f>
        <v>14.653161715910381</v>
      </c>
      <c r="CL54" s="21">
        <f>EXP(-LN(2)/25)*CL53+(1-EXP(-LN(2)/25))/(LN(2)/25)*Calculateur!CG54*Calculateur!CI54*VLOOKUP('Données projet'!$B$12,Paramètres!$A$1:$I$89,3,0)*0.475*44/12</f>
        <v>29.681767406436077</v>
      </c>
      <c r="CM54" s="21">
        <f>EXP(-LN(2)/2)*CM53+(1-EXP(-LN(2)/2))/(LN(2)/2)*CG54*CJ54*VLOOKUP('Données projet'!$B$12,Paramètres!$A$1:$I$89,3,0)*0.475*44/12</f>
        <v>4.8647108345741961</v>
      </c>
      <c r="CN54" s="22">
        <f t="shared" si="12"/>
        <v>49.199639956920656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7.4</v>
      </c>
      <c r="CT54" s="12">
        <f>IF('Données projet'!$A$140&gt;35,CT53+CS54-DB53,IF(A54&lt;'Données projet'!$A$140,$CQ$205^A54,IF(A54='Données projet'!$A$140,'Données projet'!$B$140,CT53+CS54-DB53)))</f>
        <v>249.40000000000003</v>
      </c>
      <c r="CU54" s="17">
        <f>CT54*VLOOKUP('Données projet'!$B$13,Paramètres!$A$1:$I$89,3,0)*VLOOKUP('Données projet'!$B$13,Paramètres!$A$1:$I$89,5,0)</f>
        <v>198.42264000000003</v>
      </c>
      <c r="CV54" s="13">
        <f t="shared" si="41"/>
        <v>49.397352151183256</v>
      </c>
      <c r="CW54" s="20">
        <f t="shared" si="13"/>
        <v>431.61981966331086</v>
      </c>
      <c r="CX54" s="59">
        <f t="shared" si="14"/>
        <v>724.95315299664412</v>
      </c>
      <c r="CY54" s="59">
        <f ca="1">AVERAGE(OFFSET($CX$3,0,0,'Données projet'!$E$13+1,1))-AVERAGE(OFFSET($H$3,0,0,'Données projet'!$E$13+1,1))</f>
        <v>243.33915530322201</v>
      </c>
      <c r="CZ54" s="59">
        <f t="shared" si="42"/>
        <v>247.73814704672577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13.596601154031401</v>
      </c>
      <c r="DG54" s="21">
        <f>EXP(-LN(2)/25)*DG53+(1-EXP(-LN(2)/25))/(LN(2)/25)*Calculateur!DB54*Calculateur!DD54*VLOOKUP('Données projet'!$B$13,Paramètres!$A$1:$I$89,3,0)*0.475*44/12</f>
        <v>17.440286806535322</v>
      </c>
      <c r="DH54" s="21">
        <f>EXP(-LN(2)/2)*DH53+(1-EXP(-LN(2)/2))/(LN(2)/2)*DB54*DE54*VLOOKUP('Données projet'!$B$13,Paramètres!$A$1:$I$89,3,0)*0.475*44/12</f>
        <v>3.2606223039725277</v>
      </c>
      <c r="DI54" s="22">
        <f t="shared" si="15"/>
        <v>34.297510264539248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20.355714285714278</v>
      </c>
      <c r="N55" s="13">
        <f>IF('Données projet'!$A$36&gt;35,N54+M55-V54,IF(A55&lt;'Données projet'!$A$36,$K$205^A55,IF(A55='Données projet'!$A$36,'Données projet'!$B$36,N54+M55-V54)))</f>
        <v>452.60714285714306</v>
      </c>
      <c r="O55" s="13">
        <f>N55*VLOOKUP('Données projet'!$B$9,Paramètres!$A$1:$I$89,3,0)*VLOOKUP('Données projet'!$B$9,Paramètres!$A$1:$I$89,5,0)</f>
        <v>253.007392857143</v>
      </c>
      <c r="P55" s="13">
        <f t="shared" si="33"/>
        <v>61.229479905592257</v>
      </c>
      <c r="Q55" s="20">
        <f t="shared" si="53"/>
        <v>547.29588672843067</v>
      </c>
      <c r="R55" s="59">
        <f t="shared" si="0"/>
        <v>840.62922006176404</v>
      </c>
      <c r="S55" s="59">
        <f ca="1">AVERAGE(OFFSET($R$3,0,0,'Données projet'!$E$9+1,1))-AVERAGE(OFFSET($H$3,0,0,'Données projet'!$E$9+1,1))</f>
        <v>287.413090017863</v>
      </c>
      <c r="T55" s="59">
        <f t="shared" si="34"/>
        <v>258.48456031927117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69.074953264425389</v>
      </c>
      <c r="AA55" s="21">
        <f>EXP(-LN(2)/25)*AA54+(1-EXP(-LN(2)/25))/(LN(2)/25)*Calculateur!V55*Calculateur!X55*VLOOKUP('Données projet'!$B$9,Paramètres!$A$1:$I$89,3,0)*0.475*44/12</f>
        <v>28.320221429115801</v>
      </c>
      <c r="AB55" s="21">
        <f>EXP(-LN(2)/2)*AB54+(1-EXP(-LN(2)/2))/(LN(2)/2)*V55*Y55*VLOOKUP('Données projet'!$B$9,Paramètres!$A$1:$I$89,3,0)*0.475*44/12</f>
        <v>5.474134231789324</v>
      </c>
      <c r="AC55" s="22">
        <f t="shared" si="3"/>
        <v>102.86930892533051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10.36375</v>
      </c>
      <c r="AI55" s="13">
        <f>IF('Données projet'!$A$62&gt;35,AI54+AH55-AQ54,IF(A55&lt;'Données projet'!$A$62,$AF$205^A55,IF(A55='Données projet'!$A$62,'Données projet'!$B$62,AI54+AH55-AQ54)))</f>
        <v>191.51750000000021</v>
      </c>
      <c r="AJ55" s="13">
        <f>AI55*VLOOKUP('Données projet'!$B$10,Paramètres!$A$1:$I$89,3,0)*VLOOKUP('Données projet'!$B$10,Paramètres!$A$1:$I$89,5,0)</f>
        <v>173.28503400000019</v>
      </c>
      <c r="AK55" s="13">
        <f t="shared" si="35"/>
        <v>43.82494037101592</v>
      </c>
      <c r="AL55" s="20">
        <f t="shared" si="4"/>
        <v>378.133205362853</v>
      </c>
      <c r="AM55" s="59">
        <f t="shared" si="5"/>
        <v>671.46653869618626</v>
      </c>
      <c r="AN55" s="59">
        <f ca="1">AVERAGE(OFFSET($AM$3,0,0,'Données projet'!$E$10+1,1))-AVERAGE(OFFSET($H$3,0,0,'Données projet'!$E$10+1,1))</f>
        <v>422.10969295064359</v>
      </c>
      <c r="AO55" s="59">
        <f t="shared" si="36"/>
        <v>184.04075143033037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23.732718193951328</v>
      </c>
      <c r="AW55" s="21">
        <f>EXP(-LN(2)/2)*AW54+(1-EXP(-LN(2)/2))/(LN(2)/2)*AQ55*AT55*VLOOKUP('Données projet'!$B$10,Paramètres!$A$1:$I$89,3,0)*0.475*44/12</f>
        <v>3.4422911795556046</v>
      </c>
      <c r="AX55" s="21">
        <f t="shared" si="6"/>
        <v>27.175009373506931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19.8</v>
      </c>
      <c r="BD55" s="12">
        <f>IF('Données projet'!$A$88&gt;35,BD54+BC55-BL54,IF(A55&lt;'Données projet'!$A$88,$BA$205^A55,IF(A55='Données projet'!$A$88,'Données projet'!$B$88,BD54+BC55-BL54)))</f>
        <v>482.59999999999962</v>
      </c>
      <c r="BE55" s="13">
        <f>BD55*VLOOKUP('Données projet'!$B$11,Paramètres!$A$1:$I$89,3,0)*VLOOKUP('Données projet'!$B$11,Paramètres!$A$1:$I$89,5,0)</f>
        <v>194.48779999999985</v>
      </c>
      <c r="BF55" s="13">
        <f t="shared" si="37"/>
        <v>48.530789607472634</v>
      </c>
      <c r="BG55" s="20">
        <f t="shared" si="7"/>
        <v>423.25737689968122</v>
      </c>
      <c r="BH55" s="59">
        <f t="shared" si="8"/>
        <v>716.59071023301453</v>
      </c>
      <c r="BI55" s="59">
        <f ca="1">AVERAGE(OFFSET($BH$3,0,0,'Données projet'!$E$11+1,1))-AVERAGE(OFFSET($H$3,0,0,'Données projet'!$E$11+1,1))</f>
        <v>217.61052961346684</v>
      </c>
      <c r="BJ55" s="59">
        <f t="shared" si="38"/>
        <v>180.77145728128608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23.736197602745541</v>
      </c>
      <c r="BQ55" s="21">
        <f>EXP(-LN(2)/25)*BQ54+(1-EXP(-LN(2)/25))/(LN(2)/25)*Calculateur!BL55*Calculateur!BN55*VLOOKUP('Données projet'!$B$11,Paramètres!$A$1:$I$89,3,0)*0.475*44/12</f>
        <v>21.689926295948109</v>
      </c>
      <c r="BR55" s="21">
        <f>EXP(-LN(2)/2)*BR54+(1-EXP(-LN(2)/2))/(LN(2)/2)*BL55*BO55*VLOOKUP('Données projet'!$B$11,Paramètres!$A$1:$I$89,3,0)*0.475*44/12</f>
        <v>3.5973647588615512</v>
      </c>
      <c r="BS55" s="22">
        <f t="shared" si="9"/>
        <v>49.023488657555198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14.12857142857143</v>
      </c>
      <c r="BY55" s="12">
        <f>IF('Données projet'!$A$114&gt;35,BY54+BX55-CG54,IF(A55&lt;'Données projet'!$A$114,$BV$205^A55,IF(A55='Données projet'!$A$114,'Données projet'!$B$114,BY54+BX55-CG54)))</f>
        <v>220.34857142857143</v>
      </c>
      <c r="BZ55" s="13">
        <f>BY55*VLOOKUP('Données projet'!$B$12,Paramètres!$A$1:$I$89,3,0)*VLOOKUP('Données projet'!$B$12,Paramètres!$A$1:$I$89,5,0)</f>
        <v>185.62163657142858</v>
      </c>
      <c r="CA55" s="13">
        <f t="shared" si="39"/>
        <v>46.570649354822137</v>
      </c>
      <c r="CB55" s="20">
        <f t="shared" si="10"/>
        <v>404.40156465488667</v>
      </c>
      <c r="CC55" s="59">
        <f t="shared" si="11"/>
        <v>697.73489798821993</v>
      </c>
      <c r="CD55" s="59">
        <f ca="1">AVERAGE(OFFSET($CC$3,0,0,'Données projet'!$E$12+1,1))-AVERAGE(OFFSET($H$3,0,0,'Données projet'!$E$12+1,1))</f>
        <v>287.72859857368331</v>
      </c>
      <c r="CE55" s="59">
        <f t="shared" si="40"/>
        <v>179.60736986885922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14.365822152207516</v>
      </c>
      <c r="CL55" s="21">
        <f>EXP(-LN(2)/25)*CL54+(1-EXP(-LN(2)/25))/(LN(2)/25)*Calculateur!CG55*Calculateur!CI55*VLOOKUP('Données projet'!$B$12,Paramètres!$A$1:$I$89,3,0)*0.475*44/12</f>
        <v>28.870117915810773</v>
      </c>
      <c r="CM55" s="21">
        <f>EXP(-LN(2)/2)*CM54+(1-EXP(-LN(2)/2))/(LN(2)/2)*CG55*CJ55*VLOOKUP('Données projet'!$B$12,Paramètres!$A$1:$I$89,3,0)*0.475*44/12</f>
        <v>3.4398700196390832</v>
      </c>
      <c r="CN55" s="22">
        <f t="shared" si="12"/>
        <v>46.675810087657368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7.4</v>
      </c>
      <c r="CT55" s="12">
        <f>IF('Données projet'!$A$140&gt;35,CT54+CS55-DB54,IF(A55&lt;'Données projet'!$A$140,$CQ$205^A55,IF(A55='Données projet'!$A$140,'Données projet'!$B$140,CT54+CS55-DB54)))</f>
        <v>256.8</v>
      </c>
      <c r="CU55" s="17">
        <f>CT55*VLOOKUP('Données projet'!$B$13,Paramètres!$A$1:$I$89,3,0)*VLOOKUP('Données projet'!$B$13,Paramètres!$A$1:$I$89,5,0)</f>
        <v>204.31008000000003</v>
      </c>
      <c r="CV55" s="13">
        <f t="shared" si="41"/>
        <v>50.690214235398379</v>
      </c>
      <c r="CW55" s="20">
        <f t="shared" si="13"/>
        <v>444.12551245998549</v>
      </c>
      <c r="CX55" s="59">
        <f t="shared" si="14"/>
        <v>737.4588457933188</v>
      </c>
      <c r="CY55" s="59">
        <f ca="1">AVERAGE(OFFSET($CX$3,0,0,'Données projet'!$E$13+1,1))-AVERAGE(OFFSET($H$3,0,0,'Données projet'!$E$13+1,1))</f>
        <v>243.33915530322201</v>
      </c>
      <c r="CZ55" s="59">
        <f t="shared" si="42"/>
        <v>247.73814704672577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13.329980098508672</v>
      </c>
      <c r="DG55" s="21">
        <f>EXP(-LN(2)/25)*DG54+(1-EXP(-LN(2)/25))/(LN(2)/25)*Calculateur!DB55*Calculateur!DD55*VLOOKUP('Données projet'!$B$13,Paramètres!$A$1:$I$89,3,0)*0.475*44/12</f>
        <v>16.96338124666579</v>
      </c>
      <c r="DH55" s="21">
        <f>EXP(-LN(2)/2)*DH54+(1-EXP(-LN(2)/2))/(LN(2)/2)*DB55*DE55*VLOOKUP('Données projet'!$B$13,Paramètres!$A$1:$I$89,3,0)*0.475*44/12</f>
        <v>2.3056081420270789</v>
      </c>
      <c r="DI55" s="22">
        <f t="shared" si="15"/>
        <v>32.598969487201536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20.355714285714278</v>
      </c>
      <c r="N56" s="13">
        <f>IF('Données projet'!$A$36&gt;35,N55+M56-V55,IF(A56&lt;'Données projet'!$A$36,$K$205^A56,IF(A56='Données projet'!$A$36,'Données projet'!$B$36,N55+M56-V55)))</f>
        <v>472.96285714285733</v>
      </c>
      <c r="O56" s="13">
        <f>N56*VLOOKUP('Données projet'!$B$9,Paramètres!$A$1:$I$89,3,0)*VLOOKUP('Données projet'!$B$9,Paramètres!$A$1:$I$89,5,0)</f>
        <v>264.38623714285728</v>
      </c>
      <c r="P56" s="13">
        <f t="shared" si="33"/>
        <v>63.656434183712321</v>
      </c>
      <c r="Q56" s="20">
        <f t="shared" si="53"/>
        <v>571.34098589377538</v>
      </c>
      <c r="R56" s="59">
        <f t="shared" si="0"/>
        <v>864.67431922710875</v>
      </c>
      <c r="S56" s="59">
        <f ca="1">AVERAGE(OFFSET($R$3,0,0,'Données projet'!$E$9+1,1))-AVERAGE(OFFSET($H$3,0,0,'Données projet'!$E$9+1,1))</f>
        <v>287.413090017863</v>
      </c>
      <c r="T56" s="59">
        <f t="shared" si="34"/>
        <v>258.48456031927117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67.720435562471351</v>
      </c>
      <c r="AA56" s="21">
        <f>EXP(-LN(2)/25)*AA55+(1-EXP(-LN(2)/25))/(LN(2)/25)*Calculateur!V56*Calculateur!X56*VLOOKUP('Données projet'!$B$9,Paramètres!$A$1:$I$89,3,0)*0.475*44/12</f>
        <v>27.54580348484091</v>
      </c>
      <c r="AB56" s="21">
        <f>EXP(-LN(2)/2)*AB55+(1-EXP(-LN(2)/2))/(LN(2)/2)*V56*Y56*VLOOKUP('Données projet'!$B$9,Paramètres!$A$1:$I$89,3,0)*0.475*44/12</f>
        <v>3.870797436423643</v>
      </c>
      <c r="AC56" s="22">
        <f t="shared" si="3"/>
        <v>99.137036483735912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10.36375</v>
      </c>
      <c r="AI56" s="13">
        <f>IF('Données projet'!$A$62&gt;35,AI55+AH56-AQ55,IF(A56&lt;'Données projet'!$A$62,$AF$205^A56,IF(A56='Données projet'!$A$62,'Données projet'!$B$62,AI55+AH56-AQ55)))</f>
        <v>201.88125000000022</v>
      </c>
      <c r="AJ56" s="13">
        <f>AI56*VLOOKUP('Données projet'!$B$10,Paramètres!$A$1:$I$89,3,0)*VLOOKUP('Données projet'!$B$10,Paramètres!$A$1:$I$89,5,0)</f>
        <v>182.66215500000018</v>
      </c>
      <c r="AK56" s="13">
        <f t="shared" si="35"/>
        <v>45.913959577546748</v>
      </c>
      <c r="AL56" s="20">
        <f t="shared" si="4"/>
        <v>398.10339955589421</v>
      </c>
      <c r="AM56" s="59">
        <f t="shared" si="5"/>
        <v>691.43673288922753</v>
      </c>
      <c r="AN56" s="59">
        <f ca="1">AVERAGE(OFFSET($AM$3,0,0,'Données projet'!$E$10+1,1))-AVERAGE(OFFSET($H$3,0,0,'Données projet'!$E$10+1,1))</f>
        <v>422.10969295064359</v>
      </c>
      <c r="AO56" s="59">
        <f t="shared" si="36"/>
        <v>184.04075143033037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23.08374576688832</v>
      </c>
      <c r="AW56" s="21">
        <f>EXP(-LN(2)/2)*AW55+(1-EXP(-LN(2)/2))/(LN(2)/2)*AQ56*AT56*VLOOKUP('Données projet'!$B$10,Paramètres!$A$1:$I$89,3,0)*0.475*44/12</f>
        <v>2.4340674358824077</v>
      </c>
      <c r="AX56" s="21">
        <f t="shared" si="6"/>
        <v>25.517813202770729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19.8</v>
      </c>
      <c r="BD56" s="12">
        <f>IF('Données projet'!$A$88&gt;35,BD55+BC56-BL55,IF(A56&lt;'Données projet'!$A$88,$BA$205^A56,IF(A56='Données projet'!$A$88,'Données projet'!$B$88,BD55+BC56-BL55)))</f>
        <v>502.39999999999964</v>
      </c>
      <c r="BE56" s="13">
        <f>BD56*VLOOKUP('Données projet'!$B$11,Paramètres!$A$1:$I$89,3,0)*VLOOKUP('Données projet'!$B$11,Paramètres!$A$1:$I$89,5,0)</f>
        <v>202.46719999999985</v>
      </c>
      <c r="BF56" s="13">
        <f t="shared" si="37"/>
        <v>50.285996099451545</v>
      </c>
      <c r="BG56" s="20">
        <f t="shared" si="7"/>
        <v>440.21181653987787</v>
      </c>
      <c r="BH56" s="59">
        <f t="shared" si="8"/>
        <v>733.54514987321113</v>
      </c>
      <c r="BI56" s="59">
        <f ca="1">AVERAGE(OFFSET($BH$3,0,0,'Données projet'!$E$11+1,1))-AVERAGE(OFFSET($H$3,0,0,'Données projet'!$E$11+1,1))</f>
        <v>217.61052961346684</v>
      </c>
      <c r="BJ56" s="59">
        <f t="shared" si="38"/>
        <v>180.77145728128608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23.27074524540669</v>
      </c>
      <c r="BQ56" s="21">
        <f>EXP(-LN(2)/25)*BQ55+(1-EXP(-LN(2)/25))/(LN(2)/25)*Calculateur!BL56*Calculateur!BN56*VLOOKUP('Données projet'!$B$11,Paramètres!$A$1:$I$89,3,0)*0.475*44/12</f>
        <v>21.096814120761756</v>
      </c>
      <c r="BR56" s="21">
        <f>EXP(-LN(2)/2)*BR55+(1-EXP(-LN(2)/2))/(LN(2)/2)*BL56*BO56*VLOOKUP('Données projet'!$B$11,Paramètres!$A$1:$I$89,3,0)*0.475*44/12</f>
        <v>2.5437210153925123</v>
      </c>
      <c r="BS56" s="22">
        <f t="shared" si="9"/>
        <v>46.911280381560964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14.12857142857143</v>
      </c>
      <c r="BY56" s="12">
        <f>IF('Données projet'!$A$114&gt;35,BY55+BX56-CG55,IF(A56&lt;'Données projet'!$A$114,$BV$205^A56,IF(A56='Données projet'!$A$114,'Données projet'!$B$114,BY55+BX56-CG55)))</f>
        <v>234.47714285714287</v>
      </c>
      <c r="BZ56" s="13">
        <f>BY56*VLOOKUP('Données projet'!$B$12,Paramètres!$A$1:$I$89,3,0)*VLOOKUP('Données projet'!$B$12,Paramètres!$A$1:$I$89,5,0)</f>
        <v>197.52354514285716</v>
      </c>
      <c r="CA56" s="13">
        <f t="shared" si="39"/>
        <v>49.199523870679094</v>
      </c>
      <c r="CB56" s="20">
        <f t="shared" si="10"/>
        <v>429.70934519857565</v>
      </c>
      <c r="CC56" s="59">
        <f t="shared" si="11"/>
        <v>723.0426785319089</v>
      </c>
      <c r="CD56" s="59">
        <f ca="1">AVERAGE(OFFSET($CC$3,0,0,'Données projet'!$E$12+1,1))-AVERAGE(OFFSET($H$3,0,0,'Données projet'!$E$12+1,1))</f>
        <v>287.72859857368331</v>
      </c>
      <c r="CE56" s="59">
        <f t="shared" si="40"/>
        <v>179.60736986885922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14.084117142089035</v>
      </c>
      <c r="CL56" s="21">
        <f>EXP(-LN(2)/25)*CL55+(1-EXP(-LN(2)/25))/(LN(2)/25)*Calculateur!CG56*Calculateur!CI56*VLOOKUP('Données projet'!$B$12,Paramètres!$A$1:$I$89,3,0)*0.475*44/12</f>
        <v>28.080663023189409</v>
      </c>
      <c r="CM56" s="21">
        <f>EXP(-LN(2)/2)*CM55+(1-EXP(-LN(2)/2))/(LN(2)/2)*CG56*CJ56*VLOOKUP('Données projet'!$B$12,Paramètres!$A$1:$I$89,3,0)*0.475*44/12</f>
        <v>2.4323554172870985</v>
      </c>
      <c r="CN56" s="22">
        <f t="shared" si="12"/>
        <v>44.597135582565542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7.4</v>
      </c>
      <c r="CT56" s="12">
        <f>IF('Données projet'!$A$140&gt;35,CT55+CS56-DB55,IF(A56&lt;'Données projet'!$A$140,$CQ$205^A56,IF(A56='Données projet'!$A$140,'Données projet'!$B$140,CT55+CS56-DB55)))</f>
        <v>264.2</v>
      </c>
      <c r="CU56" s="17">
        <f>CT56*VLOOKUP('Données projet'!$B$13,Paramètres!$A$1:$I$89,3,0)*VLOOKUP('Données projet'!$B$13,Paramètres!$A$1:$I$89,5,0)</f>
        <v>210.19752</v>
      </c>
      <c r="CV56" s="13">
        <f t="shared" si="41"/>
        <v>51.978746425856599</v>
      </c>
      <c r="CW56" s="20">
        <f t="shared" si="13"/>
        <v>456.62366402503358</v>
      </c>
      <c r="CX56" s="59">
        <f t="shared" si="14"/>
        <v>749.95699735836683</v>
      </c>
      <c r="CY56" s="59">
        <f ca="1">AVERAGE(OFFSET($CX$3,0,0,'Données projet'!$E$13+1,1))-AVERAGE(OFFSET($H$3,0,0,'Données projet'!$E$13+1,1))</f>
        <v>243.33915530322201</v>
      </c>
      <c r="CZ56" s="59">
        <f t="shared" si="42"/>
        <v>247.73814704672577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13.068587319261958</v>
      </c>
      <c r="DG56" s="21">
        <f>EXP(-LN(2)/25)*DG55+(1-EXP(-LN(2)/25))/(LN(2)/25)*Calculateur!DB56*Calculateur!DD56*VLOOKUP('Données projet'!$B$13,Paramètres!$A$1:$I$89,3,0)*0.475*44/12</f>
        <v>16.499516694410264</v>
      </c>
      <c r="DH56" s="21">
        <f>EXP(-LN(2)/2)*DH55+(1-EXP(-LN(2)/2))/(LN(2)/2)*DB56*DE56*VLOOKUP('Données projet'!$B$13,Paramètres!$A$1:$I$89,3,0)*0.475*44/12</f>
        <v>1.6303111519862641</v>
      </c>
      <c r="DI56" s="22">
        <f t="shared" si="15"/>
        <v>31.198415165658485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20.355714285714278</v>
      </c>
      <c r="N57" s="13">
        <f>IF('Données projet'!$A$36&gt;35,N56+M57-V56,IF(A57&lt;'Données projet'!$A$36,$K$205^A57,IF(A57='Données projet'!$A$36,'Données projet'!$B$36,N56+M57-V56)))</f>
        <v>493.3185714285716</v>
      </c>
      <c r="O57" s="13">
        <f>N57*VLOOKUP('Données projet'!$B$9,Paramètres!$A$1:$I$89,3,0)*VLOOKUP('Données projet'!$B$9,Paramètres!$A$1:$I$89,5,0)</f>
        <v>275.76508142857153</v>
      </c>
      <c r="P57" s="13">
        <f t="shared" si="33"/>
        <v>66.071256581811042</v>
      </c>
      <c r="Q57" s="20">
        <f t="shared" si="53"/>
        <v>595.36495536808297</v>
      </c>
      <c r="R57" s="59">
        <f t="shared" si="0"/>
        <v>888.69828870141623</v>
      </c>
      <c r="S57" s="59">
        <f ca="1">AVERAGE(OFFSET($R$3,0,0,'Données projet'!$E$9+1,1))-AVERAGE(OFFSET($H$3,0,0,'Données projet'!$E$9+1,1))</f>
        <v>287.413090017863</v>
      </c>
      <c r="T57" s="59">
        <f t="shared" si="34"/>
        <v>258.48456031927117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66.392479126478406</v>
      </c>
      <c r="AA57" s="21">
        <f>EXP(-LN(2)/25)*AA56+(1-EXP(-LN(2)/25))/(LN(2)/25)*Calculateur!V57*Calculateur!X57*VLOOKUP('Données projet'!$B$9,Paramètres!$A$1:$I$89,3,0)*0.475*44/12</f>
        <v>26.792562039977085</v>
      </c>
      <c r="AB57" s="21">
        <f>EXP(-LN(2)/2)*AB56+(1-EXP(-LN(2)/2))/(LN(2)/2)*V57*Y57*VLOOKUP('Données projet'!$B$9,Paramètres!$A$1:$I$89,3,0)*0.475*44/12</f>
        <v>2.7370671158946625</v>
      </c>
      <c r="AC57" s="22">
        <f t="shared" si="3"/>
        <v>95.922108282350152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10.36375</v>
      </c>
      <c r="AI57" s="13">
        <f>IF('Données projet'!$A$62&gt;35,AI56+AH57-AQ56,IF(A57&lt;'Données projet'!$A$62,$AF$205^A57,IF(A57='Données projet'!$A$62,'Données projet'!$B$62,AI56+AH57-AQ56)))</f>
        <v>212.24500000000023</v>
      </c>
      <c r="AJ57" s="13">
        <f>AI57*VLOOKUP('Données projet'!$B$10,Paramètres!$A$1:$I$89,3,0)*VLOOKUP('Données projet'!$B$10,Paramètres!$A$1:$I$89,5,0)</f>
        <v>192.0392760000002</v>
      </c>
      <c r="AK57" s="13">
        <f t="shared" si="35"/>
        <v>47.990527307113453</v>
      </c>
      <c r="AL57" s="20">
        <f t="shared" si="4"/>
        <v>418.05190742655623</v>
      </c>
      <c r="AM57" s="59">
        <f t="shared" si="5"/>
        <v>711.38524075988948</v>
      </c>
      <c r="AN57" s="59">
        <f ca="1">AVERAGE(OFFSET($AM$3,0,0,'Données projet'!$E$10+1,1))-AVERAGE(OFFSET($H$3,0,0,'Données projet'!$E$10+1,1))</f>
        <v>422.10969295064359</v>
      </c>
      <c r="AO57" s="59">
        <f t="shared" si="36"/>
        <v>184.04075143033037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22.452519524971329</v>
      </c>
      <c r="AW57" s="21">
        <f>EXP(-LN(2)/2)*AW56+(1-EXP(-LN(2)/2))/(LN(2)/2)*AQ57*AT57*VLOOKUP('Données projet'!$B$10,Paramètres!$A$1:$I$89,3,0)*0.475*44/12</f>
        <v>1.7211455897778025</v>
      </c>
      <c r="AX57" s="21">
        <f t="shared" si="6"/>
        <v>24.173665114749131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19.8</v>
      </c>
      <c r="BD57" s="12">
        <f>IF('Données projet'!$A$88&gt;35,BD56+BC57-BL56,IF(A57&lt;'Données projet'!$A$88,$BA$205^A57,IF(A57='Données projet'!$A$88,'Données projet'!$B$88,BD56+BC57-BL56)))</f>
        <v>522.19999999999959</v>
      </c>
      <c r="BE57" s="13">
        <f>BD57*VLOOKUP('Données projet'!$B$11,Paramètres!$A$1:$I$89,3,0)*VLOOKUP('Données projet'!$B$11,Paramètres!$A$1:$I$89,5,0)</f>
        <v>210.44659999999982</v>
      </c>
      <c r="BF57" s="13">
        <f t="shared" si="37"/>
        <v>52.033166964819664</v>
      </c>
      <c r="BG57" s="20">
        <f t="shared" si="7"/>
        <v>457.15226079706053</v>
      </c>
      <c r="BH57" s="59">
        <f t="shared" si="8"/>
        <v>750.48559413039379</v>
      </c>
      <c r="BI57" s="59">
        <f ca="1">AVERAGE(OFFSET($BH$3,0,0,'Données projet'!$E$11+1,1))-AVERAGE(OFFSET($H$3,0,0,'Données projet'!$E$11+1,1))</f>
        <v>217.61052961346684</v>
      </c>
      <c r="BJ57" s="59">
        <f t="shared" si="38"/>
        <v>180.77145728128608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22.814420124897349</v>
      </c>
      <c r="BQ57" s="21">
        <f>EXP(-LN(2)/25)*BQ56+(1-EXP(-LN(2)/25))/(LN(2)/25)*Calculateur!BL57*Calculateur!BN57*VLOOKUP('Données projet'!$B$11,Paramètres!$A$1:$I$89,3,0)*0.475*44/12</f>
        <v>20.519920629196289</v>
      </c>
      <c r="BR57" s="21">
        <f>EXP(-LN(2)/2)*BR56+(1-EXP(-LN(2)/2))/(LN(2)/2)*BL57*BO57*VLOOKUP('Données projet'!$B$11,Paramètres!$A$1:$I$89,3,0)*0.475*44/12</f>
        <v>1.7986823794307758</v>
      </c>
      <c r="BS57" s="22">
        <f t="shared" si="9"/>
        <v>45.133023133524411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14.12857142857143</v>
      </c>
      <c r="BY57" s="12">
        <f>IF('Données projet'!$A$114&gt;35,BY56+BX57-CG56,IF(A57&lt;'Données projet'!$A$114,$BV$205^A57,IF(A57='Données projet'!$A$114,'Données projet'!$B$114,BY56+BX57-CG56)))</f>
        <v>248.6057142857143</v>
      </c>
      <c r="BZ57" s="13">
        <f>BY57*VLOOKUP('Données projet'!$B$12,Paramètres!$A$1:$I$89,3,0)*VLOOKUP('Données projet'!$B$12,Paramètres!$A$1:$I$89,5,0)</f>
        <v>209.42545371428574</v>
      </c>
      <c r="CA57" s="13">
        <f t="shared" si="39"/>
        <v>51.810012867163444</v>
      </c>
      <c r="CB57" s="20">
        <f t="shared" si="10"/>
        <v>454.98510429602402</v>
      </c>
      <c r="CC57" s="59">
        <f t="shared" si="11"/>
        <v>748.31843762935728</v>
      </c>
      <c r="CD57" s="59">
        <f ca="1">AVERAGE(OFFSET($CC$3,0,0,'Données projet'!$E$12+1,1))-AVERAGE(OFFSET($H$3,0,0,'Données projet'!$E$12+1,1))</f>
        <v>287.72859857368331</v>
      </c>
      <c r="CE57" s="59">
        <f t="shared" si="40"/>
        <v>179.60736986885922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13.807936195395888</v>
      </c>
      <c r="CL57" s="21">
        <f>EXP(-LN(2)/25)*CL56+(1-EXP(-LN(2)/25))/(LN(2)/25)*Calculateur!CG57*Calculateur!CI57*VLOOKUP('Données projet'!$B$12,Paramètres!$A$1:$I$89,3,0)*0.475*44/12</f>
        <v>27.312795816122406</v>
      </c>
      <c r="CM57" s="21">
        <f>EXP(-LN(2)/2)*CM56+(1-EXP(-LN(2)/2))/(LN(2)/2)*CG57*CJ57*VLOOKUP('Données projet'!$B$12,Paramètres!$A$1:$I$89,3,0)*0.475*44/12</f>
        <v>1.7199350098195421</v>
      </c>
      <c r="CN57" s="22">
        <f t="shared" si="12"/>
        <v>42.840667021337836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7.4</v>
      </c>
      <c r="CT57" s="12">
        <f>IF('Données projet'!$A$140&gt;35,CT56+CS57-DB56,IF(A57&lt;'Données projet'!$A$140,$CQ$205^A57,IF(A57='Données projet'!$A$140,'Données projet'!$B$140,CT56+CS57-DB56)))</f>
        <v>271.59999999999997</v>
      </c>
      <c r="CU57" s="17">
        <f>CT57*VLOOKUP('Données projet'!$B$13,Paramètres!$A$1:$I$89,3,0)*VLOOKUP('Données projet'!$B$13,Paramètres!$A$1:$I$89,5,0)</f>
        <v>216.08496</v>
      </c>
      <c r="CV57" s="13">
        <f t="shared" si="41"/>
        <v>53.26308393083157</v>
      </c>
      <c r="CW57" s="20">
        <f t="shared" si="13"/>
        <v>469.11450984619825</v>
      </c>
      <c r="CX57" s="59">
        <f t="shared" si="14"/>
        <v>762.44784317953156</v>
      </c>
      <c r="CY57" s="59">
        <f ca="1">AVERAGE(OFFSET($CX$3,0,0,'Données projet'!$E$13+1,1))-AVERAGE(OFFSET($H$3,0,0,'Données projet'!$E$13+1,1))</f>
        <v>243.33915530322201</v>
      </c>
      <c r="CZ57" s="59">
        <f t="shared" si="42"/>
        <v>247.73814704672577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12.81232029298242</v>
      </c>
      <c r="DG57" s="21">
        <f>EXP(-LN(2)/25)*DG56+(1-EXP(-LN(2)/25))/(LN(2)/25)*Calculateur!DB57*Calculateur!DD57*VLOOKUP('Données projet'!$B$13,Paramètres!$A$1:$I$89,3,0)*0.475*44/12</f>
        <v>16.048336542729743</v>
      </c>
      <c r="DH57" s="21">
        <f>EXP(-LN(2)/2)*DH56+(1-EXP(-LN(2)/2))/(LN(2)/2)*DB57*DE57*VLOOKUP('Données projet'!$B$13,Paramètres!$A$1:$I$89,3,0)*0.475*44/12</f>
        <v>1.1528040710135394</v>
      </c>
      <c r="DI57" s="22">
        <f t="shared" si="15"/>
        <v>30.013460906725701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20.355714285714278</v>
      </c>
      <c r="N58" s="13">
        <f>IF('Données projet'!$A$36&gt;35,N57+M58-V57,IF(A58&lt;'Données projet'!$A$36,$K$205^A58,IF(A58='Données projet'!$A$36,'Données projet'!$B$36,N57+M58-V57)))</f>
        <v>513.67428571428593</v>
      </c>
      <c r="O58" s="13">
        <f>N58*VLOOKUP('Données projet'!$B$9,Paramètres!$A$1:$I$89,3,0)*VLOOKUP('Données projet'!$B$9,Paramètres!$A$1:$I$89,5,0)</f>
        <v>287.14392571428584</v>
      </c>
      <c r="P58" s="13">
        <f t="shared" si="33"/>
        <v>68.474504947595136</v>
      </c>
      <c r="Q58" s="20">
        <f t="shared" si="53"/>
        <v>619.36876673610948</v>
      </c>
      <c r="R58" s="59">
        <f t="shared" si="0"/>
        <v>912.70210006944285</v>
      </c>
      <c r="S58" s="59">
        <f ca="1">AVERAGE(OFFSET($R$3,0,0,'Données projet'!$E$9+1,1))-AVERAGE(OFFSET($H$3,0,0,'Données projet'!$E$9+1,1))</f>
        <v>287.413090017863</v>
      </c>
      <c r="T58" s="59">
        <f t="shared" si="34"/>
        <v>258.48456031927117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65.090563106221836</v>
      </c>
      <c r="AA58" s="21">
        <f>EXP(-LN(2)/25)*AA57+(1-EXP(-LN(2)/25))/(LN(2)/25)*Calculateur!V58*Calculateur!X58*VLOOKUP('Données projet'!$B$9,Paramètres!$A$1:$I$89,3,0)*0.475*44/12</f>
        <v>26.05991802203431</v>
      </c>
      <c r="AB58" s="21">
        <f>EXP(-LN(2)/2)*AB57+(1-EXP(-LN(2)/2))/(LN(2)/2)*V58*Y58*VLOOKUP('Données projet'!$B$9,Paramètres!$A$1:$I$89,3,0)*0.475*44/12</f>
        <v>1.935398718211822</v>
      </c>
      <c r="AC58" s="22">
        <f t="shared" si="3"/>
        <v>93.085879846467975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10.36375</v>
      </c>
      <c r="AI58" s="13">
        <f>IF('Données projet'!$A$62&gt;35,AI57+AH58-AQ57,IF(A58&lt;'Données projet'!$A$62,$AF$205^A58,IF(A58='Données projet'!$A$62,'Données projet'!$B$62,AI57+AH58-AQ57)))</f>
        <v>222.60875000000024</v>
      </c>
      <c r="AJ58" s="13">
        <f>AI58*VLOOKUP('Données projet'!$B$10,Paramètres!$A$1:$I$89,3,0)*VLOOKUP('Données projet'!$B$10,Paramètres!$A$1:$I$89,5,0)</f>
        <v>201.41639700000019</v>
      </c>
      <c r="AK58" s="13">
        <f t="shared" si="35"/>
        <v>50.055320951535919</v>
      </c>
      <c r="AL58" s="20">
        <f t="shared" si="4"/>
        <v>437.97990876559203</v>
      </c>
      <c r="AM58" s="59">
        <f t="shared" si="5"/>
        <v>731.31324209892534</v>
      </c>
      <c r="AN58" s="59">
        <f ca="1">AVERAGE(OFFSET($AM$3,0,0,'Données projet'!$E$10+1,1))-AVERAGE(OFFSET($H$3,0,0,'Données projet'!$E$10+1,1))</f>
        <v>422.10969295064359</v>
      </c>
      <c r="AO58" s="59">
        <f t="shared" si="36"/>
        <v>184.04075143033037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21.838554197834302</v>
      </c>
      <c r="AW58" s="21">
        <f>EXP(-LN(2)/2)*AW57+(1-EXP(-LN(2)/2))/(LN(2)/2)*AQ58*AT58*VLOOKUP('Données projet'!$B$10,Paramètres!$A$1:$I$89,3,0)*0.475*44/12</f>
        <v>1.2170337179412041</v>
      </c>
      <c r="AX58" s="21">
        <f t="shared" si="6"/>
        <v>23.055587915775504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542</v>
      </c>
      <c r="BB58" s="12">
        <f>VLOOKUP(A58,'Données projet'!$A$87:$I$107,9,0)</f>
        <v>19.8</v>
      </c>
      <c r="BC58" s="12">
        <f t="array" ref="BC58">INDEX(BB:BB,MIN(IF(ISNUMBER(BB58:BB254),ROW(BB58:BB254),"")))</f>
        <v>19.8</v>
      </c>
      <c r="BD58" s="12">
        <f>IF('Données projet'!$A$88&gt;35,BD57+BC58-BL57,IF(A58&lt;'Données projet'!$A$88,$BA$205^A58,IF(A58='Données projet'!$A$88,'Données projet'!$B$88,BD57+BC58-BL57)))</f>
        <v>541.99999999999955</v>
      </c>
      <c r="BE58" s="13">
        <f>BD58*VLOOKUP('Données projet'!$B$11,Paramètres!$A$1:$I$89,3,0)*VLOOKUP('Données projet'!$B$11,Paramètres!$A$1:$I$89,5,0)</f>
        <v>218.42599999999985</v>
      </c>
      <c r="BF58" s="13">
        <f t="shared" si="37"/>
        <v>53.772641767677783</v>
      </c>
      <c r="BG58" s="20">
        <f t="shared" si="7"/>
        <v>474.0793010787051</v>
      </c>
      <c r="BH58" s="59">
        <f t="shared" si="8"/>
        <v>767.41263441203841</v>
      </c>
      <c r="BI58" s="59">
        <f ca="1">AVERAGE(OFFSET($BH$3,0,0,'Données projet'!$E$11+1,1))-AVERAGE(OFFSET($H$3,0,0,'Données projet'!$E$11+1,1))</f>
        <v>217.61052961346684</v>
      </c>
      <c r="BJ58" s="59">
        <f t="shared" si="38"/>
        <v>180.77145728128608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56</v>
      </c>
      <c r="BM58" s="16">
        <f>IF(ISNA(VLOOKUP(A58,'Données projet'!$A$87:$I$107,5,0)),0%,VLOOKUP(A58,'Données projet'!$A$87:$I$107,5,0)*VLOOKUP('Données projet'!$B$11,Paramètres!$A$1:$I$89,7,0))</f>
        <v>0.33</v>
      </c>
      <c r="BN58" s="16">
        <f>IF(ISNA(VLOOKUP(A58,'Données projet'!$A$87:$I$107,6,0)),0%,VLOOKUP(A58,'Données projet'!$A$87:$I$107,6,0)*VLOOKUP('Données projet'!$B$11,Paramètres!$A$1:$I$89,7,0))</f>
        <v>0.11000000000000001</v>
      </c>
      <c r="BO58" s="16">
        <f>IF(ISNA(VLOOKUP(A58,'Données projet'!$A$87:$I$107,7,0)),0%,VLOOKUP(A58,'Données projet'!$A$87:$I$107,7,0))</f>
        <v>0.2</v>
      </c>
      <c r="BP58" s="21">
        <f>EXP(-LN(2)/35)*BP57+(1-EXP(-LN(2)/35))/(LN(2)/35)*BL58*BM58*VLOOKUP('Données projet'!$B$11,Paramètres!$A$1:$I$89,3,0)*0.475*44/12</f>
        <v>32.246552449689005</v>
      </c>
      <c r="BQ58" s="21">
        <f>EXP(-LN(2)/25)*BQ57+(1-EXP(-LN(2)/25))/(LN(2)/25)*Calculateur!BL58*Calculateur!BN58*VLOOKUP('Données projet'!$B$11,Paramètres!$A$1:$I$89,3,0)*0.475*44/12</f>
        <v>23.239005585814287</v>
      </c>
      <c r="BR58" s="21">
        <f>EXP(-LN(2)/2)*BR57+(1-EXP(-LN(2)/2))/(LN(2)/2)*BL58*BO58*VLOOKUP('Données projet'!$B$11,Paramètres!$A$1:$I$89,3,0)*0.475*44/12</f>
        <v>6.3823042058117121</v>
      </c>
      <c r="BS58" s="22">
        <f t="shared" si="9"/>
        <v>61.867862241315002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14.12857142857143</v>
      </c>
      <c r="BY58" s="12">
        <f>IF('Données projet'!$A$114&gt;35,BY57+BX58-CG57,IF(A58&lt;'Données projet'!$A$114,$BV$205^A58,IF(A58='Données projet'!$A$114,'Données projet'!$B$114,BY57+BX58-CG57)))</f>
        <v>262.7342857142857</v>
      </c>
      <c r="BZ58" s="13">
        <f>BY58*VLOOKUP('Données projet'!$B$12,Paramètres!$A$1:$I$89,3,0)*VLOOKUP('Données projet'!$B$12,Paramètres!$A$1:$I$89,5,0)</f>
        <v>221.32736228571429</v>
      </c>
      <c r="CA58" s="13">
        <f t="shared" si="39"/>
        <v>54.403280277320995</v>
      </c>
      <c r="CB58" s="20">
        <f t="shared" si="10"/>
        <v>480.23086913061974</v>
      </c>
      <c r="CC58" s="59">
        <f t="shared" si="11"/>
        <v>773.56420246395305</v>
      </c>
      <c r="CD58" s="59">
        <f ca="1">AVERAGE(OFFSET($CC$3,0,0,'Données projet'!$E$12+1,1))-AVERAGE(OFFSET($H$3,0,0,'Données projet'!$E$12+1,1))</f>
        <v>287.72859857368331</v>
      </c>
      <c r="CE58" s="59">
        <f t="shared" si="40"/>
        <v>179.60736986885922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13.537170988613649</v>
      </c>
      <c r="CL58" s="21">
        <f>EXP(-LN(2)/25)*CL57+(1-EXP(-LN(2)/25))/(LN(2)/25)*Calculateur!CG58*Calculateur!CI58*VLOOKUP('Données projet'!$B$12,Paramètres!$A$1:$I$89,3,0)*0.475*44/12</f>
        <v>26.565925978213031</v>
      </c>
      <c r="CM58" s="21">
        <f>EXP(-LN(2)/2)*CM57+(1-EXP(-LN(2)/2))/(LN(2)/2)*CG58*CJ58*VLOOKUP('Données projet'!$B$12,Paramètres!$A$1:$I$89,3,0)*0.475*44/12</f>
        <v>1.2161777086435495</v>
      </c>
      <c r="CN58" s="22">
        <f t="shared" si="12"/>
        <v>41.319274675470233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279</v>
      </c>
      <c r="CR58" s="12">
        <f>VLOOKUP(A58,'Données projet'!$A$139:$I$159,9,0)</f>
        <v>7.4</v>
      </c>
      <c r="CS58" s="12">
        <f t="array" ref="CS58">INDEX(CR:CR,MIN(IF(ISNUMBER(CR58:CR254),ROW(CR58:CR254),"")))</f>
        <v>7.4</v>
      </c>
      <c r="CT58" s="12">
        <f>IF('Données projet'!$A$140&gt;35,CT57+CS58-DB57,IF(A58&lt;'Données projet'!$A$140,$CQ$205^A58,IF(A58='Données projet'!$A$140,'Données projet'!$B$140,CT57+CS58-DB57)))</f>
        <v>278.99999999999994</v>
      </c>
      <c r="CU58" s="17">
        <f>CT58*VLOOKUP('Données projet'!$B$13,Paramètres!$A$1:$I$89,3,0)*VLOOKUP('Données projet'!$B$13,Paramètres!$A$1:$I$89,5,0)</f>
        <v>221.97239999999996</v>
      </c>
      <c r="CV58" s="13">
        <f t="shared" si="41"/>
        <v>54.543354171476821</v>
      </c>
      <c r="CW58" s="20">
        <f t="shared" si="13"/>
        <v>481.59827184865543</v>
      </c>
      <c r="CX58" s="59">
        <f t="shared" si="14"/>
        <v>774.93160518198874</v>
      </c>
      <c r="CY58" s="59">
        <f ca="1">AVERAGE(OFFSET($CX$3,0,0,'Données projet'!$E$13+1,1))-AVERAGE(OFFSET($H$3,0,0,'Données projet'!$E$13+1,1))</f>
        <v>243.33915530322201</v>
      </c>
      <c r="CZ58" s="59">
        <f t="shared" si="42"/>
        <v>247.73814704672577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16</v>
      </c>
      <c r="DC58" s="16">
        <f>IF(ISNA(VLOOKUP(A58,'Données projet'!$A$139:$I$159,5,0)),0%,VLOOKUP(A58,'Données projet'!$A$139:$I$159,5,0)*VLOOKUP('Données projet'!$B$13,Paramètres!$A$1:$I$89,7,0))</f>
        <v>0.13250000000000001</v>
      </c>
      <c r="DD58" s="16">
        <f>IF(ISNA(VLOOKUP(A58,'Données projet'!$A$139:$I$159,6,0)),0%,VLOOKUP(A58,'Données projet'!$A$139:$I$159,6,0)*VLOOKUP('Données projet'!$B$13,Paramètres!$A$1:$I$89,7,0))</f>
        <v>0.13250000000000001</v>
      </c>
      <c r="DE58" s="16">
        <f>IF(ISNA(VLOOKUP(A58,'Données projet'!$A$139:$I$159,7,0)),0%,VLOOKUP(A58,'Données projet'!$A$139:$I$159,7,0))</f>
        <v>0.25</v>
      </c>
      <c r="DF58" s="21">
        <f>EXP(-LN(2)/35)*DF57+(1-EXP(-LN(2)/35))/(LN(2)/35)*DB58*DC58*VLOOKUP('Données projet'!$B$13,Paramètres!$A$1:$I$89,3,0)*0.475*44/12</f>
        <v>14.425644442768373</v>
      </c>
      <c r="DG58" s="21">
        <f>EXP(-LN(2)/25)*DG57+(1-EXP(-LN(2)/25))/(LN(2)/25)*Calculateur!DB58*Calculateur!DD58*VLOOKUP('Données projet'!$B$13,Paramètres!$A$1:$I$89,3,0)*0.475*44/12</f>
        <v>17.466718365465756</v>
      </c>
      <c r="DH58" s="21">
        <f>EXP(-LN(2)/2)*DH57+(1-EXP(-LN(2)/2))/(LN(2)/2)*DB58*DE58*VLOOKUP('Données projet'!$B$13,Paramètres!$A$1:$I$89,3,0)*0.475*44/12</f>
        <v>3.8178356290333193</v>
      </c>
      <c r="DI58" s="22">
        <f t="shared" si="15"/>
        <v>35.710198437267451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534.03</v>
      </c>
      <c r="L59" s="12">
        <f>VLOOKUP(A59,'Données projet'!$A$35:$I$55,9,0)</f>
        <v>20.355714285714278</v>
      </c>
      <c r="M59" s="12">
        <f t="array" ref="M59">INDEX(L:L,MIN(IF(ISNUMBER(L59:L255),ROW(L59:L255),"")))</f>
        <v>20.355714285714278</v>
      </c>
      <c r="N59" s="13">
        <f>IF('Données projet'!$A$36&gt;35,N58+M59-V58,IF(A59&lt;'Données projet'!$A$36,$K$205^A59,IF(A59='Données projet'!$A$36,'Données projet'!$B$36,N58+M59-V58)))</f>
        <v>534.0300000000002</v>
      </c>
      <c r="O59" s="13">
        <f>N59*VLOOKUP('Données projet'!$B$9,Paramètres!$A$1:$I$89,3,0)*VLOOKUP('Données projet'!$B$9,Paramètres!$A$1:$I$89,5,0)</f>
        <v>298.52277000000015</v>
      </c>
      <c r="P59" s="13">
        <f t="shared" si="33"/>
        <v>70.866690413510668</v>
      </c>
      <c r="Q59" s="20">
        <f t="shared" si="53"/>
        <v>643.35331022019807</v>
      </c>
      <c r="R59" s="59">
        <f t="shared" si="0"/>
        <v>936.68664355353144</v>
      </c>
      <c r="S59" s="59">
        <f ca="1">AVERAGE(OFFSET($R$3,0,0,'Données projet'!$E$9+1,1))-AVERAGE(OFFSET($H$3,0,0,'Données projet'!$E$9+1,1))</f>
        <v>287.413090017863</v>
      </c>
      <c r="T59" s="59">
        <f t="shared" si="34"/>
        <v>258.48456031927117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94.669999999999959</v>
      </c>
      <c r="W59" s="16">
        <f>IF(ISNA(VLOOKUP(A59,'Données projet'!$A$35:$I$55,5,0)),0%,VLOOKUP(A59,'Données projet'!$A$35:$I$55,5,0)*VLOOKUP('Données projet'!$B$9,Paramètres!$A$1:$I$89,7,0))</f>
        <v>0.33</v>
      </c>
      <c r="X59" s="16">
        <f>IF(ISNA(VLOOKUP(A59,'Données projet'!$A$35:$I$55,6,0)),0%,VLOOKUP(A59,'Données projet'!$A$35:$I$55,6,0)*VLOOKUP('Données projet'!$B$9,Paramètres!$A$1:$I$89,7,0))</f>
        <v>0.11000000000000001</v>
      </c>
      <c r="Y59" s="16">
        <f>IF(ISNA(VLOOKUP(A59,'Données projet'!$A$35:$I$55,7,0)),0%,VLOOKUP(A59,'Données projet'!$A$35:$I$55,7,0))</f>
        <v>0.2</v>
      </c>
      <c r="Z59" s="21">
        <f>EXP(-LN(2)/35)*Z58+(1-EXP(-LN(2)/35))/(LN(2)/35)*V59*W59*VLOOKUP('Données projet'!$B$9,Paramètres!$A$1:$I$89,3,0)*0.475*44/12</f>
        <v>86.980999905169341</v>
      </c>
      <c r="AA59" s="21">
        <f>EXP(-LN(2)/25)*AA58+(1-EXP(-LN(2)/25))/(LN(2)/25)*Calculateur!V59*Calculateur!X59*VLOOKUP('Données projet'!$B$9,Paramètres!$A$1:$I$89,3,0)*0.475*44/12</f>
        <v>33.039177003482436</v>
      </c>
      <c r="AB59" s="21">
        <f>EXP(-LN(2)/2)*AB58+(1-EXP(-LN(2)/2))/(LN(2)/2)*V59*Y59*VLOOKUP('Données projet'!$B$9,Paramètres!$A$1:$I$89,3,0)*0.475*44/12</f>
        <v>13.352200211590977</v>
      </c>
      <c r="AC59" s="22">
        <f t="shared" si="3"/>
        <v>133.37237712024276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10.36375</v>
      </c>
      <c r="AI59" s="13">
        <f>IF('Données projet'!$A$62&gt;35,AI58+AH59-AQ58,IF(A59&lt;'Données projet'!$A$62,$AF$205^A59,IF(A59='Données projet'!$A$62,'Données projet'!$B$62,AI58+AH59-AQ58)))</f>
        <v>232.97250000000025</v>
      </c>
      <c r="AJ59" s="13">
        <f>AI59*VLOOKUP('Données projet'!$B$10,Paramètres!$A$1:$I$89,3,0)*VLOOKUP('Données projet'!$B$10,Paramètres!$A$1:$I$89,5,0)</f>
        <v>210.7935180000002</v>
      </c>
      <c r="AK59" s="13">
        <f t="shared" si="35"/>
        <v>52.108951264882847</v>
      </c>
      <c r="AL59" s="20">
        <f t="shared" si="4"/>
        <v>457.88846730300457</v>
      </c>
      <c r="AM59" s="59">
        <f t="shared" si="5"/>
        <v>751.22180063633789</v>
      </c>
      <c r="AN59" s="59">
        <f ca="1">AVERAGE(OFFSET($AM$3,0,0,'Données projet'!$E$10+1,1))-AVERAGE(OFFSET($H$3,0,0,'Données projet'!$E$10+1,1))</f>
        <v>422.10969295064359</v>
      </c>
      <c r="AO59" s="59">
        <f t="shared" si="36"/>
        <v>184.04075143033037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21.241377784854869</v>
      </c>
      <c r="AW59" s="21">
        <f>EXP(-LN(2)/2)*AW58+(1-EXP(-LN(2)/2))/(LN(2)/2)*AQ59*AT59*VLOOKUP('Données projet'!$B$10,Paramètres!$A$1:$I$89,3,0)*0.475*44/12</f>
        <v>0.86057279488890148</v>
      </c>
      <c r="AX59" s="21">
        <f t="shared" si="6"/>
        <v>22.101950579743772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18.2</v>
      </c>
      <c r="BD59" s="12">
        <f>IF('Données projet'!$A$88&gt;35,BD58+BC59-BL58,IF(A59&lt;'Données projet'!$A$88,$BA$205^A59,IF(A59='Données projet'!$A$88,'Données projet'!$B$88,BD58+BC59-BL58)))</f>
        <v>504.19999999999959</v>
      </c>
      <c r="BE59" s="13">
        <f>BD59*VLOOKUP('Données projet'!$B$11,Paramètres!$A$1:$I$89,3,0)*VLOOKUP('Données projet'!$B$11,Paramètres!$A$1:$I$89,5,0)</f>
        <v>203.19259999999986</v>
      </c>
      <c r="BF59" s="13">
        <f t="shared" si="37"/>
        <v>50.44515656152678</v>
      </c>
      <c r="BG59" s="20">
        <f t="shared" si="7"/>
        <v>441.7524260113255</v>
      </c>
      <c r="BH59" s="59">
        <f t="shared" si="8"/>
        <v>735.08575934465875</v>
      </c>
      <c r="BI59" s="59">
        <f ca="1">AVERAGE(OFFSET($BH$3,0,0,'Données projet'!$E$11+1,1))-AVERAGE(OFFSET($H$3,0,0,'Données projet'!$E$11+1,1))</f>
        <v>217.61052961346684</v>
      </c>
      <c r="BJ59" s="59">
        <f t="shared" si="38"/>
        <v>180.77145728128608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31.6142172246055</v>
      </c>
      <c r="BQ59" s="21">
        <f>EXP(-LN(2)/25)*BQ58+(1-EXP(-LN(2)/25))/(LN(2)/25)*Calculateur!BL59*Calculateur!BN59*VLOOKUP('Données projet'!$B$11,Paramètres!$A$1:$I$89,3,0)*0.475*44/12</f>
        <v>22.603533755984003</v>
      </c>
      <c r="BR59" s="21">
        <f>EXP(-LN(2)/2)*BR58+(1-EXP(-LN(2)/2))/(LN(2)/2)*BL59*BO59*VLOOKUP('Données projet'!$B$11,Paramètres!$A$1:$I$89,3,0)*0.475*44/12</f>
        <v>4.5129705835248846</v>
      </c>
      <c r="BS59" s="22">
        <f t="shared" si="9"/>
        <v>58.730721564114383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14.12857142857143</v>
      </c>
      <c r="BY59" s="12">
        <f>IF('Données projet'!$A$114&gt;35,BY58+BX59-CG58,IF(A59&lt;'Données projet'!$A$114,$BV$205^A59,IF(A59='Données projet'!$A$114,'Données projet'!$B$114,BY58+BX59-CG58)))</f>
        <v>276.86285714285714</v>
      </c>
      <c r="BZ59" s="13">
        <f>BY59*VLOOKUP('Données projet'!$B$12,Paramètres!$A$1:$I$89,3,0)*VLOOKUP('Données projet'!$B$12,Paramètres!$A$1:$I$89,5,0)</f>
        <v>233.22927085714286</v>
      </c>
      <c r="CA59" s="13">
        <f t="shared" si="39"/>
        <v>56.980357782875821</v>
      </c>
      <c r="CB59" s="20">
        <f t="shared" si="10"/>
        <v>505.44843654803253</v>
      </c>
      <c r="CC59" s="59">
        <f t="shared" si="11"/>
        <v>798.78176988136579</v>
      </c>
      <c r="CD59" s="59">
        <f ca="1">AVERAGE(OFFSET($CC$3,0,0,'Données projet'!$E$12+1,1))-AVERAGE(OFFSET($H$3,0,0,'Données projet'!$E$12+1,1))</f>
        <v>287.72859857368331</v>
      </c>
      <c r="CE59" s="59">
        <f t="shared" si="40"/>
        <v>179.60736986885922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13.271715322385942</v>
      </c>
      <c r="CL59" s="21">
        <f>EXP(-LN(2)/25)*CL58+(1-EXP(-LN(2)/25))/(LN(2)/25)*Calculateur!CG59*Calculateur!CI59*VLOOKUP('Données projet'!$B$12,Paramètres!$A$1:$I$89,3,0)*0.475*44/12</f>
        <v>25.839479335297465</v>
      </c>
      <c r="CM59" s="21">
        <f>EXP(-LN(2)/2)*CM58+(1-EXP(-LN(2)/2))/(LN(2)/2)*CG59*CJ59*VLOOKUP('Données projet'!$B$12,Paramètres!$A$1:$I$89,3,0)*0.475*44/12</f>
        <v>0.85996750490977114</v>
      </c>
      <c r="CN59" s="22">
        <f t="shared" si="12"/>
        <v>39.971162162593174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6.2</v>
      </c>
      <c r="CT59" s="12">
        <f>IF('Données projet'!$A$140&gt;35,CT58+CS59-DB58,IF(A59&lt;'Données projet'!$A$140,$CQ$205^A59,IF(A59='Données projet'!$A$140,'Données projet'!$B$140,CT58+CS59-DB58)))</f>
        <v>269.19999999999993</v>
      </c>
      <c r="CU59" s="17">
        <f>CT59*VLOOKUP('Données projet'!$B$13,Paramètres!$A$1:$I$89,3,0)*VLOOKUP('Données projet'!$B$13,Paramètres!$A$1:$I$89,5,0)</f>
        <v>214.17551999999998</v>
      </c>
      <c r="CV59" s="13">
        <f t="shared" si="41"/>
        <v>52.846993696165399</v>
      </c>
      <c r="CW59" s="20">
        <f t="shared" si="13"/>
        <v>465.06421135415468</v>
      </c>
      <c r="CX59" s="59">
        <f t="shared" si="14"/>
        <v>758.39754468748799</v>
      </c>
      <c r="CY59" s="59">
        <f ca="1">AVERAGE(OFFSET($CX$3,0,0,'Données projet'!$E$13+1,1))-AVERAGE(OFFSET($H$3,0,0,'Données projet'!$E$13+1,1))</f>
        <v>243.33915530322201</v>
      </c>
      <c r="CZ59" s="59">
        <f t="shared" si="42"/>
        <v>247.73814704672577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14.142766354019988</v>
      </c>
      <c r="DG59" s="21">
        <f>EXP(-LN(2)/25)*DG58+(1-EXP(-LN(2)/25))/(LN(2)/25)*Calculateur!DB59*Calculateur!DD59*VLOOKUP('Données projet'!$B$13,Paramètres!$A$1:$I$89,3,0)*0.475*44/12</f>
        <v>16.989090033227296</v>
      </c>
      <c r="DH59" s="21">
        <f>EXP(-LN(2)/2)*DH58+(1-EXP(-LN(2)/2))/(LN(2)/2)*DB59*DE59*VLOOKUP('Données projet'!$B$13,Paramètres!$A$1:$I$89,3,0)*0.475*44/12</f>
        <v>2.6996174627450684</v>
      </c>
      <c r="DI59" s="22">
        <f t="shared" si="15"/>
        <v>33.831473849992349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18.617142857142849</v>
      </c>
      <c r="N60" s="13">
        <f>IF('Données projet'!$A$36&gt;35,N59+M60-V59,IF(A60&lt;'Données projet'!$A$36,$K$205^A60,IF(A60='Données projet'!$A$36,'Données projet'!$B$36,N59+M60-V59)))</f>
        <v>457.97714285714312</v>
      </c>
      <c r="O60" s="13">
        <f>N60*VLOOKUP('Données projet'!$B$9,Paramètres!$A$1:$I$89,3,0)*VLOOKUP('Données projet'!$B$9,Paramètres!$A$1:$I$89,5,0)</f>
        <v>256.00922285714302</v>
      </c>
      <c r="P60" s="13">
        <f t="shared" si="33"/>
        <v>61.870941241266237</v>
      </c>
      <c r="Q60" s="20">
        <f t="shared" si="53"/>
        <v>553.64128580472936</v>
      </c>
      <c r="R60" s="59">
        <f t="shared" si="0"/>
        <v>846.97461913806274</v>
      </c>
      <c r="S60" s="59">
        <f ca="1">AVERAGE(OFFSET($R$3,0,0,'Données projet'!$E$9+1,1))-AVERAGE(OFFSET($H$3,0,0,'Données projet'!$E$9+1,1))</f>
        <v>287.413090017863</v>
      </c>
      <c r="T60" s="59">
        <f t="shared" si="34"/>
        <v>258.48456031927117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85.275355550200345</v>
      </c>
      <c r="AA60" s="21">
        <f>EXP(-LN(2)/25)*AA59+(1-EXP(-LN(2)/25))/(LN(2)/25)*Calculateur!V60*Calculateur!X60*VLOOKUP('Données projet'!$B$9,Paramètres!$A$1:$I$89,3,0)*0.475*44/12</f>
        <v>32.135718970867401</v>
      </c>
      <c r="AB60" s="21">
        <f>EXP(-LN(2)/2)*AB59+(1-EXP(-LN(2)/2))/(LN(2)/2)*V60*Y60*VLOOKUP('Données projet'!$B$9,Paramètres!$A$1:$I$89,3,0)*0.475*44/12</f>
        <v>9.4414313133764356</v>
      </c>
      <c r="AC60" s="22">
        <f t="shared" si="3"/>
        <v>126.85250583444419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10.36375</v>
      </c>
      <c r="AI60" s="13">
        <f>IF('Données projet'!$A$62&gt;35,AI59+AH60-AQ59,IF(A60&lt;'Données projet'!$A$62,$AF$205^A60,IF(A60='Données projet'!$A$62,'Données projet'!$B$62,AI59+AH60-AQ59)))</f>
        <v>243.33625000000026</v>
      </c>
      <c r="AJ60" s="13">
        <f>AI60*VLOOKUP('Données projet'!$B$10,Paramètres!$A$1:$I$89,3,0)*VLOOKUP('Données projet'!$B$10,Paramètres!$A$1:$I$89,5,0)</f>
        <v>220.17063900000025</v>
      </c>
      <c r="AK60" s="13">
        <f t="shared" si="35"/>
        <v>54.151971590437505</v>
      </c>
      <c r="AL60" s="20">
        <f t="shared" si="4"/>
        <v>477.7785467783458</v>
      </c>
      <c r="AM60" s="59">
        <f t="shared" si="5"/>
        <v>771.11188011167906</v>
      </c>
      <c r="AN60" s="59">
        <f ca="1">AVERAGE(OFFSET($AM$3,0,0,'Données projet'!$E$10+1,1))-AVERAGE(OFFSET($H$3,0,0,'Données projet'!$E$10+1,1))</f>
        <v>422.10969295064359</v>
      </c>
      <c r="AO60" s="59">
        <f t="shared" si="36"/>
        <v>184.04075143033037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20.660531192292503</v>
      </c>
      <c r="AW60" s="21">
        <f>EXP(-LN(2)/2)*AW59+(1-EXP(-LN(2)/2))/(LN(2)/2)*AQ60*AT60*VLOOKUP('Données projet'!$B$10,Paramètres!$A$1:$I$89,3,0)*0.475*44/12</f>
        <v>0.60851685897060215</v>
      </c>
      <c r="AX60" s="21">
        <f t="shared" si="6"/>
        <v>21.269048051263105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18.2</v>
      </c>
      <c r="BD60" s="12">
        <f>IF('Données projet'!$A$88&gt;35,BD59+BC60-BL59,IF(A60&lt;'Données projet'!$A$88,$BA$205^A60,IF(A60='Données projet'!$A$88,'Données projet'!$B$88,BD59+BC60-BL59)))</f>
        <v>522.39999999999964</v>
      </c>
      <c r="BE60" s="13">
        <f>BD60*VLOOKUP('Données projet'!$B$11,Paramètres!$A$1:$I$89,3,0)*VLOOKUP('Données projet'!$B$11,Paramètres!$A$1:$I$89,5,0)</f>
        <v>210.52719999999985</v>
      </c>
      <c r="BF60" s="13">
        <f t="shared" si="37"/>
        <v>52.050775345380956</v>
      </c>
      <c r="BG60" s="20">
        <f t="shared" si="7"/>
        <v>457.32330705987152</v>
      </c>
      <c r="BH60" s="59">
        <f t="shared" si="8"/>
        <v>750.65664039320484</v>
      </c>
      <c r="BI60" s="59">
        <f ca="1">AVERAGE(OFFSET($BH$3,0,0,'Données projet'!$E$11+1,1))-AVERAGE(OFFSET($H$3,0,0,'Données projet'!$E$11+1,1))</f>
        <v>217.61052961346684</v>
      </c>
      <c r="BJ60" s="59">
        <f t="shared" si="38"/>
        <v>180.77145728128608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30.994281707599477</v>
      </c>
      <c r="BQ60" s="21">
        <f>EXP(-LN(2)/25)*BQ59+(1-EXP(-LN(2)/25))/(LN(2)/25)*Calculateur!BL60*Calculateur!BN60*VLOOKUP('Données projet'!$B$11,Paramètres!$A$1:$I$89,3,0)*0.475*44/12</f>
        <v>21.985438936758442</v>
      </c>
      <c r="BR60" s="21">
        <f>EXP(-LN(2)/2)*BR59+(1-EXP(-LN(2)/2))/(LN(2)/2)*BL60*BO60*VLOOKUP('Données projet'!$B$11,Paramètres!$A$1:$I$89,3,0)*0.475*44/12</f>
        <v>3.1911521029058565</v>
      </c>
      <c r="BS60" s="22">
        <f t="shared" si="9"/>
        <v>56.170872747263772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14.12857142857143</v>
      </c>
      <c r="BY60" s="12">
        <f>IF('Données projet'!$A$114&gt;35,BY59+BX60-CG59,IF(A60&lt;'Données projet'!$A$114,$BV$205^A60,IF(A60='Données projet'!$A$114,'Données projet'!$B$114,BY59+BX60-CG59)))</f>
        <v>290.99142857142857</v>
      </c>
      <c r="BZ60" s="13">
        <f>BY60*VLOOKUP('Données projet'!$B$12,Paramètres!$A$1:$I$89,3,0)*VLOOKUP('Données projet'!$B$12,Paramètres!$A$1:$I$89,5,0)</f>
        <v>245.13117942857144</v>
      </c>
      <c r="CA60" s="13">
        <f t="shared" si="39"/>
        <v>59.542165822606094</v>
      </c>
      <c r="CB60" s="20">
        <f t="shared" si="10"/>
        <v>530.63940964580081</v>
      </c>
      <c r="CC60" s="59">
        <f t="shared" si="11"/>
        <v>823.97274297913418</v>
      </c>
      <c r="CD60" s="59">
        <f ca="1">AVERAGE(OFFSET($CC$3,0,0,'Données projet'!$E$12+1,1))-AVERAGE(OFFSET($H$3,0,0,'Données projet'!$E$12+1,1))</f>
        <v>287.72859857368331</v>
      </c>
      <c r="CE60" s="59">
        <f t="shared" si="40"/>
        <v>179.60736986885922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13.011465079860992</v>
      </c>
      <c r="CL60" s="21">
        <f>EXP(-LN(2)/25)*CL59+(1-EXP(-LN(2)/25))/(LN(2)/25)*Calculateur!CG60*Calculateur!CI60*VLOOKUP('Données projet'!$B$12,Paramètres!$A$1:$I$89,3,0)*0.475*44/12</f>
        <v>25.132897414034595</v>
      </c>
      <c r="CM60" s="21">
        <f>EXP(-LN(2)/2)*CM59+(1-EXP(-LN(2)/2))/(LN(2)/2)*CG60*CJ60*VLOOKUP('Données projet'!$B$12,Paramètres!$A$1:$I$89,3,0)*0.475*44/12</f>
        <v>0.60808885432177484</v>
      </c>
      <c r="CN60" s="22">
        <f t="shared" si="12"/>
        <v>38.752451348217363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6.2</v>
      </c>
      <c r="CT60" s="12">
        <f>IF('Données projet'!$A$140&gt;35,CT59+CS60-DB59,IF(A60&lt;'Données projet'!$A$140,$CQ$205^A60,IF(A60='Données projet'!$A$140,'Données projet'!$B$140,CT59+CS60-DB59)))</f>
        <v>275.39999999999992</v>
      </c>
      <c r="CU60" s="17">
        <f>CT60*VLOOKUP('Données projet'!$B$13,Paramètres!$A$1:$I$89,3,0)*VLOOKUP('Données projet'!$B$13,Paramètres!$A$1:$I$89,5,0)</f>
        <v>219.10823999999994</v>
      </c>
      <c r="CV60" s="13">
        <f t="shared" si="41"/>
        <v>53.921020297295854</v>
      </c>
      <c r="CW60" s="20">
        <f t="shared" si="13"/>
        <v>475.52596168445672</v>
      </c>
      <c r="CX60" s="59">
        <f t="shared" si="14"/>
        <v>768.85929501779003</v>
      </c>
      <c r="CY60" s="59">
        <f ca="1">AVERAGE(OFFSET($CX$3,0,0,'Données projet'!$E$13+1,1))-AVERAGE(OFFSET($H$3,0,0,'Données projet'!$E$13+1,1))</f>
        <v>243.33915530322201</v>
      </c>
      <c r="CZ60" s="59">
        <f t="shared" si="42"/>
        <v>247.73814704672577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13.865435332053362</v>
      </c>
      <c r="DG60" s="21">
        <f>EXP(-LN(2)/25)*DG59+(1-EXP(-LN(2)/25))/(LN(2)/25)*Calculateur!DB60*Calculateur!DD60*VLOOKUP('Données projet'!$B$13,Paramètres!$A$1:$I$89,3,0)*0.475*44/12</f>
        <v>16.524522472851281</v>
      </c>
      <c r="DH60" s="21">
        <f>EXP(-LN(2)/2)*DH59+(1-EXP(-LN(2)/2))/(LN(2)/2)*DB60*DE60*VLOOKUP('Données projet'!$B$13,Paramètres!$A$1:$I$89,3,0)*0.475*44/12</f>
        <v>1.9089178145166599</v>
      </c>
      <c r="DI60" s="22">
        <f t="shared" si="15"/>
        <v>32.298875619421302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18.617142857142849</v>
      </c>
      <c r="N61" s="13">
        <f>IF('Données projet'!$A$36&gt;35,N60+M61-V60,IF(A61&lt;'Données projet'!$A$36,$K$205^A61,IF(A61='Données projet'!$A$36,'Données projet'!$B$36,N60+M61-V60)))</f>
        <v>476.59428571428595</v>
      </c>
      <c r="O61" s="13">
        <f>N61*VLOOKUP('Données projet'!$B$9,Paramètres!$A$1:$I$89,3,0)*VLOOKUP('Données projet'!$B$9,Paramètres!$A$1:$I$89,5,0)</f>
        <v>266.41620571428587</v>
      </c>
      <c r="P61" s="13">
        <f t="shared" si="33"/>
        <v>64.088107222101385</v>
      </c>
      <c r="Q61" s="20">
        <f t="shared" si="53"/>
        <v>575.62834503087436</v>
      </c>
      <c r="R61" s="59">
        <f t="shared" si="0"/>
        <v>868.96167836420773</v>
      </c>
      <c r="S61" s="59">
        <f ca="1">AVERAGE(OFFSET($R$3,0,0,'Données projet'!$E$9+1,1))-AVERAGE(OFFSET($H$3,0,0,'Données projet'!$E$9+1,1))</f>
        <v>287.413090017863</v>
      </c>
      <c r="T61" s="59">
        <f t="shared" si="34"/>
        <v>258.48456031927117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83.603157840691964</v>
      </c>
      <c r="AA61" s="21">
        <f>EXP(-LN(2)/25)*AA60+(1-EXP(-LN(2)/25))/(LN(2)/25)*Calculateur!V61*Calculateur!X61*VLOOKUP('Données projet'!$B$9,Paramètres!$A$1:$I$89,3,0)*0.475*44/12</f>
        <v>31.25696604566502</v>
      </c>
      <c r="AB61" s="21">
        <f>EXP(-LN(2)/2)*AB60+(1-EXP(-LN(2)/2))/(LN(2)/2)*V61*Y61*VLOOKUP('Données projet'!$B$9,Paramètres!$A$1:$I$89,3,0)*0.475*44/12</f>
        <v>6.6761001057954896</v>
      </c>
      <c r="AC61" s="22">
        <f t="shared" si="3"/>
        <v>121.53622399215247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10.36375</v>
      </c>
      <c r="AH61" s="12">
        <f t="array" ref="AH61">INDEX(AG:AG,MIN(IF(ISNUMBER(AG61:AG257),ROW(AG61:AG257),"")))</f>
        <v>10.36375</v>
      </c>
      <c r="AI61" s="13">
        <f>IF('Données projet'!$A$62&gt;35,AI60+AH61-AQ60,IF(A61&lt;'Données projet'!$A$62,$AF$205^A61,IF(A61='Données projet'!$A$62,'Données projet'!$B$62,AI60+AH61-AQ60)))</f>
        <v>253.70000000000027</v>
      </c>
      <c r="AJ61" s="13">
        <f>AI61*VLOOKUP('Données projet'!$B$10,Paramètres!$A$1:$I$89,3,0)*VLOOKUP('Données projet'!$B$10,Paramètres!$A$1:$I$89,5,0)</f>
        <v>229.54776000000027</v>
      </c>
      <c r="AK61" s="13">
        <f t="shared" si="35"/>
        <v>56.184885471425758</v>
      </c>
      <c r="AL61" s="20">
        <f t="shared" si="4"/>
        <v>497.651024196067</v>
      </c>
      <c r="AM61" s="59">
        <f t="shared" si="5"/>
        <v>790.98435752940031</v>
      </c>
      <c r="AN61" s="59">
        <f ca="1">AVERAGE(OFFSET($AM$3,0,0,'Données projet'!$E$10+1,1))-AVERAGE(OFFSET($H$3,0,0,'Données projet'!$E$10+1,1))</f>
        <v>422.10969295064359</v>
      </c>
      <c r="AO61" s="59">
        <f t="shared" si="36"/>
        <v>184.04075143033037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47.789999999999992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0.34400000000000003</v>
      </c>
      <c r="AT61" s="16">
        <f>IF(ISNA(VLOOKUP(A61,'Données projet'!$A$61:$I$81,7,0)),0%,VLOOKUP(A61,'Données projet'!$A$61:$I$81,7,0))</f>
        <v>0.2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36.474357978367649</v>
      </c>
      <c r="AW61" s="21">
        <f>EXP(-LN(2)/2)*AW60+(1-EXP(-LN(2)/2))/(LN(2)/2)*AQ61*AT61*VLOOKUP('Données projet'!$B$10,Paramètres!$A$1:$I$89,3,0)*0.475*44/12</f>
        <v>8.589981127461952</v>
      </c>
      <c r="AX61" s="21">
        <f t="shared" si="6"/>
        <v>45.064339105829603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18.2</v>
      </c>
      <c r="BD61" s="12">
        <f>IF('Données projet'!$A$88&gt;35,BD60+BC61-BL60,IF(A61&lt;'Données projet'!$A$88,$BA$205^A61,IF(A61='Données projet'!$A$88,'Données projet'!$B$88,BD60+BC61-BL60)))</f>
        <v>540.59999999999968</v>
      </c>
      <c r="BE61" s="13">
        <f>BD61*VLOOKUP('Données projet'!$B$11,Paramètres!$A$1:$I$89,3,0)*VLOOKUP('Données projet'!$B$11,Paramètres!$A$1:$I$89,5,0)</f>
        <v>217.86179999999987</v>
      </c>
      <c r="BF61" s="13">
        <f t="shared" si="37"/>
        <v>53.649894685897138</v>
      </c>
      <c r="BG61" s="20">
        <f t="shared" si="7"/>
        <v>472.88286824460391</v>
      </c>
      <c r="BH61" s="59">
        <f t="shared" si="8"/>
        <v>766.21620157793723</v>
      </c>
      <c r="BI61" s="59">
        <f ca="1">AVERAGE(OFFSET($BH$3,0,0,'Données projet'!$E$11+1,1))-AVERAGE(OFFSET($H$3,0,0,'Données projet'!$E$11+1,1))</f>
        <v>217.61052961346684</v>
      </c>
      <c r="BJ61" s="59">
        <f t="shared" si="38"/>
        <v>180.77145728128608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30.386502747958613</v>
      </c>
      <c r="BQ61" s="21">
        <f>EXP(-LN(2)/25)*BQ60+(1-EXP(-LN(2)/25))/(LN(2)/25)*Calculateur!BL61*Calculateur!BN61*VLOOKUP('Données projet'!$B$11,Paramètres!$A$1:$I$89,3,0)*0.475*44/12</f>
        <v>21.384245952868795</v>
      </c>
      <c r="BR61" s="21">
        <f>EXP(-LN(2)/2)*BR60+(1-EXP(-LN(2)/2))/(LN(2)/2)*BL61*BO61*VLOOKUP('Données projet'!$B$11,Paramètres!$A$1:$I$89,3,0)*0.475*44/12</f>
        <v>2.2564852917624427</v>
      </c>
      <c r="BS61" s="22">
        <f t="shared" si="9"/>
        <v>54.027233992589856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305.12</v>
      </c>
      <c r="BW61" s="12">
        <f>VLOOKUP(A61,'Données projet'!$A$113:$I$133,9,0)</f>
        <v>14.12857142857143</v>
      </c>
      <c r="BX61" s="12">
        <f t="array" ref="BX61">INDEX(BW:BW,MIN(IF(ISNUMBER(BW61:BW257),ROW(BW61:BW257),"")))</f>
        <v>14.12857142857143</v>
      </c>
      <c r="BY61" s="12">
        <f>IF('Données projet'!$A$114&gt;35,BY60+BX61-CG60,IF(A61&lt;'Données projet'!$A$114,$BV$205^A61,IF(A61='Données projet'!$A$114,'Données projet'!$B$114,BY60+BX61-CG60)))</f>
        <v>305.12</v>
      </c>
      <c r="BZ61" s="13">
        <f>BY61*VLOOKUP('Données projet'!$B$12,Paramètres!$A$1:$I$89,3,0)*VLOOKUP('Données projet'!$B$12,Paramètres!$A$1:$I$89,5,0)</f>
        <v>257.03308800000002</v>
      </c>
      <c r="CA61" s="13">
        <f t="shared" si="39"/>
        <v>62.08953040488894</v>
      </c>
      <c r="CB61" s="20">
        <f t="shared" si="10"/>
        <v>555.8052270551816</v>
      </c>
      <c r="CC61" s="59">
        <f t="shared" si="11"/>
        <v>849.13856038851486</v>
      </c>
      <c r="CD61" s="59">
        <f ca="1">AVERAGE(OFFSET($CC$3,0,0,'Données projet'!$E$12+1,1))-AVERAGE(OFFSET($H$3,0,0,'Données projet'!$E$12+1,1))</f>
        <v>287.72859857368331</v>
      </c>
      <c r="CE61" s="59">
        <f t="shared" si="40"/>
        <v>179.60736986885922</v>
      </c>
      <c r="CF61" s="15">
        <f>IF(ISNA(VLOOKUP(A61,'Données projet'!$A$113:$I$133,3,0)),0,VLOOKUP(A61,'Données projet'!$A$113:$I$133,3,0))</f>
        <v>5</v>
      </c>
      <c r="CG61" s="15">
        <f>IF(ISNA(VLOOKUP(A61,'Données projet'!$A$113:$I$133,4,0)),0,VLOOKUP(A61,'Données projet'!$A$113:$I$133,4,0))</f>
        <v>53.97</v>
      </c>
      <c r="CH61" s="16">
        <f>IF(ISNA(VLOOKUP(A61,'Données projet'!$A$113:$I$133,5,0)),0%,VLOOKUP(A61,'Données projet'!$A$113:$I$133,5,0)*VLOOKUP('Données projet'!$B$12,Paramètres!$A$1:$I$89,7,0))</f>
        <v>0.15049999999999999</v>
      </c>
      <c r="CI61" s="16">
        <f>IF(ISNA(VLOOKUP(A61,'Données projet'!$A$113:$I$133,6,0)),0%,VLOOKUP(A61,'Données projet'!$A$113:$I$133,6,0)*VLOOKUP('Données projet'!$B$12,Paramètres!$A$1:$I$89,7,0))</f>
        <v>8.6000000000000007E-2</v>
      </c>
      <c r="CJ61" s="16">
        <f>IF(ISNA(VLOOKUP(A61,'Données projet'!$A$113:$I$133,7,0)),0%,VLOOKUP(A61,'Données projet'!$A$113:$I$133,7,0))</f>
        <v>0.1</v>
      </c>
      <c r="CK61" s="21">
        <f>EXP(-LN(2)/35)*CK60+(1-EXP(-LN(2)/35))/(LN(2)/35)*CG61*CH61*VLOOKUP('Données projet'!$B$12,Paramètres!$A$1:$I$89,3,0)*0.475*44/12</f>
        <v>20.320368109225246</v>
      </c>
      <c r="CL61" s="21">
        <f>EXP(-LN(2)/25)*CL60+(1-EXP(-LN(2)/25))/(LN(2)/25)*Calculateur!CG61*Calculateur!CI61*VLOOKUP('Données projet'!$B$12,Paramètres!$A$1:$I$89,3,0)*0.475*44/12</f>
        <v>28.750932656390745</v>
      </c>
      <c r="CM61" s="21">
        <f>EXP(-LN(2)/2)*CM60+(1-EXP(-LN(2)/2))/(LN(2)/2)*CG61*CJ61*VLOOKUP('Données projet'!$B$12,Paramètres!$A$1:$I$89,3,0)*0.475*44/12</f>
        <v>4.7196654646996219</v>
      </c>
      <c r="CN61" s="22">
        <f t="shared" si="12"/>
        <v>53.790966230315611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6.2</v>
      </c>
      <c r="CT61" s="12">
        <f>IF('Données projet'!$A$140&gt;35,CT60+CS61-DB60,IF(A61&lt;'Données projet'!$A$140,$CQ$205^A61,IF(A61='Données projet'!$A$140,'Données projet'!$B$140,CT60+CS61-DB60)))</f>
        <v>281.59999999999991</v>
      </c>
      <c r="CU61" s="17">
        <f>CT61*VLOOKUP('Données projet'!$B$13,Paramètres!$A$1:$I$89,3,0)*VLOOKUP('Données projet'!$B$13,Paramètres!$A$1:$I$89,5,0)</f>
        <v>224.04095999999993</v>
      </c>
      <c r="CV61" s="13">
        <f t="shared" si="41"/>
        <v>54.992235867381233</v>
      </c>
      <c r="CW61" s="20">
        <f t="shared" si="13"/>
        <v>485.98281613568884</v>
      </c>
      <c r="CX61" s="59">
        <f t="shared" si="14"/>
        <v>779.31614946902209</v>
      </c>
      <c r="CY61" s="59">
        <f ca="1">AVERAGE(OFFSET($CX$3,0,0,'Données projet'!$E$13+1,1))-AVERAGE(OFFSET($H$3,0,0,'Données projet'!$E$13+1,1))</f>
        <v>243.33915530322201</v>
      </c>
      <c r="CZ61" s="59">
        <f t="shared" si="42"/>
        <v>247.73814704672577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13.593542602272281</v>
      </c>
      <c r="DG61" s="21">
        <f>EXP(-LN(2)/25)*DG60+(1-EXP(-LN(2)/25))/(LN(2)/25)*Calculateur!DB61*Calculateur!DD61*VLOOKUP('Données projet'!$B$13,Paramètres!$A$1:$I$89,3,0)*0.475*44/12</f>
        <v>16.072658536844294</v>
      </c>
      <c r="DH61" s="21">
        <f>EXP(-LN(2)/2)*DH60+(1-EXP(-LN(2)/2))/(LN(2)/2)*DB61*DE61*VLOOKUP('Données projet'!$B$13,Paramètres!$A$1:$I$89,3,0)*0.475*44/12</f>
        <v>1.3498087313725344</v>
      </c>
      <c r="DI61" s="22">
        <f t="shared" si="15"/>
        <v>31.016009870489107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18.617142857142849</v>
      </c>
      <c r="N62" s="13">
        <f>IF('Données projet'!$A$36&gt;35,N61+M62-V61,IF(A62&lt;'Données projet'!$A$36,$K$205^A62,IF(A62='Données projet'!$A$36,'Données projet'!$B$36,N61+M62-V61)))</f>
        <v>495.21142857142877</v>
      </c>
      <c r="O62" s="13">
        <f>N62*VLOOKUP('Données projet'!$B$9,Paramètres!$A$1:$I$89,3,0)*VLOOKUP('Données projet'!$B$9,Paramètres!$A$1:$I$89,5,0)</f>
        <v>276.82318857142872</v>
      </c>
      <c r="P62" s="13">
        <f t="shared" si="33"/>
        <v>66.295212111853616</v>
      </c>
      <c r="Q62" s="20">
        <f t="shared" si="53"/>
        <v>597.59788119005009</v>
      </c>
      <c r="R62" s="59">
        <f t="shared" si="0"/>
        <v>890.93121452338346</v>
      </c>
      <c r="S62" s="59">
        <f ca="1">AVERAGE(OFFSET($R$3,0,0,'Données projet'!$E$9+1,1))-AVERAGE(OFFSET($H$3,0,0,'Données projet'!$E$9+1,1))</f>
        <v>287.413090017863</v>
      </c>
      <c r="T62" s="59">
        <f t="shared" si="34"/>
        <v>258.48456031927117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81.963750908327142</v>
      </c>
      <c r="AA62" s="21">
        <f>EXP(-LN(2)/25)*AA61+(1-EXP(-LN(2)/25))/(LN(2)/25)*Calculateur!V62*Calculateur!X62*VLOOKUP('Données projet'!$B$9,Paramètres!$A$1:$I$89,3,0)*0.475*44/12</f>
        <v>30.402242665413905</v>
      </c>
      <c r="AB62" s="21">
        <f>EXP(-LN(2)/2)*AB61+(1-EXP(-LN(2)/2))/(LN(2)/2)*V62*Y62*VLOOKUP('Données projet'!$B$9,Paramètres!$A$1:$I$89,3,0)*0.475*44/12</f>
        <v>4.7207156566882187</v>
      </c>
      <c r="AC62" s="22">
        <f t="shared" si="3"/>
        <v>117.08670923042926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10.107499999999998</v>
      </c>
      <c r="AI62" s="13">
        <f>IF('Données projet'!$A$62&gt;35,AI61+AH62-AQ61,IF(A62&lt;'Données projet'!$A$62,$AF$205^A62,IF(A62='Données projet'!$A$62,'Données projet'!$B$62,AI61+AH62-AQ61)))</f>
        <v>216.0175000000003</v>
      </c>
      <c r="AJ62" s="13">
        <f>AI62*VLOOKUP('Données projet'!$B$10,Paramètres!$A$1:$I$89,3,0)*VLOOKUP('Données projet'!$B$10,Paramètres!$A$1:$I$89,5,0)</f>
        <v>195.45263400000027</v>
      </c>
      <c r="AK62" s="13">
        <f t="shared" si="35"/>
        <v>48.743460533300031</v>
      </c>
      <c r="AL62" s="20">
        <f t="shared" si="4"/>
        <v>425.3081979788314</v>
      </c>
      <c r="AM62" s="59">
        <f t="shared" si="5"/>
        <v>718.64153131216472</v>
      </c>
      <c r="AN62" s="59">
        <f ca="1">AVERAGE(OFFSET($AM$3,0,0,'Données projet'!$E$10+1,1))-AVERAGE(OFFSET($H$3,0,0,'Données projet'!$E$10+1,1))</f>
        <v>422.10969295064359</v>
      </c>
      <c r="AO62" s="59">
        <f t="shared" si="36"/>
        <v>184.04075143033037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35.476964741346066</v>
      </c>
      <c r="AW62" s="21">
        <f>EXP(-LN(2)/2)*AW61+(1-EXP(-LN(2)/2))/(LN(2)/2)*AQ62*AT62*VLOOKUP('Données projet'!$B$10,Paramètres!$A$1:$I$89,3,0)*0.475*44/12</f>
        <v>6.0740339054928114</v>
      </c>
      <c r="AX62" s="21">
        <f t="shared" si="6"/>
        <v>41.550998646838877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18.2</v>
      </c>
      <c r="BD62" s="12">
        <f>IF('Données projet'!$A$88&gt;35,BD61+BC62-BL61,IF(A62&lt;'Données projet'!$A$88,$BA$205^A62,IF(A62='Données projet'!$A$88,'Données projet'!$B$88,BD61+BC62-BL61)))</f>
        <v>558.79999999999973</v>
      </c>
      <c r="BE62" s="13">
        <f>BD62*VLOOKUP('Données projet'!$B$11,Paramètres!$A$1:$I$89,3,0)*VLOOKUP('Données projet'!$B$11,Paramètres!$A$1:$I$89,5,0)</f>
        <v>225.1963999999999</v>
      </c>
      <c r="BF62" s="13">
        <f t="shared" si="37"/>
        <v>55.242758480582516</v>
      </c>
      <c r="BG62" s="20">
        <f t="shared" si="7"/>
        <v>488.431534353681</v>
      </c>
      <c r="BH62" s="59">
        <f t="shared" si="8"/>
        <v>781.76486768701432</v>
      </c>
      <c r="BI62" s="59">
        <f ca="1">AVERAGE(OFFSET($BH$3,0,0,'Données projet'!$E$11+1,1))-AVERAGE(OFFSET($H$3,0,0,'Données projet'!$E$11+1,1))</f>
        <v>217.61052961346684</v>
      </c>
      <c r="BJ62" s="59">
        <f t="shared" si="38"/>
        <v>180.77145728128608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29.790641963007747</v>
      </c>
      <c r="BQ62" s="21">
        <f>EXP(-LN(2)/25)*BQ61+(1-EXP(-LN(2)/25))/(LN(2)/25)*Calculateur!BL62*Calculateur!BN62*VLOOKUP('Données projet'!$B$11,Paramètres!$A$1:$I$89,3,0)*0.475*44/12</f>
        <v>20.799492622738978</v>
      </c>
      <c r="BR62" s="21">
        <f>EXP(-LN(2)/2)*BR61+(1-EXP(-LN(2)/2))/(LN(2)/2)*BL62*BO62*VLOOKUP('Données projet'!$B$11,Paramètres!$A$1:$I$89,3,0)*0.475*44/12</f>
        <v>1.5955760514529285</v>
      </c>
      <c r="BS62" s="22">
        <f t="shared" si="9"/>
        <v>52.185710637199655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13.839999999999995</v>
      </c>
      <c r="BY62" s="12">
        <f>IF('Données projet'!$A$114&gt;35,BY61+BX62-CG61,IF(A62&lt;'Données projet'!$A$114,$BV$205^A62,IF(A62='Données projet'!$A$114,'Données projet'!$B$114,BY61+BX62-CG61)))</f>
        <v>264.99</v>
      </c>
      <c r="BZ62" s="13">
        <f>BY62*VLOOKUP('Données projet'!$B$12,Paramètres!$A$1:$I$89,3,0)*VLOOKUP('Données projet'!$B$12,Paramètres!$A$1:$I$89,5,0)</f>
        <v>223.22757600000003</v>
      </c>
      <c r="CA62" s="13">
        <f t="shared" si="39"/>
        <v>54.815787695087607</v>
      </c>
      <c r="CB62" s="20">
        <f t="shared" si="10"/>
        <v>484.25885843561099</v>
      </c>
      <c r="CC62" s="59">
        <f t="shared" si="11"/>
        <v>777.5921917689443</v>
      </c>
      <c r="CD62" s="59">
        <f ca="1">AVERAGE(OFFSET($CC$3,0,0,'Données projet'!$E$12+1,1))-AVERAGE(OFFSET($H$3,0,0,'Données projet'!$E$12+1,1))</f>
        <v>287.72859857368331</v>
      </c>
      <c r="CE62" s="59">
        <f t="shared" si="40"/>
        <v>179.60736986885922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19.921898084804059</v>
      </c>
      <c r="CL62" s="21">
        <f>EXP(-LN(2)/25)*CL61+(1-EXP(-LN(2)/25))/(LN(2)/25)*Calculateur!CG62*Calculateur!CI62*VLOOKUP('Données projet'!$B$12,Paramètres!$A$1:$I$89,3,0)*0.475*44/12</f>
        <v>27.964736890955901</v>
      </c>
      <c r="CM62" s="21">
        <f>EXP(-LN(2)/2)*CM61+(1-EXP(-LN(2)/2))/(LN(2)/2)*CG62*CJ62*VLOOKUP('Données projet'!$B$12,Paramètres!$A$1:$I$89,3,0)*0.475*44/12</f>
        <v>3.3373074550210609</v>
      </c>
      <c r="CN62" s="22">
        <f t="shared" si="12"/>
        <v>51.223942430781022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6.2</v>
      </c>
      <c r="CT62" s="12">
        <f>IF('Données projet'!$A$140&gt;35,CT61+CS62-DB61,IF(A62&lt;'Données projet'!$A$140,$CQ$205^A62,IF(A62='Données projet'!$A$140,'Données projet'!$B$140,CT61+CS62-DB61)))</f>
        <v>287.7999999999999</v>
      </c>
      <c r="CU62" s="17">
        <f>CT62*VLOOKUP('Données projet'!$B$13,Paramètres!$A$1:$I$89,3,0)*VLOOKUP('Données projet'!$B$13,Paramètres!$A$1:$I$89,5,0)</f>
        <v>228.97367999999994</v>
      </c>
      <c r="CV62" s="13">
        <f t="shared" si="41"/>
        <v>56.060709423888284</v>
      </c>
      <c r="CW62" s="20">
        <f t="shared" si="13"/>
        <v>496.43489491327199</v>
      </c>
      <c r="CX62" s="59">
        <f t="shared" si="14"/>
        <v>789.7682282466053</v>
      </c>
      <c r="CY62" s="59">
        <f ca="1">AVERAGE(OFFSET($CX$3,0,0,'Données projet'!$E$13+1,1))-AVERAGE(OFFSET($H$3,0,0,'Données projet'!$E$13+1,1))</f>
        <v>243.33915530322201</v>
      </c>
      <c r="CZ62" s="59">
        <f t="shared" si="42"/>
        <v>247.73814704672577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13.326981523084017</v>
      </c>
      <c r="DG62" s="21">
        <f>EXP(-LN(2)/25)*DG61+(1-EXP(-LN(2)/25))/(LN(2)/25)*Calculateur!DB62*Calculateur!DD62*VLOOKUP('Données projet'!$B$13,Paramètres!$A$1:$I$89,3,0)*0.475*44/12</f>
        <v>15.63315084392991</v>
      </c>
      <c r="DH62" s="21">
        <f>EXP(-LN(2)/2)*DH61+(1-EXP(-LN(2)/2))/(LN(2)/2)*DB62*DE62*VLOOKUP('Données projet'!$B$13,Paramètres!$A$1:$I$89,3,0)*0.475*44/12</f>
        <v>0.95445890725833005</v>
      </c>
      <c r="DI62" s="22">
        <f t="shared" si="15"/>
        <v>29.914591274272258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18.617142857142849</v>
      </c>
      <c r="N63" s="13">
        <f>IF('Données projet'!$A$36&gt;35,N62+M63-V62,IF(A63&lt;'Données projet'!$A$36,$K$205^A63,IF(A63='Données projet'!$A$36,'Données projet'!$B$36,N62+M63-V62)))</f>
        <v>513.82857142857165</v>
      </c>
      <c r="O63" s="13">
        <f>N63*VLOOKUP('Données projet'!$B$9,Paramètres!$A$1:$I$89,3,0)*VLOOKUP('Données projet'!$B$9,Paramètres!$A$1:$I$89,5,0)</f>
        <v>287.23017142857157</v>
      </c>
      <c r="P63" s="13">
        <f t="shared" si="33"/>
        <v>68.492677457199264</v>
      </c>
      <c r="Q63" s="20">
        <f t="shared" si="53"/>
        <v>619.55062847605086</v>
      </c>
      <c r="R63" s="59">
        <f t="shared" si="0"/>
        <v>912.88396180938412</v>
      </c>
      <c r="S63" s="59">
        <f ca="1">AVERAGE(OFFSET($R$3,0,0,'Données projet'!$E$9+1,1))-AVERAGE(OFFSET($H$3,0,0,'Données projet'!$E$9+1,1))</f>
        <v>287.413090017863</v>
      </c>
      <c r="T63" s="59">
        <f t="shared" si="34"/>
        <v>258.48456031927117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80.356491745966508</v>
      </c>
      <c r="AA63" s="21">
        <f>EXP(-LN(2)/25)*AA62+(1-EXP(-LN(2)/25))/(LN(2)/25)*Calculateur!V63*Calculateur!X63*VLOOKUP('Données projet'!$B$9,Paramètres!$A$1:$I$89,3,0)*0.475*44/12</f>
        <v>29.570891740943704</v>
      </c>
      <c r="AB63" s="21">
        <f>EXP(-LN(2)/2)*AB62+(1-EXP(-LN(2)/2))/(LN(2)/2)*V63*Y63*VLOOKUP('Données projet'!$B$9,Paramètres!$A$1:$I$89,3,0)*0.475*44/12</f>
        <v>3.3380500528977457</v>
      </c>
      <c r="AC63" s="22">
        <f t="shared" si="3"/>
        <v>113.26543353980796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10.107499999999998</v>
      </c>
      <c r="AI63" s="13">
        <f>IF('Données projet'!$A$62&gt;35,AI62+AH63-AQ62,IF(A63&lt;'Données projet'!$A$62,$AF$205^A63,IF(A63='Données projet'!$A$62,'Données projet'!$B$62,AI62+AH63-AQ62)))</f>
        <v>226.12500000000028</v>
      </c>
      <c r="AJ63" s="13">
        <f>AI63*VLOOKUP('Données projet'!$B$10,Paramètres!$A$1:$I$89,3,0)*VLOOKUP('Données projet'!$B$10,Paramètres!$A$1:$I$89,5,0)</f>
        <v>204.59790000000024</v>
      </c>
      <c r="AK63" s="13">
        <f t="shared" si="35"/>
        <v>50.753306398717811</v>
      </c>
      <c r="AL63" s="20">
        <f t="shared" si="4"/>
        <v>444.73668447776726</v>
      </c>
      <c r="AM63" s="59">
        <f t="shared" si="5"/>
        <v>738.07001781110057</v>
      </c>
      <c r="AN63" s="59">
        <f ca="1">AVERAGE(OFFSET($AM$3,0,0,'Données projet'!$E$10+1,1))-AVERAGE(OFFSET($H$3,0,0,'Données projet'!$E$10+1,1))</f>
        <v>422.10969295064359</v>
      </c>
      <c r="AO63" s="59">
        <f t="shared" si="36"/>
        <v>184.04075143033037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34.506845274841467</v>
      </c>
      <c r="AW63" s="21">
        <f>EXP(-LN(2)/2)*AW62+(1-EXP(-LN(2)/2))/(LN(2)/2)*AQ63*AT63*VLOOKUP('Données projet'!$B$10,Paramètres!$A$1:$I$89,3,0)*0.475*44/12</f>
        <v>4.294990563730976</v>
      </c>
      <c r="AX63" s="21">
        <f t="shared" si="6"/>
        <v>38.801835838572444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577</v>
      </c>
      <c r="BB63" s="12">
        <f>VLOOKUP(A63,'Données projet'!$A$87:$I$107,9,0)</f>
        <v>18.2</v>
      </c>
      <c r="BC63" s="12">
        <f t="array" ref="BC63">INDEX(BB:BB,MIN(IF(ISNUMBER(BB63:BB259),ROW(BB63:BB259),"")))</f>
        <v>18.2</v>
      </c>
      <c r="BD63" s="12">
        <f>IF('Données projet'!$A$88&gt;35,BD62+BC63-BL62,IF(A63&lt;'Données projet'!$A$88,$BA$205^A63,IF(A63='Données projet'!$A$88,'Données projet'!$B$88,BD62+BC63-BL62)))</f>
        <v>576.99999999999977</v>
      </c>
      <c r="BE63" s="13">
        <f>BD63*VLOOKUP('Données projet'!$B$11,Paramètres!$A$1:$I$89,3,0)*VLOOKUP('Données projet'!$B$11,Paramètres!$A$1:$I$89,5,0)</f>
        <v>232.53099999999989</v>
      </c>
      <c r="BF63" s="13">
        <f t="shared" si="37"/>
        <v>56.829593837725518</v>
      </c>
      <c r="BG63" s="20">
        <f t="shared" si="7"/>
        <v>503.96970093403837</v>
      </c>
      <c r="BH63" s="59">
        <f t="shared" si="8"/>
        <v>797.30303426737169</v>
      </c>
      <c r="BI63" s="59">
        <f ca="1">AVERAGE(OFFSET($BH$3,0,0,'Données projet'!$E$11+1,1))-AVERAGE(OFFSET($H$3,0,0,'Données projet'!$E$11+1,1))</f>
        <v>217.61052961346684</v>
      </c>
      <c r="BJ63" s="59">
        <f t="shared" si="38"/>
        <v>180.77145728128608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50</v>
      </c>
      <c r="BM63" s="16">
        <f>IF(ISNA(VLOOKUP(A63,'Données projet'!$A$87:$I$107,5,0)),0%,VLOOKUP(A63,'Données projet'!$A$87:$I$107,5,0)*VLOOKUP('Données projet'!$B$11,Paramètres!$A$1:$I$89,7,0))</f>
        <v>0.33</v>
      </c>
      <c r="BN63" s="16">
        <f>IF(ISNA(VLOOKUP(A63,'Données projet'!$A$87:$I$107,6,0)),0%,VLOOKUP(A63,'Données projet'!$A$87:$I$107,6,0)*VLOOKUP('Données projet'!$B$11,Paramètres!$A$1:$I$89,7,0))</f>
        <v>0.11000000000000001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38.027455991055795</v>
      </c>
      <c r="BQ63" s="21">
        <f>EXP(-LN(2)/25)*BQ62+(1-EXP(-LN(2)/25))/(LN(2)/25)*Calculateur!BL63*Calculateur!BN63*VLOOKUP('Données projet'!$B$11,Paramètres!$A$1:$I$89,3,0)*0.475*44/12</f>
        <v>23.159482318635881</v>
      </c>
      <c r="BR63" s="21">
        <f>EXP(-LN(2)/2)*BR62+(1-EXP(-LN(2)/2))/(LN(2)/2)*BL63*BO63*VLOOKUP('Données projet'!$B$11,Paramètres!$A$1:$I$89,3,0)*0.475*44/12</f>
        <v>5.691138804912879</v>
      </c>
      <c r="BS63" s="22">
        <f t="shared" si="9"/>
        <v>66.878077114604551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13.839999999999995</v>
      </c>
      <c r="BY63" s="12">
        <f>IF('Données projet'!$A$114&gt;35,BY62+BX63-CG62,IF(A63&lt;'Données projet'!$A$114,$BV$205^A63,IF(A63='Données projet'!$A$114,'Données projet'!$B$114,BY62+BX63-CG62)))</f>
        <v>278.83</v>
      </c>
      <c r="BZ63" s="13">
        <f>BY63*VLOOKUP('Données projet'!$B$12,Paramètres!$A$1:$I$89,3,0)*VLOOKUP('Données projet'!$B$12,Paramètres!$A$1:$I$89,5,0)</f>
        <v>234.886392</v>
      </c>
      <c r="CA63" s="13">
        <f t="shared" si="39"/>
        <v>57.337937544532004</v>
      </c>
      <c r="CB63" s="20">
        <f t="shared" si="10"/>
        <v>508.95737395672654</v>
      </c>
      <c r="CC63" s="59">
        <f t="shared" si="11"/>
        <v>802.2907072900598</v>
      </c>
      <c r="CD63" s="59">
        <f ca="1">AVERAGE(OFFSET($CC$3,0,0,'Données projet'!$E$12+1,1))-AVERAGE(OFFSET($H$3,0,0,'Données projet'!$E$12+1,1))</f>
        <v>287.72859857368331</v>
      </c>
      <c r="CE63" s="59">
        <f t="shared" si="40"/>
        <v>179.60736986885922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19.531241814519056</v>
      </c>
      <c r="CL63" s="21">
        <f>EXP(-LN(2)/25)*CL62+(1-EXP(-LN(2)/25))/(LN(2)/25)*Calculateur!CG63*Calculateur!CI63*VLOOKUP('Données projet'!$B$12,Paramètres!$A$1:$I$89,3,0)*0.475*44/12</f>
        <v>27.200039690071112</v>
      </c>
      <c r="CM63" s="21">
        <f>EXP(-LN(2)/2)*CM62+(1-EXP(-LN(2)/2))/(LN(2)/2)*CG63*CJ63*VLOOKUP('Données projet'!$B$12,Paramètres!$A$1:$I$89,3,0)*0.475*44/12</f>
        <v>2.3598327323498114</v>
      </c>
      <c r="CN63" s="22">
        <f t="shared" si="12"/>
        <v>49.09111423693998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294</v>
      </c>
      <c r="CR63" s="12">
        <f>VLOOKUP(A63,'Données projet'!$A$139:$I$159,9,0)</f>
        <v>6.2</v>
      </c>
      <c r="CS63" s="12">
        <f t="array" ref="CS63">INDEX(CR:CR,MIN(IF(ISNUMBER(CR63:CR259),ROW(CR63:CR259),"")))</f>
        <v>6.2</v>
      </c>
      <c r="CT63" s="12">
        <f>IF('Données projet'!$A$140&gt;35,CT62+CS63-DB62,IF(A63&lt;'Données projet'!$A$140,$CQ$205^A63,IF(A63='Données projet'!$A$140,'Données projet'!$B$140,CT62+CS63-DB62)))</f>
        <v>293.99999999999989</v>
      </c>
      <c r="CU63" s="17">
        <f>CT63*VLOOKUP('Données projet'!$B$13,Paramètres!$A$1:$I$89,3,0)*VLOOKUP('Données projet'!$B$13,Paramètres!$A$1:$I$89,5,0)</f>
        <v>233.90639999999991</v>
      </c>
      <c r="CV63" s="13">
        <f t="shared" si="41"/>
        <v>57.126506840778347</v>
      </c>
      <c r="CW63" s="20">
        <f t="shared" si="13"/>
        <v>506.88231274768879</v>
      </c>
      <c r="CX63" s="59">
        <f t="shared" si="14"/>
        <v>800.2156460810221</v>
      </c>
      <c r="CY63" s="59">
        <f ca="1">AVERAGE(OFFSET($CX$3,0,0,'Données projet'!$E$13+1,1))-AVERAGE(OFFSET($H$3,0,0,'Données projet'!$E$13+1,1))</f>
        <v>243.33915530322201</v>
      </c>
      <c r="CZ63" s="59">
        <f t="shared" si="42"/>
        <v>247.73814704672577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0.13250000000000001</v>
      </c>
      <c r="DD63" s="16">
        <f>IF(ISNA(VLOOKUP(A63,'Données projet'!$A$139:$I$159,6,0)),0%,VLOOKUP(A63,'Données projet'!$A$139:$I$159,6,0)*VLOOKUP('Données projet'!$B$13,Paramètres!$A$1:$I$89,7,0))</f>
        <v>0.13250000000000001</v>
      </c>
      <c r="DE63" s="16">
        <f>IF(ISNA(VLOOKUP(A63,'Données projet'!$A$139:$I$159,7,0)),0%,VLOOKUP(A63,'Données projet'!$A$139:$I$159,7,0))</f>
        <v>0.25</v>
      </c>
      <c r="DF63" s="21">
        <f>EXP(-LN(2)/35)*DF62+(1-EXP(-LN(2)/35))/(LN(2)/35)*DB63*DC63*VLOOKUP('Données projet'!$B$13,Paramètres!$A$1:$I$89,3,0)*0.475*44/12</f>
        <v>14.697142738061579</v>
      </c>
      <c r="DG63" s="21">
        <f>EXP(-LN(2)/25)*DG62+(1-EXP(-LN(2)/25))/(LN(2)/25)*Calculateur!DB63*Calculateur!DD63*VLOOKUP('Données projet'!$B$13,Paramètres!$A$1:$I$89,3,0)*0.475*44/12</f>
        <v>16.830732887752983</v>
      </c>
      <c r="DH63" s="21">
        <f>EXP(-LN(2)/2)*DH62+(1-EXP(-LN(2)/2))/(LN(2)/2)*DB63*DE63*VLOOKUP('Données projet'!$B$13,Paramètres!$A$1:$I$89,3,0)*0.475*44/12</f>
        <v>3.3022494120964314</v>
      </c>
      <c r="DI63" s="22">
        <f t="shared" si="15"/>
        <v>34.830125037910996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18.617142857142849</v>
      </c>
      <c r="N64" s="13">
        <f>IF('Données projet'!$A$36&gt;35,N63+M64-V63,IF(A64&lt;'Données projet'!$A$36,$K$205^A64,IF(A64='Données projet'!$A$36,'Données projet'!$B$36,N63+M64-V63)))</f>
        <v>532.44571428571453</v>
      </c>
      <c r="O64" s="13">
        <f>N64*VLOOKUP('Données projet'!$B$9,Paramètres!$A$1:$I$89,3,0)*VLOOKUP('Données projet'!$B$9,Paramètres!$A$1:$I$89,5,0)</f>
        <v>297.63715428571442</v>
      </c>
      <c r="P64" s="13">
        <f t="shared" si="33"/>
        <v>70.680892526366577</v>
      </c>
      <c r="Q64" s="20">
        <f t="shared" si="53"/>
        <v>641.48726486437431</v>
      </c>
      <c r="R64" s="59">
        <f t="shared" si="0"/>
        <v>934.82059819770757</v>
      </c>
      <c r="S64" s="59">
        <f ca="1">AVERAGE(OFFSET($R$3,0,0,'Données projet'!$E$9+1,1))-AVERAGE(OFFSET($H$3,0,0,'Données projet'!$E$9+1,1))</f>
        <v>287.413090017863</v>
      </c>
      <c r="T64" s="59">
        <f t="shared" si="34"/>
        <v>258.48456031927117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78.780749955448471</v>
      </c>
      <c r="AA64" s="21">
        <f>EXP(-LN(2)/25)*AA63+(1-EXP(-LN(2)/25))/(LN(2)/25)*Calculateur!V64*Calculateur!X64*VLOOKUP('Données projet'!$B$9,Paramètres!$A$1:$I$89,3,0)*0.475*44/12</f>
        <v>28.762274151221987</v>
      </c>
      <c r="AB64" s="21">
        <f>EXP(-LN(2)/2)*AB63+(1-EXP(-LN(2)/2))/(LN(2)/2)*V64*Y64*VLOOKUP('Données projet'!$B$9,Paramètres!$A$1:$I$89,3,0)*0.475*44/12</f>
        <v>2.3603578283441098</v>
      </c>
      <c r="AC64" s="22">
        <f t="shared" si="3"/>
        <v>109.90338193501456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10.107499999999998</v>
      </c>
      <c r="AI64" s="13">
        <f>IF('Données projet'!$A$62&gt;35,AI63+AH64-AQ63,IF(A64&lt;'Données projet'!$A$62,$AF$205^A64,IF(A64='Données projet'!$A$62,'Données projet'!$B$62,AI63+AH64-AQ63)))</f>
        <v>236.23250000000027</v>
      </c>
      <c r="AJ64" s="13">
        <f>AI64*VLOOKUP('Données projet'!$B$10,Paramètres!$A$1:$I$89,3,0)*VLOOKUP('Données projet'!$B$10,Paramètres!$A$1:$I$89,5,0)</f>
        <v>213.74316600000023</v>
      </c>
      <c r="AK64" s="13">
        <f t="shared" si="35"/>
        <v>52.752718660626023</v>
      </c>
      <c r="AL64" s="20">
        <f t="shared" si="4"/>
        <v>464.14699911725734</v>
      </c>
      <c r="AM64" s="59">
        <f t="shared" si="5"/>
        <v>757.48033245059059</v>
      </c>
      <c r="AN64" s="59">
        <f ca="1">AVERAGE(OFFSET($AM$3,0,0,'Données projet'!$E$10+1,1))-AVERAGE(OFFSET($H$3,0,0,'Données projet'!$E$10+1,1))</f>
        <v>422.10969295064359</v>
      </c>
      <c r="AO64" s="59">
        <f t="shared" si="36"/>
        <v>184.04075143033037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33.5632537761648</v>
      </c>
      <c r="AW64" s="21">
        <f>EXP(-LN(2)/2)*AW63+(1-EXP(-LN(2)/2))/(LN(2)/2)*AQ64*AT64*VLOOKUP('Données projet'!$B$10,Paramètres!$A$1:$I$89,3,0)*0.475*44/12</f>
        <v>3.0370169527464057</v>
      </c>
      <c r="AX64" s="21">
        <f t="shared" si="6"/>
        <v>36.600270728911205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16.8</v>
      </c>
      <c r="BD64" s="12">
        <f>IF('Données projet'!$A$88&gt;35,BD63+BC64-BL63,IF(A64&lt;'Données projet'!$A$88,$BA$205^A64,IF(A64='Données projet'!$A$88,'Données projet'!$B$88,BD63+BC64-BL63)))</f>
        <v>543.79999999999973</v>
      </c>
      <c r="BE64" s="13">
        <f>BD64*VLOOKUP('Données projet'!$B$11,Paramètres!$A$1:$I$89,3,0)*VLOOKUP('Données projet'!$B$11,Paramètres!$A$1:$I$89,5,0)</f>
        <v>219.15139999999991</v>
      </c>
      <c r="BF64" s="13">
        <f t="shared" si="37"/>
        <v>53.930405238489598</v>
      </c>
      <c r="BG64" s="20">
        <f t="shared" si="7"/>
        <v>475.61747745703587</v>
      </c>
      <c r="BH64" s="59">
        <f t="shared" si="8"/>
        <v>768.95081079036913</v>
      </c>
      <c r="BI64" s="59">
        <f ca="1">AVERAGE(OFFSET($BH$3,0,0,'Données projet'!$E$11+1,1))-AVERAGE(OFFSET($H$3,0,0,'Données projet'!$E$11+1,1))</f>
        <v>217.61052961346684</v>
      </c>
      <c r="BJ64" s="59">
        <f t="shared" si="38"/>
        <v>180.77145728128608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37.281760773529086</v>
      </c>
      <c r="BQ64" s="21">
        <f>EXP(-LN(2)/25)*BQ63+(1-EXP(-LN(2)/25))/(LN(2)/25)*Calculateur!BL64*Calculateur!BN64*VLOOKUP('Données projet'!$B$11,Paramètres!$A$1:$I$89,3,0)*0.475*44/12</f>
        <v>22.52618505672854</v>
      </c>
      <c r="BR64" s="21">
        <f>EXP(-LN(2)/2)*BR63+(1-EXP(-LN(2)/2))/(LN(2)/2)*BL64*BO64*VLOOKUP('Données projet'!$B$11,Paramètres!$A$1:$I$89,3,0)*0.475*44/12</f>
        <v>4.0242428416278013</v>
      </c>
      <c r="BS64" s="22">
        <f t="shared" si="9"/>
        <v>63.832188671885426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13.839999999999995</v>
      </c>
      <c r="BY64" s="12">
        <f>IF('Données projet'!$A$114&gt;35,BY63+BX64-CG63,IF(A64&lt;'Données projet'!$A$114,$BV$205^A64,IF(A64='Données projet'!$A$114,'Données projet'!$B$114,BY63+BX64-CG63)))</f>
        <v>292.66999999999996</v>
      </c>
      <c r="BZ64" s="13">
        <f>BY64*VLOOKUP('Données projet'!$B$12,Paramètres!$A$1:$I$89,3,0)*VLOOKUP('Données projet'!$B$12,Paramètres!$A$1:$I$89,5,0)</f>
        <v>246.545208</v>
      </c>
      <c r="CA64" s="13">
        <f t="shared" si="39"/>
        <v>59.845551063630701</v>
      </c>
      <c r="CB64" s="20">
        <f t="shared" si="10"/>
        <v>533.63057203582343</v>
      </c>
      <c r="CC64" s="59">
        <f t="shared" si="11"/>
        <v>826.96390536915669</v>
      </c>
      <c r="CD64" s="59">
        <f ca="1">AVERAGE(OFFSET($CC$3,0,0,'Données projet'!$E$12+1,1))-AVERAGE(OFFSET($H$3,0,0,'Données projet'!$E$12+1,1))</f>
        <v>287.72859857368331</v>
      </c>
      <c r="CE64" s="59">
        <f t="shared" si="40"/>
        <v>179.60736986885922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19.148246075417546</v>
      </c>
      <c r="CL64" s="21">
        <f>EXP(-LN(2)/25)*CL63+(1-EXP(-LN(2)/25))/(LN(2)/25)*Calculateur!CG64*Calculateur!CI64*VLOOKUP('Données projet'!$B$12,Paramètres!$A$1:$I$89,3,0)*0.475*44/12</f>
        <v>26.456253174358196</v>
      </c>
      <c r="CM64" s="21">
        <f>EXP(-LN(2)/2)*CM63+(1-EXP(-LN(2)/2))/(LN(2)/2)*CG64*CJ64*VLOOKUP('Données projet'!$B$12,Paramètres!$A$1:$I$89,3,0)*0.475*44/12</f>
        <v>1.6686537275105309</v>
      </c>
      <c r="CN64" s="22">
        <f t="shared" si="12"/>
        <v>47.273152977286273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285.19999999999987</v>
      </c>
      <c r="CU64" s="17">
        <f>CT64*VLOOKUP('Données projet'!$B$13,Paramètres!$A$1:$I$89,3,0)*VLOOKUP('Données projet'!$B$13,Paramètres!$A$1:$I$89,5,0)</f>
        <v>226.90511999999993</v>
      </c>
      <c r="CV64" s="13">
        <f t="shared" si="41"/>
        <v>55.612969408444364</v>
      </c>
      <c r="CW64" s="20">
        <f t="shared" si="13"/>
        <v>492.05233905304044</v>
      </c>
      <c r="CX64" s="59">
        <f t="shared" si="14"/>
        <v>785.3856723863737</v>
      </c>
      <c r="CY64" s="59">
        <f ca="1">AVERAGE(OFFSET($CX$3,0,0,'Données projet'!$E$13+1,1))-AVERAGE(OFFSET($H$3,0,0,'Données projet'!$E$13+1,1))</f>
        <v>243.33915530322201</v>
      </c>
      <c r="CZ64" s="59">
        <f t="shared" si="42"/>
        <v>247.73814704672577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14.408940733340105</v>
      </c>
      <c r="DG64" s="21">
        <f>EXP(-LN(2)/25)*DG63+(1-EXP(-LN(2)/25))/(LN(2)/25)*Calculateur!DB64*Calculateur!DD64*VLOOKUP('Données projet'!$B$13,Paramètres!$A$1:$I$89,3,0)*0.475*44/12</f>
        <v>16.370495611847602</v>
      </c>
      <c r="DH64" s="21">
        <f>EXP(-LN(2)/2)*DH63+(1-EXP(-LN(2)/2))/(LN(2)/2)*DB64*DE64*VLOOKUP('Données projet'!$B$13,Paramètres!$A$1:$I$89,3,0)*0.475*44/12</f>
        <v>2.3350429524626768</v>
      </c>
      <c r="DI64" s="22">
        <f t="shared" si="15"/>
        <v>33.114479297650384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18.617142857142849</v>
      </c>
      <c r="N65" s="13">
        <f>IF('Données projet'!$A$36&gt;35,N64+M65-V64,IF(A65&lt;'Données projet'!$A$36,$K$205^A65,IF(A65='Données projet'!$A$36,'Données projet'!$B$36,N64+M65-V64)))</f>
        <v>551.06285714285741</v>
      </c>
      <c r="O65" s="13">
        <f>N65*VLOOKUP('Données projet'!$B$9,Paramètres!$A$1:$I$89,3,0)*VLOOKUP('Données projet'!$B$9,Paramètres!$A$1:$I$89,5,0)</f>
        <v>308.04413714285727</v>
      </c>
      <c r="P65" s="13">
        <f t="shared" si="33"/>
        <v>72.860217822174434</v>
      </c>
      <c r="Q65" s="20">
        <f t="shared" si="53"/>
        <v>663.40841823076346</v>
      </c>
      <c r="R65" s="59">
        <f t="shared" si="0"/>
        <v>956.74175156409683</v>
      </c>
      <c r="S65" s="59">
        <f ca="1">AVERAGE(OFFSET($R$3,0,0,'Données projet'!$E$9+1,1))-AVERAGE(OFFSET($H$3,0,0,'Données projet'!$E$9+1,1))</f>
        <v>287.413090017863</v>
      </c>
      <c r="T65" s="59">
        <f t="shared" si="34"/>
        <v>258.48456031927117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77.235907500334903</v>
      </c>
      <c r="AA65" s="21">
        <f>EXP(-LN(2)/25)*AA64+(1-EXP(-LN(2)/25))/(LN(2)/25)*Calculateur!V65*Calculateur!X65*VLOOKUP('Données projet'!$B$9,Paramètres!$A$1:$I$89,3,0)*0.475*44/12</f>
        <v>27.975768252014561</v>
      </c>
      <c r="AB65" s="21">
        <f>EXP(-LN(2)/2)*AB64+(1-EXP(-LN(2)/2))/(LN(2)/2)*V65*Y65*VLOOKUP('Données projet'!$B$9,Paramètres!$A$1:$I$89,3,0)*0.475*44/12</f>
        <v>1.6690250264488731</v>
      </c>
      <c r="AC65" s="22">
        <f t="shared" si="3"/>
        <v>106.88070077879834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10.107499999999998</v>
      </c>
      <c r="AI65" s="13">
        <f>IF('Données projet'!$A$62&gt;35,AI64+AH65-AQ64,IF(A65&lt;'Données projet'!$A$62,$AF$205^A65,IF(A65='Données projet'!$A$62,'Données projet'!$B$62,AI64+AH65-AQ64)))</f>
        <v>246.34000000000026</v>
      </c>
      <c r="AJ65" s="13">
        <f>AI65*VLOOKUP('Données projet'!$B$10,Paramètres!$A$1:$I$89,3,0)*VLOOKUP('Données projet'!$B$10,Paramètres!$A$1:$I$89,5,0)</f>
        <v>222.88843200000022</v>
      </c>
      <c r="AK65" s="13">
        <f t="shared" si="35"/>
        <v>54.74219476708182</v>
      </c>
      <c r="AL65" s="20">
        <f t="shared" si="4"/>
        <v>483.54000828600118</v>
      </c>
      <c r="AM65" s="59">
        <f t="shared" si="5"/>
        <v>776.8733416193345</v>
      </c>
      <c r="AN65" s="59">
        <f ca="1">AVERAGE(OFFSET($AM$3,0,0,'Données projet'!$E$10+1,1))-AVERAGE(OFFSET($H$3,0,0,'Données projet'!$E$10+1,1))</f>
        <v>422.10969295064359</v>
      </c>
      <c r="AO65" s="59">
        <f t="shared" si="36"/>
        <v>184.04075143033037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32.64546483664077</v>
      </c>
      <c r="AW65" s="21">
        <f>EXP(-LN(2)/2)*AW64+(1-EXP(-LN(2)/2))/(LN(2)/2)*AQ65*AT65*VLOOKUP('Données projet'!$B$10,Paramètres!$A$1:$I$89,3,0)*0.475*44/12</f>
        <v>2.147495281865488</v>
      </c>
      <c r="AX65" s="21">
        <f t="shared" si="6"/>
        <v>34.792960118506258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16.8</v>
      </c>
      <c r="BD65" s="12">
        <f>IF('Données projet'!$A$88&gt;35,BD64+BC65-BL64,IF(A65&lt;'Données projet'!$A$88,$BA$205^A65,IF(A65='Données projet'!$A$88,'Données projet'!$B$88,BD64+BC65-BL64)))</f>
        <v>560.59999999999968</v>
      </c>
      <c r="BE65" s="13">
        <f>BD65*VLOOKUP('Données projet'!$B$11,Paramètres!$A$1:$I$89,3,0)*VLOOKUP('Données projet'!$B$11,Paramètres!$A$1:$I$89,5,0)</f>
        <v>225.92179999999985</v>
      </c>
      <c r="BF65" s="13">
        <f t="shared" si="37"/>
        <v>55.399963295111696</v>
      </c>
      <c r="BG65" s="20">
        <f t="shared" si="7"/>
        <v>489.96873773898596</v>
      </c>
      <c r="BH65" s="59">
        <f t="shared" si="8"/>
        <v>783.30207107231922</v>
      </c>
      <c r="BI65" s="59">
        <f ca="1">AVERAGE(OFFSET($BH$3,0,0,'Données projet'!$E$11+1,1))-AVERAGE(OFFSET($H$3,0,0,'Données projet'!$E$11+1,1))</f>
        <v>217.61052961346684</v>
      </c>
      <c r="BJ65" s="59">
        <f t="shared" si="38"/>
        <v>180.77145728128608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36.550688184388903</v>
      </c>
      <c r="BQ65" s="21">
        <f>EXP(-LN(2)/25)*BQ64+(1-EXP(-LN(2)/25))/(LN(2)/25)*Calculateur!BL65*Calculateur!BN65*VLOOKUP('Données projet'!$B$11,Paramètres!$A$1:$I$89,3,0)*0.475*44/12</f>
        <v>21.910205341751709</v>
      </c>
      <c r="BR65" s="21">
        <f>EXP(-LN(2)/2)*BR64+(1-EXP(-LN(2)/2))/(LN(2)/2)*BL65*BO65*VLOOKUP('Données projet'!$B$11,Paramètres!$A$1:$I$89,3,0)*0.475*44/12</f>
        <v>2.84556940245644</v>
      </c>
      <c r="BS65" s="22">
        <f t="shared" si="9"/>
        <v>61.30646292859705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13.839999999999995</v>
      </c>
      <c r="BY65" s="12">
        <f>IF('Données projet'!$A$114&gt;35,BY64+BX65-CG64,IF(A65&lt;'Données projet'!$A$114,$BV$205^A65,IF(A65='Données projet'!$A$114,'Données projet'!$B$114,BY64+BX65-CG64)))</f>
        <v>306.50999999999993</v>
      </c>
      <c r="BZ65" s="13">
        <f>BY65*VLOOKUP('Données projet'!$B$12,Paramètres!$A$1:$I$89,3,0)*VLOOKUP('Données projet'!$B$12,Paramètres!$A$1:$I$89,5,0)</f>
        <v>258.20402399999995</v>
      </c>
      <c r="CA65" s="13">
        <f t="shared" si="39"/>
        <v>62.339394146915183</v>
      </c>
      <c r="CB65" s="20">
        <f t="shared" si="10"/>
        <v>558.27978660587723</v>
      </c>
      <c r="CC65" s="59">
        <f t="shared" si="11"/>
        <v>851.61311993921049</v>
      </c>
      <c r="CD65" s="59">
        <f ca="1">AVERAGE(OFFSET($CC$3,0,0,'Données projet'!$E$12+1,1))-AVERAGE(OFFSET($H$3,0,0,'Données projet'!$E$12+1,1))</f>
        <v>287.72859857368331</v>
      </c>
      <c r="CE65" s="59">
        <f t="shared" si="40"/>
        <v>179.60736986885922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18.772760649155483</v>
      </c>
      <c r="CL65" s="21">
        <f>EXP(-LN(2)/25)*CL64+(1-EXP(-LN(2)/25))/(LN(2)/25)*Calculateur!CG65*Calculateur!CI65*VLOOKUP('Données projet'!$B$12,Paramètres!$A$1:$I$89,3,0)*0.475*44/12</f>
        <v>25.732805540031482</v>
      </c>
      <c r="CM65" s="21">
        <f>EXP(-LN(2)/2)*CM64+(1-EXP(-LN(2)/2))/(LN(2)/2)*CG65*CJ65*VLOOKUP('Données projet'!$B$12,Paramètres!$A$1:$I$89,3,0)*0.475*44/12</f>
        <v>1.1799163661749059</v>
      </c>
      <c r="CN65" s="22">
        <f t="shared" si="12"/>
        <v>45.685482555361872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290.39999999999986</v>
      </c>
      <c r="CU65" s="17">
        <f>CT65*VLOOKUP('Données projet'!$B$13,Paramètres!$A$1:$I$89,3,0)*VLOOKUP('Données projet'!$B$13,Paramètres!$A$1:$I$89,5,0)</f>
        <v>231.04223999999991</v>
      </c>
      <c r="CV65" s="13">
        <f t="shared" si="41"/>
        <v>56.507978852931409</v>
      </c>
      <c r="CW65" s="20">
        <f t="shared" si="13"/>
        <v>500.81663116885539</v>
      </c>
      <c r="CX65" s="59">
        <f t="shared" si="14"/>
        <v>794.14996450218871</v>
      </c>
      <c r="CY65" s="59">
        <f ca="1">AVERAGE(OFFSET($CX$3,0,0,'Données projet'!$E$13+1,1))-AVERAGE(OFFSET($H$3,0,0,'Données projet'!$E$13+1,1))</f>
        <v>243.33915530322201</v>
      </c>
      <c r="CZ65" s="59">
        <f t="shared" si="42"/>
        <v>247.73814704672577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14.126390194145351</v>
      </c>
      <c r="DG65" s="21">
        <f>EXP(-LN(2)/25)*DG64+(1-EXP(-LN(2)/25))/(LN(2)/25)*Calculateur!DB65*Calculateur!DD65*VLOOKUP('Données projet'!$B$13,Paramètres!$A$1:$I$89,3,0)*0.475*44/12</f>
        <v>15.922843548454681</v>
      </c>
      <c r="DH65" s="21">
        <f>EXP(-LN(2)/2)*DH64+(1-EXP(-LN(2)/2))/(LN(2)/2)*DB65*DE65*VLOOKUP('Données projet'!$B$13,Paramètres!$A$1:$I$89,3,0)*0.475*44/12</f>
        <v>1.6511247060482159</v>
      </c>
      <c r="DI65" s="22">
        <f t="shared" si="15"/>
        <v>31.700358448648245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569.67999999999995</v>
      </c>
      <c r="L66" s="12">
        <f>VLOOKUP(A66,'Données projet'!$A$35:$I$55,9,0)</f>
        <v>18.617142857142849</v>
      </c>
      <c r="M66" s="12">
        <f t="array" ref="M66">INDEX(L:L,MIN(IF(ISNUMBER(L66:L262),ROW(L66:L262),"")))</f>
        <v>18.617142857142849</v>
      </c>
      <c r="N66" s="13">
        <f>IF('Données projet'!$A$36&gt;35,N65+M66-V65,IF(A66&lt;'Données projet'!$A$36,$K$205^A66,IF(A66='Données projet'!$A$36,'Données projet'!$B$36,N65+M66-V65)))</f>
        <v>569.68000000000029</v>
      </c>
      <c r="O66" s="13">
        <f>N66*VLOOKUP('Données projet'!$B$9,Paramètres!$A$1:$I$89,3,0)*VLOOKUP('Données projet'!$B$9,Paramètres!$A$1:$I$89,5,0)</f>
        <v>318.45112000000017</v>
      </c>
      <c r="P66" s="13">
        <f t="shared" si="33"/>
        <v>75.030988106995281</v>
      </c>
      <c r="Q66" s="20">
        <f t="shared" si="53"/>
        <v>685.31467161968374</v>
      </c>
      <c r="R66" s="59">
        <f t="shared" si="0"/>
        <v>978.64800495301711</v>
      </c>
      <c r="S66" s="59">
        <f ca="1">AVERAGE(OFFSET($R$3,0,0,'Données projet'!$E$9+1,1))-AVERAGE(OFFSET($H$3,0,0,'Données projet'!$E$9+1,1))</f>
        <v>287.413090017863</v>
      </c>
      <c r="T66" s="59">
        <f t="shared" si="34"/>
        <v>258.48456031927117</v>
      </c>
      <c r="U66" s="15">
        <f>IF(ISNA(VLOOKUP(A66,'Données projet'!$A$35:$I$55,3,0)),0,VLOOKUP(A66,'Données projet'!$A$35:$I$55,3,0))</f>
        <v>7</v>
      </c>
      <c r="V66" s="15">
        <f>IF(ISNA(VLOOKUP(A66,'Données projet'!$A$35:$I$55,4,0)),0,VLOOKUP(A66,'Données projet'!$A$35:$I$55,4,0))</f>
        <v>99.599999999999966</v>
      </c>
      <c r="W66" s="16">
        <f>IF(ISNA(VLOOKUP(A66,'Données projet'!$A$35:$I$55,5,0)),0%,VLOOKUP(A66,'Données projet'!$A$35:$I$55,5,0)*VLOOKUP('Données projet'!$B$9,Paramètres!$A$1:$I$89,7,0))</f>
        <v>0.33</v>
      </c>
      <c r="X66" s="16">
        <f>IF(ISNA(VLOOKUP(A66,'Données projet'!$A$35:$I$55,6,0)),0%,VLOOKUP(A66,'Données projet'!$A$35:$I$55,6,0)*VLOOKUP('Données projet'!$B$9,Paramètres!$A$1:$I$89,7,0))</f>
        <v>0.11000000000000001</v>
      </c>
      <c r="Y66" s="16">
        <f>IF(ISNA(VLOOKUP(A66,'Données projet'!$A$35:$I$55,7,0)),0%,VLOOKUP(A66,'Données projet'!$A$35:$I$55,7,0))</f>
        <v>0.2</v>
      </c>
      <c r="Z66" s="21">
        <f>EXP(-LN(2)/35)*Z65+(1-EXP(-LN(2)/35))/(LN(2)/35)*V66*W66*VLOOKUP('Données projet'!$B$9,Paramètres!$A$1:$I$89,3,0)*0.475*44/12</f>
        <v>100.09460843496048</v>
      </c>
      <c r="AA66" s="21">
        <f>EXP(-LN(2)/25)*AA65+(1-EXP(-LN(2)/25))/(LN(2)/25)*Calculateur!V66*Calculateur!X66*VLOOKUP('Données projet'!$B$9,Paramètres!$A$1:$I$89,3,0)*0.475*44/12</f>
        <v>35.303197131108604</v>
      </c>
      <c r="AB66" s="21">
        <f>EXP(-LN(2)/2)*AB65+(1-EXP(-LN(2)/2))/(LN(2)/2)*V66*Y66*VLOOKUP('Données projet'!$B$9,Paramètres!$A$1:$I$89,3,0)*0.475*44/12</f>
        <v>13.787902572172555</v>
      </c>
      <c r="AC66" s="22">
        <f t="shared" si="3"/>
        <v>149.18570813824164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10.107499999999998</v>
      </c>
      <c r="AI66" s="13">
        <f>IF('Données projet'!$A$62&gt;35,AI65+AH66-AQ65,IF(A66&lt;'Données projet'!$A$62,$AF$205^A66,IF(A66='Données projet'!$A$62,'Données projet'!$B$62,AI65+AH66-AQ65)))</f>
        <v>256.44750000000028</v>
      </c>
      <c r="AJ66" s="13">
        <f>AI66*VLOOKUP('Données projet'!$B$10,Paramètres!$A$1:$I$89,3,0)*VLOOKUP('Données projet'!$B$10,Paramètres!$A$1:$I$89,5,0)</f>
        <v>232.03369800000024</v>
      </c>
      <c r="AK66" s="13">
        <f t="shared" si="35"/>
        <v>56.722189034958802</v>
      </c>
      <c r="AL66" s="20">
        <f t="shared" si="4"/>
        <v>502.91650325255364</v>
      </c>
      <c r="AM66" s="59">
        <f t="shared" si="5"/>
        <v>796.2498365858869</v>
      </c>
      <c r="AN66" s="59">
        <f ca="1">AVERAGE(OFFSET($AM$3,0,0,'Données projet'!$E$10+1,1))-AVERAGE(OFFSET($H$3,0,0,'Données projet'!$E$10+1,1))</f>
        <v>422.10969295064359</v>
      </c>
      <c r="AO66" s="59">
        <f t="shared" si="36"/>
        <v>184.04075143033037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31.752772883932444</v>
      </c>
      <c r="AW66" s="21">
        <f>EXP(-LN(2)/2)*AW65+(1-EXP(-LN(2)/2))/(LN(2)/2)*AQ66*AT66*VLOOKUP('Données projet'!$B$10,Paramètres!$A$1:$I$89,3,0)*0.475*44/12</f>
        <v>1.5185084763732029</v>
      </c>
      <c r="AX66" s="21">
        <f t="shared" si="6"/>
        <v>33.27128136030565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16.8</v>
      </c>
      <c r="BD66" s="12">
        <f>IF('Données projet'!$A$88&gt;35,BD65+BC66-BL65,IF(A66&lt;'Données projet'!$A$88,$BA$205^A66,IF(A66='Données projet'!$A$88,'Données projet'!$B$88,BD65+BC66-BL65)))</f>
        <v>577.39999999999964</v>
      </c>
      <c r="BE66" s="13">
        <f>BD66*VLOOKUP('Données projet'!$B$11,Paramètres!$A$1:$I$89,3,0)*VLOOKUP('Données projet'!$B$11,Paramètres!$A$1:$I$89,5,0)</f>
        <v>232.69219999999987</v>
      </c>
      <c r="BF66" s="13">
        <f t="shared" si="37"/>
        <v>56.864403268329987</v>
      </c>
      <c r="BG66" s="20">
        <f t="shared" si="7"/>
        <v>504.31108402567452</v>
      </c>
      <c r="BH66" s="59">
        <f t="shared" si="8"/>
        <v>797.64441735900778</v>
      </c>
      <c r="BI66" s="59">
        <f ca="1">AVERAGE(OFFSET($BH$3,0,0,'Données projet'!$E$11+1,1))-AVERAGE(OFFSET($H$3,0,0,'Données projet'!$E$11+1,1))</f>
        <v>217.61052961346684</v>
      </c>
      <c r="BJ66" s="59">
        <f t="shared" si="38"/>
        <v>180.77145728128608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35.833951482811507</v>
      </c>
      <c r="BQ66" s="21">
        <f>EXP(-LN(2)/25)*BQ65+(1-EXP(-LN(2)/25))/(LN(2)/25)*Calculateur!BL66*Calculateur!BN66*VLOOKUP('Données projet'!$B$11,Paramètres!$A$1:$I$89,3,0)*0.475*44/12</f>
        <v>21.311069624473888</v>
      </c>
      <c r="BR66" s="21">
        <f>EXP(-LN(2)/2)*BR65+(1-EXP(-LN(2)/2))/(LN(2)/2)*BL66*BO66*VLOOKUP('Données projet'!$B$11,Paramètres!$A$1:$I$89,3,0)*0.475*44/12</f>
        <v>2.0121214208139007</v>
      </c>
      <c r="BS66" s="22">
        <f t="shared" si="9"/>
        <v>59.157142528099293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13.839999999999995</v>
      </c>
      <c r="BY66" s="12">
        <f>IF('Données projet'!$A$114&gt;35,BY65+BX66-CG65,IF(A66&lt;'Données projet'!$A$114,$BV$205^A66,IF(A66='Données projet'!$A$114,'Données projet'!$B$114,BY65+BX66-CG65)))</f>
        <v>320.34999999999991</v>
      </c>
      <c r="BZ66" s="13">
        <f>BY66*VLOOKUP('Données projet'!$B$12,Paramètres!$A$1:$I$89,3,0)*VLOOKUP('Données projet'!$B$12,Paramètres!$A$1:$I$89,5,0)</f>
        <v>269.86283999999995</v>
      </c>
      <c r="CA66" s="13">
        <f t="shared" si="39"/>
        <v>64.820159613370294</v>
      </c>
      <c r="CB66" s="20">
        <f t="shared" si="10"/>
        <v>582.90622432661985</v>
      </c>
      <c r="CC66" s="59">
        <f t="shared" si="11"/>
        <v>876.23955765995311</v>
      </c>
      <c r="CD66" s="59">
        <f ca="1">AVERAGE(OFFSET($CC$3,0,0,'Données projet'!$E$12+1,1))-AVERAGE(OFFSET($H$3,0,0,'Données projet'!$E$12+1,1))</f>
        <v>287.72859857368331</v>
      </c>
      <c r="CE66" s="59">
        <f t="shared" si="40"/>
        <v>179.60736986885922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18.404638263078922</v>
      </c>
      <c r="CL66" s="21">
        <f>EXP(-LN(2)/25)*CL65+(1-EXP(-LN(2)/25))/(LN(2)/25)*Calculateur!CG66*Calculateur!CI66*VLOOKUP('Données projet'!$B$12,Paramètres!$A$1:$I$89,3,0)*0.475*44/12</f>
        <v>25.029140619309892</v>
      </c>
      <c r="CM66" s="21">
        <f>EXP(-LN(2)/2)*CM65+(1-EXP(-LN(2)/2))/(LN(2)/2)*CG66*CJ66*VLOOKUP('Données projet'!$B$12,Paramètres!$A$1:$I$89,3,0)*0.475*44/12</f>
        <v>0.83432686375526555</v>
      </c>
      <c r="CN66" s="22">
        <f t="shared" si="12"/>
        <v>44.26810574614408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295.59999999999985</v>
      </c>
      <c r="CU66" s="17">
        <f>CT66*VLOOKUP('Données projet'!$B$13,Paramètres!$A$1:$I$89,3,0)*VLOOKUP('Données projet'!$B$13,Paramètres!$A$1:$I$89,5,0)</f>
        <v>235.17935999999989</v>
      </c>
      <c r="CV66" s="13">
        <f t="shared" si="41"/>
        <v>57.401124668909425</v>
      </c>
      <c r="CW66" s="20">
        <f t="shared" si="13"/>
        <v>509.57767746501708</v>
      </c>
      <c r="CX66" s="59">
        <f t="shared" si="14"/>
        <v>802.91101079835039</v>
      </c>
      <c r="CY66" s="59">
        <f ca="1">AVERAGE(OFFSET($CX$3,0,0,'Données projet'!$E$13+1,1))-AVERAGE(OFFSET($H$3,0,0,'Données projet'!$E$13+1,1))</f>
        <v>243.33915530322201</v>
      </c>
      <c r="CZ66" s="59">
        <f t="shared" si="42"/>
        <v>247.73814704672577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13.849380298685395</v>
      </c>
      <c r="DG66" s="21">
        <f>EXP(-LN(2)/25)*DG65+(1-EXP(-LN(2)/25))/(LN(2)/25)*Calculateur!DB66*Calculateur!DD66*VLOOKUP('Données projet'!$B$13,Paramètres!$A$1:$I$89,3,0)*0.475*44/12</f>
        <v>15.487432554276237</v>
      </c>
      <c r="DH66" s="21">
        <f>EXP(-LN(2)/2)*DH65+(1-EXP(-LN(2)/2))/(LN(2)/2)*DB66*DE66*VLOOKUP('Données projet'!$B$13,Paramètres!$A$1:$I$89,3,0)*0.475*44/12</f>
        <v>1.1675214762313384</v>
      </c>
      <c r="DI66" s="22">
        <f t="shared" si="15"/>
        <v>30.504334329192972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16.682857142857149</v>
      </c>
      <c r="N67" s="13">
        <f>IF('Données projet'!$A$36&gt;35,N66+M67-V66,IF(A67&lt;'Données projet'!$A$36,$K$205^A67,IF(A67='Données projet'!$A$36,'Données projet'!$B$36,N66+M67-V66)))</f>
        <v>486.76285714285751</v>
      </c>
      <c r="O67" s="13">
        <f>N67*VLOOKUP('Données projet'!$B$9,Paramètres!$A$1:$I$89,3,0)*VLOOKUP('Données projet'!$B$9,Paramètres!$A$1:$I$89,5,0)</f>
        <v>272.10043714285734</v>
      </c>
      <c r="P67" s="13">
        <f t="shared" si="33"/>
        <v>65.294833817604186</v>
      </c>
      <c r="Q67" s="20">
        <f t="shared" ref="Q67:Q98" si="54">(O67+P67)*0.475*44/12</f>
        <v>587.63009692280377</v>
      </c>
      <c r="R67" s="59">
        <f t="shared" ref="R67:R130" si="55">Q67+(I67+J67)*44/12</f>
        <v>880.96343025613714</v>
      </c>
      <c r="S67" s="59">
        <f ca="1">AVERAGE(OFFSET($R$3,0,0,'Données projet'!$E$9+1,1))-AVERAGE(OFFSET($H$3,0,0,'Données projet'!$E$9+1,1))</f>
        <v>287.413090017863</v>
      </c>
      <c r="T67" s="59">
        <f t="shared" si="34"/>
        <v>258.48456031927117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98.131814215233689</v>
      </c>
      <c r="AA67" s="21">
        <f>EXP(-LN(2)/25)*AA66+(1-EXP(-LN(2)/25))/(LN(2)/25)*Calculateur!V67*Calculateur!X67*VLOOKUP('Données projet'!$B$9,Paramètres!$A$1:$I$89,3,0)*0.475*44/12</f>
        <v>34.337829349043986</v>
      </c>
      <c r="AB67" s="21">
        <f>EXP(-LN(2)/2)*AB66+(1-EXP(-LN(2)/2))/(LN(2)/2)*V67*Y67*VLOOKUP('Données projet'!$B$9,Paramètres!$A$1:$I$89,3,0)*0.475*44/12</f>
        <v>9.749519407122655</v>
      </c>
      <c r="AC67" s="22">
        <f t="shared" si="3"/>
        <v>142.21916297140032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10.107499999999998</v>
      </c>
      <c r="AI67" s="13">
        <f>IF('Données projet'!$A$62&gt;35,AI66+AH67-AQ66,IF(A67&lt;'Données projet'!$A$62,$AF$205^A67,IF(A67='Données projet'!$A$62,'Données projet'!$B$62,AI66+AH67-AQ66)))</f>
        <v>266.55500000000029</v>
      </c>
      <c r="AJ67" s="13">
        <f>AI67*VLOOKUP('Données projet'!$B$10,Paramètres!$A$1:$I$89,3,0)*VLOOKUP('Données projet'!$B$10,Paramètres!$A$1:$I$89,5,0)</f>
        <v>241.17896400000026</v>
      </c>
      <c r="AK67" s="13">
        <f t="shared" si="35"/>
        <v>58.693117941200413</v>
      </c>
      <c r="AL67" s="20">
        <f t="shared" si="4"/>
        <v>522.27720938092455</v>
      </c>
      <c r="AM67" s="59">
        <f t="shared" si="5"/>
        <v>815.61054271425792</v>
      </c>
      <c r="AN67" s="59">
        <f ca="1">AVERAGE(OFFSET($AM$3,0,0,'Données projet'!$E$10+1,1))-AVERAGE(OFFSET($H$3,0,0,'Données projet'!$E$10+1,1))</f>
        <v>422.10969295064359</v>
      </c>
      <c r="AO67" s="59">
        <f t="shared" si="36"/>
        <v>184.04075143033037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30.884491639615558</v>
      </c>
      <c r="AW67" s="21">
        <f>EXP(-LN(2)/2)*AW66+(1-EXP(-LN(2)/2))/(LN(2)/2)*AQ67*AT67*VLOOKUP('Données projet'!$B$10,Paramètres!$A$1:$I$89,3,0)*0.475*44/12</f>
        <v>1.073747640932744</v>
      </c>
      <c r="AX67" s="21">
        <f t="shared" si="6"/>
        <v>31.958239280548302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16.8</v>
      </c>
      <c r="BD67" s="12">
        <f>IF('Données projet'!$A$88&gt;35,BD66+BC67-BL66,IF(A67&lt;'Données projet'!$A$88,$BA$205^A67,IF(A67='Données projet'!$A$88,'Données projet'!$B$88,BD66+BC67-BL66)))</f>
        <v>594.19999999999959</v>
      </c>
      <c r="BE67" s="13">
        <f>BD67*VLOOKUP('Données projet'!$B$11,Paramètres!$A$1:$I$89,3,0)*VLOOKUP('Données projet'!$B$11,Paramètres!$A$1:$I$89,5,0)</f>
        <v>239.46259999999987</v>
      </c>
      <c r="BF67" s="13">
        <f t="shared" si="37"/>
        <v>58.323891173666198</v>
      </c>
      <c r="BG67" s="20">
        <f t="shared" si="7"/>
        <v>518.64480546080165</v>
      </c>
      <c r="BH67" s="59">
        <f t="shared" si="8"/>
        <v>811.97813879413502</v>
      </c>
      <c r="BI67" s="59">
        <f ca="1">AVERAGE(OFFSET($BH$3,0,0,'Données projet'!$E$11+1,1))-AVERAGE(OFFSET($H$3,0,0,'Données projet'!$E$11+1,1))</f>
        <v>217.61052961346684</v>
      </c>
      <c r="BJ67" s="59">
        <f t="shared" si="38"/>
        <v>180.77145728128608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35.131269550785824</v>
      </c>
      <c r="BQ67" s="21">
        <f>EXP(-LN(2)/25)*BQ66+(1-EXP(-LN(2)/25))/(LN(2)/25)*Calculateur!BL67*Calculateur!BN67*VLOOKUP('Données projet'!$B$11,Paramètres!$A$1:$I$89,3,0)*0.475*44/12</f>
        <v>20.728317304892204</v>
      </c>
      <c r="BR67" s="21">
        <f>EXP(-LN(2)/2)*BR66+(1-EXP(-LN(2)/2))/(LN(2)/2)*BL67*BO67*VLOOKUP('Données projet'!$B$11,Paramètres!$A$1:$I$89,3,0)*0.475*44/12</f>
        <v>1.42278470122822</v>
      </c>
      <c r="BS67" s="22">
        <f t="shared" si="9"/>
        <v>57.282371556906249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13.839999999999995</v>
      </c>
      <c r="BY67" s="12">
        <f>IF('Données projet'!$A$114&gt;35,BY66+BX67-CG66,IF(A67&lt;'Données projet'!$A$114,$BV$205^A67,IF(A67='Données projet'!$A$114,'Données projet'!$B$114,BY66+BX67-CG66)))</f>
        <v>334.18999999999988</v>
      </c>
      <c r="BZ67" s="13">
        <f>BY67*VLOOKUP('Données projet'!$B$12,Paramètres!$A$1:$I$89,3,0)*VLOOKUP('Données projet'!$B$12,Paramètres!$A$1:$I$89,5,0)</f>
        <v>281.52165599999995</v>
      </c>
      <c r="CA67" s="13">
        <f t="shared" si="39"/>
        <v>67.288477033117942</v>
      </c>
      <c r="CB67" s="20">
        <f t="shared" si="10"/>
        <v>607.51098169934687</v>
      </c>
      <c r="CC67" s="59">
        <f t="shared" si="11"/>
        <v>900.84431503268024</v>
      </c>
      <c r="CD67" s="59">
        <f ca="1">AVERAGE(OFFSET($CC$3,0,0,'Données projet'!$E$12+1,1))-AVERAGE(OFFSET($H$3,0,0,'Données projet'!$E$12+1,1))</f>
        <v>287.72859857368331</v>
      </c>
      <c r="CE67" s="59">
        <f t="shared" si="40"/>
        <v>179.60736986885922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18.043734532460839</v>
      </c>
      <c r="CL67" s="21">
        <f>EXP(-LN(2)/25)*CL66+(1-EXP(-LN(2)/25))/(LN(2)/25)*Calculateur!CG67*Calculateur!CI67*VLOOKUP('Données projet'!$B$12,Paramètres!$A$1:$I$89,3,0)*0.475*44/12</f>
        <v>24.344717452849562</v>
      </c>
      <c r="CM67" s="21">
        <f>EXP(-LN(2)/2)*CM66+(1-EXP(-LN(2)/2))/(LN(2)/2)*CG67*CJ67*VLOOKUP('Données projet'!$B$12,Paramètres!$A$1:$I$89,3,0)*0.475*44/12</f>
        <v>0.58995818308745307</v>
      </c>
      <c r="CN67" s="22">
        <f t="shared" si="12"/>
        <v>42.978410168397851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300.79999999999984</v>
      </c>
      <c r="CU67" s="17">
        <f>CT67*VLOOKUP('Données projet'!$B$13,Paramètres!$A$1:$I$89,3,0)*VLOOKUP('Données projet'!$B$13,Paramètres!$A$1:$I$89,5,0)</f>
        <v>239.3164799999999</v>
      </c>
      <c r="CV67" s="13">
        <f t="shared" si="41"/>
        <v>58.292443422481945</v>
      </c>
      <c r="CW67" s="20">
        <f t="shared" si="13"/>
        <v>518.33554162748919</v>
      </c>
      <c r="CX67" s="59">
        <f t="shared" si="14"/>
        <v>811.66887496082245</v>
      </c>
      <c r="CY67" s="59">
        <f ca="1">AVERAGE(OFFSET($CX$3,0,0,'Données projet'!$E$13+1,1))-AVERAGE(OFFSET($H$3,0,0,'Données projet'!$E$13+1,1))</f>
        <v>243.33915530322201</v>
      </c>
      <c r="CZ67" s="59">
        <f t="shared" si="42"/>
        <v>247.73814704672577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13.577802398316056</v>
      </c>
      <c r="DG67" s="21">
        <f>EXP(-LN(2)/25)*DG66+(1-EXP(-LN(2)/25))/(LN(2)/25)*Calculateur!DB67*Calculateur!DD67*VLOOKUP('Données projet'!$B$13,Paramètres!$A$1:$I$89,3,0)*0.475*44/12</f>
        <v>15.063927896630872</v>
      </c>
      <c r="DH67" s="21">
        <f>EXP(-LN(2)/2)*DH66+(1-EXP(-LN(2)/2))/(LN(2)/2)*DB67*DE67*VLOOKUP('Données projet'!$B$13,Paramètres!$A$1:$I$89,3,0)*0.475*44/12</f>
        <v>0.82556235302410796</v>
      </c>
      <c r="DI67" s="22">
        <f t="shared" si="15"/>
        <v>29.467292647971036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16.682857142857149</v>
      </c>
      <c r="N68" s="13">
        <f>IF('Données projet'!$A$36&gt;35,N67+M68-V67,IF(A68&lt;'Données projet'!$A$36,$K$205^A68,IF(A68='Données projet'!$A$36,'Données projet'!$B$36,N67+M68-V67)))</f>
        <v>503.44571428571464</v>
      </c>
      <c r="O68" s="13">
        <f>N68*VLOOKUP('Données projet'!$B$9,Paramètres!$A$1:$I$89,3,0)*VLOOKUP('Données projet'!$B$9,Paramètres!$A$1:$I$89,5,0)</f>
        <v>281.42615428571452</v>
      </c>
      <c r="P68" s="13">
        <f t="shared" si="33"/>
        <v>67.268307105467983</v>
      </c>
      <c r="Q68" s="20">
        <f t="shared" si="54"/>
        <v>607.30952025630938</v>
      </c>
      <c r="R68" s="59">
        <f t="shared" si="55"/>
        <v>900.64285358964275</v>
      </c>
      <c r="S68" s="59">
        <f ca="1">AVERAGE(OFFSET($R$3,0,0,'Données projet'!$E$9+1,1))-AVERAGE(OFFSET($H$3,0,0,'Données projet'!$E$9+1,1))</f>
        <v>287.413090017863</v>
      </c>
      <c r="T68" s="59">
        <f t="shared" si="34"/>
        <v>258.48456031927117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96.207509192969482</v>
      </c>
      <c r="AA68" s="21">
        <f>EXP(-LN(2)/25)*AA67+(1-EXP(-LN(2)/25))/(LN(2)/25)*Calculateur!V68*Calculateur!X68*VLOOKUP('Données projet'!$B$9,Paramètres!$A$1:$I$89,3,0)*0.475*44/12</f>
        <v>33.398859599746416</v>
      </c>
      <c r="AB68" s="21">
        <f>EXP(-LN(2)/2)*AB67+(1-EXP(-LN(2)/2))/(LN(2)/2)*V68*Y68*VLOOKUP('Données projet'!$B$9,Paramètres!$A$1:$I$89,3,0)*0.475*44/12</f>
        <v>6.8939512860862786</v>
      </c>
      <c r="AC68" s="22">
        <f t="shared" ref="AC68:AC131" si="57">SUM(Z68:AB68)</f>
        <v>136.50032007880219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10.107499999999998</v>
      </c>
      <c r="AI68" s="13">
        <f>IF('Données projet'!$A$62&gt;35,AI67+AH68-AQ67,IF(A68&lt;'Données projet'!$A$62,$AF$205^A68,IF(A68='Données projet'!$A$62,'Données projet'!$B$62,AI67+AH68-AQ67)))</f>
        <v>276.66250000000031</v>
      </c>
      <c r="AJ68" s="13">
        <f>AI68*VLOOKUP('Données projet'!$B$10,Paramètres!$A$1:$I$89,3,0)*VLOOKUP('Données projet'!$B$10,Paramètres!$A$1:$I$89,5,0)</f>
        <v>250.32423000000026</v>
      </c>
      <c r="AK68" s="13">
        <f t="shared" si="35"/>
        <v>60.655364588948935</v>
      </c>
      <c r="AL68" s="20">
        <f t="shared" ref="AL68:AL131" si="58">(AJ68+AK68)*0.475*44/12</f>
        <v>541.62279390908645</v>
      </c>
      <c r="AM68" s="59">
        <f t="shared" ref="AM68:AM131" si="59">AL68+(AD68+AE68)*44/12</f>
        <v>834.95612724241983</v>
      </c>
      <c r="AN68" s="59">
        <f ca="1">AVERAGE(OFFSET($AM$3,0,0,'Données projet'!$E$10+1,1))-AVERAGE(OFFSET($H$3,0,0,'Données projet'!$E$10+1,1))</f>
        <v>422.10969295064359</v>
      </c>
      <c r="AO68" s="59">
        <f t="shared" si="36"/>
        <v>184.04075143033037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30.039953591585441</v>
      </c>
      <c r="AW68" s="21">
        <f>EXP(-LN(2)/2)*AW67+(1-EXP(-LN(2)/2))/(LN(2)/2)*AQ68*AT68*VLOOKUP('Données projet'!$B$10,Paramètres!$A$1:$I$89,3,0)*0.475*44/12</f>
        <v>0.75925423818660143</v>
      </c>
      <c r="AX68" s="21">
        <f t="shared" ref="AX68:AX131" si="60">SUM(AU68:AW68)</f>
        <v>30.799207829772044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611</v>
      </c>
      <c r="BB68" s="12">
        <f>VLOOKUP(A68,'Données projet'!$A$87:$I$107,9,0)</f>
        <v>16.8</v>
      </c>
      <c r="BC68" s="12">
        <f t="array" ref="BC68">INDEX(BB:BB,MIN(IF(ISNUMBER(BB68:BB264),ROW(BB68:BB264),"")))</f>
        <v>16.8</v>
      </c>
      <c r="BD68" s="12">
        <f>IF('Données projet'!$A$88&gt;35,BD67+BC68-BL67,IF(A68&lt;'Données projet'!$A$88,$BA$205^A68,IF(A68='Données projet'!$A$88,'Données projet'!$B$88,BD67+BC68-BL67)))</f>
        <v>610.99999999999955</v>
      </c>
      <c r="BE68" s="13">
        <f>BD68*VLOOKUP('Données projet'!$B$11,Paramètres!$A$1:$I$89,3,0)*VLOOKUP('Données projet'!$B$11,Paramètres!$A$1:$I$89,5,0)</f>
        <v>246.23299999999981</v>
      </c>
      <c r="BF68" s="13">
        <f t="shared" si="37"/>
        <v>59.778583104996834</v>
      </c>
      <c r="BG68" s="20">
        <f t="shared" ref="BG68:BG131" si="61">(BE68+BF68)*0.475*44/12</f>
        <v>532.97017390786914</v>
      </c>
      <c r="BH68" s="59">
        <f t="shared" ref="BH68:BH131" si="62">BG68+(AY68+AZ68)*44/12</f>
        <v>826.3035072412024</v>
      </c>
      <c r="BI68" s="59">
        <f ca="1">AVERAGE(OFFSET($BH$3,0,0,'Données projet'!$E$11+1,1))-AVERAGE(OFFSET($H$3,0,0,'Données projet'!$E$11+1,1))</f>
        <v>217.61052961346684</v>
      </c>
      <c r="BJ68" s="59">
        <f t="shared" si="38"/>
        <v>180.77145728128608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44</v>
      </c>
      <c r="BM68" s="16">
        <f>IF(ISNA(VLOOKUP(A68,'Données projet'!$A$87:$I$107,5,0)),0%,VLOOKUP(A68,'Données projet'!$A$87:$I$107,5,0)*VLOOKUP('Données projet'!$B$11,Paramètres!$A$1:$I$89,7,0))</f>
        <v>0.33</v>
      </c>
      <c r="BN68" s="16">
        <f>IF(ISNA(VLOOKUP(A68,'Données projet'!$A$87:$I$107,6,0)),0%,VLOOKUP(A68,'Données projet'!$A$87:$I$107,6,0)*VLOOKUP('Données projet'!$B$11,Paramètres!$A$1:$I$89,7,0))</f>
        <v>0.11000000000000001</v>
      </c>
      <c r="BO68" s="16">
        <f>IF(ISNA(VLOOKUP(A68,'Données projet'!$A$87:$I$107,7,0)),0%,VLOOKUP(A68,'Données projet'!$A$87:$I$107,7,0))</f>
        <v>0.2</v>
      </c>
      <c r="BP68" s="21">
        <f>EXP(-LN(2)/35)*BP67+(1-EXP(-LN(2)/35))/(LN(2)/35)*BL68*BM68*VLOOKUP('Données projet'!$B$11,Paramètres!$A$1:$I$89,3,0)*0.475*44/12</f>
        <v>42.204838287725302</v>
      </c>
      <c r="BQ68" s="21">
        <f>EXP(-LN(2)/25)*BQ67+(1-EXP(-LN(2)/25))/(LN(2)/25)*Calculateur!BL68*Calculateur!BN68*VLOOKUP('Données projet'!$B$11,Paramètres!$A$1:$I$89,3,0)*0.475*44/12</f>
        <v>22.738802943742957</v>
      </c>
      <c r="BR68" s="21">
        <f>EXP(-LN(2)/2)*BR67+(1-EXP(-LN(2)/2))/(LN(2)/2)*BL68*BO68*VLOOKUP('Données projet'!$B$11,Paramètres!$A$1:$I$89,3,0)*0.475*44/12</f>
        <v>5.0214093303548086</v>
      </c>
      <c r="BS68" s="22">
        <f t="shared" ref="BS68:BS131" si="63">SUM(BP68:BR68)</f>
        <v>69.965050561823077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348.03</v>
      </c>
      <c r="BW68" s="12">
        <f>VLOOKUP(A68,'Données projet'!$A$113:$I$133,9,0)</f>
        <v>13.839999999999995</v>
      </c>
      <c r="BX68" s="12">
        <f t="array" ref="BX68">INDEX(BW:BW,MIN(IF(ISNUMBER(BW68:BW264),ROW(BW68:BW264),"")))</f>
        <v>13.839999999999995</v>
      </c>
      <c r="BY68" s="12">
        <f>IF('Données projet'!$A$114&gt;35,BY67+BX68-CG67,IF(A68&lt;'Données projet'!$A$114,$BV$205^A68,IF(A68='Données projet'!$A$114,'Données projet'!$B$114,BY67+BX68-CG67)))</f>
        <v>348.02999999999986</v>
      </c>
      <c r="BZ68" s="13">
        <f>BY68*VLOOKUP('Données projet'!$B$12,Paramètres!$A$1:$I$89,3,0)*VLOOKUP('Données projet'!$B$12,Paramètres!$A$1:$I$89,5,0)</f>
        <v>293.1804719999999</v>
      </c>
      <c r="CA68" s="13">
        <f t="shared" si="39"/>
        <v>69.744920880406227</v>
      </c>
      <c r="CB68" s="20">
        <f t="shared" ref="CB68:CB131" si="64">(BZ68+CA68)*0.475*44/12</f>
        <v>632.09505926670727</v>
      </c>
      <c r="CC68" s="59">
        <f t="shared" ref="CC68:CC131" si="65">CB68+(BT68+BU68)*44/12</f>
        <v>925.42839260004052</v>
      </c>
      <c r="CD68" s="59">
        <f ca="1">AVERAGE(OFFSET($CC$3,0,0,'Données projet'!$E$12+1,1))-AVERAGE(OFFSET($H$3,0,0,'Données projet'!$E$12+1,1))</f>
        <v>287.72859857368331</v>
      </c>
      <c r="CE68" s="59">
        <f t="shared" si="40"/>
        <v>179.60736986885922</v>
      </c>
      <c r="CF68" s="15">
        <f>IF(ISNA(VLOOKUP(A68,'Données projet'!$A$113:$I$133,3,0)),0,VLOOKUP(A68,'Données projet'!$A$113:$I$133,3,0))</f>
        <v>6</v>
      </c>
      <c r="CG68" s="15">
        <f>IF(ISNA(VLOOKUP(A68,'Données projet'!$A$113:$I$133,4,0)),0,VLOOKUP(A68,'Données projet'!$A$113:$I$133,4,0))</f>
        <v>56.629999999999995</v>
      </c>
      <c r="CH68" s="16">
        <f>IF(ISNA(VLOOKUP(A68,'Données projet'!$A$113:$I$133,5,0)),0%,VLOOKUP(A68,'Données projet'!$A$113:$I$133,5,0)*VLOOKUP('Données projet'!$B$12,Paramètres!$A$1:$I$89,7,0))</f>
        <v>0.15049999999999999</v>
      </c>
      <c r="CI68" s="16">
        <f>IF(ISNA(VLOOKUP(A68,'Données projet'!$A$113:$I$133,6,0)),0%,VLOOKUP(A68,'Données projet'!$A$113:$I$133,6,0)*VLOOKUP('Données projet'!$B$12,Paramètres!$A$1:$I$89,7,0))</f>
        <v>8.6000000000000007E-2</v>
      </c>
      <c r="CJ68" s="16">
        <f>IF(ISNA(VLOOKUP(A68,'Données projet'!$A$113:$I$133,7,0)),0%,VLOOKUP(A68,'Données projet'!$A$113:$I$133,7,0))</f>
        <v>0.1</v>
      </c>
      <c r="CK68" s="21">
        <f>EXP(-LN(2)/35)*CK67+(1-EXP(-LN(2)/35))/(LN(2)/35)*CG68*CH68*VLOOKUP('Données projet'!$B$12,Paramètres!$A$1:$I$89,3,0)*0.475*44/12</f>
        <v>25.626764438250071</v>
      </c>
      <c r="CL68" s="21">
        <f>EXP(-LN(2)/25)*CL67+(1-EXP(-LN(2)/25))/(LN(2)/25)*Calculateur!CG68*Calculateur!CI68*VLOOKUP('Données projet'!$B$12,Paramètres!$A$1:$I$89,3,0)*0.475*44/12</f>
        <v>28.196499077310712</v>
      </c>
      <c r="CM68" s="21">
        <f>EXP(-LN(2)/2)*CM67+(1-EXP(-LN(2)/2))/(LN(2)/2)*CG68*CJ68*VLOOKUP('Données projet'!$B$12,Paramètres!$A$1:$I$89,3,0)*0.475*44/12</f>
        <v>4.9182691455040812</v>
      </c>
      <c r="CN68" s="22">
        <f t="shared" ref="CN68:CN131" si="66">SUM(CK68:CM68)</f>
        <v>58.741532661064866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306</v>
      </c>
      <c r="CR68" s="12">
        <f>VLOOKUP(A68,'Données projet'!$A$139:$I$159,9,0)</f>
        <v>5.2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305.99999999999983</v>
      </c>
      <c r="CU68" s="17">
        <f>CT68*VLOOKUP('Données projet'!$B$13,Paramètres!$A$1:$I$89,3,0)*VLOOKUP('Données projet'!$B$13,Paramètres!$A$1:$I$89,5,0)</f>
        <v>243.45359999999988</v>
      </c>
      <c r="CV68" s="13">
        <f t="shared" si="41"/>
        <v>59.181970343065267</v>
      </c>
      <c r="CW68" s="20">
        <f t="shared" ref="CW68:CW131" si="67">(CU68+CV68)*0.475*44/12</f>
        <v>527.09028501417163</v>
      </c>
      <c r="CX68" s="59">
        <f t="shared" ref="CX68:CX131" si="68">CW68+(CO68+CP68)*44/12</f>
        <v>820.423618347505</v>
      </c>
      <c r="CY68" s="59">
        <f ca="1">AVERAGE(OFFSET($CX$3,0,0,'Données projet'!$E$13+1,1))-AVERAGE(OFFSET($H$3,0,0,'Données projet'!$E$13+1,1))</f>
        <v>243.33915530322201</v>
      </c>
      <c r="CZ68" s="59">
        <f t="shared" si="42"/>
        <v>247.73814704672577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13</v>
      </c>
      <c r="DC68" s="16">
        <f>IF(ISNA(VLOOKUP(A68,'Données projet'!$A$139:$I$159,5,0)),0%,VLOOKUP(A68,'Données projet'!$A$139:$I$159,5,0)*VLOOKUP('Données projet'!$B$13,Paramètres!$A$1:$I$89,7,0))</f>
        <v>0.13250000000000001</v>
      </c>
      <c r="DD68" s="16">
        <f>IF(ISNA(VLOOKUP(A68,'Données projet'!$A$139:$I$159,6,0)),0%,VLOOKUP(A68,'Données projet'!$A$139:$I$159,6,0)*VLOOKUP('Données projet'!$B$13,Paramètres!$A$1:$I$89,7,0))</f>
        <v>0.13250000000000001</v>
      </c>
      <c r="DE68" s="16">
        <f>IF(ISNA(VLOOKUP(A68,'Données projet'!$A$139:$I$159,7,0)),0%,VLOOKUP(A68,'Données projet'!$A$139:$I$159,7,0))</f>
        <v>0.25</v>
      </c>
      <c r="DF68" s="21">
        <f>EXP(-LN(2)/35)*DF67+(1-EXP(-LN(2)/35))/(LN(2)/35)*DB68*DC68*VLOOKUP('Données projet'!$B$13,Paramètres!$A$1:$I$89,3,0)*0.475*44/12</f>
        <v>14.826509797916721</v>
      </c>
      <c r="DG68" s="21">
        <f>EXP(-LN(2)/25)*DG67+(1-EXP(-LN(2)/25))/(LN(2)/25)*Calculateur!DB68*Calculateur!DD68*VLOOKUP('Données projet'!$B$13,Paramètres!$A$1:$I$89,3,0)*0.475*44/12</f>
        <v>16.160998845041828</v>
      </c>
      <c r="DH68" s="21">
        <f>EXP(-LN(2)/2)*DH67+(1-EXP(-LN(2)/2))/(LN(2)/2)*DB68*DE68*VLOOKUP('Données projet'!$B$13,Paramètres!$A$1:$I$89,3,0)*0.475*44/12</f>
        <v>3.0234382812108214</v>
      </c>
      <c r="DI68" s="22">
        <f t="shared" ref="DI68:DI131" si="69">SUM(DF68:DH68)</f>
        <v>34.010946924169367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16.682857142857149</v>
      </c>
      <c r="N69" s="13">
        <f>IF('Données projet'!$A$36&gt;35,N68+M69-V68,IF(A69&lt;'Données projet'!$A$36,$K$205^A69,IF(A69='Données projet'!$A$36,'Données projet'!$B$36,N68+M69-V68)))</f>
        <v>520.12857142857183</v>
      </c>
      <c r="O69" s="13">
        <f>N69*VLOOKUP('Données projet'!$B$9,Paramètres!$A$1:$I$89,3,0)*VLOOKUP('Données projet'!$B$9,Paramètres!$A$1:$I$89,5,0)</f>
        <v>290.75187142857169</v>
      </c>
      <c r="P69" s="13">
        <f t="shared" ref="P69:P132" si="87">EXP(-1.0587+0.8836*LN(O69)+0.284)</f>
        <v>69.23418152913365</v>
      </c>
      <c r="Q69" s="20">
        <f t="shared" si="54"/>
        <v>626.97570890133682</v>
      </c>
      <c r="R69" s="59">
        <f t="shared" si="55"/>
        <v>920.30904223467019</v>
      </c>
      <c r="S69" s="59">
        <f ca="1">AVERAGE(OFFSET($R$3,0,0,'Données projet'!$E$9+1,1))-AVERAGE(OFFSET($H$3,0,0,'Données projet'!$E$9+1,1))</f>
        <v>287.413090017863</v>
      </c>
      <c r="T69" s="59">
        <f t="shared" ref="T69:T132" si="88">$T$3</f>
        <v>258.48456031927117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94.320938618481705</v>
      </c>
      <c r="AA69" s="21">
        <f>EXP(-LN(2)/25)*AA68+(1-EXP(-LN(2)/25))/(LN(2)/25)*Calculateur!V69*Calculateur!X69*VLOOKUP('Données projet'!$B$9,Paramètres!$A$1:$I$89,3,0)*0.475*44/12</f>
        <v>32.485566027621658</v>
      </c>
      <c r="AB69" s="21">
        <f>EXP(-LN(2)/2)*AB68+(1-EXP(-LN(2)/2))/(LN(2)/2)*V69*Y69*VLOOKUP('Données projet'!$B$9,Paramètres!$A$1:$I$89,3,0)*0.475*44/12</f>
        <v>4.8747597035613284</v>
      </c>
      <c r="AC69" s="22">
        <f t="shared" si="57"/>
        <v>131.6812643496647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10.107499999999998</v>
      </c>
      <c r="AH69" s="12">
        <f t="array" ref="AH69">INDEX(AG:AG,MIN(IF(ISNUMBER(AG69:AG265),ROW(AG69:AG265),"")))</f>
        <v>10.107499999999998</v>
      </c>
      <c r="AI69" s="13">
        <f>IF('Données projet'!$A$62&gt;35,AI68+AH69-AQ68,IF(A69&lt;'Données projet'!$A$62,$AF$205^A69,IF(A69='Données projet'!$A$62,'Données projet'!$B$62,AI68+AH69-AQ68)))</f>
        <v>286.77000000000032</v>
      </c>
      <c r="AJ69" s="13">
        <f>AI69*VLOOKUP('Données projet'!$B$10,Paramètres!$A$1:$I$89,3,0)*VLOOKUP('Données projet'!$B$10,Paramètres!$A$1:$I$89,5,0)</f>
        <v>259.46949600000028</v>
      </c>
      <c r="AK69" s="13">
        <f t="shared" ref="AK69:AK132" si="89">EXP(-1.0587+0.8836*LN(AJ69)+0.284)</f>
        <v>62.609282502673501</v>
      </c>
      <c r="AL69" s="20">
        <f t="shared" si="58"/>
        <v>560.95387255882349</v>
      </c>
      <c r="AM69" s="59">
        <f t="shared" si="59"/>
        <v>854.28720589215686</v>
      </c>
      <c r="AN69" s="59">
        <f ca="1">AVERAGE(OFFSET($AM$3,0,0,'Données projet'!$E$10+1,1))-AVERAGE(OFFSET($H$3,0,0,'Données projet'!$E$10+1,1))</f>
        <v>422.10969295064359</v>
      </c>
      <c r="AO69" s="59">
        <f t="shared" ref="AO69:AO132" si="90">$AO$3</f>
        <v>184.04075143033037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53.679999999999978</v>
      </c>
      <c r="AR69" s="16">
        <f>IF(ISNA(VLOOKUP(A69,'Données projet'!$A$61:$I$81,5,0)),0%,VLOOKUP(A69,'Données projet'!$A$61:$I$81,5,0)*VLOOKUP('Données projet'!$B$10,Paramètres!$A$1:$I$89,7,0))</f>
        <v>0.15049999999999999</v>
      </c>
      <c r="AS69" s="16">
        <f>IF(ISNA(VLOOKUP(A69,'Données projet'!$A$61:$I$81,6,0)),0%,VLOOKUP(A69,'Données projet'!$A$61:$I$81,6,0)*VLOOKUP('Données projet'!$B$10,Paramètres!$A$1:$I$89,7,0))</f>
        <v>8.6000000000000007E-2</v>
      </c>
      <c r="AT69" s="16">
        <f>IF(ISNA(VLOOKUP(A69,'Données projet'!$A$61:$I$81,7,0)),0%,VLOOKUP(A69,'Données projet'!$A$61:$I$81,7,0))</f>
        <v>0.1</v>
      </c>
      <c r="AU69" s="21">
        <f>EXP(-LN(2)/35)*AU68+(1-EXP(-LN(2)/35))/(LN(2)/35)*AQ69*AR69*VLOOKUP('Données projet'!$B$10,Paramètres!$A$1:$I$89,3,0)*0.475*44/12</f>
        <v>8.0806948968281098</v>
      </c>
      <c r="AV69" s="21">
        <f>EXP(-LN(2)/25)*AV68+(1-EXP(-LN(2)/25))/(LN(2)/25)*Calculateur!AQ69*Calculateur!AS69*VLOOKUP('Données projet'!$B$10,Paramètres!$A$1:$I$89,3,0)*0.475*44/12</f>
        <v>33.817868407767122</v>
      </c>
      <c r="AW69" s="21">
        <f>EXP(-LN(2)/2)*AW68+(1-EXP(-LN(2)/2))/(LN(2)/2)*AQ69*AT69*VLOOKUP('Données projet'!$B$10,Paramètres!$A$1:$I$89,3,0)*0.475*44/12</f>
        <v>5.1195523422004099</v>
      </c>
      <c r="AX69" s="21">
        <f t="shared" si="60"/>
        <v>47.018115646795636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16</v>
      </c>
      <c r="BD69" s="12">
        <f>IF('Données projet'!$A$88&gt;35,BD68+BC69-BL68,IF(A69&lt;'Données projet'!$A$88,$BA$205^A69,IF(A69='Données projet'!$A$88,'Données projet'!$B$88,BD68+BC69-BL68)))</f>
        <v>582.99999999999955</v>
      </c>
      <c r="BE69" s="13">
        <f>BD69*VLOOKUP('Données projet'!$B$11,Paramètres!$A$1:$I$89,3,0)*VLOOKUP('Données projet'!$B$11,Paramètres!$A$1:$I$89,5,0)</f>
        <v>234.94899999999981</v>
      </c>
      <c r="BF69" s="13">
        <f t="shared" ref="BF69:BF132" si="91">EXP(-1.0587+0.8836*LN(BE69)+0.284)</f>
        <v>57.351441562635515</v>
      </c>
      <c r="BG69" s="20">
        <f t="shared" si="61"/>
        <v>509.08993572158982</v>
      </c>
      <c r="BH69" s="59">
        <f t="shared" si="62"/>
        <v>802.42326905492314</v>
      </c>
      <c r="BI69" s="59">
        <f ca="1">AVERAGE(OFFSET($BH$3,0,0,'Données projet'!$E$11+1,1))-AVERAGE(OFFSET($H$3,0,0,'Données projet'!$E$11+1,1))</f>
        <v>217.61052961346684</v>
      </c>
      <c r="BJ69" s="59">
        <f t="shared" ref="BJ69:BJ132" si="92">$BJ$3</f>
        <v>180.77145728128608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41.377227151312511</v>
      </c>
      <c r="BQ69" s="21">
        <f>EXP(-LN(2)/25)*BQ68+(1-EXP(-LN(2)/25))/(LN(2)/25)*Calculateur!BL69*Calculateur!BN69*VLOOKUP('Données projet'!$B$11,Paramètres!$A$1:$I$89,3,0)*0.475*44/12</f>
        <v>22.117009181464631</v>
      </c>
      <c r="BR69" s="21">
        <f>EXP(-LN(2)/2)*BR68+(1-EXP(-LN(2)/2))/(LN(2)/2)*BL69*BO69*VLOOKUP('Données projet'!$B$11,Paramètres!$A$1:$I$89,3,0)*0.475*44/12</f>
        <v>3.5506725886072861</v>
      </c>
      <c r="BS69" s="22">
        <f t="shared" si="63"/>
        <v>67.044908921384433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13.374285714285715</v>
      </c>
      <c r="BY69" s="12">
        <f>IF('Données projet'!$A$114&gt;35,BY68+BX69-CG68,IF(A69&lt;'Données projet'!$A$114,$BV$205^A69,IF(A69='Données projet'!$A$114,'Données projet'!$B$114,BY68+BX69-CG68)))</f>
        <v>304.77428571428555</v>
      </c>
      <c r="BZ69" s="13">
        <f>BY69*VLOOKUP('Données projet'!$B$12,Paramètres!$A$1:$I$89,3,0)*VLOOKUP('Données projet'!$B$12,Paramètres!$A$1:$I$89,5,0)</f>
        <v>256.74185828571416</v>
      </c>
      <c r="CA69" s="13">
        <f t="shared" ref="CA69:CA132" si="93">EXP(-1.0587+0.8836*LN(BZ69)+0.284)</f>
        <v>62.027364911831434</v>
      </c>
      <c r="CB69" s="20">
        <f t="shared" si="64"/>
        <v>555.18973040239189</v>
      </c>
      <c r="CC69" s="59">
        <f t="shared" si="65"/>
        <v>848.52306373572515</v>
      </c>
      <c r="CD69" s="59">
        <f ca="1">AVERAGE(OFFSET($CC$3,0,0,'Données projet'!$E$12+1,1))-AVERAGE(OFFSET($H$3,0,0,'Données projet'!$E$12+1,1))</f>
        <v>287.72859857368331</v>
      </c>
      <c r="CE69" s="59">
        <f t="shared" ref="CE69:CE132" si="94">$CE$3</f>
        <v>179.60736986885922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25.124239218398884</v>
      </c>
      <c r="CL69" s="21">
        <f>EXP(-LN(2)/25)*CL68+(1-EXP(-LN(2)/25))/(LN(2)/25)*Calculateur!CG69*Calculateur!CI69*VLOOKUP('Données projet'!$B$12,Paramètres!$A$1:$I$89,3,0)*0.475*44/12</f>
        <v>27.425464327252207</v>
      </c>
      <c r="CM69" s="21">
        <f>EXP(-LN(2)/2)*CM68+(1-EXP(-LN(2)/2))/(LN(2)/2)*CG69*CJ69*VLOOKUP('Données projet'!$B$12,Paramètres!$A$1:$I$89,3,0)*0.475*44/12</f>
        <v>3.4777414644865026</v>
      </c>
      <c r="CN69" s="22">
        <f t="shared" si="66"/>
        <v>56.027445010137598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4.5999999999999996</v>
      </c>
      <c r="CT69" s="12">
        <f>IF('Données projet'!$A$140&gt;35,CT68+CS69-DB68,IF(A69&lt;'Données projet'!$A$140,$CQ$205^A69,IF(A69='Données projet'!$A$140,'Données projet'!$B$140,CT68+CS69-DB68)))</f>
        <v>297.59999999999985</v>
      </c>
      <c r="CU69" s="17">
        <f>CT69*VLOOKUP('Données projet'!$B$13,Paramètres!$A$1:$I$89,3,0)*VLOOKUP('Données projet'!$B$13,Paramètres!$A$1:$I$89,5,0)</f>
        <v>236.7705599999999</v>
      </c>
      <c r="CV69" s="13">
        <f t="shared" ref="CV69:CV132" si="95">EXP(-1.0587+0.8836*LN(CU69)+0.284)</f>
        <v>57.744153841586879</v>
      </c>
      <c r="CW69" s="20">
        <f t="shared" si="67"/>
        <v>512.9464599407637</v>
      </c>
      <c r="CX69" s="59">
        <f t="shared" si="68"/>
        <v>806.27979327409707</v>
      </c>
      <c r="CY69" s="59">
        <f ca="1">AVERAGE(OFFSET($CX$3,0,0,'Données projet'!$E$13+1,1))-AVERAGE(OFFSET($H$3,0,0,'Données projet'!$E$13+1,1))</f>
        <v>243.33915530322201</v>
      </c>
      <c r="CZ69" s="59">
        <f t="shared" ref="CZ69:CZ132" si="96">$CZ$3</f>
        <v>247.73814704672577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14.535770984057601</v>
      </c>
      <c r="DG69" s="21">
        <f>EXP(-LN(2)/25)*DG68+(1-EXP(-LN(2)/25))/(LN(2)/25)*Calculateur!DB69*Calculateur!DD69*VLOOKUP('Données projet'!$B$13,Paramètres!$A$1:$I$89,3,0)*0.475*44/12</f>
        <v>15.719075481754166</v>
      </c>
      <c r="DH69" s="21">
        <f>EXP(-LN(2)/2)*DH68+(1-EXP(-LN(2)/2))/(LN(2)/2)*DB69*DE69*VLOOKUP('Données projet'!$B$13,Paramètres!$A$1:$I$89,3,0)*0.475*44/12</f>
        <v>2.1378937111431719</v>
      </c>
      <c r="DI69" s="22">
        <f t="shared" si="69"/>
        <v>32.392740176954938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16.682857142857149</v>
      </c>
      <c r="N70" s="13">
        <f>IF('Données projet'!$A$36&gt;35,N69+M70-V69,IF(A70&lt;'Données projet'!$A$36,$K$205^A70,IF(A70='Données projet'!$A$36,'Données projet'!$B$36,N69+M70-V69)))</f>
        <v>536.81142857142902</v>
      </c>
      <c r="O70" s="13">
        <f>N70*VLOOKUP('Données projet'!$B$9,Paramètres!$A$1:$I$89,3,0)*VLOOKUP('Données projet'!$B$9,Paramètres!$A$1:$I$89,5,0)</f>
        <v>300.07758857142881</v>
      </c>
      <c r="P70" s="13">
        <f t="shared" si="87"/>
        <v>71.19272877566128</v>
      </c>
      <c r="Q70" s="20">
        <f t="shared" si="54"/>
        <v>646.62913604618188</v>
      </c>
      <c r="R70" s="59">
        <f t="shared" si="55"/>
        <v>939.96246937951514</v>
      </c>
      <c r="S70" s="59">
        <f ca="1">AVERAGE(OFFSET($R$3,0,0,'Données projet'!$E$9+1,1))-AVERAGE(OFFSET($H$3,0,0,'Données projet'!$E$9+1,1))</f>
        <v>287.413090017863</v>
      </c>
      <c r="T70" s="59">
        <f t="shared" si="88"/>
        <v>258.48456031927117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92.471362542265211</v>
      </c>
      <c r="AA70" s="21">
        <f>EXP(-LN(2)/25)*AA69+(1-EXP(-LN(2)/25))/(LN(2)/25)*Calculateur!V70*Calculateur!X70*VLOOKUP('Données projet'!$B$9,Paramètres!$A$1:$I$89,3,0)*0.475*44/12</f>
        <v>31.597246516254675</v>
      </c>
      <c r="AB70" s="21">
        <f>EXP(-LN(2)/2)*AB69+(1-EXP(-LN(2)/2))/(LN(2)/2)*V70*Y70*VLOOKUP('Données projet'!$B$9,Paramètres!$A$1:$I$89,3,0)*0.475*44/12</f>
        <v>3.4469756430431397</v>
      </c>
      <c r="AC70" s="22">
        <f t="shared" si="57"/>
        <v>127.51558470156303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9.733749999999997</v>
      </c>
      <c r="AI70" s="13">
        <f>IF('Données projet'!$A$62&gt;35,AI69+AH70-AQ69,IF(A70&lt;'Données projet'!$A$62,$AF$205^A70,IF(A70='Données projet'!$A$62,'Données projet'!$B$62,AI69+AH70-AQ69)))</f>
        <v>242.82375000000033</v>
      </c>
      <c r="AJ70" s="13">
        <f>AI70*VLOOKUP('Données projet'!$B$10,Paramètres!$A$1:$I$89,3,0)*VLOOKUP('Données projet'!$B$10,Paramètres!$A$1:$I$89,5,0)</f>
        <v>219.70692900000031</v>
      </c>
      <c r="AK70" s="13">
        <f t="shared" si="89"/>
        <v>54.051183245794981</v>
      </c>
      <c r="AL70" s="20">
        <f t="shared" si="58"/>
        <v>476.79537882809342</v>
      </c>
      <c r="AM70" s="59">
        <f t="shared" si="59"/>
        <v>770.12871216142673</v>
      </c>
      <c r="AN70" s="59">
        <f ca="1">AVERAGE(OFFSET($AM$3,0,0,'Données projet'!$E$10+1,1))-AVERAGE(OFFSET($H$3,0,0,'Données projet'!$E$10+1,1))</f>
        <v>422.10969295064359</v>
      </c>
      <c r="AO70" s="59">
        <f t="shared" si="90"/>
        <v>184.04075143033037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7.9222373986385248</v>
      </c>
      <c r="AV70" s="21">
        <f>EXP(-LN(2)/25)*AV69+(1-EXP(-LN(2)/25))/(LN(2)/25)*Calculateur!AQ70*Calculateur!AS70*VLOOKUP('Données projet'!$B$10,Paramètres!$A$1:$I$89,3,0)*0.475*44/12</f>
        <v>32.893117017752324</v>
      </c>
      <c r="AW70" s="21">
        <f>EXP(-LN(2)/2)*AW69+(1-EXP(-LN(2)/2))/(LN(2)/2)*AQ70*AT70*VLOOKUP('Données projet'!$B$10,Paramètres!$A$1:$I$89,3,0)*0.475*44/12</f>
        <v>3.6200701778093825</v>
      </c>
      <c r="AX70" s="21">
        <f t="shared" si="60"/>
        <v>44.435424594200228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16</v>
      </c>
      <c r="BD70" s="12">
        <f>IF('Données projet'!$A$88&gt;35,BD69+BC70-BL69,IF(A70&lt;'Données projet'!$A$88,$BA$205^A70,IF(A70='Données projet'!$A$88,'Données projet'!$B$88,BD69+BC70-BL69)))</f>
        <v>598.99999999999955</v>
      </c>
      <c r="BE70" s="13">
        <f>BD70*VLOOKUP('Données projet'!$B$11,Paramètres!$A$1:$I$89,3,0)*VLOOKUP('Données projet'!$B$11,Paramètres!$A$1:$I$89,5,0)</f>
        <v>241.39699999999982</v>
      </c>
      <c r="BF70" s="13">
        <f t="shared" si="91"/>
        <v>58.740000232129233</v>
      </c>
      <c r="BG70" s="20">
        <f t="shared" si="61"/>
        <v>522.73860873762476</v>
      </c>
      <c r="BH70" s="59">
        <f t="shared" si="62"/>
        <v>816.07194207095813</v>
      </c>
      <c r="BI70" s="59">
        <f ca="1">AVERAGE(OFFSET($BH$3,0,0,'Données projet'!$E$11+1,1))-AVERAGE(OFFSET($H$3,0,0,'Données projet'!$E$11+1,1))</f>
        <v>217.61052961346684</v>
      </c>
      <c r="BJ70" s="59">
        <f t="shared" si="92"/>
        <v>180.77145728128608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40.565844964491824</v>
      </c>
      <c r="BQ70" s="21">
        <f>EXP(-LN(2)/25)*BQ69+(1-EXP(-LN(2)/25))/(LN(2)/25)*Calculateur!BL70*Calculateur!BN70*VLOOKUP('Données projet'!$B$11,Paramètres!$A$1:$I$89,3,0)*0.475*44/12</f>
        <v>21.512218402314517</v>
      </c>
      <c r="BR70" s="21">
        <f>EXP(-LN(2)/2)*BR69+(1-EXP(-LN(2)/2))/(LN(2)/2)*BL70*BO70*VLOOKUP('Données projet'!$B$11,Paramètres!$A$1:$I$89,3,0)*0.475*44/12</f>
        <v>2.5107046651774048</v>
      </c>
      <c r="BS70" s="22">
        <f t="shared" si="63"/>
        <v>64.588768031983747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13.374285714285715</v>
      </c>
      <c r="BY70" s="12">
        <f>IF('Données projet'!$A$114&gt;35,BY69+BX70-CG69,IF(A70&lt;'Données projet'!$A$114,$BV$205^A70,IF(A70='Données projet'!$A$114,'Données projet'!$B$114,BY69+BX70-CG69)))</f>
        <v>318.14857142857124</v>
      </c>
      <c r="BZ70" s="13">
        <f>BY70*VLOOKUP('Données projet'!$B$12,Paramètres!$A$1:$I$89,3,0)*VLOOKUP('Données projet'!$B$12,Paramètres!$A$1:$I$89,5,0)</f>
        <v>268.00835657142841</v>
      </c>
      <c r="CA70" s="13">
        <f t="shared" si="93"/>
        <v>64.426410327143714</v>
      </c>
      <c r="CB70" s="20">
        <f t="shared" si="64"/>
        <v>578.99055234834634</v>
      </c>
      <c r="CC70" s="59">
        <f t="shared" si="65"/>
        <v>872.32388568167971</v>
      </c>
      <c r="CD70" s="59">
        <f ca="1">AVERAGE(OFFSET($CC$3,0,0,'Données projet'!$E$12+1,1))-AVERAGE(OFFSET($H$3,0,0,'Données projet'!$E$12+1,1))</f>
        <v>287.72859857368331</v>
      </c>
      <c r="CE70" s="59">
        <f t="shared" si="94"/>
        <v>179.60736986885922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24.631568211598857</v>
      </c>
      <c r="CL70" s="21">
        <f>EXP(-LN(2)/25)*CL69+(1-EXP(-LN(2)/25))/(LN(2)/25)*Calculateur!CG70*Calculateur!CI70*VLOOKUP('Données projet'!$B$12,Paramètres!$A$1:$I$89,3,0)*0.475*44/12</f>
        <v>26.67551356298101</v>
      </c>
      <c r="CM70" s="21">
        <f>EXP(-LN(2)/2)*CM69+(1-EXP(-LN(2)/2))/(LN(2)/2)*CG70*CJ70*VLOOKUP('Données projet'!$B$12,Paramètres!$A$1:$I$89,3,0)*0.475*44/12</f>
        <v>2.4591345727520411</v>
      </c>
      <c r="CN70" s="22">
        <f t="shared" si="66"/>
        <v>53.766216347331913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4.5999999999999996</v>
      </c>
      <c r="CT70" s="12">
        <f>IF('Données projet'!$A$140&gt;35,CT69+CS70-DB69,IF(A70&lt;'Données projet'!$A$140,$CQ$205^A70,IF(A70='Données projet'!$A$140,'Données projet'!$B$140,CT69+CS70-DB69)))</f>
        <v>302.19999999999987</v>
      </c>
      <c r="CU70" s="17">
        <f>CT70*VLOOKUP('Données projet'!$B$13,Paramètres!$A$1:$I$89,3,0)*VLOOKUP('Données projet'!$B$13,Paramètres!$A$1:$I$89,5,0)</f>
        <v>240.43031999999991</v>
      </c>
      <c r="CV70" s="13">
        <f t="shared" si="95"/>
        <v>58.532106271380506</v>
      </c>
      <c r="CW70" s="20">
        <f t="shared" si="67"/>
        <v>520.69289242265415</v>
      </c>
      <c r="CX70" s="59">
        <f t="shared" si="68"/>
        <v>814.02622575598753</v>
      </c>
      <c r="CY70" s="59">
        <f ca="1">AVERAGE(OFFSET($CX$3,0,0,'Données projet'!$E$13+1,1))-AVERAGE(OFFSET($H$3,0,0,'Données projet'!$E$13+1,1))</f>
        <v>243.33915530322201</v>
      </c>
      <c r="CZ70" s="59">
        <f t="shared" si="96"/>
        <v>247.73814704672577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14.250733381005093</v>
      </c>
      <c r="DG70" s="21">
        <f>EXP(-LN(2)/25)*DG69+(1-EXP(-LN(2)/25))/(LN(2)/25)*Calculateur!DB70*Calculateur!DD70*VLOOKUP('Données projet'!$B$13,Paramètres!$A$1:$I$89,3,0)*0.475*44/12</f>
        <v>15.289236536075345</v>
      </c>
      <c r="DH70" s="21">
        <f>EXP(-LN(2)/2)*DH69+(1-EXP(-LN(2)/2))/(LN(2)/2)*DB70*DE70*VLOOKUP('Données projet'!$B$13,Paramètres!$A$1:$I$89,3,0)*0.475*44/12</f>
        <v>1.5117191406054111</v>
      </c>
      <c r="DI70" s="22">
        <f t="shared" si="69"/>
        <v>31.051689057685849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16.682857142857149</v>
      </c>
      <c r="N71" s="13">
        <f>IF('Données projet'!$A$36&gt;35,N70+M71-V70,IF(A71&lt;'Données projet'!$A$36,$K$205^A71,IF(A71='Données projet'!$A$36,'Données projet'!$B$36,N70+M71-V70)))</f>
        <v>553.49428571428621</v>
      </c>
      <c r="O71" s="13">
        <f>N71*VLOOKUP('Données projet'!$B$9,Paramètres!$A$1:$I$89,3,0)*VLOOKUP('Données projet'!$B$9,Paramètres!$A$1:$I$89,5,0)</f>
        <v>309.40330571428598</v>
      </c>
      <c r="P71" s="13">
        <f t="shared" si="87"/>
        <v>73.144202686055834</v>
      </c>
      <c r="Q71" s="20">
        <f t="shared" si="54"/>
        <v>666.27024379726197</v>
      </c>
      <c r="R71" s="59">
        <f t="shared" si="55"/>
        <v>959.60357713059534</v>
      </c>
      <c r="S71" s="59">
        <f ca="1">AVERAGE(OFFSET($R$3,0,0,'Données projet'!$E$9+1,1))-AVERAGE(OFFSET($H$3,0,0,'Données projet'!$E$9+1,1))</f>
        <v>287.413090017863</v>
      </c>
      <c r="T71" s="59">
        <f t="shared" si="88"/>
        <v>258.48456031927117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90.658055524773317</v>
      </c>
      <c r="AA71" s="21">
        <f>EXP(-LN(2)/25)*AA70+(1-EXP(-LN(2)/25))/(LN(2)/25)*Calculateur!V71*Calculateur!X71*VLOOKUP('Données projet'!$B$9,Paramètres!$A$1:$I$89,3,0)*0.475*44/12</f>
        <v>30.733218148640713</v>
      </c>
      <c r="AB71" s="21">
        <f>EXP(-LN(2)/2)*AB70+(1-EXP(-LN(2)/2))/(LN(2)/2)*V71*Y71*VLOOKUP('Données projet'!$B$9,Paramètres!$A$1:$I$89,3,0)*0.475*44/12</f>
        <v>2.4373798517806646</v>
      </c>
      <c r="AC71" s="22">
        <f t="shared" si="57"/>
        <v>123.8286535251947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9.733749999999997</v>
      </c>
      <c r="AI71" s="13">
        <f>IF('Données projet'!$A$62&gt;35,AI70+AH71-AQ70,IF(A71&lt;'Données projet'!$A$62,$AF$205^A71,IF(A71='Données projet'!$A$62,'Données projet'!$B$62,AI70+AH71-AQ70)))</f>
        <v>252.55750000000032</v>
      </c>
      <c r="AJ71" s="13">
        <f>AI71*VLOOKUP('Données projet'!$B$10,Paramètres!$A$1:$I$89,3,0)*VLOOKUP('Données projet'!$B$10,Paramètres!$A$1:$I$89,5,0)</f>
        <v>228.51402600000029</v>
      </c>
      <c r="AK71" s="13">
        <f t="shared" si="89"/>
        <v>55.96125810397254</v>
      </c>
      <c r="AL71" s="20">
        <f t="shared" si="58"/>
        <v>495.46111981441936</v>
      </c>
      <c r="AM71" s="59">
        <f t="shared" si="59"/>
        <v>788.79445314775262</v>
      </c>
      <c r="AN71" s="59">
        <f ca="1">AVERAGE(OFFSET($AM$3,0,0,'Données projet'!$E$10+1,1))-AVERAGE(OFFSET($H$3,0,0,'Données projet'!$E$10+1,1))</f>
        <v>422.10969295064359</v>
      </c>
      <c r="AO71" s="59">
        <f t="shared" si="90"/>
        <v>184.04075143033037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7.7668871553389076</v>
      </c>
      <c r="AV71" s="21">
        <f>EXP(-LN(2)/25)*AV70+(1-EXP(-LN(2)/25))/(LN(2)/25)*Calculateur!AQ71*Calculateur!AS71*VLOOKUP('Données projet'!$B$10,Paramètres!$A$1:$I$89,3,0)*0.475*44/12</f>
        <v>31.993653003128042</v>
      </c>
      <c r="AW71" s="21">
        <f>EXP(-LN(2)/2)*AW70+(1-EXP(-LN(2)/2))/(LN(2)/2)*AQ71*AT71*VLOOKUP('Données projet'!$B$10,Paramètres!$A$1:$I$89,3,0)*0.475*44/12</f>
        <v>2.5597761711002054</v>
      </c>
      <c r="AX71" s="21">
        <f t="shared" si="60"/>
        <v>42.320316329567156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16</v>
      </c>
      <c r="BD71" s="12">
        <f>IF('Données projet'!$A$88&gt;35,BD70+BC71-BL70,IF(A71&lt;'Données projet'!$A$88,$BA$205^A71,IF(A71='Données projet'!$A$88,'Données projet'!$B$88,BD70+BC71-BL70)))</f>
        <v>614.99999999999955</v>
      </c>
      <c r="BE71" s="13">
        <f>BD71*VLOOKUP('Données projet'!$B$11,Paramètres!$A$1:$I$89,3,0)*VLOOKUP('Données projet'!$B$11,Paramètres!$A$1:$I$89,5,0)</f>
        <v>247.84499999999983</v>
      </c>
      <c r="BF71" s="13">
        <f t="shared" si="91"/>
        <v>60.124247782958072</v>
      </c>
      <c r="BG71" s="20">
        <f t="shared" si="61"/>
        <v>536.37977322198503</v>
      </c>
      <c r="BH71" s="59">
        <f t="shared" si="62"/>
        <v>829.71310655531829</v>
      </c>
      <c r="BI71" s="59">
        <f ca="1">AVERAGE(OFFSET($BH$3,0,0,'Données projet'!$E$11+1,1))-AVERAGE(OFFSET($H$3,0,0,'Données projet'!$E$11+1,1))</f>
        <v>217.61052961346684</v>
      </c>
      <c r="BJ71" s="59">
        <f t="shared" si="92"/>
        <v>180.77145728128608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39.770373487460425</v>
      </c>
      <c r="BQ71" s="21">
        <f>EXP(-LN(2)/25)*BQ70+(1-EXP(-LN(2)/25))/(LN(2)/25)*Calculateur!BL71*Calculateur!BN71*VLOOKUP('Données projet'!$B$11,Paramètres!$A$1:$I$89,3,0)*0.475*44/12</f>
        <v>20.923965658824827</v>
      </c>
      <c r="BR71" s="21">
        <f>EXP(-LN(2)/2)*BR70+(1-EXP(-LN(2)/2))/(LN(2)/2)*BL71*BO71*VLOOKUP('Données projet'!$B$11,Paramètres!$A$1:$I$89,3,0)*0.475*44/12</f>
        <v>1.7753362943036433</v>
      </c>
      <c r="BS71" s="22">
        <f t="shared" si="63"/>
        <v>62.469675440588894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13.374285714285715</v>
      </c>
      <c r="BY71" s="12">
        <f>IF('Données projet'!$A$114&gt;35,BY70+BX71-CG70,IF(A71&lt;'Données projet'!$A$114,$BV$205^A71,IF(A71='Données projet'!$A$114,'Données projet'!$B$114,BY70+BX71-CG70)))</f>
        <v>331.52285714285694</v>
      </c>
      <c r="BZ71" s="13">
        <f>BY71*VLOOKUP('Données projet'!$B$12,Paramètres!$A$1:$I$89,3,0)*VLOOKUP('Données projet'!$B$12,Paramètres!$A$1:$I$89,5,0)</f>
        <v>279.27485485714271</v>
      </c>
      <c r="CA71" s="13">
        <f t="shared" si="93"/>
        <v>66.813741746726478</v>
      </c>
      <c r="CB71" s="20">
        <f t="shared" si="64"/>
        <v>602.77097241840545</v>
      </c>
      <c r="CC71" s="59">
        <f t="shared" si="65"/>
        <v>896.10430575173882</v>
      </c>
      <c r="CD71" s="59">
        <f ca="1">AVERAGE(OFFSET($CC$3,0,0,'Données projet'!$E$12+1,1))-AVERAGE(OFFSET($H$3,0,0,'Données projet'!$E$12+1,1))</f>
        <v>287.72859857368331</v>
      </c>
      <c r="CE71" s="59">
        <f t="shared" si="94"/>
        <v>179.60736986885922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24.148558182742537</v>
      </c>
      <c r="CL71" s="21">
        <f>EXP(-LN(2)/25)*CL70+(1-EXP(-LN(2)/25))/(LN(2)/25)*Calculateur!CG71*Calculateur!CI71*VLOOKUP('Données projet'!$B$12,Paramètres!$A$1:$I$89,3,0)*0.475*44/12</f>
        <v>25.946070241797003</v>
      </c>
      <c r="CM71" s="21">
        <f>EXP(-LN(2)/2)*CM70+(1-EXP(-LN(2)/2))/(LN(2)/2)*CG71*CJ71*VLOOKUP('Données projet'!$B$12,Paramètres!$A$1:$I$89,3,0)*0.475*44/12</f>
        <v>1.7388707322432517</v>
      </c>
      <c r="CN71" s="22">
        <f t="shared" si="66"/>
        <v>51.833499156782786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4.5999999999999996</v>
      </c>
      <c r="CT71" s="12">
        <f>IF('Données projet'!$A$140&gt;35,CT70+CS71-DB70,IF(A71&lt;'Données projet'!$A$140,$CQ$205^A71,IF(A71='Données projet'!$A$140,'Données projet'!$B$140,CT70+CS71-DB70)))</f>
        <v>306.7999999999999</v>
      </c>
      <c r="CU71" s="17">
        <f>CT71*VLOOKUP('Données projet'!$B$13,Paramètres!$A$1:$I$89,3,0)*VLOOKUP('Données projet'!$B$13,Paramètres!$A$1:$I$89,5,0)</f>
        <v>244.09007999999994</v>
      </c>
      <c r="CV71" s="13">
        <f t="shared" si="95"/>
        <v>59.318663780863893</v>
      </c>
      <c r="CW71" s="20">
        <f t="shared" si="67"/>
        <v>528.43689541833794</v>
      </c>
      <c r="CX71" s="59">
        <f t="shared" si="68"/>
        <v>821.77022875167131</v>
      </c>
      <c r="CY71" s="59">
        <f ca="1">AVERAGE(OFFSET($CX$3,0,0,'Données projet'!$E$13+1,1))-AVERAGE(OFFSET($H$3,0,0,'Données projet'!$E$13+1,1))</f>
        <v>243.33915530322201</v>
      </c>
      <c r="CZ71" s="59">
        <f t="shared" si="96"/>
        <v>247.73814704672577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13.971285191492672</v>
      </c>
      <c r="DG71" s="21">
        <f>EXP(-LN(2)/25)*DG70+(1-EXP(-LN(2)/25))/(LN(2)/25)*Calculateur!DB71*Calculateur!DD71*VLOOKUP('Données projet'!$B$13,Paramètres!$A$1:$I$89,3,0)*0.475*44/12</f>
        <v>14.871151558970359</v>
      </c>
      <c r="DH71" s="21">
        <f>EXP(-LN(2)/2)*DH70+(1-EXP(-LN(2)/2))/(LN(2)/2)*DB71*DE71*VLOOKUP('Données projet'!$B$13,Paramètres!$A$1:$I$89,3,0)*0.475*44/12</f>
        <v>1.0689468555715862</v>
      </c>
      <c r="DI71" s="22">
        <f t="shared" si="69"/>
        <v>29.911383606034615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16.682857142857149</v>
      </c>
      <c r="N72" s="13">
        <f>IF('Données projet'!$A$36&gt;35,N71+M72-V71,IF(A72&lt;'Données projet'!$A$36,$K$205^A72,IF(A72='Données projet'!$A$36,'Données projet'!$B$36,N71+M72-V71)))</f>
        <v>570.17714285714339</v>
      </c>
      <c r="O72" s="13">
        <f>N72*VLOOKUP('Données projet'!$B$9,Paramètres!$A$1:$I$89,3,0)*VLOOKUP('Données projet'!$B$9,Paramètres!$A$1:$I$89,5,0)</f>
        <v>318.72902285714315</v>
      </c>
      <c r="P72" s="13">
        <f t="shared" si="87"/>
        <v>75.088840929664514</v>
      </c>
      <c r="Q72" s="20">
        <f t="shared" si="54"/>
        <v>685.89944609535667</v>
      </c>
      <c r="R72" s="59">
        <f t="shared" si="55"/>
        <v>979.23277942869004</v>
      </c>
      <c r="S72" s="59">
        <f ca="1">AVERAGE(OFFSET($R$3,0,0,'Données projet'!$E$9+1,1))-AVERAGE(OFFSET($H$3,0,0,'Données projet'!$E$9+1,1))</f>
        <v>287.413090017863</v>
      </c>
      <c r="T72" s="59">
        <f t="shared" si="88"/>
        <v>258.48456031927117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88.880306351886361</v>
      </c>
      <c r="AA72" s="21">
        <f>EXP(-LN(2)/25)*AA71+(1-EXP(-LN(2)/25))/(LN(2)/25)*Calculateur!V72*Calculateur!X72*VLOOKUP('Données projet'!$B$9,Paramètres!$A$1:$I$89,3,0)*0.475*44/12</f>
        <v>29.892816682176431</v>
      </c>
      <c r="AB72" s="21">
        <f>EXP(-LN(2)/2)*AB71+(1-EXP(-LN(2)/2))/(LN(2)/2)*V72*Y72*VLOOKUP('Données projet'!$B$9,Paramètres!$A$1:$I$89,3,0)*0.475*44/12</f>
        <v>1.7234878215215701</v>
      </c>
      <c r="AC72" s="22">
        <f t="shared" si="57"/>
        <v>120.49661085558436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9.733749999999997</v>
      </c>
      <c r="AI72" s="13">
        <f>IF('Données projet'!$A$62&gt;35,AI71+AH72-AQ71,IF(A72&lt;'Données projet'!$A$62,$AF$205^A72,IF(A72='Données projet'!$A$62,'Données projet'!$B$62,AI71+AH72-AQ71)))</f>
        <v>262.29125000000033</v>
      </c>
      <c r="AJ72" s="13">
        <f>AI72*VLOOKUP('Données projet'!$B$10,Paramètres!$A$1:$I$89,3,0)*VLOOKUP('Données projet'!$B$10,Paramètres!$A$1:$I$89,5,0)</f>
        <v>237.32112300000028</v>
      </c>
      <c r="AK72" s="13">
        <f t="shared" si="89"/>
        <v>57.862781053141006</v>
      </c>
      <c r="AL72" s="20">
        <f t="shared" si="58"/>
        <v>514.11196622588784</v>
      </c>
      <c r="AM72" s="59">
        <f t="shared" si="59"/>
        <v>807.44529955922121</v>
      </c>
      <c r="AN72" s="59">
        <f ca="1">AVERAGE(OFFSET($AM$3,0,0,'Données projet'!$E$10+1,1))-AVERAGE(OFFSET($H$3,0,0,'Données projet'!$E$10+1,1))</f>
        <v>422.10969295064359</v>
      </c>
      <c r="AO72" s="59">
        <f t="shared" si="90"/>
        <v>184.04075143033037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7.6145832355561032</v>
      </c>
      <c r="AV72" s="21">
        <f>EXP(-LN(2)/25)*AV71+(1-EXP(-LN(2)/25))/(LN(2)/25)*Calculateur!AQ72*Calculateur!AS72*VLOOKUP('Données projet'!$B$10,Paramètres!$A$1:$I$89,3,0)*0.475*44/12</f>
        <v>31.118784879284416</v>
      </c>
      <c r="AW72" s="21">
        <f>EXP(-LN(2)/2)*AW71+(1-EXP(-LN(2)/2))/(LN(2)/2)*AQ72*AT72*VLOOKUP('Données projet'!$B$10,Paramètres!$A$1:$I$89,3,0)*0.475*44/12</f>
        <v>1.8100350889046914</v>
      </c>
      <c r="AX72" s="21">
        <f t="shared" si="60"/>
        <v>40.543403203745207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16</v>
      </c>
      <c r="BD72" s="12">
        <f>IF('Données projet'!$A$88&gt;35,BD71+BC72-BL71,IF(A72&lt;'Données projet'!$A$88,$BA$205^A72,IF(A72='Données projet'!$A$88,'Données projet'!$B$88,BD71+BC72-BL71)))</f>
        <v>630.99999999999955</v>
      </c>
      <c r="BE72" s="13">
        <f>BD72*VLOOKUP('Données projet'!$B$11,Paramètres!$A$1:$I$89,3,0)*VLOOKUP('Données projet'!$B$11,Paramètres!$A$1:$I$89,5,0)</f>
        <v>254.29299999999984</v>
      </c>
      <c r="BF72" s="13">
        <f t="shared" si="91"/>
        <v>61.504309268786493</v>
      </c>
      <c r="BG72" s="20">
        <f t="shared" si="61"/>
        <v>550.01364697646943</v>
      </c>
      <c r="BH72" s="59">
        <f t="shared" si="62"/>
        <v>843.3469803098028</v>
      </c>
      <c r="BI72" s="59">
        <f ca="1">AVERAGE(OFFSET($BH$3,0,0,'Données projet'!$E$11+1,1))-AVERAGE(OFFSET($H$3,0,0,'Données projet'!$E$11+1,1))</f>
        <v>217.61052961346684</v>
      </c>
      <c r="BJ72" s="59">
        <f t="shared" si="92"/>
        <v>180.77145728128608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38.990500720903924</v>
      </c>
      <c r="BQ72" s="21">
        <f>EXP(-LN(2)/25)*BQ71+(1-EXP(-LN(2)/25))/(LN(2)/25)*Calculateur!BL72*Calculateur!BN72*VLOOKUP('Données projet'!$B$11,Paramètres!$A$1:$I$89,3,0)*0.475*44/12</f>
        <v>20.351798717540731</v>
      </c>
      <c r="BR72" s="21">
        <f>EXP(-LN(2)/2)*BR71+(1-EXP(-LN(2)/2))/(LN(2)/2)*BL72*BO72*VLOOKUP('Données projet'!$B$11,Paramètres!$A$1:$I$89,3,0)*0.475*44/12</f>
        <v>1.2553523325887026</v>
      </c>
      <c r="BS72" s="22">
        <f t="shared" si="63"/>
        <v>60.597651771033355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13.374285714285715</v>
      </c>
      <c r="BY72" s="12">
        <f>IF('Données projet'!$A$114&gt;35,BY71+BX72-CG71,IF(A72&lt;'Données projet'!$A$114,$BV$205^A72,IF(A72='Données projet'!$A$114,'Données projet'!$B$114,BY71+BX72-CG71)))</f>
        <v>344.89714285714263</v>
      </c>
      <c r="BZ72" s="13">
        <f>BY72*VLOOKUP('Données projet'!$B$12,Paramètres!$A$1:$I$89,3,0)*VLOOKUP('Données projet'!$B$12,Paramètres!$A$1:$I$89,5,0)</f>
        <v>290.54135314285702</v>
      </c>
      <c r="CA72" s="13">
        <f t="shared" si="93"/>
        <v>69.1898857973042</v>
      </c>
      <c r="CB72" s="20">
        <f t="shared" si="64"/>
        <v>626.53190782078082</v>
      </c>
      <c r="CC72" s="59">
        <f t="shared" si="65"/>
        <v>919.86524115411407</v>
      </c>
      <c r="CD72" s="59">
        <f ca="1">AVERAGE(OFFSET($CC$3,0,0,'Données projet'!$E$12+1,1))-AVERAGE(OFFSET($H$3,0,0,'Données projet'!$E$12+1,1))</f>
        <v>287.72859857368331</v>
      </c>
      <c r="CE72" s="59">
        <f t="shared" si="94"/>
        <v>179.60736986885922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23.675019685945063</v>
      </c>
      <c r="CL72" s="21">
        <f>EXP(-LN(2)/25)*CL71+(1-EXP(-LN(2)/25))/(LN(2)/25)*Calculateur!CG72*Calculateur!CI72*VLOOKUP('Données projet'!$B$12,Paramètres!$A$1:$I$89,3,0)*0.475*44/12</f>
        <v>25.236573586590531</v>
      </c>
      <c r="CM72" s="21">
        <f>EXP(-LN(2)/2)*CM71+(1-EXP(-LN(2)/2))/(LN(2)/2)*CG72*CJ72*VLOOKUP('Données projet'!$B$12,Paramètres!$A$1:$I$89,3,0)*0.475*44/12</f>
        <v>1.2295672863760208</v>
      </c>
      <c r="CN72" s="22">
        <f t="shared" si="66"/>
        <v>50.141160558911615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4.5999999999999996</v>
      </c>
      <c r="CT72" s="12">
        <f>IF('Données projet'!$A$140&gt;35,CT71+CS72-DB71,IF(A72&lt;'Données projet'!$A$140,$CQ$205^A72,IF(A72='Données projet'!$A$140,'Données projet'!$B$140,CT71+CS72-DB71)))</f>
        <v>311.39999999999992</v>
      </c>
      <c r="CU72" s="17">
        <f>CT72*VLOOKUP('Données projet'!$B$13,Paramètres!$A$1:$I$89,3,0)*VLOOKUP('Données projet'!$B$13,Paramètres!$A$1:$I$89,5,0)</f>
        <v>247.74983999999995</v>
      </c>
      <c r="CV72" s="13">
        <f t="shared" si="95"/>
        <v>60.103849700617872</v>
      </c>
      <c r="CW72" s="20">
        <f t="shared" si="67"/>
        <v>536.17850956190932</v>
      </c>
      <c r="CX72" s="59">
        <f t="shared" si="68"/>
        <v>829.51184289524258</v>
      </c>
      <c r="CY72" s="59">
        <f ca="1">AVERAGE(OFFSET($CX$3,0,0,'Données projet'!$E$13+1,1))-AVERAGE(OFFSET($H$3,0,0,'Données projet'!$E$13+1,1))</f>
        <v>243.33915530322201</v>
      </c>
      <c r="CZ72" s="59">
        <f t="shared" si="96"/>
        <v>247.73814704672577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13.697316810530026</v>
      </c>
      <c r="DG72" s="21">
        <f>EXP(-LN(2)/25)*DG71+(1-EXP(-LN(2)/25))/(LN(2)/25)*Calculateur!DB72*Calculateur!DD72*VLOOKUP('Données projet'!$B$13,Paramètres!$A$1:$I$89,3,0)*0.475*44/12</f>
        <v>14.464499137550442</v>
      </c>
      <c r="DH72" s="21">
        <f>EXP(-LN(2)/2)*DH71+(1-EXP(-LN(2)/2))/(LN(2)/2)*DB72*DE72*VLOOKUP('Données projet'!$B$13,Paramètres!$A$1:$I$89,3,0)*0.475*44/12</f>
        <v>0.75585957030270567</v>
      </c>
      <c r="DI72" s="22">
        <f t="shared" si="69"/>
        <v>28.917675518383174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586.86</v>
      </c>
      <c r="L73" s="12">
        <f>VLOOKUP(A73,'Données projet'!$A$35:$I$55,9,0)</f>
        <v>16.682857142857149</v>
      </c>
      <c r="M73" s="12">
        <f t="array" ref="M73">INDEX(L:L,MIN(IF(ISNUMBER(L73:L269),ROW(L73:L269),"")))</f>
        <v>16.682857142857149</v>
      </c>
      <c r="N73" s="13">
        <f>IF('Données projet'!$A$36&gt;35,N72+M73-V72,IF(A73&lt;'Données projet'!$A$36,$K$205^A73,IF(A73='Données projet'!$A$36,'Données projet'!$B$36,N72+M73-V72)))</f>
        <v>586.86000000000058</v>
      </c>
      <c r="O73" s="13">
        <f>N73*VLOOKUP('Données projet'!$B$9,Paramètres!$A$1:$I$89,3,0)*VLOOKUP('Données projet'!$B$9,Paramètres!$A$1:$I$89,5,0)</f>
        <v>328.05474000000032</v>
      </c>
      <c r="P73" s="13">
        <f t="shared" si="87"/>
        <v>77.026866477102189</v>
      </c>
      <c r="Q73" s="20">
        <f t="shared" si="54"/>
        <v>705.51713128095355</v>
      </c>
      <c r="R73" s="59">
        <f t="shared" si="55"/>
        <v>998.85046461428692</v>
      </c>
      <c r="S73" s="59">
        <f ca="1">AVERAGE(OFFSET($R$3,0,0,'Données projet'!$E$9+1,1))-AVERAGE(OFFSET($H$3,0,0,'Données projet'!$E$9+1,1))</f>
        <v>287.413090017863</v>
      </c>
      <c r="T73" s="59">
        <f t="shared" si="88"/>
        <v>258.48456031927117</v>
      </c>
      <c r="U73" s="15">
        <f>IF(ISNA(VLOOKUP(A73,'Données projet'!$A$35:$I$55,3,0)),0,VLOOKUP(A73,'Données projet'!$A$35:$I$55,3,0))</f>
        <v>8</v>
      </c>
      <c r="V73" s="15">
        <f>IF(ISNA(VLOOKUP(A73,'Données projet'!$A$35:$I$55,4,0)),0,VLOOKUP(A73,'Données projet'!$A$35:$I$55,4,0))</f>
        <v>586.86</v>
      </c>
      <c r="W73" s="16">
        <f>IF(ISNA(VLOOKUP(A73,'Données projet'!$A$35:$I$55,5,0)),0%,VLOOKUP(A73,'Données projet'!$A$35:$I$55,5,0)*VLOOKUP('Données projet'!$B$9,Paramètres!$A$1:$I$89,7,0))</f>
        <v>0.33</v>
      </c>
      <c r="X73" s="16">
        <f>IF(ISNA(VLOOKUP(A73,'Données projet'!$A$35:$I$55,6,0)),0%,VLOOKUP(A73,'Données projet'!$A$35:$I$55,6,0)*VLOOKUP('Données projet'!$B$9,Paramètres!$A$1:$I$89,7,0))</f>
        <v>0.11000000000000001</v>
      </c>
      <c r="Y73" s="16">
        <f>IF(ISNA(VLOOKUP(A73,'Données projet'!$A$35:$I$55,7,0)),0%,VLOOKUP(A73,'Données projet'!$A$35:$I$55,7,0))</f>
        <v>0.2</v>
      </c>
      <c r="Z73" s="21">
        <f>EXP(-LN(2)/35)*Z72+(1-EXP(-LN(2)/35))/(LN(2)/35)*V73*W73*VLOOKUP('Données projet'!$B$9,Paramètres!$A$1:$I$89,3,0)*0.475*44/12</f>
        <v>230.74871773837151</v>
      </c>
      <c r="AA73" s="21">
        <f>EXP(-LN(2)/25)*AA72+(1-EXP(-LN(2)/25))/(LN(2)/25)*Calculateur!V73*Calculateur!X73*VLOOKUP('Données projet'!$B$9,Paramètres!$A$1:$I$89,3,0)*0.475*44/12</f>
        <v>76.757345229402674</v>
      </c>
      <c r="AB73" s="21">
        <f>EXP(-LN(2)/2)*AB72+(1-EXP(-LN(2)/2))/(LN(2)/2)*V73*Y73*VLOOKUP('Données projet'!$B$9,Paramètres!$A$1:$I$89,3,0)*0.475*44/12</f>
        <v>75.505524322819824</v>
      </c>
      <c r="AC73" s="22">
        <f t="shared" si="57"/>
        <v>383.01158729059404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9.733749999999997</v>
      </c>
      <c r="AI73" s="13">
        <f>IF('Données projet'!$A$62&gt;35,AI72+AH73-AQ72,IF(A73&lt;'Données projet'!$A$62,$AF$205^A73,IF(A73='Données projet'!$A$62,'Données projet'!$B$62,AI72+AH73-AQ72)))</f>
        <v>272.02500000000032</v>
      </c>
      <c r="AJ73" s="13">
        <f>AI73*VLOOKUP('Données projet'!$B$10,Paramètres!$A$1:$I$89,3,0)*VLOOKUP('Données projet'!$B$10,Paramètres!$A$1:$I$89,5,0)</f>
        <v>246.12822000000025</v>
      </c>
      <c r="AK73" s="13">
        <f t="shared" si="89"/>
        <v>59.756105801003123</v>
      </c>
      <c r="AL73" s="20">
        <f t="shared" si="58"/>
        <v>532.74853410341427</v>
      </c>
      <c r="AM73" s="59">
        <f t="shared" si="59"/>
        <v>826.08186743674764</v>
      </c>
      <c r="AN73" s="59">
        <f ca="1">AVERAGE(OFFSET($AM$3,0,0,'Données projet'!$E$10+1,1))-AVERAGE(OFFSET($H$3,0,0,'Données projet'!$E$10+1,1))</f>
        <v>422.10969295064359</v>
      </c>
      <c r="AO73" s="59">
        <f t="shared" si="90"/>
        <v>184.04075143033037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7.4652659027440214</v>
      </c>
      <c r="AV73" s="21">
        <f>EXP(-LN(2)/25)*AV72+(1-EXP(-LN(2)/25))/(LN(2)/25)*Calculateur!AQ73*Calculateur!AS73*VLOOKUP('Données projet'!$B$10,Paramètres!$A$1:$I$89,3,0)*0.475*44/12</f>
        <v>30.267840070294611</v>
      </c>
      <c r="AW73" s="21">
        <f>EXP(-LN(2)/2)*AW72+(1-EXP(-LN(2)/2))/(LN(2)/2)*AQ73*AT73*VLOOKUP('Données projet'!$B$10,Paramètres!$A$1:$I$89,3,0)*0.475*44/12</f>
        <v>1.2798880855501029</v>
      </c>
      <c r="AX73" s="21">
        <f t="shared" si="60"/>
        <v>39.012994058588738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647</v>
      </c>
      <c r="BB73" s="12">
        <f>VLOOKUP(A73,'Données projet'!$A$87:$I$107,9,0)</f>
        <v>16</v>
      </c>
      <c r="BC73" s="12">
        <f t="array" ref="BC73">INDEX(BB:BB,MIN(IF(ISNUMBER(BB73:BB269),ROW(BB73:BB269),"")))</f>
        <v>16</v>
      </c>
      <c r="BD73" s="12">
        <f>IF('Données projet'!$A$88&gt;35,BD72+BC73-BL72,IF(A73&lt;'Données projet'!$A$88,$BA$205^A73,IF(A73='Données projet'!$A$88,'Données projet'!$B$88,BD72+BC73-BL72)))</f>
        <v>646.99999999999955</v>
      </c>
      <c r="BE73" s="13">
        <f>BD73*VLOOKUP('Données projet'!$B$11,Paramètres!$A$1:$I$89,3,0)*VLOOKUP('Données projet'!$B$11,Paramètres!$A$1:$I$89,5,0)</f>
        <v>260.74099999999981</v>
      </c>
      <c r="BF73" s="13">
        <f t="shared" si="91"/>
        <v>62.88030304004446</v>
      </c>
      <c r="BG73" s="20">
        <f t="shared" si="61"/>
        <v>563.640436128077</v>
      </c>
      <c r="BH73" s="59">
        <f t="shared" si="62"/>
        <v>856.97376946141026</v>
      </c>
      <c r="BI73" s="59">
        <f ca="1">AVERAGE(OFFSET($BH$3,0,0,'Données projet'!$E$11+1,1))-AVERAGE(OFFSET($H$3,0,0,'Données projet'!$E$11+1,1))</f>
        <v>217.61052961346684</v>
      </c>
      <c r="BJ73" s="59">
        <f t="shared" si="92"/>
        <v>180.77145728128608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41</v>
      </c>
      <c r="BM73" s="16">
        <f>IF(ISNA(VLOOKUP(A73,'Données projet'!$A$87:$I$107,5,0)),0%,VLOOKUP(A73,'Données projet'!$A$87:$I$107,5,0)*VLOOKUP('Données projet'!$B$11,Paramètres!$A$1:$I$89,7,0))</f>
        <v>0.33</v>
      </c>
      <c r="BN73" s="16">
        <f>IF(ISNA(VLOOKUP(A73,'Données projet'!$A$87:$I$107,6,0)),0%,VLOOKUP(A73,'Données projet'!$A$87:$I$107,6,0)*VLOOKUP('Données projet'!$B$11,Paramètres!$A$1:$I$89,7,0))</f>
        <v>0.11000000000000001</v>
      </c>
      <c r="BO73" s="16">
        <f>IF(ISNA(VLOOKUP(A73,'Données projet'!$A$87:$I$107,7,0)),0%,VLOOKUP(A73,'Données projet'!$A$87:$I$107,7,0))</f>
        <v>0.2</v>
      </c>
      <c r="BP73" s="21">
        <f>EXP(-LN(2)/35)*BP72+(1-EXP(-LN(2)/35))/(LN(2)/35)*BL73*BM73*VLOOKUP('Données projet'!$B$11,Paramètres!$A$1:$I$89,3,0)*0.475*44/12</f>
        <v>45.459132867709258</v>
      </c>
      <c r="BQ73" s="21">
        <f>EXP(-LN(2)/25)*BQ72+(1-EXP(-LN(2)/25))/(LN(2)/25)*Calculateur!BL73*Calculateur!BN73*VLOOKUP('Données projet'!$B$11,Paramètres!$A$1:$I$89,3,0)*0.475*44/12</f>
        <v>22.196855102035052</v>
      </c>
      <c r="BR73" s="21">
        <f>EXP(-LN(2)/2)*BR72+(1-EXP(-LN(2)/2))/(LN(2)/2)*BL73*BO73*VLOOKUP('Données projet'!$B$11,Paramètres!$A$1:$I$89,3,0)*0.475*44/12</f>
        <v>4.6292429975577818</v>
      </c>
      <c r="BS73" s="22">
        <f t="shared" si="63"/>
        <v>72.285230967302084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13.374285714285715</v>
      </c>
      <c r="BY73" s="12">
        <f>IF('Données projet'!$A$114&gt;35,BY72+BX73-CG72,IF(A73&lt;'Données projet'!$A$114,$BV$205^A73,IF(A73='Données projet'!$A$114,'Données projet'!$B$114,BY72+BX73-CG72)))</f>
        <v>358.27142857142832</v>
      </c>
      <c r="BZ73" s="13">
        <f>BY73*VLOOKUP('Données projet'!$B$12,Paramètres!$A$1:$I$89,3,0)*VLOOKUP('Données projet'!$B$12,Paramètres!$A$1:$I$89,5,0)</f>
        <v>301.80785142857127</v>
      </c>
      <c r="CA73" s="13">
        <f t="shared" si="93"/>
        <v>71.555325950227484</v>
      </c>
      <c r="CB73" s="20">
        <f t="shared" si="64"/>
        <v>650.27420060140787</v>
      </c>
      <c r="CC73" s="59">
        <f t="shared" si="65"/>
        <v>943.60753393474124</v>
      </c>
      <c r="CD73" s="59">
        <f ca="1">AVERAGE(OFFSET($CC$3,0,0,'Données projet'!$E$12+1,1))-AVERAGE(OFFSET($H$3,0,0,'Données projet'!$E$12+1,1))</f>
        <v>287.72859857368331</v>
      </c>
      <c r="CE73" s="59">
        <f t="shared" si="94"/>
        <v>179.60736986885922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23.210766990239826</v>
      </c>
      <c r="CL73" s="21">
        <f>EXP(-LN(2)/25)*CL72+(1-EXP(-LN(2)/25))/(LN(2)/25)*Calculateur!CG73*Calculateur!CI73*VLOOKUP('Données projet'!$B$12,Paramètres!$A$1:$I$89,3,0)*0.475*44/12</f>
        <v>24.546478154731485</v>
      </c>
      <c r="CM73" s="21">
        <f>EXP(-LN(2)/2)*CM72+(1-EXP(-LN(2)/2))/(LN(2)/2)*CG73*CJ73*VLOOKUP('Données projet'!$B$12,Paramètres!$A$1:$I$89,3,0)*0.475*44/12</f>
        <v>0.86943536612162597</v>
      </c>
      <c r="CN73" s="22">
        <f t="shared" si="66"/>
        <v>48.626680511092935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316</v>
      </c>
      <c r="CR73" s="12">
        <f>VLOOKUP(A73,'Données projet'!$A$139:$I$159,9,0)</f>
        <v>4.5999999999999996</v>
      </c>
      <c r="CS73" s="12">
        <f t="array" ref="CS73">INDEX(CR:CR,MIN(IF(ISNUMBER(CR73:CR269),ROW(CR73:CR269),"")))</f>
        <v>4.5999999999999996</v>
      </c>
      <c r="CT73" s="12">
        <f>IF('Données projet'!$A$140&gt;35,CT72+CS73-DB72,IF(A73&lt;'Données projet'!$A$140,$CQ$205^A73,IF(A73='Données projet'!$A$140,'Données projet'!$B$140,CT72+CS73-DB72)))</f>
        <v>315.99999999999994</v>
      </c>
      <c r="CU73" s="17">
        <f>CT73*VLOOKUP('Données projet'!$B$13,Paramètres!$A$1:$I$89,3,0)*VLOOKUP('Données projet'!$B$13,Paramètres!$A$1:$I$89,5,0)</f>
        <v>251.40959999999995</v>
      </c>
      <c r="CV73" s="13">
        <f t="shared" si="95"/>
        <v>60.887686632376123</v>
      </c>
      <c r="CW73" s="20">
        <f t="shared" si="67"/>
        <v>543.917774218055</v>
      </c>
      <c r="CX73" s="59">
        <f t="shared" si="68"/>
        <v>837.25110755138826</v>
      </c>
      <c r="CY73" s="59">
        <f ca="1">AVERAGE(OFFSET($CX$3,0,0,'Données projet'!$E$13+1,1))-AVERAGE(OFFSET($H$3,0,0,'Données projet'!$E$13+1,1))</f>
        <v>243.33915530322201</v>
      </c>
      <c r="CZ73" s="59">
        <f t="shared" si="96"/>
        <v>247.73814704672577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13</v>
      </c>
      <c r="DC73" s="16">
        <f>IF(ISNA(VLOOKUP(A73,'Données projet'!$A$139:$I$159,5,0)),0%,VLOOKUP(A73,'Données projet'!$A$139:$I$159,5,0)*VLOOKUP('Données projet'!$B$13,Paramètres!$A$1:$I$89,7,0))</f>
        <v>0.13250000000000001</v>
      </c>
      <c r="DD73" s="16">
        <f>IF(ISNA(VLOOKUP(A73,'Données projet'!$A$139:$I$159,6,0)),0%,VLOOKUP(A73,'Données projet'!$A$139:$I$159,6,0)*VLOOKUP('Données projet'!$B$13,Paramètres!$A$1:$I$89,7,0))</f>
        <v>0.13250000000000001</v>
      </c>
      <c r="DE73" s="16">
        <f>IF(ISNA(VLOOKUP(A73,'Données projet'!$A$139:$I$159,7,0)),0%,VLOOKUP(A73,'Données projet'!$A$139:$I$159,7,0))</f>
        <v>0.25</v>
      </c>
      <c r="DF73" s="21">
        <f>EXP(-LN(2)/35)*DF72+(1-EXP(-LN(2)/35))/(LN(2)/35)*DB73*DC73*VLOOKUP('Données projet'!$B$13,Paramètres!$A$1:$I$89,3,0)*0.475*44/12</f>
        <v>14.94368060540377</v>
      </c>
      <c r="DG73" s="21">
        <f>EXP(-LN(2)/25)*DG72+(1-EXP(-LN(2)/25))/(LN(2)/25)*Calculateur!DB73*Calculateur!DD73*VLOOKUP('Données projet'!$B$13,Paramètres!$A$1:$I$89,3,0)*0.475*44/12</f>
        <v>15.57796149690104</v>
      </c>
      <c r="DH73" s="21">
        <f>EXP(-LN(2)/2)*DH72+(1-EXP(-LN(2)/2))/(LN(2)/2)*DB73*DE73*VLOOKUP('Données projet'!$B$13,Paramètres!$A$1:$I$89,3,0)*0.475*44/12</f>
        <v>2.9741509708809453</v>
      </c>
      <c r="DI73" s="22">
        <f t="shared" si="69"/>
        <v>33.495793073185752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5.6843418860808015E-13</v>
      </c>
      <c r="O74" s="13">
        <f>N74*VLOOKUP('Données projet'!$B$9,Paramètres!$A$1:$I$89,3,0)*VLOOKUP('Données projet'!$B$9,Paramètres!$A$1:$I$89,5,0)</f>
        <v>3.177547114319168E-13</v>
      </c>
      <c r="P74" s="13">
        <f t="shared" si="87"/>
        <v>4.1725404435445377E-12</v>
      </c>
      <c r="Q74" s="20">
        <f t="shared" si="54"/>
        <v>7.820597394917325E-12</v>
      </c>
      <c r="R74" s="59">
        <f t="shared" si="55"/>
        <v>293.33333333334116</v>
      </c>
      <c r="S74" s="59">
        <f ca="1">AVERAGE(OFFSET($R$3,0,0,'Données projet'!$E$9+1,1))-AVERAGE(OFFSET($H$3,0,0,'Données projet'!$E$9+1,1))</f>
        <v>287.413090017863</v>
      </c>
      <c r="T74" s="59">
        <f t="shared" si="88"/>
        <v>258.48456031927117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226.22387612634267</v>
      </c>
      <c r="AA74" s="21">
        <f>EXP(-LN(2)/25)*AA73+(1-EXP(-LN(2)/25))/(LN(2)/25)*Calculateur!V74*Calculateur!X74*VLOOKUP('Données projet'!$B$9,Paramètres!$A$1:$I$89,3,0)*0.475*44/12</f>
        <v>74.658411587611297</v>
      </c>
      <c r="AB74" s="21">
        <f>EXP(-LN(2)/2)*AB73+(1-EXP(-LN(2)/2))/(LN(2)/2)*V74*Y74*VLOOKUP('Données projet'!$B$9,Paramètres!$A$1:$I$89,3,0)*0.475*44/12</f>
        <v>53.390468265711704</v>
      </c>
      <c r="AC74" s="22">
        <f t="shared" si="57"/>
        <v>354.2727559796657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9.733749999999997</v>
      </c>
      <c r="AI74" s="13">
        <f>IF('Données projet'!$A$62&gt;35,AI73+AH74-AQ73,IF(A74&lt;'Données projet'!$A$62,$AF$205^A74,IF(A74='Données projet'!$A$62,'Données projet'!$B$62,AI73+AH74-AQ73)))</f>
        <v>281.7587500000003</v>
      </c>
      <c r="AJ74" s="13">
        <f>AI74*VLOOKUP('Données projet'!$B$10,Paramètres!$A$1:$I$89,3,0)*VLOOKUP('Données projet'!$B$10,Paramètres!$A$1:$I$89,5,0)</f>
        <v>254.93531700000028</v>
      </c>
      <c r="AK74" s="13">
        <f t="shared" si="89"/>
        <v>61.641559307209917</v>
      </c>
      <c r="AL74" s="20">
        <f t="shared" si="58"/>
        <v>551.37139290172445</v>
      </c>
      <c r="AM74" s="59">
        <f t="shared" si="59"/>
        <v>844.70472623505771</v>
      </c>
      <c r="AN74" s="59">
        <f ca="1">AVERAGE(OFFSET($AM$3,0,0,'Données projet'!$E$10+1,1))-AVERAGE(OFFSET($H$3,0,0,'Données projet'!$E$10+1,1))</f>
        <v>422.10969295064359</v>
      </c>
      <c r="AO74" s="59">
        <f t="shared" si="90"/>
        <v>184.04075143033037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7.3188765917538046</v>
      </c>
      <c r="AV74" s="21">
        <f>EXP(-LN(2)/25)*AV73+(1-EXP(-LN(2)/25))/(LN(2)/25)*Calculateur!AQ74*Calculateur!AS74*VLOOKUP('Données projet'!$B$10,Paramètres!$A$1:$I$89,3,0)*0.475*44/12</f>
        <v>29.440164391855873</v>
      </c>
      <c r="AW74" s="21">
        <f>EXP(-LN(2)/2)*AW73+(1-EXP(-LN(2)/2))/(LN(2)/2)*AQ74*AT74*VLOOKUP('Données projet'!$B$10,Paramètres!$A$1:$I$89,3,0)*0.475*44/12</f>
        <v>0.90501754445234595</v>
      </c>
      <c r="AX74" s="21">
        <f t="shared" si="60"/>
        <v>37.664058528062029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15</v>
      </c>
      <c r="BD74" s="12">
        <f>IF('Données projet'!$A$88&gt;35,BD73+BC74-BL73,IF(A74&lt;'Données projet'!$A$88,$BA$205^A74,IF(A74='Données projet'!$A$88,'Données projet'!$B$88,BD73+BC74-BL73)))</f>
        <v>620.99999999999955</v>
      </c>
      <c r="BE74" s="13">
        <f>BD74*VLOOKUP('Données projet'!$B$11,Paramètres!$A$1:$I$89,3,0)*VLOOKUP('Données projet'!$B$11,Paramètres!$A$1:$I$89,5,0)</f>
        <v>250.26299999999981</v>
      </c>
      <c r="BF74" s="13">
        <f t="shared" si="91"/>
        <v>60.642254897255242</v>
      </c>
      <c r="BG74" s="20">
        <f t="shared" si="61"/>
        <v>541.49331894605257</v>
      </c>
      <c r="BH74" s="59">
        <f t="shared" si="62"/>
        <v>834.82665227938583</v>
      </c>
      <c r="BI74" s="59">
        <f ca="1">AVERAGE(OFFSET($BH$3,0,0,'Données projet'!$E$11+1,1))-AVERAGE(OFFSET($H$3,0,0,'Données projet'!$E$11+1,1))</f>
        <v>217.61052961346684</v>
      </c>
      <c r="BJ74" s="59">
        <f t="shared" si="92"/>
        <v>180.77145728128608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44.567706999506683</v>
      </c>
      <c r="BQ74" s="21">
        <f>EXP(-LN(2)/25)*BQ73+(1-EXP(-LN(2)/25))/(LN(2)/25)*Calculateur!BL74*Calculateur!BN74*VLOOKUP('Données projet'!$B$11,Paramètres!$A$1:$I$89,3,0)*0.475*44/12</f>
        <v>21.589880931988024</v>
      </c>
      <c r="BR74" s="21">
        <f>EXP(-LN(2)/2)*BR73+(1-EXP(-LN(2)/2))/(LN(2)/2)*BL74*BO74*VLOOKUP('Données projet'!$B$11,Paramètres!$A$1:$I$89,3,0)*0.475*44/12</f>
        <v>3.2733691153334479</v>
      </c>
      <c r="BS74" s="22">
        <f t="shared" si="63"/>
        <v>69.430957046828155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13.374285714285715</v>
      </c>
      <c r="BY74" s="12">
        <f>IF('Données projet'!$A$114&gt;35,BY73+BX74-CG73,IF(A74&lt;'Données projet'!$A$114,$BV$205^A74,IF(A74='Données projet'!$A$114,'Données projet'!$B$114,BY73+BX74-CG73)))</f>
        <v>371.64571428571401</v>
      </c>
      <c r="BZ74" s="13">
        <f>BY74*VLOOKUP('Données projet'!$B$12,Paramètres!$A$1:$I$89,3,0)*VLOOKUP('Données projet'!$B$12,Paramètres!$A$1:$I$89,5,0)</f>
        <v>313.07434971428552</v>
      </c>
      <c r="CA74" s="13">
        <f t="shared" si="93"/>
        <v>73.910507535868305</v>
      </c>
      <c r="CB74" s="20">
        <f t="shared" si="64"/>
        <v>673.99862637735123</v>
      </c>
      <c r="CC74" s="59">
        <f t="shared" si="65"/>
        <v>967.33195971068449</v>
      </c>
      <c r="CD74" s="59">
        <f ca="1">AVERAGE(OFFSET($CC$3,0,0,'Données projet'!$E$12+1,1))-AVERAGE(OFFSET($H$3,0,0,'Données projet'!$E$12+1,1))</f>
        <v>287.72859857368331</v>
      </c>
      <c r="CE74" s="59">
        <f t="shared" si="94"/>
        <v>179.60736986885922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22.755618006731183</v>
      </c>
      <c r="CL74" s="21">
        <f>EXP(-LN(2)/25)*CL73+(1-EXP(-LN(2)/25))/(LN(2)/25)*Calculateur!CG74*Calculateur!CI74*VLOOKUP('Données projet'!$B$12,Paramètres!$A$1:$I$89,3,0)*0.475*44/12</f>
        <v>23.875253418747167</v>
      </c>
      <c r="CM74" s="21">
        <f>EXP(-LN(2)/2)*CM73+(1-EXP(-LN(2)/2))/(LN(2)/2)*CG74*CJ74*VLOOKUP('Données projet'!$B$12,Paramètres!$A$1:$I$89,3,0)*0.475*44/12</f>
        <v>0.61478364318801049</v>
      </c>
      <c r="CN74" s="22">
        <f t="shared" si="66"/>
        <v>47.245655068666359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4.2</v>
      </c>
      <c r="CT74" s="12">
        <f>IF('Données projet'!$A$140&gt;35,CT73+CS74-DB73,IF(A74&lt;'Données projet'!$A$140,$CQ$205^A74,IF(A74='Données projet'!$A$140,'Données projet'!$B$140,CT73+CS74-DB73)))</f>
        <v>307.19999999999993</v>
      </c>
      <c r="CU74" s="17">
        <f>CT74*VLOOKUP('Données projet'!$B$13,Paramètres!$A$1:$I$89,3,0)*VLOOKUP('Données projet'!$B$13,Paramètres!$A$1:$I$89,5,0)</f>
        <v>244.40831999999995</v>
      </c>
      <c r="CV74" s="13">
        <f t="shared" si="95"/>
        <v>59.38699493610541</v>
      </c>
      <c r="CW74" s="20">
        <f t="shared" si="67"/>
        <v>529.11017351371675</v>
      </c>
      <c r="CX74" s="59">
        <f t="shared" si="68"/>
        <v>822.44350684705</v>
      </c>
      <c r="CY74" s="59">
        <f ca="1">AVERAGE(OFFSET($CX$3,0,0,'Données projet'!$E$13+1,1))-AVERAGE(OFFSET($H$3,0,0,'Données projet'!$E$13+1,1))</f>
        <v>243.33915530322201</v>
      </c>
      <c r="CZ74" s="59">
        <f t="shared" si="96"/>
        <v>247.73814704672577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14.650644143476965</v>
      </c>
      <c r="DG74" s="21">
        <f>EXP(-LN(2)/25)*DG73+(1-EXP(-LN(2)/25))/(LN(2)/25)*Calculateur!DB74*Calculateur!DD74*VLOOKUP('Données projet'!$B$13,Paramètres!$A$1:$I$89,3,0)*0.475*44/12</f>
        <v>15.151981320558889</v>
      </c>
      <c r="DH74" s="21">
        <f>EXP(-LN(2)/2)*DH73+(1-EXP(-LN(2)/2))/(LN(2)/2)*DB74*DE74*VLOOKUP('Données projet'!$B$13,Paramètres!$A$1:$I$89,3,0)*0.475*44/12</f>
        <v>2.1030423197824706</v>
      </c>
      <c r="DI74" s="22">
        <f t="shared" si="69"/>
        <v>31.905667783818327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5.6843418860808015E-13</v>
      </c>
      <c r="O75" s="13">
        <f>N75*VLOOKUP('Données projet'!$B$9,Paramètres!$A$1:$I$89,3,0)*VLOOKUP('Données projet'!$B$9,Paramètres!$A$1:$I$89,5,0)</f>
        <v>3.177547114319168E-13</v>
      </c>
      <c r="P75" s="13">
        <f t="shared" si="87"/>
        <v>4.1725404435445377E-12</v>
      </c>
      <c r="Q75" s="20">
        <f t="shared" si="54"/>
        <v>7.820597394917325E-12</v>
      </c>
      <c r="R75" s="59">
        <f t="shared" si="55"/>
        <v>293.33333333334116</v>
      </c>
      <c r="S75" s="59">
        <f ca="1">AVERAGE(OFFSET($R$3,0,0,'Données projet'!$E$9+1,1))-AVERAGE(OFFSET($H$3,0,0,'Données projet'!$E$9+1,1))</f>
        <v>287.413090017863</v>
      </c>
      <c r="T75" s="59">
        <f t="shared" si="88"/>
        <v>258.48456031927117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221.78776389844484</v>
      </c>
      <c r="AA75" s="21">
        <f>EXP(-LN(2)/25)*AA74+(1-EXP(-LN(2)/25))/(LN(2)/25)*Calculateur!V75*Calculateur!X75*VLOOKUP('Données projet'!$B$9,Paramètres!$A$1:$I$89,3,0)*0.475*44/12</f>
        <v>72.61687339663284</v>
      </c>
      <c r="AB75" s="21">
        <f>EXP(-LN(2)/2)*AB74+(1-EXP(-LN(2)/2))/(LN(2)/2)*V75*Y75*VLOOKUP('Données projet'!$B$9,Paramètres!$A$1:$I$89,3,0)*0.475*44/12</f>
        <v>37.752762161409919</v>
      </c>
      <c r="AC75" s="22">
        <f t="shared" si="57"/>
        <v>332.15739945648761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9.733749999999997</v>
      </c>
      <c r="AI75" s="13">
        <f>IF('Données projet'!$A$62&gt;35,AI74+AH75-AQ74,IF(A75&lt;'Données projet'!$A$62,$AF$205^A75,IF(A75='Données projet'!$A$62,'Données projet'!$B$62,AI74+AH75-AQ74)))</f>
        <v>291.49250000000029</v>
      </c>
      <c r="AJ75" s="13">
        <f>AI75*VLOOKUP('Données projet'!$B$10,Paramètres!$A$1:$I$89,3,0)*VLOOKUP('Données projet'!$B$10,Paramètres!$A$1:$I$89,5,0)</f>
        <v>263.74241400000022</v>
      </c>
      <c r="AK75" s="13">
        <f t="shared" si="89"/>
        <v>63.519444659628142</v>
      </c>
      <c r="AL75" s="20">
        <f t="shared" si="58"/>
        <v>569.98107049885277</v>
      </c>
      <c r="AM75" s="59">
        <f t="shared" si="59"/>
        <v>863.31440383218614</v>
      </c>
      <c r="AN75" s="59">
        <f ca="1">AVERAGE(OFFSET($AM$3,0,0,'Données projet'!$E$10+1,1))-AVERAGE(OFFSET($H$3,0,0,'Données projet'!$E$10+1,1))</f>
        <v>422.10969295064359</v>
      </c>
      <c r="AO75" s="59">
        <f t="shared" si="90"/>
        <v>184.04075143033037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7.175357885863443</v>
      </c>
      <c r="AV75" s="21">
        <f>EXP(-LN(2)/25)*AV74+(1-EXP(-LN(2)/25))/(LN(2)/25)*Calculateur!AQ75*Calculateur!AS75*VLOOKUP('Données projet'!$B$10,Paramètres!$A$1:$I$89,3,0)*0.475*44/12</f>
        <v>28.635121548369614</v>
      </c>
      <c r="AW75" s="21">
        <f>EXP(-LN(2)/2)*AW74+(1-EXP(-LN(2)/2))/(LN(2)/2)*AQ75*AT75*VLOOKUP('Données projet'!$B$10,Paramètres!$A$1:$I$89,3,0)*0.475*44/12</f>
        <v>0.63994404277505157</v>
      </c>
      <c r="AX75" s="21">
        <f t="shared" si="60"/>
        <v>36.450423477008108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15</v>
      </c>
      <c r="BD75" s="12">
        <f>IF('Données projet'!$A$88&gt;35,BD74+BC75-BL74,IF(A75&lt;'Données projet'!$A$88,$BA$205^A75,IF(A75='Données projet'!$A$88,'Données projet'!$B$88,BD74+BC75-BL74)))</f>
        <v>635.99999999999955</v>
      </c>
      <c r="BE75" s="13">
        <f>BD75*VLOOKUP('Données projet'!$B$11,Paramètres!$A$1:$I$89,3,0)*VLOOKUP('Données projet'!$B$11,Paramètres!$A$1:$I$89,5,0)</f>
        <v>256.30799999999982</v>
      </c>
      <c r="BF75" s="13">
        <f t="shared" si="91"/>
        <v>61.934738894273849</v>
      </c>
      <c r="BG75" s="20">
        <f t="shared" si="61"/>
        <v>554.27277024085981</v>
      </c>
      <c r="BH75" s="59">
        <f t="shared" si="62"/>
        <v>847.60610357419318</v>
      </c>
      <c r="BI75" s="59">
        <f ca="1">AVERAGE(OFFSET($BH$3,0,0,'Données projet'!$E$11+1,1))-AVERAGE(OFFSET($H$3,0,0,'Données projet'!$E$11+1,1))</f>
        <v>217.61052961346684</v>
      </c>
      <c r="BJ75" s="59">
        <f t="shared" si="92"/>
        <v>180.77145728128608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43.693761448863469</v>
      </c>
      <c r="BQ75" s="21">
        <f>EXP(-LN(2)/25)*BQ74+(1-EXP(-LN(2)/25))/(LN(2)/25)*Calculateur!BL75*Calculateur!BN75*VLOOKUP('Données projet'!$B$11,Paramètres!$A$1:$I$89,3,0)*0.475*44/12</f>
        <v>20.999504502540319</v>
      </c>
      <c r="BR75" s="21">
        <f>EXP(-LN(2)/2)*BR74+(1-EXP(-LN(2)/2))/(LN(2)/2)*BL75*BO75*VLOOKUP('Données projet'!$B$11,Paramètres!$A$1:$I$89,3,0)*0.475*44/12</f>
        <v>2.3146214987788913</v>
      </c>
      <c r="BS75" s="22">
        <f t="shared" si="63"/>
        <v>67.007887450182679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>
        <f>VLOOKUP(A75,'Données projet'!$A$113:$I$133,2,0)</f>
        <v>385.02</v>
      </c>
      <c r="BW75" s="12">
        <f>VLOOKUP(A75,'Données projet'!$A$113:$I$133,9,0)</f>
        <v>13.374285714285715</v>
      </c>
      <c r="BX75" s="12">
        <f t="array" ref="BX75">INDEX(BW:BW,MIN(IF(ISNUMBER(BW75:BW271),ROW(BW75:BW271),"")))</f>
        <v>13.374285714285715</v>
      </c>
      <c r="BY75" s="12">
        <f>IF('Données projet'!$A$114&gt;35,BY74+BX75-CG74,IF(A75&lt;'Données projet'!$A$114,$BV$205^A75,IF(A75='Données projet'!$A$114,'Données projet'!$B$114,BY74+BX75-CG74)))</f>
        <v>385.0199999999997</v>
      </c>
      <c r="BZ75" s="13">
        <f>BY75*VLOOKUP('Données projet'!$B$12,Paramètres!$A$1:$I$89,3,0)*VLOOKUP('Données projet'!$B$12,Paramètres!$A$1:$I$89,5,0)</f>
        <v>324.34084799999977</v>
      </c>
      <c r="CA75" s="13">
        <f t="shared" si="93"/>
        <v>76.255842015925083</v>
      </c>
      <c r="CB75" s="20">
        <f t="shared" si="64"/>
        <v>697.7059017777359</v>
      </c>
      <c r="CC75" s="59">
        <f t="shared" si="65"/>
        <v>991.03923511106927</v>
      </c>
      <c r="CD75" s="59">
        <f ca="1">AVERAGE(OFFSET($CC$3,0,0,'Données projet'!$E$12+1,1))-AVERAGE(OFFSET($H$3,0,0,'Données projet'!$E$12+1,1))</f>
        <v>287.72859857368331</v>
      </c>
      <c r="CE75" s="59">
        <f t="shared" si="94"/>
        <v>179.60736986885922</v>
      </c>
      <c r="CF75" s="15">
        <f>IF(ISNA(VLOOKUP(A75,'Données projet'!$A$113:$I$133,3,0)),0,VLOOKUP(A75,'Données projet'!$A$113:$I$133,3,0))</f>
        <v>7</v>
      </c>
      <c r="CG75" s="15">
        <f>IF(ISNA(VLOOKUP(A75,'Données projet'!$A$113:$I$133,4,0)),0,VLOOKUP(A75,'Données projet'!$A$113:$I$133,4,0))</f>
        <v>66.109999999999957</v>
      </c>
      <c r="CH75" s="16">
        <f>IF(ISNA(VLOOKUP(A75,'Données projet'!$A$113:$I$133,5,0)),0%,VLOOKUP(A75,'Données projet'!$A$113:$I$133,5,0)*VLOOKUP('Données projet'!$B$12,Paramètres!$A$1:$I$89,7,0))</f>
        <v>0.15049999999999999</v>
      </c>
      <c r="CI75" s="16">
        <f>IF(ISNA(VLOOKUP(A75,'Données projet'!$A$113:$I$133,6,0)),0%,VLOOKUP(A75,'Données projet'!$A$113:$I$133,6,0)*VLOOKUP('Données projet'!$B$12,Paramètres!$A$1:$I$89,7,0))</f>
        <v>8.6000000000000007E-2</v>
      </c>
      <c r="CJ75" s="16">
        <f>IF(ISNA(VLOOKUP(A75,'Données projet'!$A$113:$I$133,7,0)),0%,VLOOKUP(A75,'Données projet'!$A$113:$I$133,7,0))</f>
        <v>0.1</v>
      </c>
      <c r="CK75" s="21">
        <f>EXP(-LN(2)/35)*CK74+(1-EXP(-LN(2)/35))/(LN(2)/35)*CG75*CH75*VLOOKUP('Données projet'!$B$12,Paramètres!$A$1:$I$89,3,0)*0.475*44/12</f>
        <v>31.574899876505079</v>
      </c>
      <c r="CL75" s="21">
        <f>EXP(-LN(2)/25)*CL74+(1-EXP(-LN(2)/25))/(LN(2)/25)*Calculateur!CG75*Calculateur!CI75*VLOOKUP('Données projet'!$B$12,Paramètres!$A$1:$I$89,3,0)*0.475*44/12</f>
        <v>28.496111263103195</v>
      </c>
      <c r="CM75" s="21">
        <f>EXP(-LN(2)/2)*CM74+(1-EXP(-LN(2)/2))/(LN(2)/2)*CG75*CJ75*VLOOKUP('Données projet'!$B$12,Paramètres!$A$1:$I$89,3,0)*0.475*44/12</f>
        <v>5.689319461761932</v>
      </c>
      <c r="CN75" s="22">
        <f t="shared" si="66"/>
        <v>65.7603306013702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4.2</v>
      </c>
      <c r="CT75" s="12">
        <f>IF('Données projet'!$A$140&gt;35,CT74+CS75-DB74,IF(A75&lt;'Données projet'!$A$140,$CQ$205^A75,IF(A75='Données projet'!$A$140,'Données projet'!$B$140,CT74+CS75-DB74)))</f>
        <v>311.39999999999992</v>
      </c>
      <c r="CU75" s="17">
        <f>CT75*VLOOKUP('Données projet'!$B$13,Paramètres!$A$1:$I$89,3,0)*VLOOKUP('Données projet'!$B$13,Paramètres!$A$1:$I$89,5,0)</f>
        <v>247.74983999999995</v>
      </c>
      <c r="CV75" s="13">
        <f t="shared" si="95"/>
        <v>60.103849700617872</v>
      </c>
      <c r="CW75" s="20">
        <f t="shared" si="67"/>
        <v>536.17850956190932</v>
      </c>
      <c r="CX75" s="59">
        <f t="shared" si="68"/>
        <v>829.51184289524258</v>
      </c>
      <c r="CY75" s="59">
        <f ca="1">AVERAGE(OFFSET($CX$3,0,0,'Données projet'!$E$13+1,1))-AVERAGE(OFFSET($H$3,0,0,'Données projet'!$E$13+1,1))</f>
        <v>243.33915530322201</v>
      </c>
      <c r="CZ75" s="59">
        <f t="shared" si="96"/>
        <v>247.73814704672577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14.363353947833952</v>
      </c>
      <c r="DG75" s="21">
        <f>EXP(-LN(2)/25)*DG74+(1-EXP(-LN(2)/25))/(LN(2)/25)*Calculateur!DB75*Calculateur!DD75*VLOOKUP('Données projet'!$B$13,Paramètres!$A$1:$I$89,3,0)*0.475*44/12</f>
        <v>14.737649594540139</v>
      </c>
      <c r="DH75" s="21">
        <f>EXP(-LN(2)/2)*DH74+(1-EXP(-LN(2)/2))/(LN(2)/2)*DB75*DE75*VLOOKUP('Données projet'!$B$13,Paramètres!$A$1:$I$89,3,0)*0.475*44/12</f>
        <v>1.4870754854404729</v>
      </c>
      <c r="DI75" s="22">
        <f t="shared" si="69"/>
        <v>30.588079027814565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5.6843418860808015E-13</v>
      </c>
      <c r="O76" s="13">
        <f>N76*VLOOKUP('Données projet'!$B$9,Paramètres!$A$1:$I$89,3,0)*VLOOKUP('Données projet'!$B$9,Paramètres!$A$1:$I$89,5,0)</f>
        <v>3.177547114319168E-13</v>
      </c>
      <c r="P76" s="13">
        <f t="shared" si="87"/>
        <v>4.1725404435445377E-12</v>
      </c>
      <c r="Q76" s="20">
        <f t="shared" si="54"/>
        <v>7.820597394917325E-12</v>
      </c>
      <c r="R76" s="59">
        <f t="shared" si="55"/>
        <v>293.33333333334116</v>
      </c>
      <c r="S76" s="59">
        <f ca="1">AVERAGE(OFFSET($R$3,0,0,'Données projet'!$E$9+1,1))-AVERAGE(OFFSET($H$3,0,0,'Données projet'!$E$9+1,1))</f>
        <v>287.413090017863</v>
      </c>
      <c r="T76" s="59">
        <f t="shared" si="88"/>
        <v>258.48456031927117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217.4386411255748</v>
      </c>
      <c r="AA76" s="21">
        <f>EXP(-LN(2)/25)*AA75+(1-EXP(-LN(2)/25))/(LN(2)/25)*Calculateur!V76*Calculateur!X76*VLOOKUP('Données projet'!$B$9,Paramètres!$A$1:$I$89,3,0)*0.475*44/12</f>
        <v>70.631161174846511</v>
      </c>
      <c r="AB76" s="21">
        <f>EXP(-LN(2)/2)*AB75+(1-EXP(-LN(2)/2))/(LN(2)/2)*V76*Y76*VLOOKUP('Données projet'!$B$9,Paramètres!$A$1:$I$89,3,0)*0.475*44/12</f>
        <v>26.695234132855855</v>
      </c>
      <c r="AC76" s="22">
        <f t="shared" si="57"/>
        <v>314.76503643327715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9.733749999999997</v>
      </c>
      <c r="AI76" s="13">
        <f>IF('Données projet'!$A$62&gt;35,AI75+AH76-AQ75,IF(A76&lt;'Données projet'!$A$62,$AF$205^A76,IF(A76='Données projet'!$A$62,'Données projet'!$B$62,AI75+AH76-AQ75)))</f>
        <v>301.22625000000028</v>
      </c>
      <c r="AJ76" s="13">
        <f>AI76*VLOOKUP('Données projet'!$B$10,Paramètres!$A$1:$I$89,3,0)*VLOOKUP('Données projet'!$B$10,Paramètres!$A$1:$I$89,5,0)</f>
        <v>272.54951100000028</v>
      </c>
      <c r="AK76" s="13">
        <f t="shared" si="89"/>
        <v>65.390043555628168</v>
      </c>
      <c r="AL76" s="20">
        <f t="shared" si="58"/>
        <v>588.57805751771946</v>
      </c>
      <c r="AM76" s="59">
        <f t="shared" si="59"/>
        <v>881.91139085105283</v>
      </c>
      <c r="AN76" s="59">
        <f ca="1">AVERAGE(OFFSET($AM$3,0,0,'Données projet'!$E$10+1,1))-AVERAGE(OFFSET($H$3,0,0,'Données projet'!$E$10+1,1))</f>
        <v>422.10969295064359</v>
      </c>
      <c r="AO76" s="59">
        <f t="shared" si="90"/>
        <v>184.04075143033037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7.0346534942578245</v>
      </c>
      <c r="AV76" s="21">
        <f>EXP(-LN(2)/25)*AV75+(1-EXP(-LN(2)/25))/(LN(2)/25)*Calculateur!AQ76*Calculateur!AS76*VLOOKUP('Données projet'!$B$10,Paramètres!$A$1:$I$89,3,0)*0.475*44/12</f>
        <v>27.852092643773851</v>
      </c>
      <c r="AW76" s="21">
        <f>EXP(-LN(2)/2)*AW75+(1-EXP(-LN(2)/2))/(LN(2)/2)*AQ76*AT76*VLOOKUP('Données projet'!$B$10,Paramètres!$A$1:$I$89,3,0)*0.475*44/12</f>
        <v>0.45250877222617303</v>
      </c>
      <c r="AX76" s="21">
        <f t="shared" si="60"/>
        <v>35.33925491025785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15</v>
      </c>
      <c r="BD76" s="12">
        <f>IF('Données projet'!$A$88&gt;35,BD75+BC76-BL75,IF(A76&lt;'Données projet'!$A$88,$BA$205^A76,IF(A76='Données projet'!$A$88,'Données projet'!$B$88,BD75+BC76-BL75)))</f>
        <v>650.99999999999955</v>
      </c>
      <c r="BE76" s="13">
        <f>BD76*VLOOKUP('Données projet'!$B$11,Paramètres!$A$1:$I$89,3,0)*VLOOKUP('Données projet'!$B$11,Paramètres!$A$1:$I$89,5,0)</f>
        <v>262.35299999999984</v>
      </c>
      <c r="BF76" s="13">
        <f t="shared" si="91"/>
        <v>63.223679175702266</v>
      </c>
      <c r="BG76" s="20">
        <f t="shared" si="61"/>
        <v>567.04604956434775</v>
      </c>
      <c r="BH76" s="59">
        <f t="shared" si="62"/>
        <v>860.37938289768113</v>
      </c>
      <c r="BI76" s="59">
        <f ca="1">AVERAGE(OFFSET($BH$3,0,0,'Données projet'!$E$11+1,1))-AVERAGE(OFFSET($H$3,0,0,'Données projet'!$E$11+1,1))</f>
        <v>217.61052961346684</v>
      </c>
      <c r="BJ76" s="59">
        <f t="shared" si="92"/>
        <v>180.77145728128608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42.836953437414216</v>
      </c>
      <c r="BQ76" s="21">
        <f>EXP(-LN(2)/25)*BQ75+(1-EXP(-LN(2)/25))/(LN(2)/25)*Calculateur!BL76*Calculateur!BN76*VLOOKUP('Données projet'!$B$11,Paramètres!$A$1:$I$89,3,0)*0.475*44/12</f>
        <v>20.425271947602408</v>
      </c>
      <c r="BR76" s="21">
        <f>EXP(-LN(2)/2)*BR75+(1-EXP(-LN(2)/2))/(LN(2)/2)*BL76*BO76*VLOOKUP('Données projet'!$B$11,Paramètres!$A$1:$I$89,3,0)*0.475*44/12</f>
        <v>1.6366845576667244</v>
      </c>
      <c r="BS76" s="22">
        <f t="shared" si="63"/>
        <v>64.898909942683346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12.707777777777771</v>
      </c>
      <c r="BY76" s="12">
        <f>IF('Données projet'!$A$114&gt;35,BY75+BX76-CG75,IF(A76&lt;'Données projet'!$A$114,$BV$205^A76,IF(A76='Données projet'!$A$114,'Données projet'!$B$114,BY75+BX76-CG75)))</f>
        <v>331.61777777777752</v>
      </c>
      <c r="BZ76" s="13">
        <f>BY76*VLOOKUP('Données projet'!$B$12,Paramètres!$A$1:$I$89,3,0)*VLOOKUP('Données projet'!$B$12,Paramètres!$A$1:$I$89,5,0)</f>
        <v>279.35481599999986</v>
      </c>
      <c r="CA76" s="13">
        <f t="shared" si="93"/>
        <v>66.830644654544344</v>
      </c>
      <c r="CB76" s="20">
        <f t="shared" si="64"/>
        <v>602.93967730666452</v>
      </c>
      <c r="CC76" s="59">
        <f t="shared" si="65"/>
        <v>896.27301063999789</v>
      </c>
      <c r="CD76" s="59">
        <f ca="1">AVERAGE(OFFSET($CC$3,0,0,'Données projet'!$E$12+1,1))-AVERAGE(OFFSET($H$3,0,0,'Données projet'!$E$12+1,1))</f>
        <v>287.72859857368331</v>
      </c>
      <c r="CE76" s="59">
        <f t="shared" si="94"/>
        <v>179.60736986885922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30.955735348714093</v>
      </c>
      <c r="CL76" s="21">
        <f>EXP(-LN(2)/25)*CL75+(1-EXP(-LN(2)/25))/(LN(2)/25)*Calculateur!CG76*Calculateur!CI76*VLOOKUP('Données projet'!$B$12,Paramètres!$A$1:$I$89,3,0)*0.475*44/12</f>
        <v>27.716883602068275</v>
      </c>
      <c r="CM76" s="21">
        <f>EXP(-LN(2)/2)*CM75+(1-EXP(-LN(2)/2))/(LN(2)/2)*CG76*CJ76*VLOOKUP('Données projet'!$B$12,Paramètres!$A$1:$I$89,3,0)*0.475*44/12</f>
        <v>4.0229563717484611</v>
      </c>
      <c r="CN76" s="22">
        <f t="shared" si="66"/>
        <v>62.695575322530829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4.2</v>
      </c>
      <c r="CT76" s="12">
        <f>IF('Données projet'!$A$140&gt;35,CT75+CS76-DB75,IF(A76&lt;'Données projet'!$A$140,$CQ$205^A76,IF(A76='Données projet'!$A$140,'Données projet'!$B$140,CT75+CS76-DB75)))</f>
        <v>315.59999999999991</v>
      </c>
      <c r="CU76" s="17">
        <f>CT76*VLOOKUP('Données projet'!$B$13,Paramètres!$A$1:$I$89,3,0)*VLOOKUP('Données projet'!$B$13,Paramètres!$A$1:$I$89,5,0)</f>
        <v>251.09135999999995</v>
      </c>
      <c r="CV76" s="13">
        <f t="shared" si="95"/>
        <v>60.81957989149403</v>
      </c>
      <c r="CW76" s="20">
        <f t="shared" si="67"/>
        <v>543.24488697768527</v>
      </c>
      <c r="CX76" s="59">
        <f t="shared" si="68"/>
        <v>836.57822031101864</v>
      </c>
      <c r="CY76" s="59">
        <f ca="1">AVERAGE(OFFSET($CX$3,0,0,'Données projet'!$E$13+1,1))-AVERAGE(OFFSET($H$3,0,0,'Données projet'!$E$13+1,1))</f>
        <v>243.33915530322201</v>
      </c>
      <c r="CZ76" s="59">
        <f t="shared" si="96"/>
        <v>247.73814704672577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14.081697337697781</v>
      </c>
      <c r="DG76" s="21">
        <f>EXP(-LN(2)/25)*DG75+(1-EXP(-LN(2)/25))/(LN(2)/25)*Calculateur!DB76*Calculateur!DD76*VLOOKUP('Données projet'!$B$13,Paramètres!$A$1:$I$89,3,0)*0.475*44/12</f>
        <v>14.33464779135813</v>
      </c>
      <c r="DH76" s="21">
        <f>EXP(-LN(2)/2)*DH75+(1-EXP(-LN(2)/2))/(LN(2)/2)*DB76*DE76*VLOOKUP('Données projet'!$B$13,Paramètres!$A$1:$I$89,3,0)*0.475*44/12</f>
        <v>1.0515211598912355</v>
      </c>
      <c r="DI76" s="22">
        <f t="shared" si="69"/>
        <v>29.46786628894715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5.6843418860808015E-13</v>
      </c>
      <c r="O77" s="13">
        <f>N77*VLOOKUP('Données projet'!$B$9,Paramètres!$A$1:$I$89,3,0)*VLOOKUP('Données projet'!$B$9,Paramètres!$A$1:$I$89,5,0)</f>
        <v>3.177547114319168E-13</v>
      </c>
      <c r="P77" s="13">
        <f t="shared" si="87"/>
        <v>4.1725404435445377E-12</v>
      </c>
      <c r="Q77" s="20">
        <f t="shared" si="54"/>
        <v>7.820597394917325E-12</v>
      </c>
      <c r="R77" s="59">
        <f t="shared" si="55"/>
        <v>293.33333333334116</v>
      </c>
      <c r="S77" s="59">
        <f ca="1">AVERAGE(OFFSET($R$3,0,0,'Données projet'!$E$9+1,1))-AVERAGE(OFFSET($H$3,0,0,'Données projet'!$E$9+1,1))</f>
        <v>287.413090017863</v>
      </c>
      <c r="T77" s="59">
        <f t="shared" si="88"/>
        <v>258.48456031927117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213.17480199757779</v>
      </c>
      <c r="AA77" s="21">
        <f>EXP(-LN(2)/25)*AA76+(1-EXP(-LN(2)/25))/(LN(2)/25)*Calculateur!V77*Calculateur!X77*VLOOKUP('Données projet'!$B$9,Paramètres!$A$1:$I$89,3,0)*0.475*44/12</f>
        <v>68.699748358188998</v>
      </c>
      <c r="AB77" s="21">
        <f>EXP(-LN(2)/2)*AB76+(1-EXP(-LN(2)/2))/(LN(2)/2)*V77*Y77*VLOOKUP('Données projet'!$B$9,Paramètres!$A$1:$I$89,3,0)*0.475*44/12</f>
        <v>18.876381080704963</v>
      </c>
      <c r="AC77" s="22">
        <f t="shared" si="57"/>
        <v>300.75093143647177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9.733749999999997</v>
      </c>
      <c r="AH77" s="12">
        <f t="array" ref="AH77">INDEX(AG:AG,MIN(IF(ISNUMBER(AG77:AG273),ROW(AG77:AG273),"")))</f>
        <v>9.733749999999997</v>
      </c>
      <c r="AI77" s="13">
        <f>IF('Données projet'!$A$62&gt;35,AI76+AH77-AQ76,IF(A77&lt;'Données projet'!$A$62,$AF$205^A77,IF(A77='Données projet'!$A$62,'Données projet'!$B$62,AI76+AH77-AQ76)))</f>
        <v>310.96000000000026</v>
      </c>
      <c r="AJ77" s="13">
        <f>AI77*VLOOKUP('Données projet'!$B$10,Paramètres!$A$1:$I$89,3,0)*VLOOKUP('Données projet'!$B$10,Paramètres!$A$1:$I$89,5,0)</f>
        <v>281.35660800000022</v>
      </c>
      <c r="AK77" s="13">
        <f t="shared" si="89"/>
        <v>67.253618453644265</v>
      </c>
      <c r="AL77" s="20">
        <f t="shared" si="58"/>
        <v>607.16281107343082</v>
      </c>
      <c r="AM77" s="59">
        <f t="shared" si="59"/>
        <v>900.49614440676419</v>
      </c>
      <c r="AN77" s="59">
        <f ca="1">AVERAGE(OFFSET($AM$3,0,0,'Données projet'!$E$10+1,1))-AVERAGE(OFFSET($H$3,0,0,'Données projet'!$E$10+1,1))</f>
        <v>422.10969295064359</v>
      </c>
      <c r="AO77" s="59">
        <f t="shared" si="90"/>
        <v>184.04075143033037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51.339999999999975</v>
      </c>
      <c r="AR77" s="16">
        <f>IF(ISNA(VLOOKUP(A77,'Données projet'!$A$61:$I$81,5,0)),0%,VLOOKUP(A77,'Données projet'!$A$61:$I$81,5,0)*VLOOKUP('Données projet'!$B$10,Paramètres!$A$1:$I$89,7,0))</f>
        <v>0.15049999999999999</v>
      </c>
      <c r="AS77" s="16">
        <f>IF(ISNA(VLOOKUP(A77,'Données projet'!$A$61:$I$81,6,0)),0%,VLOOKUP(A77,'Données projet'!$A$61:$I$81,6,0)*VLOOKUP('Données projet'!$B$10,Paramètres!$A$1:$I$89,7,0))</f>
        <v>8.6000000000000007E-2</v>
      </c>
      <c r="AT77" s="16">
        <f>IF(ISNA(VLOOKUP(A77,'Données projet'!$A$61:$I$81,7,0)),0%,VLOOKUP(A77,'Données projet'!$A$61:$I$81,7,0))</f>
        <v>0.1</v>
      </c>
      <c r="AU77" s="21">
        <f>EXP(-LN(2)/35)*AU76+(1-EXP(-LN(2)/35))/(LN(2)/35)*AQ77*AR77*VLOOKUP('Données projet'!$B$10,Paramètres!$A$1:$I$89,3,0)*0.475*44/12</f>
        <v>14.625152268757301</v>
      </c>
      <c r="AV77" s="21">
        <f>EXP(-LN(2)/25)*AV76+(1-EXP(-LN(2)/25))/(LN(2)/25)*Calculateur!AQ77*Calculateur!AS77*VLOOKUP('Données projet'!$B$10,Paramètres!$A$1:$I$89,3,0)*0.475*44/12</f>
        <v>31.489340968528012</v>
      </c>
      <c r="AW77" s="21">
        <f>EXP(-LN(2)/2)*AW76+(1-EXP(-LN(2)/2))/(LN(2)/2)*AQ77*AT77*VLOOKUP('Données projet'!$B$10,Paramètres!$A$1:$I$89,3,0)*0.475*44/12</f>
        <v>4.7028840054751821</v>
      </c>
      <c r="AX77" s="21">
        <f t="shared" si="60"/>
        <v>50.8173772427605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15</v>
      </c>
      <c r="BD77" s="12">
        <f>IF('Données projet'!$A$88&gt;35,BD76+BC77-BL76,IF(A77&lt;'Données projet'!$A$88,$BA$205^A77,IF(A77='Données projet'!$A$88,'Données projet'!$B$88,BD76+BC77-BL76)))</f>
        <v>665.99999999999955</v>
      </c>
      <c r="BE77" s="13">
        <f>BD77*VLOOKUP('Données projet'!$B$11,Paramètres!$A$1:$I$89,3,0)*VLOOKUP('Données projet'!$B$11,Paramètres!$A$1:$I$89,5,0)</f>
        <v>268.39799999999985</v>
      </c>
      <c r="BF77" s="13">
        <f t="shared" si="91"/>
        <v>64.509166792466843</v>
      </c>
      <c r="BG77" s="20">
        <f t="shared" si="61"/>
        <v>579.81331549687945</v>
      </c>
      <c r="BH77" s="59">
        <f t="shared" si="62"/>
        <v>873.14664883021283</v>
      </c>
      <c r="BI77" s="59">
        <f ca="1">AVERAGE(OFFSET($BH$3,0,0,'Données projet'!$E$11+1,1))-AVERAGE(OFFSET($H$3,0,0,'Données projet'!$E$11+1,1))</f>
        <v>217.61052961346684</v>
      </c>
      <c r="BJ77" s="59">
        <f t="shared" si="92"/>
        <v>180.77145728128608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41.996946908468196</v>
      </c>
      <c r="BQ77" s="21">
        <f>EXP(-LN(2)/25)*BQ76+(1-EXP(-LN(2)/25))/(LN(2)/25)*Calculateur!BL77*Calculateur!BN77*VLOOKUP('Données projet'!$B$11,Paramètres!$A$1:$I$89,3,0)*0.475*44/12</f>
        <v>19.86674181207685</v>
      </c>
      <c r="BR77" s="21">
        <f>EXP(-LN(2)/2)*BR76+(1-EXP(-LN(2)/2))/(LN(2)/2)*BL77*BO77*VLOOKUP('Données projet'!$B$11,Paramètres!$A$1:$I$89,3,0)*0.475*44/12</f>
        <v>1.1573107493894459</v>
      </c>
      <c r="BS77" s="22">
        <f t="shared" si="63"/>
        <v>63.020999469934488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12.707777777777771</v>
      </c>
      <c r="BY77" s="12">
        <f>IF('Données projet'!$A$114&gt;35,BY76+BX77-CG76,IF(A77&lt;'Données projet'!$A$114,$BV$205^A77,IF(A77='Données projet'!$A$114,'Données projet'!$B$114,BY76+BX77-CG76)))</f>
        <v>344.3255555555553</v>
      </c>
      <c r="BZ77" s="13">
        <f>BY77*VLOOKUP('Données projet'!$B$12,Paramètres!$A$1:$I$89,3,0)*VLOOKUP('Données projet'!$B$12,Paramètres!$A$1:$I$89,5,0)</f>
        <v>290.05984799999982</v>
      </c>
      <c r="CA77" s="13">
        <f t="shared" si="93"/>
        <v>69.088556925071103</v>
      </c>
      <c r="CB77" s="20">
        <f t="shared" si="64"/>
        <v>625.51680524449841</v>
      </c>
      <c r="CC77" s="59">
        <f t="shared" si="65"/>
        <v>918.85013857783179</v>
      </c>
      <c r="CD77" s="59">
        <f ca="1">AVERAGE(OFFSET($CC$3,0,0,'Données projet'!$E$12+1,1))-AVERAGE(OFFSET($H$3,0,0,'Données projet'!$E$12+1,1))</f>
        <v>287.72859857368331</v>
      </c>
      <c r="CE77" s="59">
        <f t="shared" si="94"/>
        <v>179.60736986885922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30.348712259660015</v>
      </c>
      <c r="CL77" s="21">
        <f>EXP(-LN(2)/25)*CL76+(1-EXP(-LN(2)/25))/(LN(2)/25)*Calculateur!CG77*Calculateur!CI77*VLOOKUP('Données projet'!$B$12,Paramètres!$A$1:$I$89,3,0)*0.475*44/12</f>
        <v>26.958963962402159</v>
      </c>
      <c r="CM77" s="21">
        <f>EXP(-LN(2)/2)*CM76+(1-EXP(-LN(2)/2))/(LN(2)/2)*CG77*CJ77*VLOOKUP('Données projet'!$B$12,Paramètres!$A$1:$I$89,3,0)*0.475*44/12</f>
        <v>2.8446597308809665</v>
      </c>
      <c r="CN77" s="22">
        <f t="shared" si="66"/>
        <v>60.152335952943133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4.2</v>
      </c>
      <c r="CT77" s="12">
        <f>IF('Données projet'!$A$140&gt;35,CT76+CS77-DB76,IF(A77&lt;'Données projet'!$A$140,$CQ$205^A77,IF(A77='Données projet'!$A$140,'Données projet'!$B$140,CT76+CS77-DB76)))</f>
        <v>319.7999999999999</v>
      </c>
      <c r="CU77" s="17">
        <f>CT77*VLOOKUP('Données projet'!$B$13,Paramètres!$A$1:$I$89,3,0)*VLOOKUP('Données projet'!$B$13,Paramètres!$A$1:$I$89,5,0)</f>
        <v>254.43287999999995</v>
      </c>
      <c r="CV77" s="13">
        <f t="shared" si="95"/>
        <v>61.534202204620392</v>
      </c>
      <c r="CW77" s="20">
        <f t="shared" si="67"/>
        <v>550.30933483971376</v>
      </c>
      <c r="CX77" s="59">
        <f t="shared" si="68"/>
        <v>843.64266817304701</v>
      </c>
      <c r="CY77" s="59">
        <f ca="1">AVERAGE(OFFSET($CX$3,0,0,'Données projet'!$E$13+1,1))-AVERAGE(OFFSET($H$3,0,0,'Données projet'!$E$13+1,1))</f>
        <v>243.33915530322201</v>
      </c>
      <c r="CZ77" s="59">
        <f t="shared" si="96"/>
        <v>247.73814704672577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13.805563841892811</v>
      </c>
      <c r="DG77" s="21">
        <f>EXP(-LN(2)/25)*DG76+(1-EXP(-LN(2)/25))/(LN(2)/25)*Calculateur!DB77*Calculateur!DD77*VLOOKUP('Données projet'!$B$13,Paramètres!$A$1:$I$89,3,0)*0.475*44/12</f>
        <v>13.942666093677076</v>
      </c>
      <c r="DH77" s="21">
        <f>EXP(-LN(2)/2)*DH76+(1-EXP(-LN(2)/2))/(LN(2)/2)*DB77*DE77*VLOOKUP('Données projet'!$B$13,Paramètres!$A$1:$I$89,3,0)*0.475*44/12</f>
        <v>0.74353774272023654</v>
      </c>
      <c r="DI77" s="22">
        <f t="shared" si="69"/>
        <v>28.491767678290124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5.6843418860808015E-13</v>
      </c>
      <c r="O78" s="13">
        <f>N78*VLOOKUP('Données projet'!$B$9,Paramètres!$A$1:$I$89,3,0)*VLOOKUP('Données projet'!$B$9,Paramètres!$A$1:$I$89,5,0)</f>
        <v>3.177547114319168E-13</v>
      </c>
      <c r="P78" s="13">
        <f t="shared" si="87"/>
        <v>4.1725404435445377E-12</v>
      </c>
      <c r="Q78" s="20">
        <f t="shared" si="54"/>
        <v>7.820597394917325E-12</v>
      </c>
      <c r="R78" s="59">
        <f t="shared" si="55"/>
        <v>293.33333333334116</v>
      </c>
      <c r="S78" s="59">
        <f ca="1">AVERAGE(OFFSET($R$3,0,0,'Données projet'!$E$9+1,1))-AVERAGE(OFFSET($H$3,0,0,'Données projet'!$E$9+1,1))</f>
        <v>287.413090017863</v>
      </c>
      <c r="T78" s="59">
        <f t="shared" si="88"/>
        <v>258.48456031927117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208.99457415419573</v>
      </c>
      <c r="AA78" s="21">
        <f>EXP(-LN(2)/25)*AA77+(1-EXP(-LN(2)/25))/(LN(2)/25)*Calculateur!V78*Calculateur!X78*VLOOKUP('Données projet'!$B$9,Paramètres!$A$1:$I$89,3,0)*0.475*44/12</f>
        <v>66.821150126571567</v>
      </c>
      <c r="AB78" s="21">
        <f>EXP(-LN(2)/2)*AB77+(1-EXP(-LN(2)/2))/(LN(2)/2)*V78*Y78*VLOOKUP('Données projet'!$B$9,Paramètres!$A$1:$I$89,3,0)*0.475*44/12</f>
        <v>13.347617066427931</v>
      </c>
      <c r="AC78" s="22">
        <f t="shared" si="57"/>
        <v>289.16334134719523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9.546999999999997</v>
      </c>
      <c r="AI78" s="13">
        <f>IF('Données projet'!$A$62&gt;35,AI77+AH78-AQ77,IF(A78&lt;'Données projet'!$A$62,$AF$205^A78,IF(A78='Données projet'!$A$62,'Données projet'!$B$62,AI77+AH78-AQ77)))</f>
        <v>269.16700000000031</v>
      </c>
      <c r="AJ78" s="13">
        <f>AI78*VLOOKUP('Données projet'!$B$10,Paramètres!$A$1:$I$89,3,0)*VLOOKUP('Données projet'!$B$10,Paramètres!$A$1:$I$89,5,0)</f>
        <v>243.54230160000029</v>
      </c>
      <c r="AK78" s="13">
        <f t="shared" si="89"/>
        <v>59.201022808040776</v>
      </c>
      <c r="AL78" s="20">
        <f t="shared" si="58"/>
        <v>527.27795667733812</v>
      </c>
      <c r="AM78" s="59">
        <f t="shared" si="59"/>
        <v>820.61129001067138</v>
      </c>
      <c r="AN78" s="59">
        <f ca="1">AVERAGE(OFFSET($AM$3,0,0,'Données projet'!$E$10+1,1))-AVERAGE(OFFSET($H$3,0,0,'Données projet'!$E$10+1,1))</f>
        <v>422.10969295064359</v>
      </c>
      <c r="AO78" s="59">
        <f t="shared" si="90"/>
        <v>184.04075143033037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14.338361953229031</v>
      </c>
      <c r="AV78" s="21">
        <f>EXP(-LN(2)/25)*AV77+(1-EXP(-LN(2)/25))/(LN(2)/25)*Calculateur!AQ78*Calculateur!AS78*VLOOKUP('Données projet'!$B$10,Paramètres!$A$1:$I$89,3,0)*0.475*44/12</f>
        <v>30.628263283791142</v>
      </c>
      <c r="AW78" s="21">
        <f>EXP(-LN(2)/2)*AW77+(1-EXP(-LN(2)/2))/(LN(2)/2)*AQ78*AT78*VLOOKUP('Données projet'!$B$10,Paramètres!$A$1:$I$89,3,0)*0.475*44/12</f>
        <v>3.3254411714052541</v>
      </c>
      <c r="AX78" s="21">
        <f t="shared" si="60"/>
        <v>48.292066408425427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681</v>
      </c>
      <c r="BB78" s="12">
        <f>VLOOKUP(A78,'Données projet'!$A$87:$I$107,9,0)</f>
        <v>15</v>
      </c>
      <c r="BC78" s="12">
        <f t="array" ref="BC78">INDEX(BB:BB,MIN(IF(ISNUMBER(BB78:BB274),ROW(BB78:BB274),"")))</f>
        <v>15</v>
      </c>
      <c r="BD78" s="12">
        <f>IF('Données projet'!$A$88&gt;35,BD77+BC78-BL77,IF(A78&lt;'Données projet'!$A$88,$BA$205^A78,IF(A78='Données projet'!$A$88,'Données projet'!$B$88,BD77+BC78-BL77)))</f>
        <v>680.99999999999955</v>
      </c>
      <c r="BE78" s="13">
        <f>BD78*VLOOKUP('Données projet'!$B$11,Paramètres!$A$1:$I$89,3,0)*VLOOKUP('Données projet'!$B$11,Paramètres!$A$1:$I$89,5,0)</f>
        <v>274.44299999999987</v>
      </c>
      <c r="BF78" s="13">
        <f t="shared" si="91"/>
        <v>65.791288459981772</v>
      </c>
      <c r="BG78" s="20">
        <f t="shared" si="61"/>
        <v>592.57471906780131</v>
      </c>
      <c r="BH78" s="59">
        <f t="shared" si="62"/>
        <v>885.90805240113468</v>
      </c>
      <c r="BI78" s="59">
        <f ca="1">AVERAGE(OFFSET($BH$3,0,0,'Données projet'!$E$11+1,1))-AVERAGE(OFFSET($H$3,0,0,'Données projet'!$E$11+1,1))</f>
        <v>217.61052961346684</v>
      </c>
      <c r="BJ78" s="59">
        <f t="shared" si="92"/>
        <v>180.77145728128608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39</v>
      </c>
      <c r="BM78" s="16">
        <f>IF(ISNA(VLOOKUP(A78,'Données projet'!$A$87:$I$107,5,0)),0%,VLOOKUP(A78,'Données projet'!$A$87:$I$107,5,0)*VLOOKUP('Données projet'!$B$11,Paramètres!$A$1:$I$89,7,0))</f>
        <v>0.33</v>
      </c>
      <c r="BN78" s="16">
        <f>IF(ISNA(VLOOKUP(A78,'Données projet'!$A$87:$I$107,6,0)),0%,VLOOKUP(A78,'Données projet'!$A$87:$I$107,6,0)*VLOOKUP('Données projet'!$B$11,Paramètres!$A$1:$I$89,7,0))</f>
        <v>0.11000000000000001</v>
      </c>
      <c r="BO78" s="16">
        <f>IF(ISNA(VLOOKUP(A78,'Données projet'!$A$87:$I$107,7,0)),0%,VLOOKUP(A78,'Données projet'!$A$87:$I$107,7,0))</f>
        <v>0.2</v>
      </c>
      <c r="BP78" s="21">
        <f>EXP(-LN(2)/35)*BP77+(1-EXP(-LN(2)/35))/(LN(2)/35)*BL78*BM78*VLOOKUP('Données projet'!$B$11,Paramètres!$A$1:$I$89,3,0)*0.475*44/12</f>
        <v>48.053784865428689</v>
      </c>
      <c r="BQ78" s="21">
        <f>EXP(-LN(2)/25)*BQ77+(1-EXP(-LN(2)/25))/(LN(2)/25)*Calculateur!BL78*Calculateur!BN78*VLOOKUP('Données projet'!$B$11,Paramètres!$A$1:$I$89,3,0)*0.475*44/12</f>
        <v>21.607911986540575</v>
      </c>
      <c r="BR78" s="21">
        <f>EXP(-LN(2)/2)*BR77+(1-EXP(-LN(2)/2))/(LN(2)/2)*BL78*BO78*VLOOKUP('Données projet'!$B$11,Paramètres!$A$1:$I$89,3,0)*0.475*44/12</f>
        <v>4.3774012828780551</v>
      </c>
      <c r="BS78" s="22">
        <f t="shared" si="63"/>
        <v>74.039098134847322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12.707777777777771</v>
      </c>
      <c r="BY78" s="12">
        <f>IF('Données projet'!$A$114&gt;35,BY77+BX78-CG77,IF(A78&lt;'Données projet'!$A$114,$BV$205^A78,IF(A78='Données projet'!$A$114,'Données projet'!$B$114,BY77+BX78-CG77)))</f>
        <v>357.03333333333308</v>
      </c>
      <c r="BZ78" s="13">
        <f>BY78*VLOOKUP('Données projet'!$B$12,Paramètres!$A$1:$I$89,3,0)*VLOOKUP('Données projet'!$B$12,Paramètres!$A$1:$I$89,5,0)</f>
        <v>300.76487999999978</v>
      </c>
      <c r="CA78" s="13">
        <f t="shared" si="93"/>
        <v>71.336787932050342</v>
      </c>
      <c r="CB78" s="20">
        <f t="shared" si="64"/>
        <v>648.07707164832061</v>
      </c>
      <c r="CC78" s="59">
        <f t="shared" si="65"/>
        <v>941.41040498165398</v>
      </c>
      <c r="CD78" s="59">
        <f ca="1">AVERAGE(OFFSET($CC$3,0,0,'Données projet'!$E$12+1,1))-AVERAGE(OFFSET($H$3,0,0,'Données projet'!$E$12+1,1))</f>
        <v>287.72859857368331</v>
      </c>
      <c r="CE78" s="59">
        <f t="shared" si="94"/>
        <v>179.60736986885922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29.753592523134763</v>
      </c>
      <c r="CL78" s="21">
        <f>EXP(-LN(2)/25)*CL77+(1-EXP(-LN(2)/25))/(LN(2)/25)*Calculateur!CG78*Calculateur!CI78*VLOOKUP('Données projet'!$B$12,Paramètres!$A$1:$I$89,3,0)*0.475*44/12</f>
        <v>26.221769675139971</v>
      </c>
      <c r="CM78" s="21">
        <f>EXP(-LN(2)/2)*CM77+(1-EXP(-LN(2)/2))/(LN(2)/2)*CG78*CJ78*VLOOKUP('Données projet'!$B$12,Paramètres!$A$1:$I$89,3,0)*0.475*44/12</f>
        <v>2.011478185874231</v>
      </c>
      <c r="CN78" s="22">
        <f t="shared" si="66"/>
        <v>57.986840384148969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324</v>
      </c>
      <c r="CR78" s="12">
        <f>VLOOKUP(A78,'Données projet'!$A$139:$I$159,9,0)</f>
        <v>4.2</v>
      </c>
      <c r="CS78" s="12">
        <f t="array" ref="CS78">INDEX(CR:CR,MIN(IF(ISNUMBER(CR78:CR274),ROW(CR78:CR274),"")))</f>
        <v>4.2</v>
      </c>
      <c r="CT78" s="12">
        <f>IF('Données projet'!$A$140&gt;35,CT77+CS78-DB77,IF(A78&lt;'Données projet'!$A$140,$CQ$205^A78,IF(A78='Données projet'!$A$140,'Données projet'!$B$140,CT77+CS78-DB77)))</f>
        <v>323.99999999999989</v>
      </c>
      <c r="CU78" s="17">
        <f>CT78*VLOOKUP('Données projet'!$B$13,Paramètres!$A$1:$I$89,3,0)*VLOOKUP('Données projet'!$B$13,Paramètres!$A$1:$I$89,5,0)</f>
        <v>257.77439999999996</v>
      </c>
      <c r="CV78" s="13">
        <f t="shared" si="95"/>
        <v>62.247732872134293</v>
      </c>
      <c r="CW78" s="20">
        <f t="shared" si="67"/>
        <v>557.37188141896718</v>
      </c>
      <c r="CX78" s="59">
        <f t="shared" si="68"/>
        <v>850.70521475230044</v>
      </c>
      <c r="CY78" s="59">
        <f ca="1">AVERAGE(OFFSET($CX$3,0,0,'Données projet'!$E$13+1,1))-AVERAGE(OFFSET($H$3,0,0,'Données projet'!$E$13+1,1))</f>
        <v>243.33915530322201</v>
      </c>
      <c r="CZ78" s="59">
        <f t="shared" si="96"/>
        <v>247.73814704672577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12</v>
      </c>
      <c r="DC78" s="16">
        <f>IF(ISNA(VLOOKUP(A78,'Données projet'!$A$139:$I$159,5,0)),0%,VLOOKUP(A78,'Données projet'!$A$139:$I$159,5,0)*VLOOKUP('Données projet'!$B$13,Paramètres!$A$1:$I$89,7,0))</f>
        <v>0.13250000000000001</v>
      </c>
      <c r="DD78" s="16">
        <f>IF(ISNA(VLOOKUP(A78,'Données projet'!$A$139:$I$159,6,0)),0%,VLOOKUP(A78,'Données projet'!$A$139:$I$159,6,0)*VLOOKUP('Données projet'!$B$13,Paramètres!$A$1:$I$89,7,0))</f>
        <v>0.13250000000000001</v>
      </c>
      <c r="DE78" s="16">
        <f>IF(ISNA(VLOOKUP(A78,'Données projet'!$A$139:$I$159,7,0)),0%,VLOOKUP(A78,'Données projet'!$A$139:$I$159,7,0))</f>
        <v>0.25</v>
      </c>
      <c r="DF78" s="21">
        <f>EXP(-LN(2)/35)*DF77+(1-EXP(-LN(2)/35))/(LN(2)/35)*DB78*DC78*VLOOKUP('Données projet'!$B$13,Paramètres!$A$1:$I$89,3,0)*0.475*44/12</f>
        <v>14.933269607506475</v>
      </c>
      <c r="DG78" s="21">
        <f>EXP(-LN(2)/25)*DG77+(1-EXP(-LN(2)/25))/(LN(2)/25)*Calculateur!DB78*Calculateur!DD78*VLOOKUP('Données projet'!$B$13,Paramètres!$A$1:$I$89,3,0)*0.475*44/12</f>
        <v>14.954321478214256</v>
      </c>
      <c r="DH78" s="21">
        <f>EXP(-LN(2)/2)*DH77+(1-EXP(-LN(2)/2))/(LN(2)/2)*DB78*DE78*VLOOKUP('Données projet'!$B$13,Paramètres!$A$1:$I$89,3,0)*0.475*44/12</f>
        <v>2.7777706197257581</v>
      </c>
      <c r="DI78" s="22">
        <f t="shared" si="69"/>
        <v>32.665361705446486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5.6843418860808015E-13</v>
      </c>
      <c r="O79" s="13">
        <f>N79*VLOOKUP('Données projet'!$B$9,Paramètres!$A$1:$I$89,3,0)*VLOOKUP('Données projet'!$B$9,Paramètres!$A$1:$I$89,5,0)</f>
        <v>3.177547114319168E-13</v>
      </c>
      <c r="P79" s="13">
        <f t="shared" si="87"/>
        <v>4.1725404435445377E-12</v>
      </c>
      <c r="Q79" s="20">
        <f t="shared" si="54"/>
        <v>7.820597394917325E-12</v>
      </c>
      <c r="R79" s="59">
        <f t="shared" si="55"/>
        <v>293.33333333334116</v>
      </c>
      <c r="S79" s="59">
        <f ca="1">AVERAGE(OFFSET($R$3,0,0,'Données projet'!$E$9+1,1))-AVERAGE(OFFSET($H$3,0,0,'Données projet'!$E$9+1,1))</f>
        <v>287.413090017863</v>
      </c>
      <c r="T79" s="59">
        <f t="shared" si="88"/>
        <v>258.48456031927117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204.89631802913516</v>
      </c>
      <c r="AA79" s="21">
        <f>EXP(-LN(2)/25)*AA78+(1-EXP(-LN(2)/25))/(LN(2)/25)*Calculateur!V79*Calculateur!X79*VLOOKUP('Données projet'!$B$9,Paramètres!$A$1:$I$89,3,0)*0.475*44/12</f>
        <v>64.993922262388907</v>
      </c>
      <c r="AB79" s="21">
        <f>EXP(-LN(2)/2)*AB78+(1-EXP(-LN(2)/2))/(LN(2)/2)*V79*Y79*VLOOKUP('Données projet'!$B$9,Paramètres!$A$1:$I$89,3,0)*0.475*44/12</f>
        <v>9.4381905403524833</v>
      </c>
      <c r="AC79" s="22">
        <f t="shared" si="57"/>
        <v>279.32843083187652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9.546999999999997</v>
      </c>
      <c r="AI79" s="13">
        <f>IF('Données projet'!$A$62&gt;35,AI78+AH79-AQ78,IF(A79&lt;'Données projet'!$A$62,$AF$205^A79,IF(A79='Données projet'!$A$62,'Données projet'!$B$62,AI78+AH79-AQ78)))</f>
        <v>278.71400000000028</v>
      </c>
      <c r="AJ79" s="13">
        <f>AI79*VLOOKUP('Données projet'!$B$10,Paramètres!$A$1:$I$89,3,0)*VLOOKUP('Données projet'!$B$10,Paramètres!$A$1:$I$89,5,0)</f>
        <v>252.18042720000025</v>
      </c>
      <c r="AK79" s="13">
        <f t="shared" si="89"/>
        <v>61.052610283141384</v>
      </c>
      <c r="AL79" s="20">
        <f t="shared" si="58"/>
        <v>545.54754028313835</v>
      </c>
      <c r="AM79" s="59">
        <f t="shared" si="59"/>
        <v>838.88087361647172</v>
      </c>
      <c r="AN79" s="59">
        <f ca="1">AVERAGE(OFFSET($AM$3,0,0,'Données projet'!$E$10+1,1))-AVERAGE(OFFSET($H$3,0,0,'Données projet'!$E$10+1,1))</f>
        <v>422.10969295064359</v>
      </c>
      <c r="AO79" s="59">
        <f t="shared" si="90"/>
        <v>184.04075143033037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14.057195420863451</v>
      </c>
      <c r="AV79" s="21">
        <f>EXP(-LN(2)/25)*AV78+(1-EXP(-LN(2)/25))/(LN(2)/25)*Calculateur!AQ79*Calculateur!AS79*VLOOKUP('Données projet'!$B$10,Paramètres!$A$1:$I$89,3,0)*0.475*44/12</f>
        <v>29.790731813625509</v>
      </c>
      <c r="AW79" s="21">
        <f>EXP(-LN(2)/2)*AW78+(1-EXP(-LN(2)/2))/(LN(2)/2)*AQ79*AT79*VLOOKUP('Données projet'!$B$10,Paramètres!$A$1:$I$89,3,0)*0.475*44/12</f>
        <v>2.3514420027375915</v>
      </c>
      <c r="AX79" s="21">
        <f t="shared" si="60"/>
        <v>46.199369237226556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13.2</v>
      </c>
      <c r="BD79" s="12">
        <f>IF('Données projet'!$A$88&gt;35,BD78+BC79-BL78,IF(A79&lt;'Données projet'!$A$88,$BA$205^A79,IF(A79='Données projet'!$A$88,'Données projet'!$B$88,BD78+BC79-BL78)))</f>
        <v>655.19999999999959</v>
      </c>
      <c r="BE79" s="13">
        <f>BD79*VLOOKUP('Données projet'!$B$11,Paramètres!$A$1:$I$89,3,0)*VLOOKUP('Données projet'!$B$11,Paramètres!$A$1:$I$89,5,0)</f>
        <v>264.04559999999987</v>
      </c>
      <c r="BF79" s="13">
        <f t="shared" si="91"/>
        <v>63.58395992997368</v>
      </c>
      <c r="BG79" s="20">
        <f t="shared" si="61"/>
        <v>570.62148354470389</v>
      </c>
      <c r="BH79" s="59">
        <f t="shared" si="62"/>
        <v>863.95481687803726</v>
      </c>
      <c r="BI79" s="59">
        <f ca="1">AVERAGE(OFFSET($BH$3,0,0,'Données projet'!$E$11+1,1))-AVERAGE(OFFSET($H$3,0,0,'Données projet'!$E$11+1,1))</f>
        <v>217.61052961346684</v>
      </c>
      <c r="BJ79" s="59">
        <f t="shared" si="92"/>
        <v>180.77145728128608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47.111479454132287</v>
      </c>
      <c r="BQ79" s="21">
        <f>EXP(-LN(2)/25)*BQ78+(1-EXP(-LN(2)/25))/(LN(2)/25)*Calculateur!BL79*Calculateur!BN79*VLOOKUP('Données projet'!$B$11,Paramètres!$A$1:$I$89,3,0)*0.475*44/12</f>
        <v>21.017042496957917</v>
      </c>
      <c r="BR79" s="21">
        <f>EXP(-LN(2)/2)*BR78+(1-EXP(-LN(2)/2))/(LN(2)/2)*BL79*BO79*VLOOKUP('Données projet'!$B$11,Paramètres!$A$1:$I$89,3,0)*0.475*44/12</f>
        <v>3.0952901310977654</v>
      </c>
      <c r="BS79" s="22">
        <f t="shared" si="63"/>
        <v>71.223812082187976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12.707777777777771</v>
      </c>
      <c r="BY79" s="12">
        <f>IF('Données projet'!$A$114&gt;35,BY78+BX79-CG78,IF(A79&lt;'Données projet'!$A$114,$BV$205^A79,IF(A79='Données projet'!$A$114,'Données projet'!$B$114,BY78+BX79-CG78)))</f>
        <v>369.74111111111085</v>
      </c>
      <c r="BZ79" s="13">
        <f>BY79*VLOOKUP('Données projet'!$B$12,Paramètres!$A$1:$I$89,3,0)*VLOOKUP('Données projet'!$B$12,Paramètres!$A$1:$I$89,5,0)</f>
        <v>311.46991199999979</v>
      </c>
      <c r="CA79" s="13">
        <f t="shared" si="93"/>
        <v>73.575721736197707</v>
      </c>
      <c r="CB79" s="20">
        <f t="shared" si="64"/>
        <v>670.62114542387724</v>
      </c>
      <c r="CC79" s="59">
        <f t="shared" si="65"/>
        <v>963.95447875721061</v>
      </c>
      <c r="CD79" s="59">
        <f ca="1">AVERAGE(OFFSET($CC$3,0,0,'Données projet'!$E$12+1,1))-AVERAGE(OFFSET($H$3,0,0,'Données projet'!$E$12+1,1))</f>
        <v>287.72859857368331</v>
      </c>
      <c r="CE79" s="59">
        <f t="shared" si="94"/>
        <v>179.60736986885922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29.170142721655573</v>
      </c>
      <c r="CL79" s="21">
        <f>EXP(-LN(2)/25)*CL78+(1-EXP(-LN(2)/25))/(LN(2)/25)*Calculateur!CG79*Calculateur!CI79*VLOOKUP('Données projet'!$B$12,Paramètres!$A$1:$I$89,3,0)*0.475*44/12</f>
        <v>25.504734004430333</v>
      </c>
      <c r="CM79" s="21">
        <f>EXP(-LN(2)/2)*CM78+(1-EXP(-LN(2)/2))/(LN(2)/2)*CG79*CJ79*VLOOKUP('Données projet'!$B$12,Paramètres!$A$1:$I$89,3,0)*0.475*44/12</f>
        <v>1.4223298654404835</v>
      </c>
      <c r="CN79" s="22">
        <f t="shared" si="66"/>
        <v>56.097206591526387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3.6</v>
      </c>
      <c r="CT79" s="12">
        <f>IF('Données projet'!$A$140&gt;35,CT78+CS79-DB78,IF(A79&lt;'Données projet'!$A$140,$CQ$205^A79,IF(A79='Données projet'!$A$140,'Données projet'!$B$140,CT78+CS79-DB78)))</f>
        <v>315.59999999999991</v>
      </c>
      <c r="CU79" s="17">
        <f>CT79*VLOOKUP('Données projet'!$B$13,Paramètres!$A$1:$I$89,3,0)*VLOOKUP('Données projet'!$B$13,Paramètres!$A$1:$I$89,5,0)</f>
        <v>251.09135999999995</v>
      </c>
      <c r="CV79" s="13">
        <f t="shared" si="95"/>
        <v>60.81957989149403</v>
      </c>
      <c r="CW79" s="20">
        <f t="shared" si="67"/>
        <v>543.24488697768527</v>
      </c>
      <c r="CX79" s="59">
        <f t="shared" si="68"/>
        <v>836.57822031101864</v>
      </c>
      <c r="CY79" s="59">
        <f ca="1">AVERAGE(OFFSET($CX$3,0,0,'Données projet'!$E$13+1,1))-AVERAGE(OFFSET($H$3,0,0,'Données projet'!$E$13+1,1))</f>
        <v>243.33915530322201</v>
      </c>
      <c r="CZ79" s="59">
        <f t="shared" si="96"/>
        <v>247.73814704672577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14.640437298898354</v>
      </c>
      <c r="DG79" s="21">
        <f>EXP(-LN(2)/25)*DG78+(1-EXP(-LN(2)/25))/(LN(2)/25)*Calculateur!DB79*Calculateur!DD79*VLOOKUP('Données projet'!$B$13,Paramètres!$A$1:$I$89,3,0)*0.475*44/12</f>
        <v>14.545394770978898</v>
      </c>
      <c r="DH79" s="21">
        <f>EXP(-LN(2)/2)*DH78+(1-EXP(-LN(2)/2))/(LN(2)/2)*DB79*DE79*VLOOKUP('Données projet'!$B$13,Paramètres!$A$1:$I$89,3,0)*0.475*44/12</f>
        <v>1.9641804417888422</v>
      </c>
      <c r="DI79" s="22">
        <f t="shared" si="69"/>
        <v>31.150012511666091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5.6843418860808015E-13</v>
      </c>
      <c r="O80" s="13">
        <f>N80*VLOOKUP('Données projet'!$B$9,Paramètres!$A$1:$I$89,3,0)*VLOOKUP('Données projet'!$B$9,Paramètres!$A$1:$I$89,5,0)</f>
        <v>3.177547114319168E-13</v>
      </c>
      <c r="P80" s="13">
        <f t="shared" si="87"/>
        <v>4.1725404435445377E-12</v>
      </c>
      <c r="Q80" s="20">
        <f t="shared" si="54"/>
        <v>7.820597394917325E-12</v>
      </c>
      <c r="R80" s="59">
        <f t="shared" si="55"/>
        <v>293.33333333334116</v>
      </c>
      <c r="S80" s="59">
        <f ca="1">AVERAGE(OFFSET($R$3,0,0,'Données projet'!$E$9+1,1))-AVERAGE(OFFSET($H$3,0,0,'Données projet'!$E$9+1,1))</f>
        <v>287.413090017863</v>
      </c>
      <c r="T80" s="59">
        <f t="shared" si="88"/>
        <v>258.48456031927117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200.87842620699763</v>
      </c>
      <c r="AA80" s="21">
        <f>EXP(-LN(2)/25)*AA79+(1-EXP(-LN(2)/25))/(LN(2)/25)*Calculateur!V80*Calculateur!X80*VLOOKUP('Données projet'!$B$9,Paramètres!$A$1:$I$89,3,0)*0.475*44/12</f>
        <v>63.216660040242054</v>
      </c>
      <c r="AB80" s="21">
        <f>EXP(-LN(2)/2)*AB79+(1-EXP(-LN(2)/2))/(LN(2)/2)*V80*Y80*VLOOKUP('Données projet'!$B$9,Paramètres!$A$1:$I$89,3,0)*0.475*44/12</f>
        <v>6.6738085332139665</v>
      </c>
      <c r="AC80" s="22">
        <f t="shared" si="57"/>
        <v>270.76889478045365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9.546999999999997</v>
      </c>
      <c r="AI80" s="13">
        <f>IF('Données projet'!$A$62&gt;35,AI79+AH80-AQ79,IF(A80&lt;'Données projet'!$A$62,$AF$205^A80,IF(A80='Données projet'!$A$62,'Données projet'!$B$62,AI79+AH80-AQ79)))</f>
        <v>288.26100000000031</v>
      </c>
      <c r="AJ80" s="13">
        <f>AI80*VLOOKUP('Données projet'!$B$10,Paramètres!$A$1:$I$89,3,0)*VLOOKUP('Données projet'!$B$10,Paramètres!$A$1:$I$89,5,0)</f>
        <v>260.8185528000003</v>
      </c>
      <c r="AK80" s="13">
        <f t="shared" si="89"/>
        <v>62.896828401660521</v>
      </c>
      <c r="AL80" s="20">
        <f t="shared" si="58"/>
        <v>563.80428892622592</v>
      </c>
      <c r="AM80" s="59">
        <f t="shared" si="59"/>
        <v>857.13762225955929</v>
      </c>
      <c r="AN80" s="59">
        <f ca="1">AVERAGE(OFFSET($AM$3,0,0,'Données projet'!$E$10+1,1))-AVERAGE(OFFSET($H$3,0,0,'Données projet'!$E$10+1,1))</f>
        <v>422.10969295064359</v>
      </c>
      <c r="AO80" s="59">
        <f t="shared" si="90"/>
        <v>184.04075143033037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13.781542392702908</v>
      </c>
      <c r="AV80" s="21">
        <f>EXP(-LN(2)/25)*AV79+(1-EXP(-LN(2)/25))/(LN(2)/25)*Calculateur!AQ80*Calculateur!AS80*VLOOKUP('Données projet'!$B$10,Paramètres!$A$1:$I$89,3,0)*0.475*44/12</f>
        <v>28.976102685555421</v>
      </c>
      <c r="AW80" s="21">
        <f>EXP(-LN(2)/2)*AW79+(1-EXP(-LN(2)/2))/(LN(2)/2)*AQ80*AT80*VLOOKUP('Données projet'!$B$10,Paramètres!$A$1:$I$89,3,0)*0.475*44/12</f>
        <v>1.6627205857026273</v>
      </c>
      <c r="AX80" s="21">
        <f t="shared" si="60"/>
        <v>44.420365663960958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13.2</v>
      </c>
      <c r="BD80" s="12">
        <f>IF('Données projet'!$A$88&gt;35,BD79+BC80-BL79,IF(A80&lt;'Données projet'!$A$88,$BA$205^A80,IF(A80='Données projet'!$A$88,'Données projet'!$B$88,BD79+BC80-BL79)))</f>
        <v>668.39999999999964</v>
      </c>
      <c r="BE80" s="13">
        <f>BD80*VLOOKUP('Données projet'!$B$11,Paramètres!$A$1:$I$89,3,0)*VLOOKUP('Données projet'!$B$11,Paramètres!$A$1:$I$89,5,0)</f>
        <v>269.36519999999985</v>
      </c>
      <c r="BF80" s="13">
        <f t="shared" si="91"/>
        <v>64.714530255967034</v>
      </c>
      <c r="BG80" s="20">
        <f t="shared" si="61"/>
        <v>581.85553019580891</v>
      </c>
      <c r="BH80" s="59">
        <f t="shared" si="62"/>
        <v>875.18886352914228</v>
      </c>
      <c r="BI80" s="59">
        <f ca="1">AVERAGE(OFFSET($BH$3,0,0,'Données projet'!$E$11+1,1))-AVERAGE(OFFSET($H$3,0,0,'Données projet'!$E$11+1,1))</f>
        <v>217.61052961346684</v>
      </c>
      <c r="BJ80" s="59">
        <f t="shared" si="92"/>
        <v>180.77145728128608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46.187652077201861</v>
      </c>
      <c r="BQ80" s="21">
        <f>EXP(-LN(2)/25)*BQ79+(1-EXP(-LN(2)/25))/(LN(2)/25)*Calculateur!BL80*Calculateur!BN80*VLOOKUP('Données projet'!$B$11,Paramètres!$A$1:$I$89,3,0)*0.475*44/12</f>
        <v>20.442330364640373</v>
      </c>
      <c r="BR80" s="21">
        <f>EXP(-LN(2)/2)*BR79+(1-EXP(-LN(2)/2))/(LN(2)/2)*BL80*BO80*VLOOKUP('Données projet'!$B$11,Paramètres!$A$1:$I$89,3,0)*0.475*44/12</f>
        <v>2.1887006414390275</v>
      </c>
      <c r="BS80" s="22">
        <f t="shared" si="63"/>
        <v>68.818683083281257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12.707777777777771</v>
      </c>
      <c r="BY80" s="12">
        <f>IF('Données projet'!$A$114&gt;35,BY79+BX80-CG79,IF(A80&lt;'Données projet'!$A$114,$BV$205^A80,IF(A80='Données projet'!$A$114,'Données projet'!$B$114,BY79+BX80-CG79)))</f>
        <v>382.44888888888863</v>
      </c>
      <c r="BZ80" s="13">
        <f>BY80*VLOOKUP('Données projet'!$B$12,Paramètres!$A$1:$I$89,3,0)*VLOOKUP('Données projet'!$B$12,Paramètres!$A$1:$I$89,5,0)</f>
        <v>322.17494399999981</v>
      </c>
      <c r="CA80" s="13">
        <f t="shared" si="93"/>
        <v>75.805714500976208</v>
      </c>
      <c r="CB80" s="20">
        <f t="shared" si="64"/>
        <v>693.14964688919997</v>
      </c>
      <c r="CC80" s="59">
        <f t="shared" si="65"/>
        <v>986.48298022253334</v>
      </c>
      <c r="CD80" s="59">
        <f ca="1">AVERAGE(OFFSET($CC$3,0,0,'Données projet'!$E$12+1,1))-AVERAGE(OFFSET($H$3,0,0,'Données projet'!$E$12+1,1))</f>
        <v>287.72859857368331</v>
      </c>
      <c r="CE80" s="59">
        <f t="shared" si="94"/>
        <v>179.60736986885922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28.598134014914152</v>
      </c>
      <c r="CL80" s="21">
        <f>EXP(-LN(2)/25)*CL79+(1-EXP(-LN(2)/25))/(LN(2)/25)*Calculateur!CG80*Calculateur!CI80*VLOOKUP('Données projet'!$B$12,Paramètres!$A$1:$I$89,3,0)*0.475*44/12</f>
        <v>24.807305711843515</v>
      </c>
      <c r="CM80" s="21">
        <f>EXP(-LN(2)/2)*CM79+(1-EXP(-LN(2)/2))/(LN(2)/2)*CG80*CJ80*VLOOKUP('Données projet'!$B$12,Paramètres!$A$1:$I$89,3,0)*0.475*44/12</f>
        <v>1.0057390929371155</v>
      </c>
      <c r="CN80" s="22">
        <f t="shared" si="66"/>
        <v>54.411178819694776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3.6</v>
      </c>
      <c r="CT80" s="12">
        <f>IF('Données projet'!$A$140&gt;35,CT79+CS80-DB79,IF(A80&lt;'Données projet'!$A$140,$CQ$205^A80,IF(A80='Données projet'!$A$140,'Données projet'!$B$140,CT79+CS80-DB79)))</f>
        <v>319.19999999999993</v>
      </c>
      <c r="CU80" s="17">
        <f>CT80*VLOOKUP('Données projet'!$B$13,Paramètres!$A$1:$I$89,3,0)*VLOOKUP('Données projet'!$B$13,Paramètres!$A$1:$I$89,5,0)</f>
        <v>253.95551999999998</v>
      </c>
      <c r="CV80" s="13">
        <f t="shared" si="95"/>
        <v>61.432180511879253</v>
      </c>
      <c r="CW80" s="20">
        <f t="shared" si="67"/>
        <v>549.30024505818972</v>
      </c>
      <c r="CX80" s="59">
        <f t="shared" si="68"/>
        <v>842.63357839152309</v>
      </c>
      <c r="CY80" s="59">
        <f ca="1">AVERAGE(OFFSET($CX$3,0,0,'Données projet'!$E$13+1,1))-AVERAGE(OFFSET($H$3,0,0,'Données projet'!$E$13+1,1))</f>
        <v>243.33915530322201</v>
      </c>
      <c r="CZ80" s="59">
        <f t="shared" si="96"/>
        <v>247.73814704672577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14.353347253251966</v>
      </c>
      <c r="DG80" s="21">
        <f>EXP(-LN(2)/25)*DG79+(1-EXP(-LN(2)/25))/(LN(2)/25)*Calculateur!DB80*Calculateur!DD80*VLOOKUP('Données projet'!$B$13,Paramètres!$A$1:$I$89,3,0)*0.475*44/12</f>
        <v>14.147650186057414</v>
      </c>
      <c r="DH80" s="21">
        <f>EXP(-LN(2)/2)*DH79+(1-EXP(-LN(2)/2))/(LN(2)/2)*DB80*DE80*VLOOKUP('Données projet'!$B$13,Paramètres!$A$1:$I$89,3,0)*0.475*44/12</f>
        <v>1.3888853098628793</v>
      </c>
      <c r="DI80" s="22">
        <f t="shared" si="69"/>
        <v>29.889882749172259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5.6843418860808015E-13</v>
      </c>
      <c r="O81" s="13">
        <f>N81*VLOOKUP('Données projet'!$B$9,Paramètres!$A$1:$I$89,3,0)*VLOOKUP('Données projet'!$B$9,Paramètres!$A$1:$I$89,5,0)</f>
        <v>3.177547114319168E-13</v>
      </c>
      <c r="P81" s="13">
        <f t="shared" si="87"/>
        <v>4.1725404435445377E-12</v>
      </c>
      <c r="Q81" s="20">
        <f t="shared" si="54"/>
        <v>7.820597394917325E-12</v>
      </c>
      <c r="R81" s="59">
        <f t="shared" si="55"/>
        <v>293.33333333334116</v>
      </c>
      <c r="S81" s="59">
        <f ca="1">AVERAGE(OFFSET($R$3,0,0,'Données projet'!$E$9+1,1))-AVERAGE(OFFSET($H$3,0,0,'Données projet'!$E$9+1,1))</f>
        <v>287.413090017863</v>
      </c>
      <c r="T81" s="59">
        <f t="shared" si="88"/>
        <v>258.48456031927117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196.93932279282018</v>
      </c>
      <c r="AA81" s="21">
        <f>EXP(-LN(2)/25)*AA80+(1-EXP(-LN(2)/25))/(LN(2)/25)*Calculateur!V81*Calculateur!X81*VLOOKUP('Données projet'!$B$9,Paramètres!$A$1:$I$89,3,0)*0.475*44/12</f>
        <v>61.487997147021964</v>
      </c>
      <c r="AB81" s="21">
        <f>EXP(-LN(2)/2)*AB80+(1-EXP(-LN(2)/2))/(LN(2)/2)*V81*Y81*VLOOKUP('Données projet'!$B$9,Paramètres!$A$1:$I$89,3,0)*0.475*44/12</f>
        <v>4.7190952701762425</v>
      </c>
      <c r="AC81" s="22">
        <f t="shared" si="57"/>
        <v>263.1464152100184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9.546999999999997</v>
      </c>
      <c r="AI81" s="13">
        <f>IF('Données projet'!$A$62&gt;35,AI80+AH81-AQ80,IF(A81&lt;'Données projet'!$A$62,$AF$205^A81,IF(A81='Données projet'!$A$62,'Données projet'!$B$62,AI80+AH81-AQ80)))</f>
        <v>297.80800000000033</v>
      </c>
      <c r="AJ81" s="13">
        <f>AI81*VLOOKUP('Données projet'!$B$10,Paramètres!$A$1:$I$89,3,0)*VLOOKUP('Données projet'!$B$10,Paramètres!$A$1:$I$89,5,0)</f>
        <v>269.45667840000027</v>
      </c>
      <c r="AK81" s="13">
        <f t="shared" si="89"/>
        <v>64.733949217436958</v>
      </c>
      <c r="AL81" s="20">
        <f t="shared" si="58"/>
        <v>582.04867643370324</v>
      </c>
      <c r="AM81" s="59">
        <f t="shared" si="59"/>
        <v>875.38200976703661</v>
      </c>
      <c r="AN81" s="59">
        <f ca="1">AVERAGE(OFFSET($AM$3,0,0,'Données projet'!$E$10+1,1))-AVERAGE(OFFSET($H$3,0,0,'Données projet'!$E$10+1,1))</f>
        <v>422.10969295064359</v>
      </c>
      <c r="AO81" s="59">
        <f t="shared" si="90"/>
        <v>184.04075143033037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13.51129475229285</v>
      </c>
      <c r="AV81" s="21">
        <f>EXP(-LN(2)/25)*AV80+(1-EXP(-LN(2)/25))/(LN(2)/25)*Calculateur!AQ81*Calculateur!AS81*VLOOKUP('Données projet'!$B$10,Paramètres!$A$1:$I$89,3,0)*0.475*44/12</f>
        <v>28.183749633831894</v>
      </c>
      <c r="AW81" s="21">
        <f>EXP(-LN(2)/2)*AW80+(1-EXP(-LN(2)/2))/(LN(2)/2)*AQ81*AT81*VLOOKUP('Données projet'!$B$10,Paramètres!$A$1:$I$89,3,0)*0.475*44/12</f>
        <v>1.175721001368796</v>
      </c>
      <c r="AX81" s="21">
        <f t="shared" si="60"/>
        <v>42.870765387493535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13.2</v>
      </c>
      <c r="BD81" s="12">
        <f>IF('Données projet'!$A$88&gt;35,BD80+BC81-BL80,IF(A81&lt;'Données projet'!$A$88,$BA$205^A81,IF(A81='Données projet'!$A$88,'Données projet'!$B$88,BD80+BC81-BL80)))</f>
        <v>681.59999999999968</v>
      </c>
      <c r="BE81" s="13">
        <f>BD81*VLOOKUP('Données projet'!$B$11,Paramètres!$A$1:$I$89,3,0)*VLOOKUP('Données projet'!$B$11,Paramètres!$A$1:$I$89,5,0)</f>
        <v>274.68479999999988</v>
      </c>
      <c r="BF81" s="13">
        <f t="shared" si="91"/>
        <v>65.842504497456659</v>
      </c>
      <c r="BG81" s="20">
        <f t="shared" si="61"/>
        <v>593.08505533307016</v>
      </c>
      <c r="BH81" s="59">
        <f t="shared" si="62"/>
        <v>886.41838866640342</v>
      </c>
      <c r="BI81" s="59">
        <f ca="1">AVERAGE(OFFSET($BH$3,0,0,'Données projet'!$E$11+1,1))-AVERAGE(OFFSET($H$3,0,0,'Données projet'!$E$11+1,1))</f>
        <v>217.61052961346684</v>
      </c>
      <c r="BJ81" s="59">
        <f t="shared" si="92"/>
        <v>180.77145728128608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45.281940391653976</v>
      </c>
      <c r="BQ81" s="21">
        <f>EXP(-LN(2)/25)*BQ80+(1-EXP(-LN(2)/25))/(LN(2)/25)*Calculateur!BL81*Calculateur!BN81*VLOOKUP('Données projet'!$B$11,Paramètres!$A$1:$I$89,3,0)*0.475*44/12</f>
        <v>19.883333765803851</v>
      </c>
      <c r="BR81" s="21">
        <f>EXP(-LN(2)/2)*BR80+(1-EXP(-LN(2)/2))/(LN(2)/2)*BL81*BO81*VLOOKUP('Données projet'!$B$11,Paramètres!$A$1:$I$89,3,0)*0.475*44/12</f>
        <v>1.5476450655488827</v>
      </c>
      <c r="BS81" s="22">
        <f t="shared" si="63"/>
        <v>66.712919223006708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12.707777777777771</v>
      </c>
      <c r="BY81" s="12">
        <f>IF('Données projet'!$A$114&gt;35,BY80+BX81-CG80,IF(A81&lt;'Données projet'!$A$114,$BV$205^A81,IF(A81='Données projet'!$A$114,'Données projet'!$B$114,BY80+BX81-CG80)))</f>
        <v>395.15666666666641</v>
      </c>
      <c r="BZ81" s="13">
        <f>BY81*VLOOKUP('Données projet'!$B$12,Paramètres!$A$1:$I$89,3,0)*VLOOKUP('Données projet'!$B$12,Paramètres!$A$1:$I$89,5,0)</f>
        <v>332.87997599999977</v>
      </c>
      <c r="CA81" s="13">
        <f t="shared" si="93"/>
        <v>78.027097377942809</v>
      </c>
      <c r="CB81" s="20">
        <f t="shared" si="64"/>
        <v>715.6631527999167</v>
      </c>
      <c r="CC81" s="59">
        <f t="shared" si="65"/>
        <v>1008.9964861332501</v>
      </c>
      <c r="CD81" s="59">
        <f ca="1">AVERAGE(OFFSET($CC$3,0,0,'Données projet'!$E$12+1,1))-AVERAGE(OFFSET($H$3,0,0,'Données projet'!$E$12+1,1))</f>
        <v>287.72859857368331</v>
      </c>
      <c r="CE81" s="59">
        <f t="shared" si="94"/>
        <v>179.60736986885922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28.037342050021067</v>
      </c>
      <c r="CL81" s="21">
        <f>EXP(-LN(2)/25)*CL80+(1-EXP(-LN(2)/25))/(LN(2)/25)*Calculateur!CG81*Calculateur!CI81*VLOOKUP('Données projet'!$B$12,Paramètres!$A$1:$I$89,3,0)*0.475*44/12</f>
        <v>24.128948632593644</v>
      </c>
      <c r="CM81" s="21">
        <f>EXP(-LN(2)/2)*CM80+(1-EXP(-LN(2)/2))/(LN(2)/2)*CG81*CJ81*VLOOKUP('Données projet'!$B$12,Paramètres!$A$1:$I$89,3,0)*0.475*44/12</f>
        <v>0.71116493272024173</v>
      </c>
      <c r="CN81" s="22">
        <f t="shared" si="66"/>
        <v>52.877455615334959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3.6</v>
      </c>
      <c r="CT81" s="12">
        <f>IF('Données projet'!$A$140&gt;35,CT80+CS81-DB80,IF(A81&lt;'Données projet'!$A$140,$CQ$205^A81,IF(A81='Données projet'!$A$140,'Données projet'!$B$140,CT80+CS81-DB80)))</f>
        <v>322.79999999999995</v>
      </c>
      <c r="CU81" s="17">
        <f>CT81*VLOOKUP('Données projet'!$B$13,Paramètres!$A$1:$I$89,3,0)*VLOOKUP('Données projet'!$B$13,Paramètres!$A$1:$I$89,5,0)</f>
        <v>256.81968000000001</v>
      </c>
      <c r="CV81" s="13">
        <f t="shared" si="95"/>
        <v>62.043977430851903</v>
      </c>
      <c r="CW81" s="20">
        <f t="shared" si="67"/>
        <v>555.35420335873368</v>
      </c>
      <c r="CX81" s="59">
        <f t="shared" si="68"/>
        <v>848.68753669206694</v>
      </c>
      <c r="CY81" s="59">
        <f ca="1">AVERAGE(OFFSET($CX$3,0,0,'Données projet'!$E$13+1,1))-AVERAGE(OFFSET($H$3,0,0,'Données projet'!$E$13+1,1))</f>
        <v>243.33915530322201</v>
      </c>
      <c r="CZ81" s="59">
        <f t="shared" si="96"/>
        <v>247.73814704672577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14.071886868293067</v>
      </c>
      <c r="DG81" s="21">
        <f>EXP(-LN(2)/25)*DG80+(1-EXP(-LN(2)/25))/(LN(2)/25)*Calculateur!DB81*Calculateur!DD81*VLOOKUP('Données projet'!$B$13,Paramètres!$A$1:$I$89,3,0)*0.475*44/12</f>
        <v>13.760781947727086</v>
      </c>
      <c r="DH81" s="21">
        <f>EXP(-LN(2)/2)*DH80+(1-EXP(-LN(2)/2))/(LN(2)/2)*DB81*DE81*VLOOKUP('Données projet'!$B$13,Paramètres!$A$1:$I$89,3,0)*0.475*44/12</f>
        <v>0.98209022089442133</v>
      </c>
      <c r="DI81" s="22">
        <f t="shared" si="69"/>
        <v>28.814759036914573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5.6843418860808015E-13</v>
      </c>
      <c r="O82" s="13">
        <f>N82*VLOOKUP('Données projet'!$B$9,Paramètres!$A$1:$I$89,3,0)*VLOOKUP('Données projet'!$B$9,Paramètres!$A$1:$I$89,5,0)</f>
        <v>3.177547114319168E-13</v>
      </c>
      <c r="P82" s="13">
        <f t="shared" si="87"/>
        <v>4.1725404435445377E-12</v>
      </c>
      <c r="Q82" s="20">
        <f t="shared" si="54"/>
        <v>7.820597394917325E-12</v>
      </c>
      <c r="R82" s="59">
        <f t="shared" si="55"/>
        <v>293.33333333334116</v>
      </c>
      <c r="S82" s="59">
        <f ca="1">AVERAGE(OFFSET($R$3,0,0,'Données projet'!$E$9+1,1))-AVERAGE(OFFSET($H$3,0,0,'Données projet'!$E$9+1,1))</f>
        <v>287.413090017863</v>
      </c>
      <c r="T82" s="59">
        <f t="shared" si="88"/>
        <v>258.48456031927117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193.0774627939789</v>
      </c>
      <c r="AA82" s="21">
        <f>EXP(-LN(2)/25)*AA81+(1-EXP(-LN(2)/25))/(LN(2)/25)*Calculateur!V82*Calculateur!X82*VLOOKUP('Données projet'!$B$9,Paramètres!$A$1:$I$89,3,0)*0.475*44/12</f>
        <v>59.806604631523413</v>
      </c>
      <c r="AB82" s="21">
        <f>EXP(-LN(2)/2)*AB81+(1-EXP(-LN(2)/2))/(LN(2)/2)*V82*Y82*VLOOKUP('Données projet'!$B$9,Paramètres!$A$1:$I$89,3,0)*0.475*44/12</f>
        <v>3.3369042666069841</v>
      </c>
      <c r="AC82" s="22">
        <f t="shared" si="57"/>
        <v>256.22097169210929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9.546999999999997</v>
      </c>
      <c r="AI82" s="13">
        <f>IF('Données projet'!$A$62&gt;35,AI81+AH82-AQ81,IF(A82&lt;'Données projet'!$A$62,$AF$205^A82,IF(A82='Données projet'!$A$62,'Données projet'!$B$62,AI81+AH82-AQ81)))</f>
        <v>307.35500000000036</v>
      </c>
      <c r="AJ82" s="13">
        <f>AI82*VLOOKUP('Données projet'!$B$10,Paramètres!$A$1:$I$89,3,0)*VLOOKUP('Données projet'!$B$10,Paramètres!$A$1:$I$89,5,0)</f>
        <v>278.09480400000029</v>
      </c>
      <c r="AK82" s="13">
        <f t="shared" si="89"/>
        <v>66.564226351179173</v>
      </c>
      <c r="AL82" s="20">
        <f t="shared" si="58"/>
        <v>600.28114452830425</v>
      </c>
      <c r="AM82" s="59">
        <f t="shared" si="59"/>
        <v>893.61447786163762</v>
      </c>
      <c r="AN82" s="59">
        <f ca="1">AVERAGE(OFFSET($AM$3,0,0,'Données projet'!$E$10+1,1))-AVERAGE(OFFSET($H$3,0,0,'Données projet'!$E$10+1,1))</f>
        <v>422.10969295064359</v>
      </c>
      <c r="AO82" s="59">
        <f t="shared" si="90"/>
        <v>184.04075143033037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13.246346503276447</v>
      </c>
      <c r="AV82" s="21">
        <f>EXP(-LN(2)/25)*AV81+(1-EXP(-LN(2)/25))/(LN(2)/25)*Calculateur!AQ82*Calculateur!AS82*VLOOKUP('Données projet'!$B$10,Paramètres!$A$1:$I$89,3,0)*0.475*44/12</f>
        <v>27.413063517975782</v>
      </c>
      <c r="AW82" s="21">
        <f>EXP(-LN(2)/2)*AW81+(1-EXP(-LN(2)/2))/(LN(2)/2)*AQ82*AT82*VLOOKUP('Données projet'!$B$10,Paramètres!$A$1:$I$89,3,0)*0.475*44/12</f>
        <v>0.83136029285131385</v>
      </c>
      <c r="AX82" s="21">
        <f t="shared" si="60"/>
        <v>41.490770314103543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13.2</v>
      </c>
      <c r="BD82" s="12">
        <f>IF('Données projet'!$A$88&gt;35,BD81+BC82-BL81,IF(A82&lt;'Données projet'!$A$88,$BA$205^A82,IF(A82='Données projet'!$A$88,'Données projet'!$B$88,BD81+BC82-BL81)))</f>
        <v>694.79999999999973</v>
      </c>
      <c r="BE82" s="13">
        <f>BD82*VLOOKUP('Données projet'!$B$11,Paramètres!$A$1:$I$89,3,0)*VLOOKUP('Données projet'!$B$11,Paramètres!$A$1:$I$89,5,0)</f>
        <v>280.00439999999992</v>
      </c>
      <c r="BF82" s="13">
        <f t="shared" si="91"/>
        <v>66.967938726742574</v>
      </c>
      <c r="BG82" s="20">
        <f t="shared" si="61"/>
        <v>604.31015661574315</v>
      </c>
      <c r="BH82" s="59">
        <f t="shared" si="62"/>
        <v>897.64348994907641</v>
      </c>
      <c r="BI82" s="59">
        <f ca="1">AVERAGE(OFFSET($BH$3,0,0,'Données projet'!$E$11+1,1))-AVERAGE(OFFSET($H$3,0,0,'Données projet'!$E$11+1,1))</f>
        <v>217.61052961346684</v>
      </c>
      <c r="BJ82" s="59">
        <f t="shared" si="92"/>
        <v>180.77145728128608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44.393989159830106</v>
      </c>
      <c r="BQ82" s="21">
        <f>EXP(-LN(2)/25)*BQ81+(1-EXP(-LN(2)/25))/(LN(2)/25)*Calculateur!BL82*Calculateur!BN82*VLOOKUP('Données projet'!$B$11,Paramètres!$A$1:$I$89,3,0)*0.475*44/12</f>
        <v>19.339622958358866</v>
      </c>
      <c r="BR82" s="21">
        <f>EXP(-LN(2)/2)*BR81+(1-EXP(-LN(2)/2))/(LN(2)/2)*BL82*BO82*VLOOKUP('Données projet'!$B$11,Paramètres!$A$1:$I$89,3,0)*0.475*44/12</f>
        <v>1.0943503207195138</v>
      </c>
      <c r="BS82" s="22">
        <f t="shared" si="63"/>
        <v>64.827962438908486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12.707777777777771</v>
      </c>
      <c r="BY82" s="12">
        <f>IF('Données projet'!$A$114&gt;35,BY81+BX82-CG81,IF(A82&lt;'Données projet'!$A$114,$BV$205^A82,IF(A82='Données projet'!$A$114,'Données projet'!$B$114,BY81+BX82-CG81)))</f>
        <v>407.86444444444419</v>
      </c>
      <c r="BZ82" s="13">
        <f>BY82*VLOOKUP('Données projet'!$B$12,Paramètres!$A$1:$I$89,3,0)*VLOOKUP('Données projet'!$B$12,Paramètres!$A$1:$I$89,5,0)</f>
        <v>343.58500799999979</v>
      </c>
      <c r="CA82" s="13">
        <f t="shared" si="93"/>
        <v>80.240179010511568</v>
      </c>
      <c r="CB82" s="20">
        <f t="shared" si="64"/>
        <v>738.16220070997394</v>
      </c>
      <c r="CC82" s="59">
        <f t="shared" si="65"/>
        <v>1031.4955340433073</v>
      </c>
      <c r="CD82" s="59">
        <f ca="1">AVERAGE(OFFSET($CC$3,0,0,'Données projet'!$E$12+1,1))-AVERAGE(OFFSET($H$3,0,0,'Données projet'!$E$12+1,1))</f>
        <v>287.72859857368331</v>
      </c>
      <c r="CE82" s="59">
        <f t="shared" si="94"/>
        <v>179.60736986885922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27.487546873510212</v>
      </c>
      <c r="CL82" s="21">
        <f>EXP(-LN(2)/25)*CL81+(1-EXP(-LN(2)/25))/(LN(2)/25)*Calculateur!CG82*Calculateur!CI82*VLOOKUP('Données projet'!$B$12,Paramètres!$A$1:$I$89,3,0)*0.475*44/12</f>
        <v>23.469141263349108</v>
      </c>
      <c r="CM82" s="21">
        <f>EXP(-LN(2)/2)*CM81+(1-EXP(-LN(2)/2))/(LN(2)/2)*CG82*CJ82*VLOOKUP('Données projet'!$B$12,Paramètres!$A$1:$I$89,3,0)*0.475*44/12</f>
        <v>0.50286954646855775</v>
      </c>
      <c r="CN82" s="22">
        <f t="shared" si="66"/>
        <v>51.45955768332788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3.6</v>
      </c>
      <c r="CT82" s="12">
        <f>IF('Données projet'!$A$140&gt;35,CT81+CS82-DB81,IF(A82&lt;'Données projet'!$A$140,$CQ$205^A82,IF(A82='Données projet'!$A$140,'Données projet'!$B$140,CT81+CS82-DB81)))</f>
        <v>326.39999999999998</v>
      </c>
      <c r="CU82" s="17">
        <f>CT82*VLOOKUP('Données projet'!$B$13,Paramètres!$A$1:$I$89,3,0)*VLOOKUP('Données projet'!$B$13,Paramètres!$A$1:$I$89,5,0)</f>
        <v>259.68384000000003</v>
      </c>
      <c r="CV82" s="13">
        <f t="shared" si="95"/>
        <v>62.654980648867358</v>
      </c>
      <c r="CW82" s="20">
        <f t="shared" si="67"/>
        <v>561.40677929677736</v>
      </c>
      <c r="CX82" s="59">
        <f t="shared" si="68"/>
        <v>854.74011263011062</v>
      </c>
      <c r="CY82" s="59">
        <f ca="1">AVERAGE(OFFSET($CX$3,0,0,'Données projet'!$E$13+1,1))-AVERAGE(OFFSET($H$3,0,0,'Données projet'!$E$13+1,1))</f>
        <v>243.33915530322201</v>
      </c>
      <c r="CZ82" s="59">
        <f t="shared" si="96"/>
        <v>247.73814704672577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13.795945749809329</v>
      </c>
      <c r="DG82" s="21">
        <f>EXP(-LN(2)/25)*DG81+(1-EXP(-LN(2)/25))/(LN(2)/25)*Calculateur!DB82*Calculateur!DD82*VLOOKUP('Données projet'!$B$13,Paramètres!$A$1:$I$89,3,0)*0.475*44/12</f>
        <v>13.384492641718417</v>
      </c>
      <c r="DH82" s="21">
        <f>EXP(-LN(2)/2)*DH81+(1-EXP(-LN(2)/2))/(LN(2)/2)*DB82*DE82*VLOOKUP('Données projet'!$B$13,Paramètres!$A$1:$I$89,3,0)*0.475*44/12</f>
        <v>0.69444265493143975</v>
      </c>
      <c r="DI82" s="22">
        <f t="shared" si="69"/>
        <v>27.874881046459183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5.6843418860808015E-13</v>
      </c>
      <c r="O83" s="13">
        <f>N83*VLOOKUP('Données projet'!$B$9,Paramètres!$A$1:$I$89,3,0)*VLOOKUP('Données projet'!$B$9,Paramètres!$A$1:$I$89,5,0)</f>
        <v>3.177547114319168E-13</v>
      </c>
      <c r="P83" s="13">
        <f t="shared" si="87"/>
        <v>4.1725404435445377E-12</v>
      </c>
      <c r="Q83" s="20">
        <f t="shared" si="54"/>
        <v>7.820597394917325E-12</v>
      </c>
      <c r="R83" s="59">
        <f t="shared" si="55"/>
        <v>293.33333333334116</v>
      </c>
      <c r="S83" s="59">
        <f ca="1">AVERAGE(OFFSET($R$3,0,0,'Données projet'!$E$9+1,1))-AVERAGE(OFFSET($H$3,0,0,'Données projet'!$E$9+1,1))</f>
        <v>287.413090017863</v>
      </c>
      <c r="T83" s="59">
        <f t="shared" si="88"/>
        <v>258.48456031927117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189.29133151421289</v>
      </c>
      <c r="AA83" s="21">
        <f>EXP(-LN(2)/25)*AA82+(1-EXP(-LN(2)/25))/(LN(2)/25)*Calculateur!V83*Calculateur!X83*VLOOKUP('Données projet'!$B$9,Paramètres!$A$1:$I$89,3,0)*0.475*44/12</f>
        <v>58.171189882781761</v>
      </c>
      <c r="AB83" s="21">
        <f>EXP(-LN(2)/2)*AB82+(1-EXP(-LN(2)/2))/(LN(2)/2)*V83*Y83*VLOOKUP('Données projet'!$B$9,Paramètres!$A$1:$I$89,3,0)*0.475*44/12</f>
        <v>2.3595476350881217</v>
      </c>
      <c r="AC83" s="22">
        <f t="shared" si="57"/>
        <v>249.82206903208277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9.546999999999997</v>
      </c>
      <c r="AI83" s="13">
        <f>IF('Données projet'!$A$62&gt;35,AI82+AH83-AQ82,IF(A83&lt;'Données projet'!$A$62,$AF$205^A83,IF(A83='Données projet'!$A$62,'Données projet'!$B$62,AI82+AH83-AQ82)))</f>
        <v>316.90200000000038</v>
      </c>
      <c r="AJ83" s="13">
        <f>AI83*VLOOKUP('Données projet'!$B$10,Paramètres!$A$1:$I$89,3,0)*VLOOKUP('Données projet'!$B$10,Paramètres!$A$1:$I$89,5,0)</f>
        <v>286.73292960000038</v>
      </c>
      <c r="AK83" s="13">
        <f t="shared" si="89"/>
        <v>68.387896772756079</v>
      </c>
      <c r="AL83" s="20">
        <f t="shared" si="58"/>
        <v>618.50210593255088</v>
      </c>
      <c r="AM83" s="59">
        <f t="shared" si="59"/>
        <v>911.83543926588413</v>
      </c>
      <c r="AN83" s="59">
        <f ca="1">AVERAGE(OFFSET($AM$3,0,0,'Données projet'!$E$10+1,1))-AVERAGE(OFFSET($H$3,0,0,'Données projet'!$E$10+1,1))</f>
        <v>422.10969295064359</v>
      </c>
      <c r="AO83" s="59">
        <f t="shared" si="90"/>
        <v>184.04075143033037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12.986593727820781</v>
      </c>
      <c r="AV83" s="21">
        <f>EXP(-LN(2)/25)*AV82+(1-EXP(-LN(2)/25))/(LN(2)/25)*Calculateur!AQ83*Calculateur!AS83*VLOOKUP('Données projet'!$B$10,Paramètres!$A$1:$I$89,3,0)*0.475*44/12</f>
        <v>26.663451854486379</v>
      </c>
      <c r="AW83" s="21">
        <f>EXP(-LN(2)/2)*AW82+(1-EXP(-LN(2)/2))/(LN(2)/2)*AQ83*AT83*VLOOKUP('Données projet'!$B$10,Paramètres!$A$1:$I$89,3,0)*0.475*44/12</f>
        <v>0.5878605006843981</v>
      </c>
      <c r="AX83" s="21">
        <f t="shared" si="60"/>
        <v>40.237906082991557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708</v>
      </c>
      <c r="BB83" s="12">
        <f>VLOOKUP(A83,'Données projet'!$A$87:$I$107,9,0)</f>
        <v>13.2</v>
      </c>
      <c r="BC83" s="12">
        <f t="array" ref="BC83">INDEX(BB:BB,MIN(IF(ISNUMBER(BB83:BB279),ROW(BB83:BB279),"")))</f>
        <v>13.2</v>
      </c>
      <c r="BD83" s="12">
        <f>IF('Données projet'!$A$88&gt;35,BD82+BC83-BL82,IF(A83&lt;'Données projet'!$A$88,$BA$205^A83,IF(A83='Données projet'!$A$88,'Données projet'!$B$88,BD82+BC83-BL82)))</f>
        <v>707.99999999999977</v>
      </c>
      <c r="BE83" s="13">
        <f>BD83*VLOOKUP('Données projet'!$B$11,Paramètres!$A$1:$I$89,3,0)*VLOOKUP('Données projet'!$B$11,Paramètres!$A$1:$I$89,5,0)</f>
        <v>285.3239999999999</v>
      </c>
      <c r="BF83" s="13">
        <f t="shared" si="91"/>
        <v>68.09088676365819</v>
      </c>
      <c r="BG83" s="20">
        <f t="shared" si="61"/>
        <v>615.53092778003781</v>
      </c>
      <c r="BH83" s="59">
        <f t="shared" si="62"/>
        <v>908.86426111337119</v>
      </c>
      <c r="BI83" s="59">
        <f ca="1">AVERAGE(OFFSET($BH$3,0,0,'Données projet'!$E$11+1,1))-AVERAGE(OFFSET($H$3,0,0,'Données projet'!$E$11+1,1))</f>
        <v>217.61052961346684</v>
      </c>
      <c r="BJ83" s="59">
        <f t="shared" si="92"/>
        <v>180.77145728128608</v>
      </c>
      <c r="BK83" s="15" t="str">
        <f>IF(ISNA(VLOOKUP(A83,'Données projet'!$A$87:$I$107,3,0)),0,VLOOKUP(A83,'Données projet'!$A$87:$I$107,3,0))</f>
        <v>CR</v>
      </c>
      <c r="BL83" s="21">
        <f>IF(ISNA(VLOOKUP(A83,'Données projet'!$A$87:$I$107,4,0)),0,VLOOKUP(A83,'Données projet'!$A$87:$I$107,4,0))</f>
        <v>708</v>
      </c>
      <c r="BM83" s="16">
        <f>IF(ISNA(VLOOKUP(A83,'Données projet'!$A$87:$I$107,5,0)),0%,VLOOKUP(A83,'Données projet'!$A$87:$I$107,5,0)*VLOOKUP('Données projet'!$B$11,Paramètres!$A$1:$I$89,7,0))</f>
        <v>0.33</v>
      </c>
      <c r="BN83" s="16">
        <f>IF(ISNA(VLOOKUP(A83,'Données projet'!$A$87:$I$107,6,0)),0%,VLOOKUP(A83,'Données projet'!$A$87:$I$107,6,0)*VLOOKUP('Données projet'!$B$11,Paramètres!$A$1:$I$89,7,0))</f>
        <v>0.11000000000000001</v>
      </c>
      <c r="BO83" s="16">
        <f>IF(ISNA(VLOOKUP(A83,'Données projet'!$A$87:$I$107,7,0)),0%,VLOOKUP(A83,'Données projet'!$A$87:$I$107,7,0))</f>
        <v>0.2</v>
      </c>
      <c r="BP83" s="21">
        <f>EXP(-LN(2)/35)*BP82+(1-EXP(-LN(2)/35))/(LN(2)/35)*BL83*BM83*VLOOKUP('Données projet'!$B$11,Paramètres!$A$1:$I$89,3,0)*0.475*44/12</f>
        <v>168.42867341572989</v>
      </c>
      <c r="BQ83" s="21">
        <f>EXP(-LN(2)/25)*BQ82+(1-EXP(-LN(2)/25))/(LN(2)/25)*Calculateur!BL83*Calculateur!BN83*VLOOKUP('Données projet'!$B$11,Paramètres!$A$1:$I$89,3,0)*0.475*44/12</f>
        <v>60.281921234498867</v>
      </c>
      <c r="BR83" s="21">
        <f>EXP(-LN(2)/2)*BR82+(1-EXP(-LN(2)/2))/(LN(2)/2)*BL83*BO83*VLOOKUP('Données projet'!$B$11,Paramètres!$A$1:$I$89,3,0)*0.475*44/12</f>
        <v>65.384432144662725</v>
      </c>
      <c r="BS83" s="22">
        <f t="shared" si="63"/>
        <v>294.09502679489151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12.707777777777771</v>
      </c>
      <c r="BY83" s="12">
        <f>IF('Données projet'!$A$114&gt;35,BY82+BX83-CG82,IF(A83&lt;'Données projet'!$A$114,$BV$205^A83,IF(A83='Données projet'!$A$114,'Données projet'!$B$114,BY82+BX83-CG82)))</f>
        <v>420.57222222222197</v>
      </c>
      <c r="BZ83" s="13">
        <f>BY83*VLOOKUP('Données projet'!$B$12,Paramètres!$A$1:$I$89,3,0)*VLOOKUP('Données projet'!$B$12,Paramètres!$A$1:$I$89,5,0)</f>
        <v>354.29003999999981</v>
      </c>
      <c r="CA83" s="13">
        <f t="shared" si="93"/>
        <v>82.445247716912462</v>
      </c>
      <c r="CB83" s="20">
        <f t="shared" si="64"/>
        <v>760.6472927736221</v>
      </c>
      <c r="CC83" s="59">
        <f t="shared" si="65"/>
        <v>1053.9806261069555</v>
      </c>
      <c r="CD83" s="59">
        <f ca="1">AVERAGE(OFFSET($CC$3,0,0,'Données projet'!$E$12+1,1))-AVERAGE(OFFSET($H$3,0,0,'Données projet'!$E$12+1,1))</f>
        <v>287.72859857368331</v>
      </c>
      <c r="CE83" s="59">
        <f t="shared" si="94"/>
        <v>179.60736986885922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26.94853284506879</v>
      </c>
      <c r="CL83" s="21">
        <f>EXP(-LN(2)/25)*CL82+(1-EXP(-LN(2)/25))/(LN(2)/25)*Calculateur!CG83*Calculateur!CI83*VLOOKUP('Données projet'!$B$12,Paramètres!$A$1:$I$89,3,0)*0.475*44/12</f>
        <v>22.827376361314329</v>
      </c>
      <c r="CM83" s="21">
        <f>EXP(-LN(2)/2)*CM82+(1-EXP(-LN(2)/2))/(LN(2)/2)*CG83*CJ83*VLOOKUP('Données projet'!$B$12,Paramètres!$A$1:$I$89,3,0)*0.475*44/12</f>
        <v>0.35558246636012086</v>
      </c>
      <c r="CN83" s="22">
        <f t="shared" si="66"/>
        <v>50.131491672743238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330</v>
      </c>
      <c r="CR83" s="12">
        <f>VLOOKUP(A83,'Données projet'!$A$139:$I$159,9,0)</f>
        <v>3.6</v>
      </c>
      <c r="CS83" s="12">
        <f t="array" ref="CS83">INDEX(CR:CR,MIN(IF(ISNUMBER(CR83:CR279),ROW(CR83:CR279),"")))</f>
        <v>3.6</v>
      </c>
      <c r="CT83" s="12">
        <f>IF('Données projet'!$A$140&gt;35,CT82+CS83-DB82,IF(A83&lt;'Données projet'!$A$140,$CQ$205^A83,IF(A83='Données projet'!$A$140,'Données projet'!$B$140,CT82+CS83-DB82)))</f>
        <v>330</v>
      </c>
      <c r="CU83" s="17">
        <f>CT83*VLOOKUP('Données projet'!$B$13,Paramètres!$A$1:$I$89,3,0)*VLOOKUP('Données projet'!$B$13,Paramètres!$A$1:$I$89,5,0)</f>
        <v>262.548</v>
      </c>
      <c r="CV83" s="13">
        <f t="shared" si="95"/>
        <v>63.265199933079444</v>
      </c>
      <c r="CW83" s="20">
        <f t="shared" si="67"/>
        <v>567.45798988344666</v>
      </c>
      <c r="CX83" s="59">
        <f t="shared" si="68"/>
        <v>860.79132321678003</v>
      </c>
      <c r="CY83" s="59">
        <f ca="1">AVERAGE(OFFSET($CX$3,0,0,'Données projet'!$E$13+1,1))-AVERAGE(OFFSET($H$3,0,0,'Données projet'!$E$13+1,1))</f>
        <v>243.33915530322201</v>
      </c>
      <c r="CZ83" s="59">
        <f t="shared" si="96"/>
        <v>247.73814704672577</v>
      </c>
      <c r="DA83" s="15" t="str">
        <f>IF(ISNA(VLOOKUP(A83,'Données projet'!$A$139:$I$159,3,0)),0,VLOOKUP(A83,'Données projet'!$A$139:$I$159,3,0))</f>
        <v>CR</v>
      </c>
      <c r="DB83" s="15">
        <f>IF(ISNA(VLOOKUP(A83,'Données projet'!$A$139:$I$159,4,0)),0,VLOOKUP(A83,'Données projet'!$A$139:$I$159,4,0))</f>
        <v>330</v>
      </c>
      <c r="DC83" s="16">
        <f>IF(ISNA(VLOOKUP(A83,'Données projet'!$A$139:$I$159,5,0)),0%,VLOOKUP(A83,'Données projet'!$A$139:$I$159,5,0)*VLOOKUP('Données projet'!$B$13,Paramètres!$A$1:$I$89,7,0))</f>
        <v>0.13250000000000001</v>
      </c>
      <c r="DD83" s="16">
        <f>IF(ISNA(VLOOKUP(A83,'Données projet'!$A$139:$I$159,6,0)),0%,VLOOKUP(A83,'Données projet'!$A$139:$I$159,6,0)*VLOOKUP('Données projet'!$B$13,Paramètres!$A$1:$I$89,7,0))</f>
        <v>0.13250000000000001</v>
      </c>
      <c r="DE83" s="16">
        <f>IF(ISNA(VLOOKUP(A83,'Données projet'!$A$139:$I$159,7,0)),0%,VLOOKUP(A83,'Données projet'!$A$139:$I$159,7,0))</f>
        <v>0.25</v>
      </c>
      <c r="DF83" s="21">
        <f>EXP(-LN(2)/35)*DF82+(1-EXP(-LN(2)/35))/(LN(2)/35)*DB83*DC83*VLOOKUP('Données projet'!$B$13,Paramètres!$A$1:$I$89,3,0)*0.475*44/12</f>
        <v>51.982088098095851</v>
      </c>
      <c r="DG83" s="21">
        <f>EXP(-LN(2)/25)*DG82+(1-EXP(-LN(2)/25))/(LN(2)/25)*Calculateur!DB83*Calculateur!DD83*VLOOKUP('Données projet'!$B$13,Paramètres!$A$1:$I$89,3,0)*0.475*44/12</f>
        <v>51.323746843818121</v>
      </c>
      <c r="DH83" s="21">
        <f>EXP(-LN(2)/2)*DH82+(1-EXP(-LN(2)/2))/(LN(2)/2)*DB83*DE83*VLOOKUP('Données projet'!$B$13,Paramètres!$A$1:$I$89,3,0)*0.475*44/12</f>
        <v>62.421321204401075</v>
      </c>
      <c r="DI83" s="22">
        <f t="shared" si="69"/>
        <v>165.72715614631505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5.6843418860808015E-13</v>
      </c>
      <c r="O84" s="13">
        <f>N84*VLOOKUP('Données projet'!$B$9,Paramètres!$A$1:$I$89,3,0)*VLOOKUP('Données projet'!$B$9,Paramètres!$A$1:$I$89,5,0)</f>
        <v>3.177547114319168E-13</v>
      </c>
      <c r="P84" s="13">
        <f t="shared" si="87"/>
        <v>4.1725404435445377E-12</v>
      </c>
      <c r="Q84" s="20">
        <f t="shared" si="54"/>
        <v>7.820597394917325E-12</v>
      </c>
      <c r="R84" s="59">
        <f t="shared" si="55"/>
        <v>293.33333333334116</v>
      </c>
      <c r="S84" s="59">
        <f ca="1">AVERAGE(OFFSET($R$3,0,0,'Données projet'!$E$9+1,1))-AVERAGE(OFFSET($H$3,0,0,'Données projet'!$E$9+1,1))</f>
        <v>287.413090017863</v>
      </c>
      <c r="T84" s="59">
        <f t="shared" si="88"/>
        <v>258.48456031927117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185.57944395953103</v>
      </c>
      <c r="AA84" s="21">
        <f>EXP(-LN(2)/25)*AA83+(1-EXP(-LN(2)/25))/(LN(2)/25)*Calculateur!V84*Calculateur!X84*VLOOKUP('Données projet'!$B$9,Paramètres!$A$1:$I$89,3,0)*0.475*44/12</f>
        <v>56.580495636347166</v>
      </c>
      <c r="AB84" s="21">
        <f>EXP(-LN(2)/2)*AB83+(1-EXP(-LN(2)/2))/(LN(2)/2)*V84*Y84*VLOOKUP('Données projet'!$B$9,Paramètres!$A$1:$I$89,3,0)*0.475*44/12</f>
        <v>1.6684521333034923</v>
      </c>
      <c r="AC84" s="22">
        <f t="shared" si="57"/>
        <v>243.8283917291817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9.546999999999997</v>
      </c>
      <c r="AI84" s="13">
        <f>IF('Données projet'!$A$62&gt;35,AI83+AH84-AQ83,IF(A84&lt;'Données projet'!$A$62,$AF$205^A84,IF(A84='Données projet'!$A$62,'Données projet'!$B$62,AI83+AH84-AQ83)))</f>
        <v>326.44900000000041</v>
      </c>
      <c r="AJ84" s="13">
        <f>AI84*VLOOKUP('Données projet'!$B$10,Paramètres!$A$1:$I$89,3,0)*VLOOKUP('Données projet'!$B$10,Paramètres!$A$1:$I$89,5,0)</f>
        <v>295.37105520000034</v>
      </c>
      <c r="AK84" s="13">
        <f t="shared" si="89"/>
        <v>70.205182362680091</v>
      </c>
      <c r="AL84" s="20">
        <f t="shared" si="58"/>
        <v>636.71194708833502</v>
      </c>
      <c r="AM84" s="59">
        <f t="shared" si="59"/>
        <v>930.04528042166839</v>
      </c>
      <c r="AN84" s="59">
        <f ca="1">AVERAGE(OFFSET($AM$3,0,0,'Données projet'!$E$10+1,1))-AVERAGE(OFFSET($H$3,0,0,'Données projet'!$E$10+1,1))</f>
        <v>422.10969295064359</v>
      </c>
      <c r="AO84" s="59">
        <f t="shared" si="90"/>
        <v>184.04075143033037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12.731934545858252</v>
      </c>
      <c r="AV84" s="21">
        <f>EXP(-LN(2)/25)*AV83+(1-EXP(-LN(2)/25))/(LN(2)/25)*Calculateur!AQ84*Calculateur!AS84*VLOOKUP('Données projet'!$B$10,Paramètres!$A$1:$I$89,3,0)*0.475*44/12</f>
        <v>25.934338361355454</v>
      </c>
      <c r="AW84" s="21">
        <f>EXP(-LN(2)/2)*AW83+(1-EXP(-LN(2)/2))/(LN(2)/2)*AQ84*AT84*VLOOKUP('Données projet'!$B$10,Paramètres!$A$1:$I$89,3,0)*0.475*44/12</f>
        <v>0.41568014642565698</v>
      </c>
      <c r="AX84" s="21">
        <f t="shared" si="60"/>
        <v>39.081953053639367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-2.2737367544323206E-13</v>
      </c>
      <c r="BE84" s="13">
        <f>BD84*VLOOKUP('Données projet'!$B$11,Paramètres!$A$1:$I$89,3,0)*VLOOKUP('Données projet'!$B$11,Paramètres!$A$1:$I$89,5,0)</f>
        <v>-9.1631591203622526E-14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217.61052961346684</v>
      </c>
      <c r="BJ84" s="59">
        <f t="shared" si="92"/>
        <v>180.77145728128608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165.12588986139434</v>
      </c>
      <c r="BQ84" s="21">
        <f>EXP(-LN(2)/25)*BQ83+(1-EXP(-LN(2)/25))/(LN(2)/25)*Calculateur!BL84*Calculateur!BN84*VLOOKUP('Données projet'!$B$11,Paramètres!$A$1:$I$89,3,0)*0.475*44/12</f>
        <v>58.633508928253036</v>
      </c>
      <c r="BR84" s="21">
        <f>EXP(-LN(2)/2)*BR83+(1-EXP(-LN(2)/2))/(LN(2)/2)*BL84*BO84*VLOOKUP('Données projet'!$B$11,Paramètres!$A$1:$I$89,3,0)*0.475*44/12</f>
        <v>46.233775353522695</v>
      </c>
      <c r="BS84" s="22">
        <f t="shared" si="63"/>
        <v>269.99317414317005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>
        <f>VLOOKUP(A84,'Données projet'!$A$113:$I$133,2,0)</f>
        <v>433.28</v>
      </c>
      <c r="BW84" s="12">
        <f>VLOOKUP(A84,'Données projet'!$A$113:$I$133,9,0)</f>
        <v>12.707777777777771</v>
      </c>
      <c r="BX84" s="12">
        <f t="array" ref="BX84">INDEX(BW:BW,MIN(IF(ISNUMBER(BW84:BW280),ROW(BW84:BW280),"")))</f>
        <v>12.707777777777771</v>
      </c>
      <c r="BY84" s="12">
        <f>IF('Données projet'!$A$114&gt;35,BY83+BX84-CG83,IF(A84&lt;'Données projet'!$A$114,$BV$205^A84,IF(A84='Données projet'!$A$114,'Données projet'!$B$114,BY83+BX84-CG83)))</f>
        <v>433.27999999999975</v>
      </c>
      <c r="BZ84" s="13">
        <f>BY84*VLOOKUP('Données projet'!$B$12,Paramètres!$A$1:$I$89,3,0)*VLOOKUP('Données projet'!$B$12,Paramètres!$A$1:$I$89,5,0)</f>
        <v>364.99507199999982</v>
      </c>
      <c r="CA84" s="13">
        <f t="shared" si="93"/>
        <v>84.642573401902411</v>
      </c>
      <c r="CB84" s="20">
        <f t="shared" si="64"/>
        <v>783.11889907497971</v>
      </c>
      <c r="CC84" s="59">
        <f t="shared" si="65"/>
        <v>1076.452232408313</v>
      </c>
      <c r="CD84" s="59">
        <f ca="1">AVERAGE(OFFSET($CC$3,0,0,'Données projet'!$E$12+1,1))-AVERAGE(OFFSET($H$3,0,0,'Données projet'!$E$12+1,1))</f>
        <v>287.72859857368331</v>
      </c>
      <c r="CE84" s="59">
        <f t="shared" si="94"/>
        <v>179.60736986885922</v>
      </c>
      <c r="CF84" s="15">
        <f>IF(ISNA(VLOOKUP(A84,'Données projet'!$A$113:$I$133,3,0)),0,VLOOKUP(A84,'Données projet'!$A$113:$I$133,3,0))</f>
        <v>8</v>
      </c>
      <c r="CG84" s="15">
        <f>IF(ISNA(VLOOKUP(A84,'Données projet'!$A$113:$I$133,4,0)),0,VLOOKUP(A84,'Données projet'!$A$113:$I$133,4,0))</f>
        <v>87.399999999999977</v>
      </c>
      <c r="CH84" s="16">
        <f>IF(ISNA(VLOOKUP(A84,'Données projet'!$A$113:$I$133,5,0)),0%,VLOOKUP(A84,'Données projet'!$A$113:$I$133,5,0)*VLOOKUP('Données projet'!$B$12,Paramètres!$A$1:$I$89,7,0))</f>
        <v>0.215</v>
      </c>
      <c r="CI84" s="16">
        <f>IF(ISNA(VLOOKUP(A84,'Données projet'!$A$113:$I$133,6,0)),0%,VLOOKUP(A84,'Données projet'!$A$113:$I$133,6,0)*VLOOKUP('Données projet'!$B$12,Paramètres!$A$1:$I$89,7,0))</f>
        <v>8.6000000000000007E-2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43.919174375838409</v>
      </c>
      <c r="CL84" s="21">
        <f>EXP(-LN(2)/25)*CL83+(1-EXP(-LN(2)/25))/(LN(2)/25)*Calculateur!CG84*Calculateur!CI84*VLOOKUP('Données projet'!$B$12,Paramètres!$A$1:$I$89,3,0)*0.475*44/12</f>
        <v>29.175234656002758</v>
      </c>
      <c r="CM84" s="21">
        <f>EXP(-LN(2)/2)*CM83+(1-EXP(-LN(2)/2))/(LN(2)/2)*CG84*CJ84*VLOOKUP('Données projet'!$B$12,Paramètres!$A$1:$I$89,3,0)*0.475*44/12</f>
        <v>0.25143477323427887</v>
      </c>
      <c r="CN84" s="22">
        <f t="shared" si="66"/>
        <v>73.345843805075447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243.33915530322201</v>
      </c>
      <c r="CZ84" s="59">
        <f t="shared" si="96"/>
        <v>247.73814704672577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50.962751056435231</v>
      </c>
      <c r="DG84" s="21">
        <f>EXP(-LN(2)/25)*DG83+(1-EXP(-LN(2)/25))/(LN(2)/25)*Calculateur!DB84*Calculateur!DD84*VLOOKUP('Données projet'!$B$13,Paramètres!$A$1:$I$89,3,0)*0.475*44/12</f>
        <v>49.920296287375372</v>
      </c>
      <c r="DH84" s="21">
        <f>EXP(-LN(2)/2)*DH83+(1-EXP(-LN(2)/2))/(LN(2)/2)*DB84*DE84*VLOOKUP('Données projet'!$B$13,Paramètres!$A$1:$I$89,3,0)*0.475*44/12</f>
        <v>44.138539514255633</v>
      </c>
      <c r="DI84" s="22">
        <f t="shared" si="69"/>
        <v>145.02158685806623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5.6843418860808015E-13</v>
      </c>
      <c r="O85" s="13">
        <f>N85*VLOOKUP('Données projet'!$B$9,Paramètres!$A$1:$I$89,3,0)*VLOOKUP('Données projet'!$B$9,Paramètres!$A$1:$I$89,5,0)</f>
        <v>3.177547114319168E-13</v>
      </c>
      <c r="P85" s="13">
        <f t="shared" si="87"/>
        <v>4.1725404435445377E-12</v>
      </c>
      <c r="Q85" s="20">
        <f t="shared" si="54"/>
        <v>7.820597394917325E-12</v>
      </c>
      <c r="R85" s="59">
        <f t="shared" si="55"/>
        <v>293.33333333334116</v>
      </c>
      <c r="S85" s="59">
        <f ca="1">AVERAGE(OFFSET($R$3,0,0,'Données projet'!$E$9+1,1))-AVERAGE(OFFSET($H$3,0,0,'Données projet'!$E$9+1,1))</f>
        <v>287.413090017863</v>
      </c>
      <c r="T85" s="59">
        <f t="shared" si="88"/>
        <v>258.48456031927117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181.94034425576862</v>
      </c>
      <c r="AA85" s="21">
        <f>EXP(-LN(2)/25)*AA84+(1-EXP(-LN(2)/25))/(LN(2)/25)*Calculateur!V85*Calculateur!X85*VLOOKUP('Données projet'!$B$9,Paramètres!$A$1:$I$89,3,0)*0.475*44/12</f>
        <v>55.033299007732303</v>
      </c>
      <c r="AB85" s="21">
        <f>EXP(-LN(2)/2)*AB84+(1-EXP(-LN(2)/2))/(LN(2)/2)*V85*Y85*VLOOKUP('Données projet'!$B$9,Paramètres!$A$1:$I$89,3,0)*0.475*44/12</f>
        <v>1.1797738175440611</v>
      </c>
      <c r="AC85" s="22">
        <f t="shared" si="57"/>
        <v>238.15341708104498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9.546999999999997</v>
      </c>
      <c r="AI85" s="13">
        <f>IF('Données projet'!$A$62&gt;35,AI84+AH85-AQ84,IF(A85&lt;'Données projet'!$A$62,$AF$205^A85,IF(A85='Données projet'!$A$62,'Données projet'!$B$62,AI84+AH85-AQ84)))</f>
        <v>335.99600000000044</v>
      </c>
      <c r="AJ85" s="13">
        <f>AI85*VLOOKUP('Données projet'!$B$10,Paramètres!$A$1:$I$89,3,0)*VLOOKUP('Données projet'!$B$10,Paramètres!$A$1:$I$89,5,0)</f>
        <v>304.00918080000037</v>
      </c>
      <c r="AK85" s="13">
        <f t="shared" si="89"/>
        <v>72.016291285794935</v>
      </c>
      <c r="AL85" s="20">
        <f t="shared" si="58"/>
        <v>654.91103054942675</v>
      </c>
      <c r="AM85" s="59">
        <f t="shared" si="59"/>
        <v>948.24436388276013</v>
      </c>
      <c r="AN85" s="59">
        <f ca="1">AVERAGE(OFFSET($AM$3,0,0,'Données projet'!$E$10+1,1))-AVERAGE(OFFSET($H$3,0,0,'Données projet'!$E$10+1,1))</f>
        <v>422.10969295064359</v>
      </c>
      <c r="AO85" s="59">
        <f t="shared" si="90"/>
        <v>184.04075143033037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12.482269075127244</v>
      </c>
      <c r="AV85" s="21">
        <f>EXP(-LN(2)/25)*AV84+(1-EXP(-LN(2)/25))/(LN(2)/25)*Calculateur!AQ85*Calculateur!AS85*VLOOKUP('Données projet'!$B$10,Paramètres!$A$1:$I$89,3,0)*0.475*44/12</f>
        <v>25.225162515036608</v>
      </c>
      <c r="AW85" s="21">
        <f>EXP(-LN(2)/2)*AW84+(1-EXP(-LN(2)/2))/(LN(2)/2)*AQ85*AT85*VLOOKUP('Données projet'!$B$10,Paramètres!$A$1:$I$89,3,0)*0.475*44/12</f>
        <v>0.29393025034219911</v>
      </c>
      <c r="AX85" s="21">
        <f t="shared" si="60"/>
        <v>38.00136184050605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-2.2737367544323206E-13</v>
      </c>
      <c r="BE85" s="13">
        <f>BD85*VLOOKUP('Données projet'!$B$11,Paramètres!$A$1:$I$89,3,0)*VLOOKUP('Données projet'!$B$11,Paramètres!$A$1:$I$89,5,0)</f>
        <v>-9.1631591203622526E-14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217.61052961346684</v>
      </c>
      <c r="BJ85" s="59">
        <f t="shared" si="92"/>
        <v>180.77145728128608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161.88787187806025</v>
      </c>
      <c r="BQ85" s="21">
        <f>EXP(-LN(2)/25)*BQ84+(1-EXP(-LN(2)/25))/(LN(2)/25)*Calculateur!BL85*Calculateur!BN85*VLOOKUP('Données projet'!$B$11,Paramètres!$A$1:$I$89,3,0)*0.475*44/12</f>
        <v>57.030172543207733</v>
      </c>
      <c r="BR85" s="21">
        <f>EXP(-LN(2)/2)*BR84+(1-EXP(-LN(2)/2))/(LN(2)/2)*BL85*BO85*VLOOKUP('Données projet'!$B$11,Paramètres!$A$1:$I$89,3,0)*0.475*44/12</f>
        <v>32.69221607233137</v>
      </c>
      <c r="BS85" s="22">
        <f t="shared" si="63"/>
        <v>251.61026049359936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11.905555555555553</v>
      </c>
      <c r="BY85" s="12">
        <f>IF('Données projet'!$A$114&gt;35,BY84+BX85-CG84,IF(A85&lt;'Données projet'!$A$114,$BV$205^A85,IF(A85='Données projet'!$A$114,'Données projet'!$B$114,BY84+BX85-CG84)))</f>
        <v>357.78555555555533</v>
      </c>
      <c r="BZ85" s="13">
        <f>BY85*VLOOKUP('Données projet'!$B$12,Paramètres!$A$1:$I$89,3,0)*VLOOKUP('Données projet'!$B$12,Paramètres!$A$1:$I$89,5,0)</f>
        <v>301.39855199999988</v>
      </c>
      <c r="CA85" s="13">
        <f t="shared" si="93"/>
        <v>71.469574283423256</v>
      </c>
      <c r="CB85" s="20">
        <f t="shared" si="64"/>
        <v>649.41198661029523</v>
      </c>
      <c r="CC85" s="59">
        <f t="shared" si="65"/>
        <v>942.7453199436286</v>
      </c>
      <c r="CD85" s="59">
        <f ca="1">AVERAGE(OFFSET($CC$3,0,0,'Données projet'!$E$12+1,1))-AVERAGE(OFFSET($H$3,0,0,'Données projet'!$E$12+1,1))</f>
        <v>287.72859857368331</v>
      </c>
      <c r="CE85" s="59">
        <f t="shared" si="94"/>
        <v>179.60736986885922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43.057946154379486</v>
      </c>
      <c r="CL85" s="21">
        <f>EXP(-LN(2)/25)*CL84+(1-EXP(-LN(2)/25))/(LN(2)/25)*Calculateur!CG85*Calculateur!CI85*VLOOKUP('Données projet'!$B$12,Paramètres!$A$1:$I$89,3,0)*0.475*44/12</f>
        <v>28.377436330075451</v>
      </c>
      <c r="CM85" s="21">
        <f>EXP(-LN(2)/2)*CM84+(1-EXP(-LN(2)/2))/(LN(2)/2)*CG85*CJ85*VLOOKUP('Données projet'!$B$12,Paramètres!$A$1:$I$89,3,0)*0.475*44/12</f>
        <v>0.17779123318006043</v>
      </c>
      <c r="CN85" s="22">
        <f t="shared" si="66"/>
        <v>71.613173717634993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243.33915530322201</v>
      </c>
      <c r="CZ85" s="59">
        <f t="shared" si="96"/>
        <v>247.73814704672577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49.963402592427371</v>
      </c>
      <c r="DG85" s="21">
        <f>EXP(-LN(2)/25)*DG84+(1-EXP(-LN(2)/25))/(LN(2)/25)*Calculateur!DB85*Calculateur!DD85*VLOOKUP('Données projet'!$B$13,Paramètres!$A$1:$I$89,3,0)*0.475*44/12</f>
        <v>48.555223160202807</v>
      </c>
      <c r="DH85" s="21">
        <f>EXP(-LN(2)/2)*DH84+(1-EXP(-LN(2)/2))/(LN(2)/2)*DB85*DE85*VLOOKUP('Données projet'!$B$13,Paramètres!$A$1:$I$89,3,0)*0.475*44/12</f>
        <v>31.210660602200541</v>
      </c>
      <c r="DI85" s="22">
        <f t="shared" si="69"/>
        <v>129.72928635483072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5.6843418860808015E-13</v>
      </c>
      <c r="O86" s="13">
        <f>N86*VLOOKUP('Données projet'!$B$9,Paramètres!$A$1:$I$89,3,0)*VLOOKUP('Données projet'!$B$9,Paramètres!$A$1:$I$89,5,0)</f>
        <v>3.177547114319168E-13</v>
      </c>
      <c r="P86" s="13">
        <f t="shared" si="87"/>
        <v>4.1725404435445377E-12</v>
      </c>
      <c r="Q86" s="20">
        <f t="shared" si="54"/>
        <v>7.820597394917325E-12</v>
      </c>
      <c r="R86" s="59">
        <f t="shared" si="55"/>
        <v>293.33333333334116</v>
      </c>
      <c r="S86" s="59">
        <f ca="1">AVERAGE(OFFSET($R$3,0,0,'Données projet'!$E$9+1,1))-AVERAGE(OFFSET($H$3,0,0,'Données projet'!$E$9+1,1))</f>
        <v>287.413090017863</v>
      </c>
      <c r="T86" s="59">
        <f t="shared" si="88"/>
        <v>258.48456031927117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178.37260507756537</v>
      </c>
      <c r="AA86" s="21">
        <f>EXP(-LN(2)/25)*AA85+(1-EXP(-LN(2)/25))/(LN(2)/25)*Calculateur!V86*Calculateur!X86*VLOOKUP('Données projet'!$B$9,Paramètres!$A$1:$I$89,3,0)*0.475*44/12</f>
        <v>53.528410552290445</v>
      </c>
      <c r="AB86" s="21">
        <f>EXP(-LN(2)/2)*AB85+(1-EXP(-LN(2)/2))/(LN(2)/2)*V86*Y86*VLOOKUP('Données projet'!$B$9,Paramètres!$A$1:$I$89,3,0)*0.475*44/12</f>
        <v>0.83422606665174626</v>
      </c>
      <c r="AC86" s="22">
        <f t="shared" si="57"/>
        <v>232.73524169650756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9.546999999999997</v>
      </c>
      <c r="AI86" s="13">
        <f>IF('Données projet'!$A$62&gt;35,AI85+AH86-AQ85,IF(A86&lt;'Données projet'!$A$62,$AF$205^A86,IF(A86='Données projet'!$A$62,'Données projet'!$B$62,AI85+AH86-AQ85)))</f>
        <v>345.54300000000046</v>
      </c>
      <c r="AJ86" s="13">
        <f>AI86*VLOOKUP('Données projet'!$B$10,Paramètres!$A$1:$I$89,3,0)*VLOOKUP('Données projet'!$B$10,Paramètres!$A$1:$I$89,5,0)</f>
        <v>312.64730640000039</v>
      </c>
      <c r="AK86" s="13">
        <f t="shared" si="89"/>
        <v>73.821419204446315</v>
      </c>
      <c r="AL86" s="20">
        <f t="shared" si="58"/>
        <v>673.09969709441123</v>
      </c>
      <c r="AM86" s="59">
        <f t="shared" si="59"/>
        <v>966.4330304277446</v>
      </c>
      <c r="AN86" s="59">
        <f ca="1">AVERAGE(OFFSET($AM$3,0,0,'Données projet'!$E$10+1,1))-AVERAGE(OFFSET($H$3,0,0,'Données projet'!$E$10+1,1))</f>
        <v>422.10969295064359</v>
      </c>
      <c r="AO86" s="59">
        <f t="shared" si="90"/>
        <v>184.04075143033037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12.237499391996371</v>
      </c>
      <c r="AV86" s="21">
        <f>EXP(-LN(2)/25)*AV85+(1-EXP(-LN(2)/25))/(LN(2)/25)*Calculateur!AQ86*Calculateur!AS86*VLOOKUP('Données projet'!$B$10,Paramètres!$A$1:$I$89,3,0)*0.475*44/12</f>
        <v>24.535379119529289</v>
      </c>
      <c r="AW86" s="21">
        <f>EXP(-LN(2)/2)*AW85+(1-EXP(-LN(2)/2))/(LN(2)/2)*AQ86*AT86*VLOOKUP('Données projet'!$B$10,Paramètres!$A$1:$I$89,3,0)*0.475*44/12</f>
        <v>0.20784007321282855</v>
      </c>
      <c r="AX86" s="21">
        <f t="shared" si="60"/>
        <v>36.98071858473849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-2.2737367544323206E-13</v>
      </c>
      <c r="BE86" s="13">
        <f>BD86*VLOOKUP('Données projet'!$B$11,Paramètres!$A$1:$I$89,3,0)*VLOOKUP('Données projet'!$B$11,Paramètres!$A$1:$I$89,5,0)</f>
        <v>-9.1631591203622526E-14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217.61052961346684</v>
      </c>
      <c r="BJ86" s="59">
        <f t="shared" si="92"/>
        <v>180.77145728128608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158.7133494523834</v>
      </c>
      <c r="BQ86" s="21">
        <f>EXP(-LN(2)/25)*BQ85+(1-EXP(-LN(2)/25))/(LN(2)/25)*Calculateur!BL86*Calculateur!BN86*VLOOKUP('Données projet'!$B$11,Paramètres!$A$1:$I$89,3,0)*0.475*44/12</f>
        <v>55.470679475927291</v>
      </c>
      <c r="BR86" s="21">
        <f>EXP(-LN(2)/2)*BR85+(1-EXP(-LN(2)/2))/(LN(2)/2)*BL86*BO86*VLOOKUP('Données projet'!$B$11,Paramètres!$A$1:$I$89,3,0)*0.475*44/12</f>
        <v>23.116887676761351</v>
      </c>
      <c r="BS86" s="22">
        <f t="shared" si="63"/>
        <v>237.30091660507202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11.905555555555553</v>
      </c>
      <c r="BY86" s="12">
        <f>IF('Données projet'!$A$114&gt;35,BY85+BX86-CG85,IF(A86&lt;'Données projet'!$A$114,$BV$205^A86,IF(A86='Données projet'!$A$114,'Données projet'!$B$114,BY85+BX86-CG85)))</f>
        <v>369.6911111111109</v>
      </c>
      <c r="BZ86" s="13">
        <f>BY86*VLOOKUP('Données projet'!$B$12,Paramètres!$A$1:$I$89,3,0)*VLOOKUP('Données projet'!$B$12,Paramètres!$A$1:$I$89,5,0)</f>
        <v>311.42779199999984</v>
      </c>
      <c r="CA86" s="13">
        <f t="shared" si="93"/>
        <v>73.566930176716866</v>
      </c>
      <c r="CB86" s="20">
        <f t="shared" si="64"/>
        <v>670.53247445778163</v>
      </c>
      <c r="CC86" s="59">
        <f t="shared" si="65"/>
        <v>963.865807791115</v>
      </c>
      <c r="CD86" s="59">
        <f ca="1">AVERAGE(OFFSET($CC$3,0,0,'Données projet'!$E$12+1,1))-AVERAGE(OFFSET($H$3,0,0,'Données projet'!$E$12+1,1))</f>
        <v>287.72859857368331</v>
      </c>
      <c r="CE86" s="59">
        <f t="shared" si="94"/>
        <v>179.60736986885922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42.213606093046025</v>
      </c>
      <c r="CL86" s="21">
        <f>EXP(-LN(2)/25)*CL85+(1-EXP(-LN(2)/25))/(LN(2)/25)*Calculateur!CG86*Calculateur!CI86*VLOOKUP('Données projet'!$B$12,Paramètres!$A$1:$I$89,3,0)*0.475*44/12</f>
        <v>27.601453841325018</v>
      </c>
      <c r="CM86" s="21">
        <f>EXP(-LN(2)/2)*CM85+(1-EXP(-LN(2)/2))/(LN(2)/2)*CG86*CJ86*VLOOKUP('Données projet'!$B$12,Paramètres!$A$1:$I$89,3,0)*0.475*44/12</f>
        <v>0.12571738661713944</v>
      </c>
      <c r="CN86" s="22">
        <f t="shared" si="66"/>
        <v>69.94077732098819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243.33915530322201</v>
      </c>
      <c r="CZ86" s="59">
        <f t="shared" si="96"/>
        <v>247.73814704672577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48.98365074225633</v>
      </c>
      <c r="DG86" s="21">
        <f>EXP(-LN(2)/25)*DG85+(1-EXP(-LN(2)/25))/(LN(2)/25)*Calculateur!DB86*Calculateur!DD86*VLOOKUP('Données projet'!$B$13,Paramètres!$A$1:$I$89,3,0)*0.475*44/12</f>
        <v>47.227478029478853</v>
      </c>
      <c r="DH86" s="21">
        <f>EXP(-LN(2)/2)*DH85+(1-EXP(-LN(2)/2))/(LN(2)/2)*DB86*DE86*VLOOKUP('Données projet'!$B$13,Paramètres!$A$1:$I$89,3,0)*0.475*44/12</f>
        <v>22.06926975712782</v>
      </c>
      <c r="DI86" s="22">
        <f t="shared" si="69"/>
        <v>118.280398528863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5.6843418860808015E-13</v>
      </c>
      <c r="O87" s="13">
        <f>N87*VLOOKUP('Données projet'!$B$9,Paramètres!$A$1:$I$89,3,0)*VLOOKUP('Données projet'!$B$9,Paramètres!$A$1:$I$89,5,0)</f>
        <v>3.177547114319168E-13</v>
      </c>
      <c r="P87" s="13">
        <f t="shared" si="87"/>
        <v>4.1725404435445377E-12</v>
      </c>
      <c r="Q87" s="20">
        <f t="shared" si="54"/>
        <v>7.820597394917325E-12</v>
      </c>
      <c r="R87" s="59">
        <f t="shared" si="55"/>
        <v>293.33333333334116</v>
      </c>
      <c r="S87" s="59">
        <f ca="1">AVERAGE(OFFSET($R$3,0,0,'Données projet'!$E$9+1,1))-AVERAGE(OFFSET($H$3,0,0,'Données projet'!$E$9+1,1))</f>
        <v>287.413090017863</v>
      </c>
      <c r="T87" s="59">
        <f t="shared" si="88"/>
        <v>258.48456031927117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174.87482708854066</v>
      </c>
      <c r="AA87" s="21">
        <f>EXP(-LN(2)/25)*AA86+(1-EXP(-LN(2)/25))/(LN(2)/25)*Calculateur!V87*Calculateur!X87*VLOOKUP('Données projet'!$B$9,Paramètres!$A$1:$I$89,3,0)*0.475*44/12</f>
        <v>52.064673350801293</v>
      </c>
      <c r="AB87" s="21">
        <f>EXP(-LN(2)/2)*AB86+(1-EXP(-LN(2)/2))/(LN(2)/2)*V87*Y87*VLOOKUP('Données projet'!$B$9,Paramètres!$A$1:$I$89,3,0)*0.475*44/12</f>
        <v>0.58988690877203054</v>
      </c>
      <c r="AC87" s="22">
        <f t="shared" si="57"/>
        <v>227.52938734811397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9.546999999999997</v>
      </c>
      <c r="AH87" s="12">
        <f t="array" ref="AH87">INDEX(AG:AG,MIN(IF(ISNUMBER(AG87:AG283),ROW(AG87:AG283),"")))</f>
        <v>9.546999999999997</v>
      </c>
      <c r="AI87" s="13">
        <f>IF('Données projet'!$A$62&gt;35,AI86+AH87-AQ86,IF(A87&lt;'Données projet'!$A$62,$AF$205^A87,IF(A87='Données projet'!$A$62,'Données projet'!$B$62,AI86+AH87-AQ86)))</f>
        <v>355.09000000000049</v>
      </c>
      <c r="AJ87" s="13">
        <f>AI87*VLOOKUP('Données projet'!$B$10,Paramètres!$A$1:$I$89,3,0)*VLOOKUP('Données projet'!$B$10,Paramètres!$A$1:$I$89,5,0)</f>
        <v>321.28543200000041</v>
      </c>
      <c r="AK87" s="13">
        <f t="shared" si="89"/>
        <v>75.620750353808944</v>
      </c>
      <c r="AL87" s="20">
        <f t="shared" si="58"/>
        <v>691.27826759955133</v>
      </c>
      <c r="AM87" s="59">
        <f t="shared" si="59"/>
        <v>984.61160093288458</v>
      </c>
      <c r="AN87" s="59">
        <f ca="1">AVERAGE(OFFSET($AM$3,0,0,'Données projet'!$E$10+1,1))-AVERAGE(OFFSET($H$3,0,0,'Données projet'!$E$10+1,1))</f>
        <v>422.10969295064359</v>
      </c>
      <c r="AO87" s="59">
        <f t="shared" si="90"/>
        <v>184.04075143033037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66.69</v>
      </c>
      <c r="AR87" s="16">
        <f>IF(ISNA(VLOOKUP(A87,'Données projet'!$A$61:$I$81,5,0)),0%,VLOOKUP(A87,'Données projet'!$A$61:$I$81,5,0)*VLOOKUP('Données projet'!$B$10,Paramètres!$A$1:$I$89,7,0))</f>
        <v>0.15049999999999999</v>
      </c>
      <c r="AS87" s="16">
        <f>IF(ISNA(VLOOKUP(A87,'Données projet'!$A$61:$I$81,6,0)),0%,VLOOKUP(A87,'Données projet'!$A$61:$I$81,6,0)*VLOOKUP('Données projet'!$B$10,Paramètres!$A$1:$I$89,7,0))</f>
        <v>8.6000000000000007E-2</v>
      </c>
      <c r="AT87" s="16">
        <f>IF(ISNA(VLOOKUP(A87,'Données projet'!$A$61:$I$81,7,0)),0%,VLOOKUP(A87,'Données projet'!$A$61:$I$81,7,0))</f>
        <v>0.1</v>
      </c>
      <c r="AU87" s="21">
        <f>EXP(-LN(2)/35)*AU86+(1-EXP(-LN(2)/35))/(LN(2)/35)*AQ87*AR87*VLOOKUP('Données projet'!$B$10,Paramètres!$A$1:$I$89,3,0)*0.475*44/12</f>
        <v>22.036678946661006</v>
      </c>
      <c r="AV87" s="21">
        <f>EXP(-LN(2)/25)*AV86+(1-EXP(-LN(2)/25))/(LN(2)/25)*Calculateur!AQ87*Calculateur!AS87*VLOOKUP('Données projet'!$B$10,Paramètres!$A$1:$I$89,3,0)*0.475*44/12</f>
        <v>29.578527314097339</v>
      </c>
      <c r="AW87" s="21">
        <f>EXP(-LN(2)/2)*AW86+(1-EXP(-LN(2)/2))/(LN(2)/2)*AQ87*AT87*VLOOKUP('Données projet'!$B$10,Paramètres!$A$1:$I$89,3,0)*0.475*44/12</f>
        <v>5.8403114480929164</v>
      </c>
      <c r="AX87" s="21">
        <f t="shared" si="60"/>
        <v>57.455517708851261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-2.2737367544323206E-13</v>
      </c>
      <c r="BE87" s="13">
        <f>BD87*VLOOKUP('Données projet'!$B$11,Paramètres!$A$1:$I$89,3,0)*VLOOKUP('Données projet'!$B$11,Paramètres!$A$1:$I$89,5,0)</f>
        <v>-9.1631591203622526E-14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217.61052961346684</v>
      </c>
      <c r="BJ87" s="59">
        <f t="shared" si="92"/>
        <v>180.77145728128608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155.60107747520658</v>
      </c>
      <c r="BQ87" s="21">
        <f>EXP(-LN(2)/25)*BQ86+(1-EXP(-LN(2)/25))/(LN(2)/25)*Calculateur!BL87*Calculateur!BN87*VLOOKUP('Données projet'!$B$11,Paramètres!$A$1:$I$89,3,0)*0.475*44/12</f>
        <v>53.953830828581808</v>
      </c>
      <c r="BR87" s="21">
        <f>EXP(-LN(2)/2)*BR86+(1-EXP(-LN(2)/2))/(LN(2)/2)*BL87*BO87*VLOOKUP('Données projet'!$B$11,Paramètres!$A$1:$I$89,3,0)*0.475*44/12</f>
        <v>16.346108036165688</v>
      </c>
      <c r="BS87" s="22">
        <f t="shared" si="63"/>
        <v>225.90101633995408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11.905555555555553</v>
      </c>
      <c r="BY87" s="12">
        <f>IF('Données projet'!$A$114&gt;35,BY86+BX87-CG86,IF(A87&lt;'Données projet'!$A$114,$BV$205^A87,IF(A87='Données projet'!$A$114,'Données projet'!$B$114,BY86+BX87-CG86)))</f>
        <v>381.59666666666647</v>
      </c>
      <c r="BZ87" s="13">
        <f>BY87*VLOOKUP('Données projet'!$B$12,Paramètres!$A$1:$I$89,3,0)*VLOOKUP('Données projet'!$B$12,Paramètres!$A$1:$I$89,5,0)</f>
        <v>321.45703199999986</v>
      </c>
      <c r="CA87" s="13">
        <f t="shared" si="93"/>
        <v>75.656437304576173</v>
      </c>
      <c r="CB87" s="20">
        <f t="shared" si="64"/>
        <v>691.63929237213654</v>
      </c>
      <c r="CC87" s="59">
        <f t="shared" si="65"/>
        <v>984.97262570546991</v>
      </c>
      <c r="CD87" s="59">
        <f ca="1">AVERAGE(OFFSET($CC$3,0,0,'Données projet'!$E$12+1,1))-AVERAGE(OFFSET($H$3,0,0,'Données projet'!$E$12+1,1))</f>
        <v>287.72859857368331</v>
      </c>
      <c r="CE87" s="59">
        <f t="shared" si="94"/>
        <v>179.60736986885922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41.385823025318729</v>
      </c>
      <c r="CL87" s="21">
        <f>EXP(-LN(2)/25)*CL86+(1-EXP(-LN(2)/25))/(LN(2)/25)*Calculateur!CG87*Calculateur!CI87*VLOOKUP('Données projet'!$B$12,Paramètres!$A$1:$I$89,3,0)*0.475*44/12</f>
        <v>26.846690634536611</v>
      </c>
      <c r="CM87" s="21">
        <f>EXP(-LN(2)/2)*CM86+(1-EXP(-LN(2)/2))/(LN(2)/2)*CG87*CJ87*VLOOKUP('Données projet'!$B$12,Paramètres!$A$1:$I$89,3,0)*0.475*44/12</f>
        <v>8.8895616590030216E-2</v>
      </c>
      <c r="CN87" s="22">
        <f t="shared" si="66"/>
        <v>68.32140927644538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243.33915530322201</v>
      </c>
      <c r="CZ87" s="59">
        <f t="shared" si="96"/>
        <v>247.73814704672577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48.023111228277521</v>
      </c>
      <c r="DG87" s="21">
        <f>EXP(-LN(2)/25)*DG86+(1-EXP(-LN(2)/25))/(LN(2)/25)*Calculateur!DB87*Calculateur!DD87*VLOOKUP('Données projet'!$B$13,Paramètres!$A$1:$I$89,3,0)*0.475*44/12</f>
        <v>45.936040159177622</v>
      </c>
      <c r="DH87" s="21">
        <f>EXP(-LN(2)/2)*DH86+(1-EXP(-LN(2)/2))/(LN(2)/2)*DB87*DE87*VLOOKUP('Données projet'!$B$13,Paramètres!$A$1:$I$89,3,0)*0.475*44/12</f>
        <v>15.605330301100274</v>
      </c>
      <c r="DI87" s="22">
        <f t="shared" si="69"/>
        <v>109.56448168855542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5.6843418860808015E-13</v>
      </c>
      <c r="O88" s="13">
        <f>N88*VLOOKUP('Données projet'!$B$9,Paramètres!$A$1:$I$89,3,0)*VLOOKUP('Données projet'!$B$9,Paramètres!$A$1:$I$89,5,0)</f>
        <v>3.177547114319168E-13</v>
      </c>
      <c r="P88" s="13">
        <f t="shared" si="87"/>
        <v>4.1725404435445377E-12</v>
      </c>
      <c r="Q88" s="20">
        <f t="shared" si="54"/>
        <v>7.820597394917325E-12</v>
      </c>
      <c r="R88" s="59">
        <f t="shared" si="55"/>
        <v>293.33333333334116</v>
      </c>
      <c r="S88" s="59">
        <f ca="1">AVERAGE(OFFSET($R$3,0,0,'Données projet'!$E$9+1,1))-AVERAGE(OFFSET($H$3,0,0,'Données projet'!$E$9+1,1))</f>
        <v>287.413090017863</v>
      </c>
      <c r="T88" s="59">
        <f t="shared" si="88"/>
        <v>258.48456031927117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171.4456383924468</v>
      </c>
      <c r="AA88" s="21">
        <f>EXP(-LN(2)/25)*AA87+(1-EXP(-LN(2)/25))/(LN(2)/25)*Calculateur!V88*Calculateur!X88*VLOOKUP('Données projet'!$B$9,Paramètres!$A$1:$I$89,3,0)*0.475*44/12</f>
        <v>50.640962120061452</v>
      </c>
      <c r="AB88" s="21">
        <f>EXP(-LN(2)/2)*AB87+(1-EXP(-LN(2)/2))/(LN(2)/2)*V88*Y88*VLOOKUP('Données projet'!$B$9,Paramètres!$A$1:$I$89,3,0)*0.475*44/12</f>
        <v>0.41711303332587313</v>
      </c>
      <c r="AC88" s="22">
        <f t="shared" si="57"/>
        <v>222.50371354583413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9.1730000000000018</v>
      </c>
      <c r="AI88" s="13">
        <f>IF('Données projet'!$A$62&gt;35,AI87+AH88-AQ87,IF(A88&lt;'Données projet'!$A$62,$AF$205^A88,IF(A88='Données projet'!$A$62,'Données projet'!$B$62,AI87+AH88-AQ87)))</f>
        <v>297.57300000000049</v>
      </c>
      <c r="AJ88" s="13">
        <f>AI88*VLOOKUP('Données projet'!$B$10,Paramètres!$A$1:$I$89,3,0)*VLOOKUP('Données projet'!$B$10,Paramètres!$A$1:$I$89,5,0)</f>
        <v>269.24405040000045</v>
      </c>
      <c r="AK88" s="13">
        <f t="shared" si="89"/>
        <v>64.688811534365087</v>
      </c>
      <c r="AL88" s="20">
        <f t="shared" si="58"/>
        <v>581.59973453568659</v>
      </c>
      <c r="AM88" s="59">
        <f t="shared" si="59"/>
        <v>874.93306786901985</v>
      </c>
      <c r="AN88" s="59">
        <f ca="1">AVERAGE(OFFSET($AM$3,0,0,'Données projet'!$E$10+1,1))-AVERAGE(OFFSET($H$3,0,0,'Données projet'!$E$10+1,1))</f>
        <v>422.10969295064359</v>
      </c>
      <c r="AO88" s="59">
        <f t="shared" si="90"/>
        <v>184.04075143033037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21.604553113563949</v>
      </c>
      <c r="AV88" s="21">
        <f>EXP(-LN(2)/25)*AV87+(1-EXP(-LN(2)/25))/(LN(2)/25)*Calculateur!AQ88*Calculateur!AS88*VLOOKUP('Données projet'!$B$10,Paramètres!$A$1:$I$89,3,0)*0.475*44/12</f>
        <v>28.7697009292262</v>
      </c>
      <c r="AW88" s="21">
        <f>EXP(-LN(2)/2)*AW87+(1-EXP(-LN(2)/2))/(LN(2)/2)*AQ88*AT88*VLOOKUP('Données projet'!$B$10,Paramètres!$A$1:$I$89,3,0)*0.475*44/12</f>
        <v>4.1297238291879266</v>
      </c>
      <c r="AX88" s="21">
        <f t="shared" si="60"/>
        <v>54.503977871978073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-2.2737367544323206E-13</v>
      </c>
      <c r="BE88" s="13">
        <f>BD88*VLOOKUP('Données projet'!$B$11,Paramètres!$A$1:$I$89,3,0)*VLOOKUP('Données projet'!$B$11,Paramètres!$A$1:$I$89,5,0)</f>
        <v>-9.1631591203622526E-14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217.61052961346684</v>
      </c>
      <c r="BJ88" s="59">
        <f t="shared" si="92"/>
        <v>180.77145728128608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152.54983525320372</v>
      </c>
      <c r="BQ88" s="21">
        <f>EXP(-LN(2)/25)*BQ87+(1-EXP(-LN(2)/25))/(LN(2)/25)*Calculateur!BL88*Calculateur!BN88*VLOOKUP('Données projet'!$B$11,Paramètres!$A$1:$I$89,3,0)*0.475*44/12</f>
        <v>52.478460487265586</v>
      </c>
      <c r="BR88" s="21">
        <f>EXP(-LN(2)/2)*BR87+(1-EXP(-LN(2)/2))/(LN(2)/2)*BL88*BO88*VLOOKUP('Données projet'!$B$11,Paramètres!$A$1:$I$89,3,0)*0.475*44/12</f>
        <v>11.558443838380677</v>
      </c>
      <c r="BS88" s="22">
        <f t="shared" si="63"/>
        <v>216.58673957884997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11.905555555555553</v>
      </c>
      <c r="BY88" s="12">
        <f>IF('Données projet'!$A$114&gt;35,BY87+BX88-CG87,IF(A88&lt;'Données projet'!$A$114,$BV$205^A88,IF(A88='Données projet'!$A$114,'Données projet'!$B$114,BY87+BX88-CG87)))</f>
        <v>393.50222222222203</v>
      </c>
      <c r="BZ88" s="13">
        <f>BY88*VLOOKUP('Données projet'!$B$12,Paramètres!$A$1:$I$89,3,0)*VLOOKUP('Données projet'!$B$12,Paramètres!$A$1:$I$89,5,0)</f>
        <v>331.48627199999987</v>
      </c>
      <c r="CA88" s="13">
        <f t="shared" si="93"/>
        <v>77.738368640761308</v>
      </c>
      <c r="CB88" s="20">
        <f t="shared" si="64"/>
        <v>712.73291578265901</v>
      </c>
      <c r="CC88" s="59">
        <f t="shared" si="65"/>
        <v>1006.0662491159924</v>
      </c>
      <c r="CD88" s="59">
        <f ca="1">AVERAGE(OFFSET($CC$3,0,0,'Données projet'!$E$12+1,1))-AVERAGE(OFFSET($H$3,0,0,'Données projet'!$E$12+1,1))</f>
        <v>287.72859857368331</v>
      </c>
      <c r="CE88" s="59">
        <f t="shared" si="94"/>
        <v>179.60736986885922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40.574272278651748</v>
      </c>
      <c r="CL88" s="21">
        <f>EXP(-LN(2)/25)*CL87+(1-EXP(-LN(2)/25))/(LN(2)/25)*Calculateur!CG88*Calculateur!CI88*VLOOKUP('Données projet'!$B$12,Paramètres!$A$1:$I$89,3,0)*0.475*44/12</f>
        <v>26.112566467329106</v>
      </c>
      <c r="CM88" s="21">
        <f>EXP(-LN(2)/2)*CM87+(1-EXP(-LN(2)/2))/(LN(2)/2)*CG88*CJ88*VLOOKUP('Données projet'!$B$12,Paramètres!$A$1:$I$89,3,0)*0.475*44/12</f>
        <v>6.2858693308569719E-2</v>
      </c>
      <c r="CN88" s="22">
        <f t="shared" si="66"/>
        <v>66.74969743928942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243.33915530322201</v>
      </c>
      <c r="CZ88" s="59">
        <f t="shared" si="96"/>
        <v>247.73814704672577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47.081407308296583</v>
      </c>
      <c r="DG88" s="21">
        <f>EXP(-LN(2)/25)*DG87+(1-EXP(-LN(2)/25))/(LN(2)/25)*Calculateur!DB88*Calculateur!DD88*VLOOKUP('Données projet'!$B$13,Paramètres!$A$1:$I$89,3,0)*0.475*44/12</f>
        <v>44.67991672535355</v>
      </c>
      <c r="DH88" s="21">
        <f>EXP(-LN(2)/2)*DH87+(1-EXP(-LN(2)/2))/(LN(2)/2)*DB88*DE88*VLOOKUP('Données projet'!$B$13,Paramètres!$A$1:$I$89,3,0)*0.475*44/12</f>
        <v>11.034634878563912</v>
      </c>
      <c r="DI88" s="22">
        <f t="shared" si="69"/>
        <v>102.79595891221405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5.6843418860808015E-13</v>
      </c>
      <c r="O89" s="13">
        <f>N89*VLOOKUP('Données projet'!$B$9,Paramètres!$A$1:$I$89,3,0)*VLOOKUP('Données projet'!$B$9,Paramètres!$A$1:$I$89,5,0)</f>
        <v>3.177547114319168E-13</v>
      </c>
      <c r="P89" s="13">
        <f t="shared" si="87"/>
        <v>4.1725404435445377E-12</v>
      </c>
      <c r="Q89" s="20">
        <f t="shared" si="54"/>
        <v>7.820597394917325E-12</v>
      </c>
      <c r="R89" s="59">
        <f t="shared" si="55"/>
        <v>293.33333333334116</v>
      </c>
      <c r="S89" s="59">
        <f ca="1">AVERAGE(OFFSET($R$3,0,0,'Données projet'!$E$9+1,1))-AVERAGE(OFFSET($H$3,0,0,'Données projet'!$E$9+1,1))</f>
        <v>287.413090017863</v>
      </c>
      <c r="T89" s="59">
        <f t="shared" si="88"/>
        <v>258.48456031927117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168.08369399508476</v>
      </c>
      <c r="AA89" s="21">
        <f>EXP(-LN(2)/25)*AA88+(1-EXP(-LN(2)/25))/(LN(2)/25)*Calculateur!V89*Calculateur!X89*VLOOKUP('Données projet'!$B$9,Paramètres!$A$1:$I$89,3,0)*0.475*44/12</f>
        <v>49.256182347795914</v>
      </c>
      <c r="AB89" s="21">
        <f>EXP(-LN(2)/2)*AB88+(1-EXP(-LN(2)/2))/(LN(2)/2)*V89*Y89*VLOOKUP('Données projet'!$B$9,Paramètres!$A$1:$I$89,3,0)*0.475*44/12</f>
        <v>0.29494345438601527</v>
      </c>
      <c r="AC89" s="22">
        <f t="shared" si="57"/>
        <v>217.63481979726669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9.1730000000000018</v>
      </c>
      <c r="AI89" s="13">
        <f>IF('Données projet'!$A$62&gt;35,AI88+AH89-AQ88,IF(A89&lt;'Données projet'!$A$62,$AF$205^A89,IF(A89='Données projet'!$A$62,'Données projet'!$B$62,AI88+AH89-AQ88)))</f>
        <v>306.74600000000049</v>
      </c>
      <c r="AJ89" s="13">
        <f>AI89*VLOOKUP('Données projet'!$B$10,Paramètres!$A$1:$I$89,3,0)*VLOOKUP('Données projet'!$B$10,Paramètres!$A$1:$I$89,5,0)</f>
        <v>277.54378080000043</v>
      </c>
      <c r="AK89" s="13">
        <f t="shared" si="89"/>
        <v>66.447673279805883</v>
      </c>
      <c r="AL89" s="20">
        <f t="shared" si="58"/>
        <v>599.11844918899601</v>
      </c>
      <c r="AM89" s="59">
        <f t="shared" si="59"/>
        <v>892.45178252232927</v>
      </c>
      <c r="AN89" s="59">
        <f ca="1">AVERAGE(OFFSET($AM$3,0,0,'Données projet'!$E$10+1,1))-AVERAGE(OFFSET($H$3,0,0,'Données projet'!$E$10+1,1))</f>
        <v>422.10969295064359</v>
      </c>
      <c r="AO89" s="59">
        <f t="shared" si="90"/>
        <v>184.04075143033037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21.180901004483189</v>
      </c>
      <c r="AV89" s="21">
        <f>EXP(-LN(2)/25)*AV88+(1-EXP(-LN(2)/25))/(LN(2)/25)*Calculateur!AQ89*Calculateur!AS89*VLOOKUP('Données projet'!$B$10,Paramètres!$A$1:$I$89,3,0)*0.475*44/12</f>
        <v>27.982991944383691</v>
      </c>
      <c r="AW89" s="21">
        <f>EXP(-LN(2)/2)*AW88+(1-EXP(-LN(2)/2))/(LN(2)/2)*AQ89*AT89*VLOOKUP('Données projet'!$B$10,Paramètres!$A$1:$I$89,3,0)*0.475*44/12</f>
        <v>2.9201557240464586</v>
      </c>
      <c r="AX89" s="21">
        <f t="shared" si="60"/>
        <v>52.08404867291334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-2.2737367544323206E-13</v>
      </c>
      <c r="BE89" s="13">
        <f>BD89*VLOOKUP('Données projet'!$B$11,Paramètres!$A$1:$I$89,3,0)*VLOOKUP('Données projet'!$B$11,Paramètres!$A$1:$I$89,5,0)</f>
        <v>-9.1631591203622526E-14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217.61052961346684</v>
      </c>
      <c r="BJ89" s="59">
        <f t="shared" si="92"/>
        <v>180.77145728128608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149.55842603010035</v>
      </c>
      <c r="BQ89" s="21">
        <f>EXP(-LN(2)/25)*BQ88+(1-EXP(-LN(2)/25))/(LN(2)/25)*Calculateur!BL89*Calculateur!BN89*VLOOKUP('Données projet'!$B$11,Paramètres!$A$1:$I$89,3,0)*0.475*44/12</f>
        <v>51.043434225519015</v>
      </c>
      <c r="BR89" s="21">
        <f>EXP(-LN(2)/2)*BR88+(1-EXP(-LN(2)/2))/(LN(2)/2)*BL89*BO89*VLOOKUP('Données projet'!$B$11,Paramètres!$A$1:$I$89,3,0)*0.475*44/12</f>
        <v>8.1730540180828442</v>
      </c>
      <c r="BS89" s="22">
        <f t="shared" si="63"/>
        <v>208.77491427370219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11.905555555555553</v>
      </c>
      <c r="BY89" s="12">
        <f>IF('Données projet'!$A$114&gt;35,BY88+BX89-CG88,IF(A89&lt;'Données projet'!$A$114,$BV$205^A89,IF(A89='Données projet'!$A$114,'Données projet'!$B$114,BY88+BX89-CG88)))</f>
        <v>405.4077777777776</v>
      </c>
      <c r="BZ89" s="13">
        <f>BY89*VLOOKUP('Données projet'!$B$12,Paramètres!$A$1:$I$89,3,0)*VLOOKUP('Données projet'!$B$12,Paramètres!$A$1:$I$89,5,0)</f>
        <v>341.51551199999989</v>
      </c>
      <c r="CA89" s="13">
        <f t="shared" si="93"/>
        <v>79.812979702519371</v>
      </c>
      <c r="CB89" s="20">
        <f t="shared" si="64"/>
        <v>733.81378971522111</v>
      </c>
      <c r="CC89" s="59">
        <f t="shared" si="65"/>
        <v>1027.1471230485545</v>
      </c>
      <c r="CD89" s="59">
        <f ca="1">AVERAGE(OFFSET($CC$3,0,0,'Données projet'!$E$12+1,1))-AVERAGE(OFFSET($H$3,0,0,'Données projet'!$E$12+1,1))</f>
        <v>287.72859857368331</v>
      </c>
      <c r="CE89" s="59">
        <f t="shared" si="94"/>
        <v>179.60736986885922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39.778635547129831</v>
      </c>
      <c r="CL89" s="21">
        <f>EXP(-LN(2)/25)*CL88+(1-EXP(-LN(2)/25))/(LN(2)/25)*Calculateur!CG89*Calculateur!CI89*VLOOKUP('Données projet'!$B$12,Paramètres!$A$1:$I$89,3,0)*0.475*44/12</f>
        <v>25.398516964079803</v>
      </c>
      <c r="CM89" s="21">
        <f>EXP(-LN(2)/2)*CM88+(1-EXP(-LN(2)/2))/(LN(2)/2)*CG89*CJ89*VLOOKUP('Données projet'!$B$12,Paramètres!$A$1:$I$89,3,0)*0.475*44/12</f>
        <v>4.4447808295015108E-2</v>
      </c>
      <c r="CN89" s="22">
        <f t="shared" si="66"/>
        <v>65.22160031950466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243.33915530322201</v>
      </c>
      <c r="CZ89" s="59">
        <f t="shared" si="96"/>
        <v>247.73814704672577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46.158169627803794</v>
      </c>
      <c r="DG89" s="21">
        <f>EXP(-LN(2)/25)*DG88+(1-EXP(-LN(2)/25))/(LN(2)/25)*Calculateur!DB89*Calculateur!DD89*VLOOKUP('Données projet'!$B$13,Paramètres!$A$1:$I$89,3,0)*0.475*44/12</f>
        <v>43.458142052884057</v>
      </c>
      <c r="DH89" s="21">
        <f>EXP(-LN(2)/2)*DH88+(1-EXP(-LN(2)/2))/(LN(2)/2)*DB89*DE89*VLOOKUP('Données projet'!$B$13,Paramètres!$A$1:$I$89,3,0)*0.475*44/12</f>
        <v>7.8026651505501379</v>
      </c>
      <c r="DI89" s="22">
        <f t="shared" si="69"/>
        <v>97.418976831237998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5.6843418860808015E-13</v>
      </c>
      <c r="O90" s="13">
        <f>N90*VLOOKUP('Données projet'!$B$9,Paramètres!$A$1:$I$89,3,0)*VLOOKUP('Données projet'!$B$9,Paramètres!$A$1:$I$89,5,0)</f>
        <v>3.177547114319168E-13</v>
      </c>
      <c r="P90" s="13">
        <f t="shared" si="87"/>
        <v>4.1725404435445377E-12</v>
      </c>
      <c r="Q90" s="20">
        <f t="shared" si="54"/>
        <v>7.820597394917325E-12</v>
      </c>
      <c r="R90" s="59">
        <f t="shared" si="55"/>
        <v>293.33333333334116</v>
      </c>
      <c r="S90" s="59">
        <f ca="1">AVERAGE(OFFSET($R$3,0,0,'Données projet'!$E$9+1,1))-AVERAGE(OFFSET($H$3,0,0,'Données projet'!$E$9+1,1))</f>
        <v>287.413090017863</v>
      </c>
      <c r="T90" s="59">
        <f t="shared" si="88"/>
        <v>258.48456031927117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164.78767527677138</v>
      </c>
      <c r="AA90" s="21">
        <f>EXP(-LN(2)/25)*AA89+(1-EXP(-LN(2)/25))/(LN(2)/25)*Calculateur!V90*Calculateur!X90*VLOOKUP('Données projet'!$B$9,Paramètres!$A$1:$I$89,3,0)*0.475*44/12</f>
        <v>47.909269451225384</v>
      </c>
      <c r="AB90" s="21">
        <f>EXP(-LN(2)/2)*AB89+(1-EXP(-LN(2)/2))/(LN(2)/2)*V90*Y90*VLOOKUP('Données projet'!$B$9,Paramètres!$A$1:$I$89,3,0)*0.475*44/12</f>
        <v>0.20855651666293656</v>
      </c>
      <c r="AC90" s="22">
        <f t="shared" si="57"/>
        <v>212.90550124465969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9.1730000000000018</v>
      </c>
      <c r="AI90" s="13">
        <f>IF('Données projet'!$A$62&gt;35,AI89+AH90-AQ89,IF(A90&lt;'Données projet'!$A$62,$AF$205^A90,IF(A90='Données projet'!$A$62,'Données projet'!$B$62,AI89+AH90-AQ89)))</f>
        <v>315.91900000000049</v>
      </c>
      <c r="AJ90" s="13">
        <f>AI90*VLOOKUP('Données projet'!$B$10,Paramètres!$A$1:$I$89,3,0)*VLOOKUP('Données projet'!$B$10,Paramètres!$A$1:$I$89,5,0)</f>
        <v>285.84351120000042</v>
      </c>
      <c r="AK90" s="13">
        <f t="shared" si="89"/>
        <v>68.200422369637309</v>
      </c>
      <c r="AL90" s="20">
        <f t="shared" si="58"/>
        <v>616.62651763378562</v>
      </c>
      <c r="AM90" s="59">
        <f t="shared" si="59"/>
        <v>909.95985096711888</v>
      </c>
      <c r="AN90" s="59">
        <f ca="1">AVERAGE(OFFSET($AM$3,0,0,'Données projet'!$E$10+1,1))-AVERAGE(OFFSET($H$3,0,0,'Données projet'!$E$10+1,1))</f>
        <v>422.10969295064359</v>
      </c>
      <c r="AO90" s="59">
        <f t="shared" si="90"/>
        <v>184.04075143033037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20.765556454859233</v>
      </c>
      <c r="AV90" s="21">
        <f>EXP(-LN(2)/25)*AV89+(1-EXP(-LN(2)/25))/(LN(2)/25)*Calculateur!AQ90*Calculateur!AS90*VLOOKUP('Données projet'!$B$10,Paramètres!$A$1:$I$89,3,0)*0.475*44/12</f>
        <v>27.217795558102928</v>
      </c>
      <c r="AW90" s="21">
        <f>EXP(-LN(2)/2)*AW89+(1-EXP(-LN(2)/2))/(LN(2)/2)*AQ90*AT90*VLOOKUP('Données projet'!$B$10,Paramètres!$A$1:$I$89,3,0)*0.475*44/12</f>
        <v>2.0648619145939637</v>
      </c>
      <c r="AX90" s="21">
        <f t="shared" si="60"/>
        <v>50.04821392755612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-2.2737367544323206E-13</v>
      </c>
      <c r="BE90" s="13">
        <f>BD90*VLOOKUP('Données projet'!$B$11,Paramètres!$A$1:$I$89,3,0)*VLOOKUP('Données projet'!$B$11,Paramètres!$A$1:$I$89,5,0)</f>
        <v>-9.1631591203622526E-14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217.61052961346684</v>
      </c>
      <c r="BJ90" s="59">
        <f t="shared" si="92"/>
        <v>180.77145728128608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146.62567651728259</v>
      </c>
      <c r="BQ90" s="21">
        <f>EXP(-LN(2)/25)*BQ89+(1-EXP(-LN(2)/25))/(LN(2)/25)*Calculateur!BL90*Calculateur!BN90*VLOOKUP('Données projet'!$B$11,Paramètres!$A$1:$I$89,3,0)*0.475*44/12</f>
        <v>49.647648832364652</v>
      </c>
      <c r="BR90" s="21">
        <f>EXP(-LN(2)/2)*BR89+(1-EXP(-LN(2)/2))/(LN(2)/2)*BL90*BO90*VLOOKUP('Données projet'!$B$11,Paramètres!$A$1:$I$89,3,0)*0.475*44/12</f>
        <v>5.7792219191903387</v>
      </c>
      <c r="BS90" s="22">
        <f t="shared" si="63"/>
        <v>202.05254726883757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11.905555555555553</v>
      </c>
      <c r="BY90" s="12">
        <f>IF('Données projet'!$A$114&gt;35,BY89+BX90-CG89,IF(A90&lt;'Données projet'!$A$114,$BV$205^A90,IF(A90='Données projet'!$A$114,'Données projet'!$B$114,BY89+BX90-CG89)))</f>
        <v>417.31333333333316</v>
      </c>
      <c r="BZ90" s="13">
        <f>BY90*VLOOKUP('Données projet'!$B$12,Paramètres!$A$1:$I$89,3,0)*VLOOKUP('Données projet'!$B$12,Paramètres!$A$1:$I$89,5,0)</f>
        <v>351.54475199999985</v>
      </c>
      <c r="CA90" s="13">
        <f t="shared" si="93"/>
        <v>81.880510146389071</v>
      </c>
      <c r="CB90" s="20">
        <f t="shared" si="64"/>
        <v>754.88233157162733</v>
      </c>
      <c r="CC90" s="59">
        <f t="shared" si="65"/>
        <v>1048.2156649049607</v>
      </c>
      <c r="CD90" s="59">
        <f ca="1">AVERAGE(OFFSET($CC$3,0,0,'Données projet'!$E$12+1,1))-AVERAGE(OFFSET($H$3,0,0,'Données projet'!$E$12+1,1))</f>
        <v>287.72859857368331</v>
      </c>
      <c r="CE90" s="59">
        <f t="shared" si="94"/>
        <v>179.60736986885922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38.998600766622566</v>
      </c>
      <c r="CL90" s="21">
        <f>EXP(-LN(2)/25)*CL89+(1-EXP(-LN(2)/25))/(LN(2)/25)*Calculateur!CG90*Calculateur!CI90*VLOOKUP('Données projet'!$B$12,Paramètres!$A$1:$I$89,3,0)*0.475*44/12</f>
        <v>24.703993182047082</v>
      </c>
      <c r="CM90" s="21">
        <f>EXP(-LN(2)/2)*CM89+(1-EXP(-LN(2)/2))/(LN(2)/2)*CG90*CJ90*VLOOKUP('Données projet'!$B$12,Paramètres!$A$1:$I$89,3,0)*0.475*44/12</f>
        <v>3.1429346654284859E-2</v>
      </c>
      <c r="CN90" s="22">
        <f t="shared" si="66"/>
        <v>63.734023295323929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243.33915530322201</v>
      </c>
      <c r="CZ90" s="59">
        <f t="shared" si="96"/>
        <v>247.73814704672577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45.253036075106088</v>
      </c>
      <c r="DG90" s="21">
        <f>EXP(-LN(2)/25)*DG89+(1-EXP(-LN(2)/25))/(LN(2)/25)*Calculateur!DB90*Calculateur!DD90*VLOOKUP('Données projet'!$B$13,Paramètres!$A$1:$I$89,3,0)*0.475*44/12</f>
        <v>42.269776873083579</v>
      </c>
      <c r="DH90" s="21">
        <f>EXP(-LN(2)/2)*DH89+(1-EXP(-LN(2)/2))/(LN(2)/2)*DB90*DE90*VLOOKUP('Données projet'!$B$13,Paramètres!$A$1:$I$89,3,0)*0.475*44/12</f>
        <v>5.5173174392819568</v>
      </c>
      <c r="DI90" s="22">
        <f t="shared" si="69"/>
        <v>93.040130387471621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5.6843418860808015E-13</v>
      </c>
      <c r="O91" s="13">
        <f>N91*VLOOKUP('Données projet'!$B$9,Paramètres!$A$1:$I$89,3,0)*VLOOKUP('Données projet'!$B$9,Paramètres!$A$1:$I$89,5,0)</f>
        <v>3.177547114319168E-13</v>
      </c>
      <c r="P91" s="13">
        <f t="shared" si="87"/>
        <v>4.1725404435445377E-12</v>
      </c>
      <c r="Q91" s="20">
        <f t="shared" si="54"/>
        <v>7.820597394917325E-12</v>
      </c>
      <c r="R91" s="59">
        <f t="shared" si="55"/>
        <v>293.33333333334116</v>
      </c>
      <c r="S91" s="59">
        <f ca="1">AVERAGE(OFFSET($R$3,0,0,'Données projet'!$E$9+1,1))-AVERAGE(OFFSET($H$3,0,0,'Données projet'!$E$9+1,1))</f>
        <v>287.413090017863</v>
      </c>
      <c r="T91" s="59">
        <f t="shared" si="88"/>
        <v>258.48456031927117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161.55628947515123</v>
      </c>
      <c r="AA91" s="21">
        <f>EXP(-LN(2)/25)*AA90+(1-EXP(-LN(2)/25))/(LN(2)/25)*Calculateur!V91*Calculateur!X91*VLOOKUP('Données projet'!$B$9,Paramètres!$A$1:$I$89,3,0)*0.475*44/12</f>
        <v>46.599187958642645</v>
      </c>
      <c r="AB91" s="21">
        <f>EXP(-LN(2)/2)*AB90+(1-EXP(-LN(2)/2))/(LN(2)/2)*V91*Y91*VLOOKUP('Données projet'!$B$9,Paramètres!$A$1:$I$89,3,0)*0.475*44/12</f>
        <v>0.14747172719300763</v>
      </c>
      <c r="AC91" s="22">
        <f t="shared" si="57"/>
        <v>208.30294916098688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9.1730000000000018</v>
      </c>
      <c r="AI91" s="13">
        <f>IF('Données projet'!$A$62&gt;35,AI90+AH91-AQ90,IF(A91&lt;'Données projet'!$A$62,$AF$205^A91,IF(A91='Données projet'!$A$62,'Données projet'!$B$62,AI90+AH91-AQ90)))</f>
        <v>325.0920000000005</v>
      </c>
      <c r="AJ91" s="13">
        <f>AI91*VLOOKUP('Données projet'!$B$10,Paramètres!$A$1:$I$89,3,0)*VLOOKUP('Données projet'!$B$10,Paramètres!$A$1:$I$89,5,0)</f>
        <v>294.14324160000047</v>
      </c>
      <c r="AK91" s="13">
        <f t="shared" si="89"/>
        <v>69.947256671789191</v>
      </c>
      <c r="AL91" s="20">
        <f t="shared" si="58"/>
        <v>634.12428449003357</v>
      </c>
      <c r="AM91" s="59">
        <f t="shared" si="59"/>
        <v>927.45761782336695</v>
      </c>
      <c r="AN91" s="59">
        <f ca="1">AVERAGE(OFFSET($AM$3,0,0,'Données projet'!$E$10+1,1))-AVERAGE(OFFSET($H$3,0,0,'Données projet'!$E$10+1,1))</f>
        <v>422.10969295064359</v>
      </c>
      <c r="AO91" s="59">
        <f t="shared" si="90"/>
        <v>184.04075143033037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20.358356558518242</v>
      </c>
      <c r="AV91" s="21">
        <f>EXP(-LN(2)/25)*AV90+(1-EXP(-LN(2)/25))/(LN(2)/25)*Calculateur!AQ91*Calculateur!AS91*VLOOKUP('Données projet'!$B$10,Paramètres!$A$1:$I$89,3,0)*0.475*44/12</f>
        <v>26.473523507244941</v>
      </c>
      <c r="AW91" s="21">
        <f>EXP(-LN(2)/2)*AW90+(1-EXP(-LN(2)/2))/(LN(2)/2)*AQ91*AT91*VLOOKUP('Données projet'!$B$10,Paramètres!$A$1:$I$89,3,0)*0.475*44/12</f>
        <v>1.4600778620232295</v>
      </c>
      <c r="AX91" s="21">
        <f t="shared" si="60"/>
        <v>48.291957927786413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-2.2737367544323206E-13</v>
      </c>
      <c r="BE91" s="13">
        <f>BD91*VLOOKUP('Données projet'!$B$11,Paramètres!$A$1:$I$89,3,0)*VLOOKUP('Données projet'!$B$11,Paramètres!$A$1:$I$89,5,0)</f>
        <v>-9.1631591203622526E-14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217.61052961346684</v>
      </c>
      <c r="BJ91" s="59">
        <f t="shared" si="92"/>
        <v>180.77145728128608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143.75043643361059</v>
      </c>
      <c r="BQ91" s="21">
        <f>EXP(-LN(2)/25)*BQ90+(1-EXP(-LN(2)/25))/(LN(2)/25)*Calculateur!BL91*Calculateur!BN91*VLOOKUP('Données projet'!$B$11,Paramètres!$A$1:$I$89,3,0)*0.475*44/12</f>
        <v>48.290031264187263</v>
      </c>
      <c r="BR91" s="21">
        <f>EXP(-LN(2)/2)*BR90+(1-EXP(-LN(2)/2))/(LN(2)/2)*BL91*BO91*VLOOKUP('Données projet'!$B$11,Paramètres!$A$1:$I$89,3,0)*0.475*44/12</f>
        <v>4.0865270090414221</v>
      </c>
      <c r="BS91" s="22">
        <f t="shared" si="63"/>
        <v>196.12699470683927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11.905555555555553</v>
      </c>
      <c r="BY91" s="12">
        <f>IF('Données projet'!$A$114&gt;35,BY90+BX91-CG90,IF(A91&lt;'Données projet'!$A$114,$BV$205^A91,IF(A91='Données projet'!$A$114,'Données projet'!$B$114,BY90+BX91-CG90)))</f>
        <v>429.21888888888873</v>
      </c>
      <c r="BZ91" s="13">
        <f>BY91*VLOOKUP('Données projet'!$B$12,Paramètres!$A$1:$I$89,3,0)*VLOOKUP('Données projet'!$B$12,Paramètres!$A$1:$I$89,5,0)</f>
        <v>361.57399199999992</v>
      </c>
      <c r="CA91" s="13">
        <f t="shared" si="93"/>
        <v>83.941185176780493</v>
      </c>
      <c r="CB91" s="20">
        <f t="shared" si="64"/>
        <v>775.93893358289245</v>
      </c>
      <c r="CC91" s="59">
        <f t="shared" si="65"/>
        <v>1069.2722669162258</v>
      </c>
      <c r="CD91" s="59">
        <f ca="1">AVERAGE(OFFSET($CC$3,0,0,'Données projet'!$E$12+1,1))-AVERAGE(OFFSET($H$3,0,0,'Données projet'!$E$12+1,1))</f>
        <v>287.72859857368331</v>
      </c>
      <c r="CE91" s="59">
        <f t="shared" si="94"/>
        <v>179.60736986885922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38.233861992386814</v>
      </c>
      <c r="CL91" s="21">
        <f>EXP(-LN(2)/25)*CL90+(1-EXP(-LN(2)/25))/(LN(2)/25)*Calculateur!CG91*Calculateur!CI91*VLOOKUP('Données projet'!$B$12,Paramètres!$A$1:$I$89,3,0)*0.475*44/12</f>
        <v>24.028461189357465</v>
      </c>
      <c r="CM91" s="21">
        <f>EXP(-LN(2)/2)*CM90+(1-EXP(-LN(2)/2))/(LN(2)/2)*CG91*CJ91*VLOOKUP('Données projet'!$B$12,Paramètres!$A$1:$I$89,3,0)*0.475*44/12</f>
        <v>2.2223904147507554E-2</v>
      </c>
      <c r="CN91" s="22">
        <f t="shared" si="66"/>
        <v>62.284547085891788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243.33915530322201</v>
      </c>
      <c r="CZ91" s="59">
        <f t="shared" si="96"/>
        <v>247.73814704672577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44.365651639299827</v>
      </c>
      <c r="DG91" s="21">
        <f>EXP(-LN(2)/25)*DG90+(1-EXP(-LN(2)/25))/(LN(2)/25)*Calculateur!DB91*Calculateur!DD91*VLOOKUP('Données projet'!$B$13,Paramètres!$A$1:$I$89,3,0)*0.475*44/12</f>
        <v>41.113907601618152</v>
      </c>
      <c r="DH91" s="21">
        <f>EXP(-LN(2)/2)*DH90+(1-EXP(-LN(2)/2))/(LN(2)/2)*DB91*DE91*VLOOKUP('Données projet'!$B$13,Paramètres!$A$1:$I$89,3,0)*0.475*44/12</f>
        <v>3.9013325752750698</v>
      </c>
      <c r="DI91" s="22">
        <f t="shared" si="69"/>
        <v>89.380891816193042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5.6843418860808015E-13</v>
      </c>
      <c r="O92" s="13">
        <f>N92*VLOOKUP('Données projet'!$B$9,Paramètres!$A$1:$I$89,3,0)*VLOOKUP('Données projet'!$B$9,Paramètres!$A$1:$I$89,5,0)</f>
        <v>3.177547114319168E-13</v>
      </c>
      <c r="P92" s="13">
        <f t="shared" si="87"/>
        <v>4.1725404435445377E-12</v>
      </c>
      <c r="Q92" s="20">
        <f t="shared" si="54"/>
        <v>7.820597394917325E-12</v>
      </c>
      <c r="R92" s="59">
        <f t="shared" si="55"/>
        <v>293.33333333334116</v>
      </c>
      <c r="S92" s="59">
        <f ca="1">AVERAGE(OFFSET($R$3,0,0,'Données projet'!$E$9+1,1))-AVERAGE(OFFSET($H$3,0,0,'Données projet'!$E$9+1,1))</f>
        <v>287.413090017863</v>
      </c>
      <c r="T92" s="59">
        <f t="shared" si="88"/>
        <v>258.48456031927117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158.38826917815013</v>
      </c>
      <c r="AA92" s="21">
        <f>EXP(-LN(2)/25)*AA91+(1-EXP(-LN(2)/25))/(LN(2)/25)*Calculateur!V92*Calculateur!X92*VLOOKUP('Données projet'!$B$9,Paramètres!$A$1:$I$89,3,0)*0.475*44/12</f>
        <v>45.324930713368772</v>
      </c>
      <c r="AB92" s="21">
        <f>EXP(-LN(2)/2)*AB91+(1-EXP(-LN(2)/2))/(LN(2)/2)*V92*Y92*VLOOKUP('Données projet'!$B$9,Paramètres!$A$1:$I$89,3,0)*0.475*44/12</f>
        <v>0.10427825833146828</v>
      </c>
      <c r="AC92" s="22">
        <f t="shared" si="57"/>
        <v>203.81747814985039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9.1730000000000018</v>
      </c>
      <c r="AI92" s="13">
        <f>IF('Données projet'!$A$62&gt;35,AI91+AH92-AQ91,IF(A92&lt;'Données projet'!$A$62,$AF$205^A92,IF(A92='Données projet'!$A$62,'Données projet'!$B$62,AI91+AH92-AQ91)))</f>
        <v>334.2650000000005</v>
      </c>
      <c r="AJ92" s="13">
        <f>AI92*VLOOKUP('Données projet'!$B$10,Paramètres!$A$1:$I$89,3,0)*VLOOKUP('Données projet'!$B$10,Paramètres!$A$1:$I$89,5,0)</f>
        <v>302.44297200000045</v>
      </c>
      <c r="AK92" s="13">
        <f t="shared" si="89"/>
        <v>71.688362252626035</v>
      </c>
      <c r="AL92" s="20">
        <f t="shared" si="58"/>
        <v>651.61207382332452</v>
      </c>
      <c r="AM92" s="59">
        <f t="shared" si="59"/>
        <v>944.94540715665789</v>
      </c>
      <c r="AN92" s="59">
        <f ca="1">AVERAGE(OFFSET($AM$3,0,0,'Données projet'!$E$10+1,1))-AVERAGE(OFFSET($H$3,0,0,'Données projet'!$E$10+1,1))</f>
        <v>422.10969295064359</v>
      </c>
      <c r="AO92" s="59">
        <f t="shared" si="90"/>
        <v>184.04075143033037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19.959141603777088</v>
      </c>
      <c r="AV92" s="21">
        <f>EXP(-LN(2)/25)*AV91+(1-EXP(-LN(2)/25))/(LN(2)/25)*Calculateur!AQ92*Calculateur!AS92*VLOOKUP('Données projet'!$B$10,Paramètres!$A$1:$I$89,3,0)*0.475*44/12</f>
        <v>25.749603614757234</v>
      </c>
      <c r="AW92" s="21">
        <f>EXP(-LN(2)/2)*AW91+(1-EXP(-LN(2)/2))/(LN(2)/2)*AQ92*AT92*VLOOKUP('Données projet'!$B$10,Paramètres!$A$1:$I$89,3,0)*0.475*44/12</f>
        <v>1.0324309572969819</v>
      </c>
      <c r="AX92" s="21">
        <f t="shared" si="60"/>
        <v>46.741176175831299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-2.2737367544323206E-13</v>
      </c>
      <c r="BE92" s="13">
        <f>BD92*VLOOKUP('Données projet'!$B$11,Paramètres!$A$1:$I$89,3,0)*VLOOKUP('Données projet'!$B$11,Paramètres!$A$1:$I$89,5,0)</f>
        <v>-9.1631591203622526E-14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217.61052961346684</v>
      </c>
      <c r="BJ92" s="59">
        <f t="shared" si="92"/>
        <v>180.77145728128608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140.93157805425611</v>
      </c>
      <c r="BQ92" s="21">
        <f>EXP(-LN(2)/25)*BQ91+(1-EXP(-LN(2)/25))/(LN(2)/25)*Calculateur!BL92*Calculateur!BN92*VLOOKUP('Données projet'!$B$11,Paramètres!$A$1:$I$89,3,0)*0.475*44/12</f>
        <v>46.969537819805687</v>
      </c>
      <c r="BR92" s="21">
        <f>EXP(-LN(2)/2)*BR91+(1-EXP(-LN(2)/2))/(LN(2)/2)*BL92*BO92*VLOOKUP('Données projet'!$B$11,Paramètres!$A$1:$I$89,3,0)*0.475*44/12</f>
        <v>2.8896109595951693</v>
      </c>
      <c r="BS92" s="22">
        <f t="shared" si="63"/>
        <v>190.79072683365695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11.905555555555553</v>
      </c>
      <c r="BY92" s="12">
        <f>IF('Données projet'!$A$114&gt;35,BY91+BX92-CG91,IF(A92&lt;'Données projet'!$A$114,$BV$205^A92,IF(A92='Données projet'!$A$114,'Données projet'!$B$114,BY91+BX92-CG91)))</f>
        <v>441.12444444444429</v>
      </c>
      <c r="BZ92" s="13">
        <f>BY92*VLOOKUP('Données projet'!$B$12,Paramètres!$A$1:$I$89,3,0)*VLOOKUP('Données projet'!$B$12,Paramètres!$A$1:$I$89,5,0)</f>
        <v>371.60323199999993</v>
      </c>
      <c r="CA92" s="13">
        <f t="shared" si="93"/>
        <v>85.995216793877105</v>
      </c>
      <c r="CB92" s="20">
        <f t="shared" si="64"/>
        <v>796.98396498266914</v>
      </c>
      <c r="CC92" s="59">
        <f t="shared" si="65"/>
        <v>1090.3172983160025</v>
      </c>
      <c r="CD92" s="59">
        <f ca="1">AVERAGE(OFFSET($CC$3,0,0,'Données projet'!$E$12+1,1))-AVERAGE(OFFSET($H$3,0,0,'Données projet'!$E$12+1,1))</f>
        <v>287.72859857368331</v>
      </c>
      <c r="CE92" s="59">
        <f t="shared" si="94"/>
        <v>179.60736986885922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37.484119279069233</v>
      </c>
      <c r="CL92" s="21">
        <f>EXP(-LN(2)/25)*CL91+(1-EXP(-LN(2)/25))/(LN(2)/25)*Calculateur!CG92*Calculateur!CI92*VLOOKUP('Données projet'!$B$12,Paramètres!$A$1:$I$89,3,0)*0.475*44/12</f>
        <v>23.37140165453263</v>
      </c>
      <c r="CM92" s="21">
        <f>EXP(-LN(2)/2)*CM91+(1-EXP(-LN(2)/2))/(LN(2)/2)*CG92*CJ92*VLOOKUP('Données projet'!$B$12,Paramètres!$A$1:$I$89,3,0)*0.475*44/12</f>
        <v>1.571467332714243E-2</v>
      </c>
      <c r="CN92" s="22">
        <f t="shared" si="66"/>
        <v>60.871235606929005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243.33915530322201</v>
      </c>
      <c r="CZ92" s="59">
        <f t="shared" si="96"/>
        <v>247.73814704672577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43.49566827102867</v>
      </c>
      <c r="DG92" s="21">
        <f>EXP(-LN(2)/25)*DG91+(1-EXP(-LN(2)/25))/(LN(2)/25)*Calculateur!DB92*Calculateur!DD92*VLOOKUP('Données projet'!$B$13,Paramètres!$A$1:$I$89,3,0)*0.475*44/12</f>
        <v>39.98964563616547</v>
      </c>
      <c r="DH92" s="21">
        <f>EXP(-LN(2)/2)*DH91+(1-EXP(-LN(2)/2))/(LN(2)/2)*DB92*DE92*VLOOKUP('Données projet'!$B$13,Paramètres!$A$1:$I$89,3,0)*0.475*44/12</f>
        <v>2.7586587196409789</v>
      </c>
      <c r="DI92" s="22">
        <f t="shared" si="69"/>
        <v>86.243972626835117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5.6843418860808015E-13</v>
      </c>
      <c r="O93" s="13">
        <f>N93*VLOOKUP('Données projet'!$B$9,Paramètres!$A$1:$I$89,3,0)*VLOOKUP('Données projet'!$B$9,Paramètres!$A$1:$I$89,5,0)</f>
        <v>3.177547114319168E-13</v>
      </c>
      <c r="P93" s="13">
        <f t="shared" si="87"/>
        <v>4.1725404435445377E-12</v>
      </c>
      <c r="Q93" s="20">
        <f t="shared" si="54"/>
        <v>7.820597394917325E-12</v>
      </c>
      <c r="R93" s="59">
        <f t="shared" si="55"/>
        <v>293.33333333334116</v>
      </c>
      <c r="S93" s="59">
        <f ca="1">AVERAGE(OFFSET($R$3,0,0,'Données projet'!$E$9+1,1))-AVERAGE(OFFSET($H$3,0,0,'Données projet'!$E$9+1,1))</f>
        <v>287.413090017863</v>
      </c>
      <c r="T93" s="59">
        <f t="shared" si="88"/>
        <v>258.48456031927117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155.28237182687161</v>
      </c>
      <c r="AA93" s="21">
        <f>EXP(-LN(2)/25)*AA92+(1-EXP(-LN(2)/25))/(LN(2)/25)*Calculateur!V93*Calculateur!X93*VLOOKUP('Données projet'!$B$9,Paramètres!$A$1:$I$89,3,0)*0.475*44/12</f>
        <v>44.085518099477191</v>
      </c>
      <c r="AB93" s="21">
        <f>EXP(-LN(2)/2)*AB92+(1-EXP(-LN(2)/2))/(LN(2)/2)*V93*Y93*VLOOKUP('Données projet'!$B$9,Paramètres!$A$1:$I$89,3,0)*0.475*44/12</f>
        <v>7.3735863596503817E-2</v>
      </c>
      <c r="AC93" s="22">
        <f t="shared" si="57"/>
        <v>199.44162578994531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9.1730000000000018</v>
      </c>
      <c r="AI93" s="13">
        <f>IF('Données projet'!$A$62&gt;35,AI92+AH93-AQ92,IF(A93&lt;'Données projet'!$A$62,$AF$205^A93,IF(A93='Données projet'!$A$62,'Données projet'!$B$62,AI92+AH93-AQ92)))</f>
        <v>343.4380000000005</v>
      </c>
      <c r="AJ93" s="13">
        <f>AI93*VLOOKUP('Données projet'!$B$10,Paramètres!$A$1:$I$89,3,0)*VLOOKUP('Données projet'!$B$10,Paramètres!$A$1:$I$89,5,0)</f>
        <v>310.74270240000044</v>
      </c>
      <c r="AK93" s="13">
        <f t="shared" si="89"/>
        <v>73.423914385133031</v>
      </c>
      <c r="AL93" s="20">
        <f t="shared" si="58"/>
        <v>669.09019090077402</v>
      </c>
      <c r="AM93" s="59">
        <f t="shared" si="59"/>
        <v>962.42352423410739</v>
      </c>
      <c r="AN93" s="59">
        <f ca="1">AVERAGE(OFFSET($AM$3,0,0,'Données projet'!$E$10+1,1))-AVERAGE(OFFSET($H$3,0,0,'Données projet'!$E$10+1,1))</f>
        <v>422.10969295064359</v>
      </c>
      <c r="AO93" s="59">
        <f t="shared" si="90"/>
        <v>184.04075143033037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19.567755010801328</v>
      </c>
      <c r="AV93" s="21">
        <f>EXP(-LN(2)/25)*AV92+(1-EXP(-LN(2)/25))/(LN(2)/25)*Calculateur!AQ93*Calculateur!AS93*VLOOKUP('Données projet'!$B$10,Paramètres!$A$1:$I$89,3,0)*0.475*44/12</f>
        <v>25.045479349798896</v>
      </c>
      <c r="AW93" s="21">
        <f>EXP(-LN(2)/2)*AW92+(1-EXP(-LN(2)/2))/(LN(2)/2)*AQ93*AT93*VLOOKUP('Données projet'!$B$10,Paramètres!$A$1:$I$89,3,0)*0.475*44/12</f>
        <v>0.73003893101161477</v>
      </c>
      <c r="AX93" s="21">
        <f t="shared" si="60"/>
        <v>45.343273291611837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-2.2737367544323206E-13</v>
      </c>
      <c r="BE93" s="13">
        <f>BD93*VLOOKUP('Données projet'!$B$11,Paramètres!$A$1:$I$89,3,0)*VLOOKUP('Données projet'!$B$11,Paramètres!$A$1:$I$89,5,0)</f>
        <v>-9.1631591203622526E-14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217.61052961346684</v>
      </c>
      <c r="BJ93" s="59">
        <f t="shared" si="92"/>
        <v>180.77145728128608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138.16799576838693</v>
      </c>
      <c r="BQ93" s="21">
        <f>EXP(-LN(2)/25)*BQ92+(1-EXP(-LN(2)/25))/(LN(2)/25)*Calculateur!BL93*Calculateur!BN93*VLOOKUP('Données projet'!$B$11,Paramètres!$A$1:$I$89,3,0)*0.475*44/12</f>
        <v>45.685153338102459</v>
      </c>
      <c r="BR93" s="21">
        <f>EXP(-LN(2)/2)*BR92+(1-EXP(-LN(2)/2))/(LN(2)/2)*BL93*BO93*VLOOKUP('Données projet'!$B$11,Paramètres!$A$1:$I$89,3,0)*0.475*44/12</f>
        <v>2.043263504520711</v>
      </c>
      <c r="BS93" s="22">
        <f t="shared" si="63"/>
        <v>185.89641261101011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453.03</v>
      </c>
      <c r="BW93" s="12">
        <f>VLOOKUP(A93,'Données projet'!$A$113:$I$133,9,0)</f>
        <v>11.905555555555553</v>
      </c>
      <c r="BX93" s="12">
        <f t="array" ref="BX93">INDEX(BW:BW,MIN(IF(ISNUMBER(BW93:BW289),ROW(BW93:BW289),"")))</f>
        <v>11.905555555555553</v>
      </c>
      <c r="BY93" s="12">
        <f>IF('Données projet'!$A$114&gt;35,BY92+BX93-CG92,IF(A93&lt;'Données projet'!$A$114,$BV$205^A93,IF(A93='Données projet'!$A$114,'Données projet'!$B$114,BY92+BX93-CG92)))</f>
        <v>453.02999999999986</v>
      </c>
      <c r="BZ93" s="13">
        <f>BY93*VLOOKUP('Données projet'!$B$12,Paramètres!$A$1:$I$89,3,0)*VLOOKUP('Données projet'!$B$12,Paramètres!$A$1:$I$89,5,0)</f>
        <v>381.63247199999995</v>
      </c>
      <c r="CA93" s="13">
        <f t="shared" si="93"/>
        <v>88.042804903030387</v>
      </c>
      <c r="CB93" s="20">
        <f t="shared" si="64"/>
        <v>818.01777393944451</v>
      </c>
      <c r="CC93" s="59">
        <f t="shared" si="65"/>
        <v>1111.3511072727779</v>
      </c>
      <c r="CD93" s="59">
        <f ca="1">AVERAGE(OFFSET($CC$3,0,0,'Données projet'!$E$12+1,1))-AVERAGE(OFFSET($H$3,0,0,'Données projet'!$E$12+1,1))</f>
        <v>287.72859857368331</v>
      </c>
      <c r="CE93" s="59">
        <f t="shared" si="94"/>
        <v>179.60736986885922</v>
      </c>
      <c r="CF93" s="15">
        <f>IF(ISNA(VLOOKUP(A93,'Données projet'!$A$113:$I$133,3,0)),0,VLOOKUP(A93,'Données projet'!$A$113:$I$133,3,0))</f>
        <v>9</v>
      </c>
      <c r="CG93" s="15">
        <f>IF(ISNA(VLOOKUP(A93,'Données projet'!$A$113:$I$133,4,0)),0,VLOOKUP(A93,'Données projet'!$A$113:$I$133,4,0))</f>
        <v>88.75</v>
      </c>
      <c r="CH93" s="16">
        <f>IF(ISNA(VLOOKUP(A93,'Données projet'!$A$113:$I$133,5,0)),0%,VLOOKUP(A93,'Données projet'!$A$113:$I$133,5,0)*VLOOKUP('Données projet'!$B$12,Paramètres!$A$1:$I$89,7,0))</f>
        <v>0.215</v>
      </c>
      <c r="CI93" s="16">
        <f>IF(ISNA(VLOOKUP(A93,'Données projet'!$A$113:$I$133,6,0)),0%,VLOOKUP(A93,'Données projet'!$A$113:$I$133,6,0)*VLOOKUP('Données projet'!$B$12,Paramètres!$A$1:$I$89,7,0))</f>
        <v>8.6000000000000007E-2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54.518459189841622</v>
      </c>
      <c r="CL93" s="21">
        <f>EXP(-LN(2)/25)*CL92+(1-EXP(-LN(2)/25))/(LN(2)/25)*Calculateur!CG93*Calculateur!CI93*VLOOKUP('Données projet'!$B$12,Paramètres!$A$1:$I$89,3,0)*0.475*44/12</f>
        <v>29.812075769075744</v>
      </c>
      <c r="CM93" s="21">
        <f>EXP(-LN(2)/2)*CM92+(1-EXP(-LN(2)/2))/(LN(2)/2)*CG93*CJ93*VLOOKUP('Données projet'!$B$12,Paramètres!$A$1:$I$89,3,0)*0.475*44/12</f>
        <v>1.1111952073753777E-2</v>
      </c>
      <c r="CN93" s="22">
        <f t="shared" si="66"/>
        <v>84.341646910991116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243.33915530322201</v>
      </c>
      <c r="CZ93" s="59">
        <f t="shared" si="96"/>
        <v>247.73814704672577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42.642744745971846</v>
      </c>
      <c r="DG93" s="21">
        <f>EXP(-LN(2)/25)*DG92+(1-EXP(-LN(2)/25))/(LN(2)/25)*Calculateur!DB93*Calculateur!DD93*VLOOKUP('Données projet'!$B$13,Paramètres!$A$1:$I$89,3,0)*0.475*44/12</f>
        <v>38.896126673280456</v>
      </c>
      <c r="DH93" s="21">
        <f>EXP(-LN(2)/2)*DH92+(1-EXP(-LN(2)/2))/(LN(2)/2)*DB93*DE93*VLOOKUP('Données projet'!$B$13,Paramètres!$A$1:$I$89,3,0)*0.475*44/12</f>
        <v>1.9506662876375351</v>
      </c>
      <c r="DI93" s="22">
        <f t="shared" si="69"/>
        <v>83.489537706889834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5.6843418860808015E-13</v>
      </c>
      <c r="O94" s="13">
        <f>N94*VLOOKUP('Données projet'!$B$9,Paramètres!$A$1:$I$89,3,0)*VLOOKUP('Données projet'!$B$9,Paramètres!$A$1:$I$89,5,0)</f>
        <v>3.177547114319168E-13</v>
      </c>
      <c r="P94" s="13">
        <f t="shared" si="87"/>
        <v>4.1725404435445377E-12</v>
      </c>
      <c r="Q94" s="20">
        <f t="shared" si="54"/>
        <v>7.820597394917325E-12</v>
      </c>
      <c r="R94" s="59">
        <f t="shared" si="55"/>
        <v>293.33333333334116</v>
      </c>
      <c r="S94" s="59">
        <f ca="1">AVERAGE(OFFSET($R$3,0,0,'Données projet'!$E$9+1,1))-AVERAGE(OFFSET($H$3,0,0,'Données projet'!$E$9+1,1))</f>
        <v>287.413090017863</v>
      </c>
      <c r="T94" s="59">
        <f t="shared" si="88"/>
        <v>258.48456031927117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152.23737922824134</v>
      </c>
      <c r="AA94" s="21">
        <f>EXP(-LN(2)/25)*AA93+(1-EXP(-LN(2)/25))/(LN(2)/25)*Calculateur!V94*Calculateur!X94*VLOOKUP('Données projet'!$B$9,Paramètres!$A$1:$I$89,3,0)*0.475*44/12</f>
        <v>42.879997288690348</v>
      </c>
      <c r="AB94" s="21">
        <f>EXP(-LN(2)/2)*AB93+(1-EXP(-LN(2)/2))/(LN(2)/2)*V94*Y94*VLOOKUP('Données projet'!$B$9,Paramètres!$A$1:$I$89,3,0)*0.475*44/12</f>
        <v>5.2139129165734141E-2</v>
      </c>
      <c r="AC94" s="22">
        <f t="shared" si="57"/>
        <v>195.16951564609744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9.1730000000000018</v>
      </c>
      <c r="AI94" s="13">
        <f>IF('Données projet'!$A$62&gt;35,AI93+AH94-AQ93,IF(A94&lt;'Données projet'!$A$62,$AF$205^A94,IF(A94='Données projet'!$A$62,'Données projet'!$B$62,AI93+AH94-AQ93)))</f>
        <v>352.6110000000005</v>
      </c>
      <c r="AJ94" s="13">
        <f>AI94*VLOOKUP('Données projet'!$B$10,Paramètres!$A$1:$I$89,3,0)*VLOOKUP('Données projet'!$B$10,Paramètres!$A$1:$I$89,5,0)</f>
        <v>319.04243280000043</v>
      </c>
      <c r="AK94" s="13">
        <f t="shared" si="89"/>
        <v>75.154078446360543</v>
      </c>
      <c r="AL94" s="20">
        <f t="shared" si="58"/>
        <v>686.55892375407859</v>
      </c>
      <c r="AM94" s="59">
        <f t="shared" si="59"/>
        <v>979.89225708741196</v>
      </c>
      <c r="AN94" s="59">
        <f ca="1">AVERAGE(OFFSET($AM$3,0,0,'Données projet'!$E$10+1,1))-AVERAGE(OFFSET($H$3,0,0,'Données projet'!$E$10+1,1))</f>
        <v>422.10969295064359</v>
      </c>
      <c r="AO94" s="59">
        <f t="shared" si="90"/>
        <v>184.04075143033037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19.184043270191573</v>
      </c>
      <c r="AV94" s="21">
        <f>EXP(-LN(2)/25)*AV93+(1-EXP(-LN(2)/25))/(LN(2)/25)*Calculateur!AQ94*Calculateur!AS94*VLOOKUP('Données projet'!$B$10,Paramètres!$A$1:$I$89,3,0)*0.475*44/12</f>
        <v>24.360609399894127</v>
      </c>
      <c r="AW94" s="21">
        <f>EXP(-LN(2)/2)*AW93+(1-EXP(-LN(2)/2))/(LN(2)/2)*AQ94*AT94*VLOOKUP('Données projet'!$B$10,Paramètres!$A$1:$I$89,3,0)*0.475*44/12</f>
        <v>0.51621547864849093</v>
      </c>
      <c r="AX94" s="21">
        <f t="shared" si="60"/>
        <v>44.060868148734187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-2.2737367544323206E-13</v>
      </c>
      <c r="BE94" s="13">
        <f>BD94*VLOOKUP('Données projet'!$B$11,Paramètres!$A$1:$I$89,3,0)*VLOOKUP('Données projet'!$B$11,Paramètres!$A$1:$I$89,5,0)</f>
        <v>-9.1631591203622526E-14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217.61052961346684</v>
      </c>
      <c r="BJ94" s="59">
        <f t="shared" si="92"/>
        <v>180.77145728128608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135.4586056455249</v>
      </c>
      <c r="BQ94" s="21">
        <f>EXP(-LN(2)/25)*BQ93+(1-EXP(-LN(2)/25))/(LN(2)/25)*Calculateur!BL94*Calculateur!BN94*VLOOKUP('Données projet'!$B$11,Paramètres!$A$1:$I$89,3,0)*0.475*44/12</f>
        <v>44.435890417594251</v>
      </c>
      <c r="BR94" s="21">
        <f>EXP(-LN(2)/2)*BR93+(1-EXP(-LN(2)/2))/(LN(2)/2)*BL94*BO94*VLOOKUP('Données projet'!$B$11,Paramètres!$A$1:$I$89,3,0)*0.475*44/12</f>
        <v>1.4448054797975847</v>
      </c>
      <c r="BS94" s="22">
        <f t="shared" si="63"/>
        <v>181.33930154291676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11.216666666666672</v>
      </c>
      <c r="BY94" s="12">
        <f>IF('Données projet'!$A$114&gt;35,BY93+BX94-CG93,IF(A94&lt;'Données projet'!$A$114,$BV$205^A94,IF(A94='Données projet'!$A$114,'Données projet'!$B$114,BY93+BX94-CG93)))</f>
        <v>375.49666666666656</v>
      </c>
      <c r="BZ94" s="13">
        <f>BY94*VLOOKUP('Données projet'!$B$12,Paramètres!$A$1:$I$89,3,0)*VLOOKUP('Données projet'!$B$12,Paramètres!$A$1:$I$89,5,0)</f>
        <v>316.31839199999996</v>
      </c>
      <c r="CA94" s="13">
        <f t="shared" si="93"/>
        <v>74.586808381726854</v>
      </c>
      <c r="CB94" s="20">
        <f t="shared" si="64"/>
        <v>680.82655733150739</v>
      </c>
      <c r="CC94" s="59">
        <f t="shared" si="65"/>
        <v>974.15989066484076</v>
      </c>
      <c r="CD94" s="59">
        <f ca="1">AVERAGE(OFFSET($CC$3,0,0,'Données projet'!$E$12+1,1))-AVERAGE(OFFSET($H$3,0,0,'Données projet'!$E$12+1,1))</f>
        <v>287.72859857368331</v>
      </c>
      <c r="CE94" s="59">
        <f t="shared" si="94"/>
        <v>179.60736986885922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53.449385458105475</v>
      </c>
      <c r="CL94" s="21">
        <f>EXP(-LN(2)/25)*CL93+(1-EXP(-LN(2)/25))/(LN(2)/25)*Calculateur!CG94*Calculateur!CI94*VLOOKUP('Données projet'!$B$12,Paramètres!$A$1:$I$89,3,0)*0.475*44/12</f>
        <v>28.996862989421441</v>
      </c>
      <c r="CM94" s="21">
        <f>EXP(-LN(2)/2)*CM93+(1-EXP(-LN(2)/2))/(LN(2)/2)*CG94*CJ94*VLOOKUP('Données projet'!$B$12,Paramètres!$A$1:$I$89,3,0)*0.475*44/12</f>
        <v>7.8573366635712148E-3</v>
      </c>
      <c r="CN94" s="22">
        <f t="shared" si="66"/>
        <v>82.454105784190489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243.33915530322201</v>
      </c>
      <c r="CZ94" s="59">
        <f t="shared" si="96"/>
        <v>247.73814704672577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41.80654653100941</v>
      </c>
      <c r="DG94" s="21">
        <f>EXP(-LN(2)/25)*DG93+(1-EXP(-LN(2)/25))/(LN(2)/25)*Calculateur!DB94*Calculateur!DD94*VLOOKUP('Données projet'!$B$13,Paramètres!$A$1:$I$89,3,0)*0.475*44/12</f>
        <v>37.832510043941198</v>
      </c>
      <c r="DH94" s="21">
        <f>EXP(-LN(2)/2)*DH93+(1-EXP(-LN(2)/2))/(LN(2)/2)*DB94*DE94*VLOOKUP('Données projet'!$B$13,Paramètres!$A$1:$I$89,3,0)*0.475*44/12</f>
        <v>1.3793293598204897</v>
      </c>
      <c r="DI94" s="22">
        <f t="shared" si="69"/>
        <v>81.018385934771104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5.6843418860808015E-13</v>
      </c>
      <c r="O95" s="13">
        <f>N95*VLOOKUP('Données projet'!$B$9,Paramètres!$A$1:$I$89,3,0)*VLOOKUP('Données projet'!$B$9,Paramètres!$A$1:$I$89,5,0)</f>
        <v>3.177547114319168E-13</v>
      </c>
      <c r="P95" s="13">
        <f t="shared" si="87"/>
        <v>4.1725404435445377E-12</v>
      </c>
      <c r="Q95" s="20">
        <f t="shared" si="54"/>
        <v>7.820597394917325E-12</v>
      </c>
      <c r="R95" s="59">
        <f t="shared" si="55"/>
        <v>293.33333333334116</v>
      </c>
      <c r="S95" s="59">
        <f ca="1">AVERAGE(OFFSET($R$3,0,0,'Données projet'!$E$9+1,1))-AVERAGE(OFFSET($H$3,0,0,'Données projet'!$E$9+1,1))</f>
        <v>287.413090017863</v>
      </c>
      <c r="T95" s="59">
        <f t="shared" si="88"/>
        <v>258.48456031927117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149.25209707720813</v>
      </c>
      <c r="AA95" s="21">
        <f>EXP(-LN(2)/25)*AA94+(1-EXP(-LN(2)/25))/(LN(2)/25)*Calculateur!V95*Calculateur!X95*VLOOKUP('Données projet'!$B$9,Paramètres!$A$1:$I$89,3,0)*0.475*44/12</f>
        <v>41.707441507870058</v>
      </c>
      <c r="AB95" s="21">
        <f>EXP(-LN(2)/2)*AB94+(1-EXP(-LN(2)/2))/(LN(2)/2)*V95*Y95*VLOOKUP('Données projet'!$B$9,Paramètres!$A$1:$I$89,3,0)*0.475*44/12</f>
        <v>3.6867931798251909E-2</v>
      </c>
      <c r="AC95" s="22">
        <f t="shared" si="57"/>
        <v>190.99640651687642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9.1730000000000018</v>
      </c>
      <c r="AI95" s="13">
        <f>IF('Données projet'!$A$62&gt;35,AI94+AH95-AQ94,IF(A95&lt;'Données projet'!$A$62,$AF$205^A95,IF(A95='Données projet'!$A$62,'Données projet'!$B$62,AI94+AH95-AQ94)))</f>
        <v>361.7840000000005</v>
      </c>
      <c r="AJ95" s="13">
        <f>AI95*VLOOKUP('Données projet'!$B$10,Paramètres!$A$1:$I$89,3,0)*VLOOKUP('Données projet'!$B$10,Paramètres!$A$1:$I$89,5,0)</f>
        <v>327.34216320000047</v>
      </c>
      <c r="AK95" s="13">
        <f t="shared" si="89"/>
        <v>76.87901071885527</v>
      </c>
      <c r="AL95" s="20">
        <f t="shared" si="58"/>
        <v>704.01854457534034</v>
      </c>
      <c r="AM95" s="59">
        <f t="shared" si="59"/>
        <v>997.35187790867371</v>
      </c>
      <c r="AN95" s="59">
        <f ca="1">AVERAGE(OFFSET($AM$3,0,0,'Données projet'!$E$10+1,1))-AVERAGE(OFFSET($H$3,0,0,'Données projet'!$E$10+1,1))</f>
        <v>422.10969295064359</v>
      </c>
      <c r="AO95" s="59">
        <f t="shared" si="90"/>
        <v>184.04075143033037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18.807855882774124</v>
      </c>
      <c r="AV95" s="21">
        <f>EXP(-LN(2)/25)*AV94+(1-EXP(-LN(2)/25))/(LN(2)/25)*Calculateur!AQ95*Calculateur!AS95*VLOOKUP('Données projet'!$B$10,Paramètres!$A$1:$I$89,3,0)*0.475*44/12</f>
        <v>23.694467254785252</v>
      </c>
      <c r="AW95" s="21">
        <f>EXP(-LN(2)/2)*AW94+(1-EXP(-LN(2)/2))/(LN(2)/2)*AQ95*AT95*VLOOKUP('Données projet'!$B$10,Paramètres!$A$1:$I$89,3,0)*0.475*44/12</f>
        <v>0.36501946550580738</v>
      </c>
      <c r="AX95" s="21">
        <f t="shared" si="60"/>
        <v>42.867342603065183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-2.2737367544323206E-13</v>
      </c>
      <c r="BE95" s="13">
        <f>BD95*VLOOKUP('Données projet'!$B$11,Paramètres!$A$1:$I$89,3,0)*VLOOKUP('Données projet'!$B$11,Paramètres!$A$1:$I$89,5,0)</f>
        <v>-9.1631591203622526E-14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217.61052961346684</v>
      </c>
      <c r="BJ95" s="59">
        <f t="shared" si="92"/>
        <v>180.77145728128608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132.80234501040741</v>
      </c>
      <c r="BQ95" s="21">
        <f>EXP(-LN(2)/25)*BQ94+(1-EXP(-LN(2)/25))/(LN(2)/25)*Calculateur!BL95*Calculateur!BN95*VLOOKUP('Données projet'!$B$11,Paramètres!$A$1:$I$89,3,0)*0.475*44/12</f>
        <v>43.220788657343221</v>
      </c>
      <c r="BR95" s="21">
        <f>EXP(-LN(2)/2)*BR94+(1-EXP(-LN(2)/2))/(LN(2)/2)*BL95*BO95*VLOOKUP('Données projet'!$B$11,Paramètres!$A$1:$I$89,3,0)*0.475*44/12</f>
        <v>1.0216317522603555</v>
      </c>
      <c r="BS95" s="22">
        <f t="shared" si="63"/>
        <v>177.044765420011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11.216666666666672</v>
      </c>
      <c r="BY95" s="12">
        <f>IF('Données projet'!$A$114&gt;35,BY94+BX95-CG94,IF(A95&lt;'Données projet'!$A$114,$BV$205^A95,IF(A95='Données projet'!$A$114,'Données projet'!$B$114,BY94+BX95-CG94)))</f>
        <v>386.71333333333325</v>
      </c>
      <c r="BZ95" s="13">
        <f>BY95*VLOOKUP('Données projet'!$B$12,Paramètres!$A$1:$I$89,3,0)*VLOOKUP('Données projet'!$B$12,Paramètres!$A$1:$I$89,5,0)</f>
        <v>325.76731199999995</v>
      </c>
      <c r="CA95" s="13">
        <f t="shared" si="93"/>
        <v>76.552104731116984</v>
      </c>
      <c r="CB95" s="20">
        <f t="shared" si="64"/>
        <v>700.70631747336199</v>
      </c>
      <c r="CC95" s="59">
        <f t="shared" si="65"/>
        <v>994.03965080669536</v>
      </c>
      <c r="CD95" s="59">
        <f ca="1">AVERAGE(OFFSET($CC$3,0,0,'Données projet'!$E$12+1,1))-AVERAGE(OFFSET($H$3,0,0,'Données projet'!$E$12+1,1))</f>
        <v>287.72859857368331</v>
      </c>
      <c r="CE95" s="59">
        <f t="shared" si="94"/>
        <v>179.60736986885922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52.401275610178082</v>
      </c>
      <c r="CL95" s="21">
        <f>EXP(-LN(2)/25)*CL94+(1-EXP(-LN(2)/25))/(LN(2)/25)*Calculateur!CG95*Calculateur!CI95*VLOOKUP('Données projet'!$B$12,Paramètres!$A$1:$I$89,3,0)*0.475*44/12</f>
        <v>28.203942246096961</v>
      </c>
      <c r="CM95" s="21">
        <f>EXP(-LN(2)/2)*CM94+(1-EXP(-LN(2)/2))/(LN(2)/2)*CG95*CJ95*VLOOKUP('Données projet'!$B$12,Paramètres!$A$1:$I$89,3,0)*0.475*44/12</f>
        <v>5.5559760368768885E-3</v>
      </c>
      <c r="CN95" s="22">
        <f t="shared" si="66"/>
        <v>80.610773832311921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243.33915530322201</v>
      </c>
      <c r="CZ95" s="59">
        <f t="shared" si="96"/>
        <v>247.73814704672577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40.986745653011837</v>
      </c>
      <c r="DG95" s="21">
        <f>EXP(-LN(2)/25)*DG94+(1-EXP(-LN(2)/25))/(LN(2)/25)*Calculateur!DB95*Calculateur!DD95*VLOOKUP('Données projet'!$B$13,Paramètres!$A$1:$I$89,3,0)*0.475*44/12</f>
        <v>36.797978067264388</v>
      </c>
      <c r="DH95" s="21">
        <f>EXP(-LN(2)/2)*DH94+(1-EXP(-LN(2)/2))/(LN(2)/2)*DB95*DE95*VLOOKUP('Données projet'!$B$13,Paramètres!$A$1:$I$89,3,0)*0.475*44/12</f>
        <v>0.97533314381876768</v>
      </c>
      <c r="DI95" s="22">
        <f t="shared" si="69"/>
        <v>78.760056864094992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5.6843418860808015E-13</v>
      </c>
      <c r="O96" s="13">
        <f>N96*VLOOKUP('Données projet'!$B$9,Paramètres!$A$1:$I$89,3,0)*VLOOKUP('Données projet'!$B$9,Paramètres!$A$1:$I$89,5,0)</f>
        <v>3.177547114319168E-13</v>
      </c>
      <c r="P96" s="13">
        <f t="shared" si="87"/>
        <v>4.1725404435445377E-12</v>
      </c>
      <c r="Q96" s="20">
        <f t="shared" si="54"/>
        <v>7.820597394917325E-12</v>
      </c>
      <c r="R96" s="59">
        <f t="shared" si="55"/>
        <v>293.33333333334116</v>
      </c>
      <c r="S96" s="59">
        <f ca="1">AVERAGE(OFFSET($R$3,0,0,'Données projet'!$E$9+1,1))-AVERAGE(OFFSET($H$3,0,0,'Données projet'!$E$9+1,1))</f>
        <v>287.413090017863</v>
      </c>
      <c r="T96" s="59">
        <f t="shared" si="88"/>
        <v>258.48456031927117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146.32535448831436</v>
      </c>
      <c r="AA96" s="21">
        <f>EXP(-LN(2)/25)*AA95+(1-EXP(-LN(2)/25))/(LN(2)/25)*Calculateur!V96*Calculateur!X96*VLOOKUP('Données projet'!$B$9,Paramètres!$A$1:$I$89,3,0)*0.475*44/12</f>
        <v>40.566949326538328</v>
      </c>
      <c r="AB96" s="21">
        <f>EXP(-LN(2)/2)*AB95+(1-EXP(-LN(2)/2))/(LN(2)/2)*V96*Y96*VLOOKUP('Données projet'!$B$9,Paramètres!$A$1:$I$89,3,0)*0.475*44/12</f>
        <v>2.6069564582867071E-2</v>
      </c>
      <c r="AC96" s="22">
        <f t="shared" si="57"/>
        <v>186.91837337943554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9.1730000000000018</v>
      </c>
      <c r="AI96" s="13">
        <f>IF('Données projet'!$A$62&gt;35,AI95+AH96-AQ95,IF(A96&lt;'Données projet'!$A$62,$AF$205^A96,IF(A96='Données projet'!$A$62,'Données projet'!$B$62,AI95+AH96-AQ95)))</f>
        <v>370.95700000000051</v>
      </c>
      <c r="AJ96" s="13">
        <f>AI96*VLOOKUP('Données projet'!$B$10,Paramètres!$A$1:$I$89,3,0)*VLOOKUP('Données projet'!$B$10,Paramètres!$A$1:$I$89,5,0)</f>
        <v>335.64189360000046</v>
      </c>
      <c r="AK96" s="13">
        <f t="shared" si="89"/>
        <v>78.598859108522404</v>
      </c>
      <c r="AL96" s="20">
        <f t="shared" si="58"/>
        <v>721.46931096734397</v>
      </c>
      <c r="AM96" s="59">
        <f t="shared" si="59"/>
        <v>1014.8026443006772</v>
      </c>
      <c r="AN96" s="59">
        <f ca="1">AVERAGE(OFFSET($AM$3,0,0,'Données projet'!$E$10+1,1))-AVERAGE(OFFSET($H$3,0,0,'Données projet'!$E$10+1,1))</f>
        <v>422.10969295064359</v>
      </c>
      <c r="AO96" s="59">
        <f t="shared" si="90"/>
        <v>184.04075143033037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18.439045300572278</v>
      </c>
      <c r="AV96" s="21">
        <f>EXP(-LN(2)/25)*AV95+(1-EXP(-LN(2)/25))/(LN(2)/25)*Calculateur!AQ96*Calculateur!AS96*VLOOKUP('Données projet'!$B$10,Paramètres!$A$1:$I$89,3,0)*0.475*44/12</f>
        <v>23.04654080166527</v>
      </c>
      <c r="AW96" s="21">
        <f>EXP(-LN(2)/2)*AW95+(1-EXP(-LN(2)/2))/(LN(2)/2)*AQ96*AT96*VLOOKUP('Données projet'!$B$10,Paramètres!$A$1:$I$89,3,0)*0.475*44/12</f>
        <v>0.25810773932424547</v>
      </c>
      <c r="AX96" s="21">
        <f t="shared" si="60"/>
        <v>41.743693841561793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-2.2737367544323206E-13</v>
      </c>
      <c r="BE96" s="13">
        <f>BD96*VLOOKUP('Données projet'!$B$11,Paramètres!$A$1:$I$89,3,0)*VLOOKUP('Données projet'!$B$11,Paramètres!$A$1:$I$89,5,0)</f>
        <v>-9.1631591203622526E-14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217.61052961346684</v>
      </c>
      <c r="BJ96" s="59">
        <f t="shared" si="92"/>
        <v>180.77145728128608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130.19817202618555</v>
      </c>
      <c r="BQ96" s="21">
        <f>EXP(-LN(2)/25)*BQ95+(1-EXP(-LN(2)/25))/(LN(2)/25)*Calculateur!BL96*Calculateur!BN96*VLOOKUP('Données projet'!$B$11,Paramètres!$A$1:$I$89,3,0)*0.475*44/12</f>
        <v>42.038913918625674</v>
      </c>
      <c r="BR96" s="21">
        <f>EXP(-LN(2)/2)*BR95+(1-EXP(-LN(2)/2))/(LN(2)/2)*BL96*BO96*VLOOKUP('Données projet'!$B$11,Paramètres!$A$1:$I$89,3,0)*0.475*44/12</f>
        <v>0.72240273989879233</v>
      </c>
      <c r="BS96" s="22">
        <f t="shared" si="63"/>
        <v>172.95948868471001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11.216666666666672</v>
      </c>
      <c r="BY96" s="12">
        <f>IF('Données projet'!$A$114&gt;35,BY95+BX96-CG95,IF(A96&lt;'Données projet'!$A$114,$BV$205^A96,IF(A96='Données projet'!$A$114,'Données projet'!$B$114,BY95+BX96-CG95)))</f>
        <v>397.92999999999995</v>
      </c>
      <c r="BZ96" s="13">
        <f>BY96*VLOOKUP('Données projet'!$B$12,Paramètres!$A$1:$I$89,3,0)*VLOOKUP('Données projet'!$B$12,Paramètres!$A$1:$I$89,5,0)</f>
        <v>335.21623199999999</v>
      </c>
      <c r="CA96" s="13">
        <f t="shared" si="93"/>
        <v>78.510776061655761</v>
      </c>
      <c r="CB96" s="20">
        <f t="shared" si="64"/>
        <v>720.57453904071701</v>
      </c>
      <c r="CC96" s="59">
        <f t="shared" si="65"/>
        <v>1013.9078723740504</v>
      </c>
      <c r="CD96" s="59">
        <f ca="1">AVERAGE(OFFSET($CC$3,0,0,'Données projet'!$E$12+1,1))-AVERAGE(OFFSET($H$3,0,0,'Données projet'!$E$12+1,1))</f>
        <v>287.72859857368331</v>
      </c>
      <c r="CE96" s="59">
        <f t="shared" si="94"/>
        <v>179.60736986885922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51.373718557084665</v>
      </c>
      <c r="CL96" s="21">
        <f>EXP(-LN(2)/25)*CL95+(1-EXP(-LN(2)/25))/(LN(2)/25)*Calculateur!CG96*Calculateur!CI96*VLOOKUP('Données projet'!$B$12,Paramètres!$A$1:$I$89,3,0)*0.475*44/12</f>
        <v>27.432703962196577</v>
      </c>
      <c r="CM96" s="21">
        <f>EXP(-LN(2)/2)*CM95+(1-EXP(-LN(2)/2))/(LN(2)/2)*CG96*CJ96*VLOOKUP('Données projet'!$B$12,Paramètres!$A$1:$I$89,3,0)*0.475*44/12</f>
        <v>3.9286683317856074E-3</v>
      </c>
      <c r="CN96" s="22">
        <f t="shared" si="66"/>
        <v>78.810351187613023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243.33915530322201</v>
      </c>
      <c r="CZ96" s="59">
        <f t="shared" si="96"/>
        <v>247.73814704672577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40.183020570202636</v>
      </c>
      <c r="DG96" s="21">
        <f>EXP(-LN(2)/25)*DG95+(1-EXP(-LN(2)/25))/(LN(2)/25)*Calculateur!DB96*Calculateur!DD96*VLOOKUP('Données projet'!$B$13,Paramètres!$A$1:$I$89,3,0)*0.475*44/12</f>
        <v>35.791735421893478</v>
      </c>
      <c r="DH96" s="21">
        <f>EXP(-LN(2)/2)*DH95+(1-EXP(-LN(2)/2))/(LN(2)/2)*DB96*DE96*VLOOKUP('Données projet'!$B$13,Paramètres!$A$1:$I$89,3,0)*0.475*44/12</f>
        <v>0.68966467991024494</v>
      </c>
      <c r="DI96" s="22">
        <f t="shared" si="69"/>
        <v>76.664420672006358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5.6843418860808015E-13</v>
      </c>
      <c r="O97" s="13">
        <f>N97*VLOOKUP('Données projet'!$B$9,Paramètres!$A$1:$I$89,3,0)*VLOOKUP('Données projet'!$B$9,Paramètres!$A$1:$I$89,5,0)</f>
        <v>3.177547114319168E-13</v>
      </c>
      <c r="P97" s="13">
        <f t="shared" si="87"/>
        <v>4.1725404435445377E-12</v>
      </c>
      <c r="Q97" s="20">
        <f t="shared" si="54"/>
        <v>7.820597394917325E-12</v>
      </c>
      <c r="R97" s="59">
        <f t="shared" si="55"/>
        <v>293.33333333334116</v>
      </c>
      <c r="S97" s="59">
        <f ca="1">AVERAGE(OFFSET($R$3,0,0,'Données projet'!$E$9+1,1))-AVERAGE(OFFSET($H$3,0,0,'Données projet'!$E$9+1,1))</f>
        <v>287.413090017863</v>
      </c>
      <c r="T97" s="59">
        <f t="shared" si="88"/>
        <v>258.48456031927117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143.45600353645207</v>
      </c>
      <c r="AA97" s="21">
        <f>EXP(-LN(2)/25)*AA96+(1-EXP(-LN(2)/25))/(LN(2)/25)*Calculateur!V97*Calculateur!X97*VLOOKUP('Données projet'!$B$9,Paramètres!$A$1:$I$89,3,0)*0.475*44/12</f>
        <v>39.45764396388099</v>
      </c>
      <c r="AB97" s="21">
        <f>EXP(-LN(2)/2)*AB96+(1-EXP(-LN(2)/2))/(LN(2)/2)*V97*Y97*VLOOKUP('Données projet'!$B$9,Paramètres!$A$1:$I$89,3,0)*0.475*44/12</f>
        <v>1.8433965899125954E-2</v>
      </c>
      <c r="AC97" s="22">
        <f t="shared" si="57"/>
        <v>182.93208146623221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9.1730000000000018</v>
      </c>
      <c r="AH97" s="12">
        <f t="array" ref="AH97">INDEX(AG:AG,MIN(IF(ISNUMBER(AG97:AG293),ROW(AG97:AG293),"")))</f>
        <v>9.1730000000000018</v>
      </c>
      <c r="AI97" s="13">
        <f>IF('Données projet'!$A$62&gt;35,AI96+AH97-AQ96,IF(A97&lt;'Données projet'!$A$62,$AF$205^A97,IF(A97='Données projet'!$A$62,'Données projet'!$B$62,AI96+AH97-AQ96)))</f>
        <v>380.13000000000051</v>
      </c>
      <c r="AJ97" s="13">
        <f>AI97*VLOOKUP('Données projet'!$B$10,Paramètres!$A$1:$I$89,3,0)*VLOOKUP('Données projet'!$B$10,Paramètres!$A$1:$I$89,5,0)</f>
        <v>343.94162400000044</v>
      </c>
      <c r="AK97" s="13">
        <f t="shared" si="89"/>
        <v>80.313763789484966</v>
      </c>
      <c r="AL97" s="20">
        <f t="shared" si="58"/>
        <v>738.91146706668712</v>
      </c>
      <c r="AM97" s="59">
        <f t="shared" si="59"/>
        <v>1032.2448004000205</v>
      </c>
      <c r="AN97" s="59">
        <f ca="1">AVERAGE(OFFSET($AM$3,0,0,'Données projet'!$E$10+1,1))-AVERAGE(OFFSET($H$3,0,0,'Données projet'!$E$10+1,1))</f>
        <v>422.10969295064359</v>
      </c>
      <c r="AO97" s="59">
        <f t="shared" si="90"/>
        <v>184.04075143033037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67.350000000000023</v>
      </c>
      <c r="AR97" s="16">
        <f>IF(ISNA(VLOOKUP(A97,'Données projet'!$A$61:$I$81,5,0)),0%,VLOOKUP(A97,'Données projet'!$A$61:$I$81,5,0)*VLOOKUP('Données projet'!$B$10,Paramètres!$A$1:$I$89,7,0))</f>
        <v>0.15049999999999999</v>
      </c>
      <c r="AS97" s="16">
        <f>IF(ISNA(VLOOKUP(A97,'Données projet'!$A$61:$I$81,6,0)),0%,VLOOKUP(A97,'Données projet'!$A$61:$I$81,6,0)*VLOOKUP('Données projet'!$B$10,Paramètres!$A$1:$I$89,7,0))</f>
        <v>8.6000000000000007E-2</v>
      </c>
      <c r="AT97" s="16">
        <f>IF(ISNA(VLOOKUP(A97,'Données projet'!$A$61:$I$81,7,0)),0%,VLOOKUP(A97,'Données projet'!$A$61:$I$81,7,0))</f>
        <v>0.1</v>
      </c>
      <c r="AU97" s="21">
        <f>EXP(-LN(2)/35)*AU96+(1-EXP(-LN(2)/35))/(LN(2)/35)*AQ97*AR97*VLOOKUP('Données projet'!$B$10,Paramètres!$A$1:$I$89,3,0)*0.475*44/12</f>
        <v>28.215969128647792</v>
      </c>
      <c r="AV97" s="21">
        <f>EXP(-LN(2)/25)*AV96+(1-EXP(-LN(2)/25))/(LN(2)/25)*Calculateur!AQ97*Calculateur!AS97*VLOOKUP('Données projet'!$B$10,Paramètres!$A$1:$I$89,3,0)*0.475*44/12</f>
        <v>28.18695085333249</v>
      </c>
      <c r="AW97" s="21">
        <f>EXP(-LN(2)/2)*AW96+(1-EXP(-LN(2)/2))/(LN(2)/2)*AQ97*AT97*VLOOKUP('Données projet'!$B$10,Paramètres!$A$1:$I$89,3,0)*0.475*44/12</f>
        <v>5.9322004637288286</v>
      </c>
      <c r="AX97" s="21">
        <f t="shared" si="60"/>
        <v>62.335120445709109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-2.2737367544323206E-13</v>
      </c>
      <c r="BE97" s="13">
        <f>BD97*VLOOKUP('Données projet'!$B$11,Paramètres!$A$1:$I$89,3,0)*VLOOKUP('Données projet'!$B$11,Paramètres!$A$1:$I$89,5,0)</f>
        <v>-9.1631591203622526E-14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217.61052961346684</v>
      </c>
      <c r="BJ97" s="59">
        <f t="shared" si="92"/>
        <v>180.77145728128608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127.6450652857956</v>
      </c>
      <c r="BQ97" s="21">
        <f>EXP(-LN(2)/25)*BQ96+(1-EXP(-LN(2)/25))/(LN(2)/25)*Calculateur!BL97*Calculateur!BN97*VLOOKUP('Données projet'!$B$11,Paramètres!$A$1:$I$89,3,0)*0.475*44/12</f>
        <v>40.889357606790455</v>
      </c>
      <c r="BR97" s="21">
        <f>EXP(-LN(2)/2)*BR96+(1-EXP(-LN(2)/2))/(LN(2)/2)*BL97*BO97*VLOOKUP('Données projet'!$B$11,Paramètres!$A$1:$I$89,3,0)*0.475*44/12</f>
        <v>0.51081587613017776</v>
      </c>
      <c r="BS97" s="22">
        <f t="shared" si="63"/>
        <v>169.04523876871625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11.216666666666672</v>
      </c>
      <c r="BY97" s="12">
        <f>IF('Données projet'!$A$114&gt;35,BY96+BX97-CG96,IF(A97&lt;'Données projet'!$A$114,$BV$205^A97,IF(A97='Données projet'!$A$114,'Données projet'!$B$114,BY96+BX97-CG96)))</f>
        <v>409.14666666666665</v>
      </c>
      <c r="BZ97" s="13">
        <f>BY97*VLOOKUP('Données projet'!$B$12,Paramètres!$A$1:$I$89,3,0)*VLOOKUP('Données projet'!$B$12,Paramètres!$A$1:$I$89,5,0)</f>
        <v>344.66515200000003</v>
      </c>
      <c r="CA97" s="13">
        <f t="shared" si="93"/>
        <v>80.46303056740787</v>
      </c>
      <c r="CB97" s="20">
        <f t="shared" si="64"/>
        <v>740.43158463823545</v>
      </c>
      <c r="CC97" s="59">
        <f t="shared" si="65"/>
        <v>1033.7649179715688</v>
      </c>
      <c r="CD97" s="59">
        <f ca="1">AVERAGE(OFFSET($CC$3,0,0,'Données projet'!$E$12+1,1))-AVERAGE(OFFSET($H$3,0,0,'Données projet'!$E$12+1,1))</f>
        <v>287.72859857368331</v>
      </c>
      <c r="CE97" s="59">
        <f t="shared" si="94"/>
        <v>179.60736986885922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50.366311271054492</v>
      </c>
      <c r="CL97" s="21">
        <f>EXP(-LN(2)/25)*CL96+(1-EXP(-LN(2)/25))/(LN(2)/25)*Calculateur!CG97*Calculateur!CI97*VLOOKUP('Données projet'!$B$12,Paramètres!$A$1:$I$89,3,0)*0.475*44/12</f>
        <v>26.682555229727107</v>
      </c>
      <c r="CM97" s="21">
        <f>EXP(-LN(2)/2)*CM96+(1-EXP(-LN(2)/2))/(LN(2)/2)*CG97*CJ97*VLOOKUP('Données projet'!$B$12,Paramètres!$A$1:$I$89,3,0)*0.475*44/12</f>
        <v>2.7779880184384442E-3</v>
      </c>
      <c r="CN97" s="22">
        <f t="shared" si="66"/>
        <v>77.051644488800036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243.33915530322201</v>
      </c>
      <c r="CZ97" s="59">
        <f t="shared" si="96"/>
        <v>247.73814704672577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39.395056046043429</v>
      </c>
      <c r="DG97" s="21">
        <f>EXP(-LN(2)/25)*DG96+(1-EXP(-LN(2)/25))/(LN(2)/25)*Calculateur!DB97*Calculateur!DD97*VLOOKUP('Données projet'!$B$13,Paramètres!$A$1:$I$89,3,0)*0.475*44/12</f>
        <v>34.813008534576241</v>
      </c>
      <c r="DH97" s="21">
        <f>EXP(-LN(2)/2)*DH96+(1-EXP(-LN(2)/2))/(LN(2)/2)*DB97*DE97*VLOOKUP('Données projet'!$B$13,Paramètres!$A$1:$I$89,3,0)*0.475*44/12</f>
        <v>0.48766657190938395</v>
      </c>
      <c r="DI97" s="22">
        <f t="shared" si="69"/>
        <v>74.695731152529049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5.6843418860808015E-13</v>
      </c>
      <c r="O98" s="13">
        <f>N98*VLOOKUP('Données projet'!$B$9,Paramètres!$A$1:$I$89,3,0)*VLOOKUP('Données projet'!$B$9,Paramètres!$A$1:$I$89,5,0)</f>
        <v>3.177547114319168E-13</v>
      </c>
      <c r="P98" s="13">
        <f t="shared" si="87"/>
        <v>4.1725404435445377E-12</v>
      </c>
      <c r="Q98" s="20">
        <f t="shared" si="54"/>
        <v>7.820597394917325E-12</v>
      </c>
      <c r="R98" s="59">
        <f t="shared" si="55"/>
        <v>293.33333333334116</v>
      </c>
      <c r="S98" s="59">
        <f ca="1">AVERAGE(OFFSET($R$3,0,0,'Données projet'!$E$9+1,1))-AVERAGE(OFFSET($H$3,0,0,'Données projet'!$E$9+1,1))</f>
        <v>287.413090017863</v>
      </c>
      <c r="T98" s="59">
        <f t="shared" si="88"/>
        <v>258.48456031927117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140.64291880662455</v>
      </c>
      <c r="AA98" s="21">
        <f>EXP(-LN(2)/25)*AA97+(1-EXP(-LN(2)/25))/(LN(2)/25)*Calculateur!V98*Calculateur!X98*VLOOKUP('Données projet'!$B$9,Paramètres!$A$1:$I$89,3,0)*0.475*44/12</f>
        <v>38.378672614701351</v>
      </c>
      <c r="AB98" s="21">
        <f>EXP(-LN(2)/2)*AB97+(1-EXP(-LN(2)/2))/(LN(2)/2)*V98*Y98*VLOOKUP('Données projet'!$B$9,Paramètres!$A$1:$I$89,3,0)*0.475*44/12</f>
        <v>1.3034782291433535E-2</v>
      </c>
      <c r="AC98" s="22">
        <f t="shared" si="57"/>
        <v>179.03462620361734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8.9420000000000019</v>
      </c>
      <c r="AI98" s="13">
        <f>IF('Données projet'!$A$62&gt;35,AI97+AH98-AQ97,IF(A98&lt;'Données projet'!$A$62,$AF$205^A98,IF(A98='Données projet'!$A$62,'Données projet'!$B$62,AI97+AH98-AQ97)))</f>
        <v>321.72200000000049</v>
      </c>
      <c r="AJ98" s="13">
        <f>AI98*VLOOKUP('Données projet'!$B$10,Paramètres!$A$1:$I$89,3,0)*VLOOKUP('Données projet'!$B$10,Paramètres!$A$1:$I$89,5,0)</f>
        <v>291.09406560000048</v>
      </c>
      <c r="AK98" s="13">
        <f t="shared" si="89"/>
        <v>69.306175582041092</v>
      </c>
      <c r="AL98" s="20">
        <f t="shared" si="58"/>
        <v>627.697086725389</v>
      </c>
      <c r="AM98" s="59">
        <f t="shared" si="59"/>
        <v>921.03042005872226</v>
      </c>
      <c r="AN98" s="59">
        <f ca="1">AVERAGE(OFFSET($AM$3,0,0,'Données projet'!$E$10+1,1))-AVERAGE(OFFSET($H$3,0,0,'Données projet'!$E$10+1,1))</f>
        <v>422.10969295064359</v>
      </c>
      <c r="AO98" s="59">
        <f t="shared" si="90"/>
        <v>184.04075143033037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27.662671184076828</v>
      </c>
      <c r="AV98" s="21">
        <f>EXP(-LN(2)/25)*AV97+(1-EXP(-LN(2)/25))/(LN(2)/25)*Calculateur!AQ98*Calculateur!AS98*VLOOKUP('Données projet'!$B$10,Paramètres!$A$1:$I$89,3,0)*0.475*44/12</f>
        <v>27.416177199960789</v>
      </c>
      <c r="AW98" s="21">
        <f>EXP(-LN(2)/2)*AW97+(1-EXP(-LN(2)/2))/(LN(2)/2)*AQ98*AT98*VLOOKUP('Données projet'!$B$10,Paramètres!$A$1:$I$89,3,0)*0.475*44/12</f>
        <v>4.1946991752606371</v>
      </c>
      <c r="AX98" s="21">
        <f t="shared" si="60"/>
        <v>59.273547559298251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-2.2737367544323206E-13</v>
      </c>
      <c r="BE98" s="13">
        <f>BD98*VLOOKUP('Données projet'!$B$11,Paramètres!$A$1:$I$89,3,0)*VLOOKUP('Données projet'!$B$11,Paramètres!$A$1:$I$89,5,0)</f>
        <v>-9.1631591203622526E-14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217.61052961346684</v>
      </c>
      <c r="BJ98" s="59">
        <f t="shared" si="92"/>
        <v>180.77145728128608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125.14202341134335</v>
      </c>
      <c r="BQ98" s="21">
        <f>EXP(-LN(2)/25)*BQ97+(1-EXP(-LN(2)/25))/(LN(2)/25)*Calculateur!BL98*Calculateur!BN98*VLOOKUP('Données projet'!$B$11,Paramètres!$A$1:$I$89,3,0)*0.475*44/12</f>
        <v>39.771235972754909</v>
      </c>
      <c r="BR98" s="21">
        <f>EXP(-LN(2)/2)*BR97+(1-EXP(-LN(2)/2))/(LN(2)/2)*BL98*BO98*VLOOKUP('Données projet'!$B$11,Paramètres!$A$1:$I$89,3,0)*0.475*44/12</f>
        <v>0.36120136994939617</v>
      </c>
      <c r="BS98" s="22">
        <f t="shared" si="63"/>
        <v>165.27446075404762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11.216666666666672</v>
      </c>
      <c r="BY98" s="12">
        <f>IF('Données projet'!$A$114&gt;35,BY97+BX98-CG97,IF(A98&lt;'Données projet'!$A$114,$BV$205^A98,IF(A98='Données projet'!$A$114,'Données projet'!$B$114,BY97+BX98-CG97)))</f>
        <v>420.36333333333334</v>
      </c>
      <c r="BZ98" s="13">
        <f>BY98*VLOOKUP('Données projet'!$B$12,Paramètres!$A$1:$I$89,3,0)*VLOOKUP('Données projet'!$B$12,Paramètres!$A$1:$I$89,5,0)</f>
        <v>354.11407200000002</v>
      </c>
      <c r="CA98" s="13">
        <f t="shared" si="93"/>
        <v>82.409064377569791</v>
      </c>
      <c r="CB98" s="20">
        <f t="shared" si="64"/>
        <v>760.27779585760072</v>
      </c>
      <c r="CC98" s="59">
        <f t="shared" si="65"/>
        <v>1053.611129190934</v>
      </c>
      <c r="CD98" s="59">
        <f ca="1">AVERAGE(OFFSET($CC$3,0,0,'Données projet'!$E$12+1,1))-AVERAGE(OFFSET($H$3,0,0,'Données projet'!$E$12+1,1))</f>
        <v>287.72859857368331</v>
      </c>
      <c r="CE98" s="59">
        <f t="shared" si="94"/>
        <v>179.60736986885922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49.378658627445603</v>
      </c>
      <c r="CL98" s="21">
        <f>EXP(-LN(2)/25)*CL97+(1-EXP(-LN(2)/25))/(LN(2)/25)*Calculateur!CG98*Calculateur!CI98*VLOOKUP('Données projet'!$B$12,Paramètres!$A$1:$I$89,3,0)*0.475*44/12</f>
        <v>25.952919353795625</v>
      </c>
      <c r="CM98" s="21">
        <f>EXP(-LN(2)/2)*CM97+(1-EXP(-LN(2)/2))/(LN(2)/2)*CG98*CJ98*VLOOKUP('Données projet'!$B$12,Paramètres!$A$1:$I$89,3,0)*0.475*44/12</f>
        <v>1.9643341658928037E-3</v>
      </c>
      <c r="CN98" s="22">
        <f t="shared" si="66"/>
        <v>75.333542315407115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243.33915530322201</v>
      </c>
      <c r="CZ98" s="59">
        <f t="shared" si="96"/>
        <v>247.73814704672577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38.62254302559208</v>
      </c>
      <c r="DG98" s="21">
        <f>EXP(-LN(2)/25)*DG97+(1-EXP(-LN(2)/25))/(LN(2)/25)*Calculateur!DB98*Calculateur!DD98*VLOOKUP('Données projet'!$B$13,Paramètres!$A$1:$I$89,3,0)*0.475*44/12</f>
        <v>33.861044985461703</v>
      </c>
      <c r="DH98" s="21">
        <f>EXP(-LN(2)/2)*DH97+(1-EXP(-LN(2)/2))/(LN(2)/2)*DB98*DE98*VLOOKUP('Données projet'!$B$13,Paramètres!$A$1:$I$89,3,0)*0.475*44/12</f>
        <v>0.34483233995512252</v>
      </c>
      <c r="DI98" s="22">
        <f t="shared" si="69"/>
        <v>72.828420351008901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5.6843418860808015E-13</v>
      </c>
      <c r="O99" s="13">
        <f>N99*VLOOKUP('Données projet'!$B$9,Paramètres!$A$1:$I$89,3,0)*VLOOKUP('Données projet'!$B$9,Paramètres!$A$1:$I$89,5,0)</f>
        <v>3.177547114319168E-13</v>
      </c>
      <c r="P99" s="13">
        <f t="shared" si="87"/>
        <v>4.1725404435445377E-12</v>
      </c>
      <c r="Q99" s="20">
        <f t="shared" ref="Q99:Q130" si="107">(O99+P99)*0.475*44/12</f>
        <v>7.820597394917325E-12</v>
      </c>
      <c r="R99" s="59">
        <f t="shared" si="55"/>
        <v>293.33333333334116</v>
      </c>
      <c r="S99" s="59">
        <f ca="1">AVERAGE(OFFSET($R$3,0,0,'Données projet'!$E$9+1,1))-AVERAGE(OFFSET($H$3,0,0,'Données projet'!$E$9+1,1))</f>
        <v>287.413090017863</v>
      </c>
      <c r="T99" s="59">
        <f t="shared" si="88"/>
        <v>258.48456031927117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137.88499695253668</v>
      </c>
      <c r="AA99" s="21">
        <f>EXP(-LN(2)/25)*AA98+(1-EXP(-LN(2)/25))/(LN(2)/25)*Calculateur!V99*Calculateur!X99*VLOOKUP('Données projet'!$B$9,Paramètres!$A$1:$I$89,3,0)*0.475*44/12</f>
        <v>37.329205793805663</v>
      </c>
      <c r="AB99" s="21">
        <f>EXP(-LN(2)/2)*AB98+(1-EXP(-LN(2)/2))/(LN(2)/2)*V99*Y99*VLOOKUP('Données projet'!$B$9,Paramètres!$A$1:$I$89,3,0)*0.475*44/12</f>
        <v>9.2169829495629772E-3</v>
      </c>
      <c r="AC99" s="22">
        <f t="shared" si="57"/>
        <v>175.22341972929192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8.9420000000000019</v>
      </c>
      <c r="AI99" s="13">
        <f>IF('Données projet'!$A$62&gt;35,AI98+AH99-AQ98,IF(A99&lt;'Données projet'!$A$62,$AF$205^A99,IF(A99='Données projet'!$A$62,'Données projet'!$B$62,AI98+AH99-AQ98)))</f>
        <v>330.6640000000005</v>
      </c>
      <c r="AJ99" s="13">
        <f>AI99*VLOOKUP('Données projet'!$B$10,Paramètres!$A$1:$I$89,3,0)*VLOOKUP('Données projet'!$B$10,Paramètres!$A$1:$I$89,5,0)</f>
        <v>299.18478720000041</v>
      </c>
      <c r="AK99" s="13">
        <f t="shared" si="89"/>
        <v>71.005536504727559</v>
      </c>
      <c r="AL99" s="20">
        <f t="shared" si="58"/>
        <v>644.74814711906788</v>
      </c>
      <c r="AM99" s="59">
        <f t="shared" si="59"/>
        <v>938.08148045240114</v>
      </c>
      <c r="AN99" s="59">
        <f ca="1">AVERAGE(OFFSET($AM$3,0,0,'Données projet'!$E$10+1,1))-AVERAGE(OFFSET($H$3,0,0,'Données projet'!$E$10+1,1))</f>
        <v>422.10969295064359</v>
      </c>
      <c r="AO99" s="59">
        <f t="shared" si="90"/>
        <v>184.04075143033037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27.120223074720478</v>
      </c>
      <c r="AV99" s="21">
        <f>EXP(-LN(2)/25)*AV98+(1-EXP(-LN(2)/25))/(LN(2)/25)*Calculateur!AQ99*Calculateur!AS99*VLOOKUP('Données projet'!$B$10,Paramètres!$A$1:$I$89,3,0)*0.475*44/12</f>
        <v>26.666480392673762</v>
      </c>
      <c r="AW99" s="21">
        <f>EXP(-LN(2)/2)*AW98+(1-EXP(-LN(2)/2))/(LN(2)/2)*AQ99*AT99*VLOOKUP('Données projet'!$B$10,Paramètres!$A$1:$I$89,3,0)*0.475*44/12</f>
        <v>2.9661002318644147</v>
      </c>
      <c r="AX99" s="21">
        <f t="shared" si="60"/>
        <v>56.752803699258656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-2.2737367544323206E-13</v>
      </c>
      <c r="BE99" s="13">
        <f>BD99*VLOOKUP('Données projet'!$B$11,Paramètres!$A$1:$I$89,3,0)*VLOOKUP('Données projet'!$B$11,Paramètres!$A$1:$I$89,5,0)</f>
        <v>-9.1631591203622526E-14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217.61052961346684</v>
      </c>
      <c r="BJ99" s="59">
        <f t="shared" si="92"/>
        <v>180.77145728128608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122.68806466134431</v>
      </c>
      <c r="BQ99" s="21">
        <f>EXP(-LN(2)/25)*BQ98+(1-EXP(-LN(2)/25))/(LN(2)/25)*Calculateur!BL99*Calculateur!BN99*VLOOKUP('Données projet'!$B$11,Paramètres!$A$1:$I$89,3,0)*0.475*44/12</f>
        <v>38.683689433601522</v>
      </c>
      <c r="BR99" s="21">
        <f>EXP(-LN(2)/2)*BR98+(1-EXP(-LN(2)/2))/(LN(2)/2)*BL99*BO99*VLOOKUP('Données projet'!$B$11,Paramètres!$A$1:$I$89,3,0)*0.475*44/12</f>
        <v>0.25540793806508888</v>
      </c>
      <c r="BS99" s="22">
        <f t="shared" si="63"/>
        <v>161.6271620330109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11.216666666666672</v>
      </c>
      <c r="BY99" s="12">
        <f>IF('Données projet'!$A$114&gt;35,BY98+BX99-CG98,IF(A99&lt;'Données projet'!$A$114,$BV$205^A99,IF(A99='Données projet'!$A$114,'Données projet'!$B$114,BY98+BX99-CG98)))</f>
        <v>431.58000000000004</v>
      </c>
      <c r="BZ99" s="13">
        <f>BY99*VLOOKUP('Données projet'!$B$12,Paramètres!$A$1:$I$89,3,0)*VLOOKUP('Données projet'!$B$12,Paramètres!$A$1:$I$89,5,0)</f>
        <v>363.56299200000007</v>
      </c>
      <c r="CA99" s="13">
        <f t="shared" si="93"/>
        <v>84.349062558657408</v>
      </c>
      <c r="CB99" s="20">
        <f t="shared" si="64"/>
        <v>780.11349502299515</v>
      </c>
      <c r="CC99" s="59">
        <f t="shared" si="65"/>
        <v>1073.4468283563285</v>
      </c>
      <c r="CD99" s="59">
        <f ca="1">AVERAGE(OFFSET($CC$3,0,0,'Données projet'!$E$12+1,1))-AVERAGE(OFFSET($H$3,0,0,'Données projet'!$E$12+1,1))</f>
        <v>287.72859857368331</v>
      </c>
      <c r="CE99" s="59">
        <f t="shared" si="94"/>
        <v>179.60736986885922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48.41037324976925</v>
      </c>
      <c r="CL99" s="21">
        <f>EXP(-LN(2)/25)*CL98+(1-EXP(-LN(2)/25))/(LN(2)/25)*Calculateur!CG99*Calculateur!CI99*VLOOKUP('Données projet'!$B$12,Paramètres!$A$1:$I$89,3,0)*0.475*44/12</f>
        <v>25.24323540926137</v>
      </c>
      <c r="CM99" s="21">
        <f>EXP(-LN(2)/2)*CM98+(1-EXP(-LN(2)/2))/(LN(2)/2)*CG99*CJ99*VLOOKUP('Données projet'!$B$12,Paramètres!$A$1:$I$89,3,0)*0.475*44/12</f>
        <v>1.3889940092192221E-3</v>
      </c>
      <c r="CN99" s="22">
        <f t="shared" si="66"/>
        <v>73.654997653039842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243.33915530322201</v>
      </c>
      <c r="CZ99" s="59">
        <f t="shared" si="96"/>
        <v>247.73814704672577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37.865178514285361</v>
      </c>
      <c r="DG99" s="21">
        <f>EXP(-LN(2)/25)*DG98+(1-EXP(-LN(2)/25))/(LN(2)/25)*Calculateur!DB99*Calculateur!DD99*VLOOKUP('Données projet'!$B$13,Paramètres!$A$1:$I$89,3,0)*0.475*44/12</f>
        <v>32.93511292965929</v>
      </c>
      <c r="DH99" s="21">
        <f>EXP(-LN(2)/2)*DH98+(1-EXP(-LN(2)/2))/(LN(2)/2)*DB99*DE99*VLOOKUP('Données projet'!$B$13,Paramètres!$A$1:$I$89,3,0)*0.475*44/12</f>
        <v>0.243833285954692</v>
      </c>
      <c r="DI99" s="22">
        <f t="shared" si="69"/>
        <v>71.044124729899337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5.6843418860808015E-13</v>
      </c>
      <c r="O100" s="13">
        <f>N100*VLOOKUP('Données projet'!$B$9,Paramètres!$A$1:$I$89,3,0)*VLOOKUP('Données projet'!$B$9,Paramètres!$A$1:$I$89,5,0)</f>
        <v>3.177547114319168E-13</v>
      </c>
      <c r="P100" s="13">
        <f t="shared" si="87"/>
        <v>4.1725404435445377E-12</v>
      </c>
      <c r="Q100" s="20">
        <f t="shared" si="107"/>
        <v>7.820597394917325E-12</v>
      </c>
      <c r="R100" s="59">
        <f t="shared" si="55"/>
        <v>293.33333333334116</v>
      </c>
      <c r="S100" s="59">
        <f ca="1">AVERAGE(OFFSET($R$3,0,0,'Données projet'!$E$9+1,1))-AVERAGE(OFFSET($H$3,0,0,'Données projet'!$E$9+1,1))</f>
        <v>287.413090017863</v>
      </c>
      <c r="T100" s="59">
        <f t="shared" si="88"/>
        <v>258.48456031927117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135.18115626384125</v>
      </c>
      <c r="AA100" s="21">
        <f>EXP(-LN(2)/25)*AA99+(1-EXP(-LN(2)/25))/(LN(2)/25)*Calculateur!V100*Calculateur!X100*VLOOKUP('Données projet'!$B$9,Paramètres!$A$1:$I$89,3,0)*0.475*44/12</f>
        <v>36.308436698316434</v>
      </c>
      <c r="AB100" s="21">
        <f>EXP(-LN(2)/2)*AB99+(1-EXP(-LN(2)/2))/(LN(2)/2)*V100*Y100*VLOOKUP('Données projet'!$B$9,Paramètres!$A$1:$I$89,3,0)*0.475*44/12</f>
        <v>6.5173911457167676E-3</v>
      </c>
      <c r="AC100" s="22">
        <f t="shared" si="57"/>
        <v>171.49611035330338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8.9420000000000019</v>
      </c>
      <c r="AI100" s="13">
        <f>IF('Données projet'!$A$62&gt;35,AI99+AH100-AQ99,IF(A100&lt;'Données projet'!$A$62,$AF$205^A100,IF(A100='Données projet'!$A$62,'Données projet'!$B$62,AI99+AH100-AQ99)))</f>
        <v>339.60600000000051</v>
      </c>
      <c r="AJ100" s="13">
        <f>AI100*VLOOKUP('Données projet'!$B$10,Paramètres!$A$1:$I$89,3,0)*VLOOKUP('Données projet'!$B$10,Paramètres!$A$1:$I$89,5,0)</f>
        <v>307.27550880000041</v>
      </c>
      <c r="AK100" s="13">
        <f t="shared" si="89"/>
        <v>72.699555980078841</v>
      </c>
      <c r="AL100" s="20">
        <f t="shared" si="58"/>
        <v>661.78990449197136</v>
      </c>
      <c r="AM100" s="59">
        <f t="shared" si="59"/>
        <v>955.12323782530461</v>
      </c>
      <c r="AN100" s="59">
        <f ca="1">AVERAGE(OFFSET($AM$3,0,0,'Données projet'!$E$10+1,1))-AVERAGE(OFFSET($H$3,0,0,'Données projet'!$E$10+1,1))</f>
        <v>422.10969295064359</v>
      </c>
      <c r="AO100" s="59">
        <f t="shared" si="90"/>
        <v>184.04075143033037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26.588412041927928</v>
      </c>
      <c r="AV100" s="21">
        <f>EXP(-LN(2)/25)*AV99+(1-EXP(-LN(2)/25))/(LN(2)/25)*Calculateur!AQ100*Calculateur!AS100*VLOOKUP('Données projet'!$B$10,Paramètres!$A$1:$I$89,3,0)*0.475*44/12</f>
        <v>25.937284084006841</v>
      </c>
      <c r="AW100" s="21">
        <f>EXP(-LN(2)/2)*AW99+(1-EXP(-LN(2)/2))/(LN(2)/2)*AQ100*AT100*VLOOKUP('Données projet'!$B$10,Paramètres!$A$1:$I$89,3,0)*0.475*44/12</f>
        <v>2.0973495876303185</v>
      </c>
      <c r="AX100" s="21">
        <f t="shared" si="60"/>
        <v>54.623045713565091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-2.2737367544323206E-13</v>
      </c>
      <c r="BE100" s="13">
        <f>BD100*VLOOKUP('Données projet'!$B$11,Paramètres!$A$1:$I$89,3,0)*VLOOKUP('Données projet'!$B$11,Paramètres!$A$1:$I$89,5,0)</f>
        <v>-9.1631591203622526E-14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217.61052961346684</v>
      </c>
      <c r="BJ100" s="59">
        <f t="shared" si="92"/>
        <v>180.77145728128608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120.28222654566572</v>
      </c>
      <c r="BQ100" s="21">
        <f>EXP(-LN(2)/25)*BQ99+(1-EXP(-LN(2)/25))/(LN(2)/25)*Calculateur!BL100*Calculateur!BN100*VLOOKUP('Données projet'!$B$11,Paramètres!$A$1:$I$89,3,0)*0.475*44/12</f>
        <v>37.625881911752877</v>
      </c>
      <c r="BR100" s="21">
        <f>EXP(-LN(2)/2)*BR99+(1-EXP(-LN(2)/2))/(LN(2)/2)*BL100*BO100*VLOOKUP('Données projet'!$B$11,Paramètres!$A$1:$I$89,3,0)*0.475*44/12</f>
        <v>0.18060068497469808</v>
      </c>
      <c r="BS100" s="22">
        <f t="shared" si="63"/>
        <v>158.0887091423933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11.216666666666672</v>
      </c>
      <c r="BY100" s="12">
        <f>IF('Données projet'!$A$114&gt;35,BY99+BX100-CG99,IF(A100&lt;'Données projet'!$A$114,$BV$205^A100,IF(A100='Données projet'!$A$114,'Données projet'!$B$114,BY99+BX100-CG99)))</f>
        <v>442.79666666666674</v>
      </c>
      <c r="BZ100" s="13">
        <f>BY100*VLOOKUP('Données projet'!$B$12,Paramètres!$A$1:$I$89,3,0)*VLOOKUP('Données projet'!$B$12,Paramètres!$A$1:$I$89,5,0)</f>
        <v>373.01191200000011</v>
      </c>
      <c r="CA100" s="13">
        <f t="shared" si="93"/>
        <v>86.283200009575495</v>
      </c>
      <c r="CB100" s="20">
        <f t="shared" si="64"/>
        <v>799.93898675001083</v>
      </c>
      <c r="CC100" s="59">
        <f t="shared" si="65"/>
        <v>1093.2723200833441</v>
      </c>
      <c r="CD100" s="59">
        <f ca="1">AVERAGE(OFFSET($CC$3,0,0,'Données projet'!$E$12+1,1))-AVERAGE(OFFSET($H$3,0,0,'Données projet'!$E$12+1,1))</f>
        <v>287.72859857368331</v>
      </c>
      <c r="CE100" s="59">
        <f t="shared" si="94"/>
        <v>179.60736986885922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47.461075357753366</v>
      </c>
      <c r="CL100" s="21">
        <f>EXP(-LN(2)/25)*CL99+(1-EXP(-LN(2)/25))/(LN(2)/25)*Calculateur!CG100*Calculateur!CI100*VLOOKUP('Données projet'!$B$12,Paramètres!$A$1:$I$89,3,0)*0.475*44/12</f>
        <v>24.55295780951106</v>
      </c>
      <c r="CM100" s="21">
        <f>EXP(-LN(2)/2)*CM99+(1-EXP(-LN(2)/2))/(LN(2)/2)*CG100*CJ100*VLOOKUP('Données projet'!$B$12,Paramètres!$A$1:$I$89,3,0)*0.475*44/12</f>
        <v>9.8216708294640185E-4</v>
      </c>
      <c r="CN100" s="22">
        <f t="shared" si="66"/>
        <v>72.015015334347382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243.33915530322201</v>
      </c>
      <c r="CZ100" s="59">
        <f t="shared" si="96"/>
        <v>247.73814704672577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37.122665459098627</v>
      </c>
      <c r="DG100" s="21">
        <f>EXP(-LN(2)/25)*DG99+(1-EXP(-LN(2)/25))/(LN(2)/25)*Calculateur!DB100*Calculateur!DD100*VLOOKUP('Données projet'!$B$13,Paramètres!$A$1:$I$89,3,0)*0.475*44/12</f>
        <v>32.034500534615439</v>
      </c>
      <c r="DH100" s="21">
        <f>EXP(-LN(2)/2)*DH99+(1-EXP(-LN(2)/2))/(LN(2)/2)*DB100*DE100*VLOOKUP('Données projet'!$B$13,Paramètres!$A$1:$I$89,3,0)*0.475*44/12</f>
        <v>0.17241616997756129</v>
      </c>
      <c r="DI100" s="22">
        <f t="shared" si="69"/>
        <v>69.32958216369164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5.6843418860808015E-13</v>
      </c>
      <c r="O101" s="13">
        <f>N101*VLOOKUP('Données projet'!$B$9,Paramètres!$A$1:$I$89,3,0)*VLOOKUP('Données projet'!$B$9,Paramètres!$A$1:$I$89,5,0)</f>
        <v>3.177547114319168E-13</v>
      </c>
      <c r="P101" s="13">
        <f t="shared" si="87"/>
        <v>4.1725404435445377E-12</v>
      </c>
      <c r="Q101" s="20">
        <f t="shared" si="107"/>
        <v>7.820597394917325E-12</v>
      </c>
      <c r="R101" s="59">
        <f t="shared" si="55"/>
        <v>293.33333333334116</v>
      </c>
      <c r="S101" s="59">
        <f ca="1">AVERAGE(OFFSET($R$3,0,0,'Données projet'!$E$9+1,1))-AVERAGE(OFFSET($H$3,0,0,'Données projet'!$E$9+1,1))</f>
        <v>287.413090017863</v>
      </c>
      <c r="T101" s="59">
        <f t="shared" si="88"/>
        <v>258.48456031927117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132.53033624187114</v>
      </c>
      <c r="AA101" s="21">
        <f>EXP(-LN(2)/25)*AA100+(1-EXP(-LN(2)/25))/(LN(2)/25)*Calculateur!V101*Calculateur!X101*VLOOKUP('Données projet'!$B$9,Paramètres!$A$1:$I$89,3,0)*0.475*44/12</f>
        <v>35.31558058742327</v>
      </c>
      <c r="AB101" s="21">
        <f>EXP(-LN(2)/2)*AB100+(1-EXP(-LN(2)/2))/(LN(2)/2)*V101*Y101*VLOOKUP('Données projet'!$B$9,Paramètres!$A$1:$I$89,3,0)*0.475*44/12</f>
        <v>4.6084914747814886E-3</v>
      </c>
      <c r="AC101" s="22">
        <f t="shared" si="57"/>
        <v>167.85052532076921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8.9420000000000019</v>
      </c>
      <c r="AI101" s="13">
        <f>IF('Données projet'!$A$62&gt;35,AI100+AH101-AQ100,IF(A101&lt;'Données projet'!$A$62,$AF$205^A101,IF(A101='Données projet'!$A$62,'Données projet'!$B$62,AI100+AH101-AQ100)))</f>
        <v>348.54800000000051</v>
      </c>
      <c r="AJ101" s="13">
        <f>AI101*VLOOKUP('Données projet'!$B$10,Paramètres!$A$1:$I$89,3,0)*VLOOKUP('Données projet'!$B$10,Paramètres!$A$1:$I$89,5,0)</f>
        <v>315.36623040000046</v>
      </c>
      <c r="AK101" s="13">
        <f t="shared" si="89"/>
        <v>74.38839081830163</v>
      </c>
      <c r="AL101" s="20">
        <f t="shared" si="58"/>
        <v>678.82263195520943</v>
      </c>
      <c r="AM101" s="59">
        <f t="shared" si="59"/>
        <v>972.1559652885428</v>
      </c>
      <c r="AN101" s="59">
        <f ca="1">AVERAGE(OFFSET($AM$3,0,0,'Données projet'!$E$10+1,1))-AVERAGE(OFFSET($H$3,0,0,'Données projet'!$E$10+1,1))</f>
        <v>422.10969295064359</v>
      </c>
      <c r="AO101" s="59">
        <f t="shared" si="90"/>
        <v>184.04075143033037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26.067029499115737</v>
      </c>
      <c r="AV101" s="21">
        <f>EXP(-LN(2)/25)*AV100+(1-EXP(-LN(2)/25))/(LN(2)/25)*Calculateur!AQ101*Calculateur!AS101*VLOOKUP('Données projet'!$B$10,Paramètres!$A$1:$I$89,3,0)*0.475*44/12</f>
        <v>25.228027686747183</v>
      </c>
      <c r="AW101" s="21">
        <f>EXP(-LN(2)/2)*AW100+(1-EXP(-LN(2)/2))/(LN(2)/2)*AQ101*AT101*VLOOKUP('Données projet'!$B$10,Paramètres!$A$1:$I$89,3,0)*0.475*44/12</f>
        <v>1.4830501159322074</v>
      </c>
      <c r="AX101" s="21">
        <f t="shared" si="60"/>
        <v>52.778107301795124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-2.2737367544323206E-13</v>
      </c>
      <c r="BE101" s="13">
        <f>BD101*VLOOKUP('Données projet'!$B$11,Paramètres!$A$1:$I$89,3,0)*VLOOKUP('Données projet'!$B$11,Paramètres!$A$1:$I$89,5,0)</f>
        <v>-9.1631591203622526E-14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217.61052961346684</v>
      </c>
      <c r="BJ101" s="59">
        <f t="shared" si="92"/>
        <v>180.77145728128608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117.92356544801923</v>
      </c>
      <c r="BQ101" s="21">
        <f>EXP(-LN(2)/25)*BQ100+(1-EXP(-LN(2)/25))/(LN(2)/25)*Calculateur!BL101*Calculateur!BN101*VLOOKUP('Données projet'!$B$11,Paramètres!$A$1:$I$89,3,0)*0.475*44/12</f>
        <v>36.597000192216861</v>
      </c>
      <c r="BR101" s="21">
        <f>EXP(-LN(2)/2)*BR100+(1-EXP(-LN(2)/2))/(LN(2)/2)*BL101*BO101*VLOOKUP('Données projet'!$B$11,Paramètres!$A$1:$I$89,3,0)*0.475*44/12</f>
        <v>0.12770396903254444</v>
      </c>
      <c r="BS101" s="22">
        <f t="shared" si="63"/>
        <v>154.64826960926865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11.216666666666672</v>
      </c>
      <c r="BY101" s="12">
        <f>IF('Données projet'!$A$114&gt;35,BY100+BX101-CG100,IF(A101&lt;'Données projet'!$A$114,$BV$205^A101,IF(A101='Données projet'!$A$114,'Données projet'!$B$114,BY100+BX101-CG100)))</f>
        <v>454.01333333333343</v>
      </c>
      <c r="BZ101" s="13">
        <f>BY101*VLOOKUP('Données projet'!$B$12,Paramètres!$A$1:$I$89,3,0)*VLOOKUP('Données projet'!$B$12,Paramètres!$A$1:$I$89,5,0)</f>
        <v>382.4608320000001</v>
      </c>
      <c r="CA101" s="13">
        <f t="shared" si="93"/>
        <v>88.211642263441533</v>
      </c>
      <c r="CB101" s="20">
        <f t="shared" si="64"/>
        <v>819.75455934216086</v>
      </c>
      <c r="CC101" s="59">
        <f t="shared" si="65"/>
        <v>1113.0878926754942</v>
      </c>
      <c r="CD101" s="59">
        <f ca="1">AVERAGE(OFFSET($CC$3,0,0,'Données projet'!$E$12+1,1))-AVERAGE(OFFSET($H$3,0,0,'Données projet'!$E$12+1,1))</f>
        <v>287.72859857368331</v>
      </c>
      <c r="CE101" s="59">
        <f t="shared" si="94"/>
        <v>179.60736986885922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46.53039261838537</v>
      </c>
      <c r="CL101" s="21">
        <f>EXP(-LN(2)/25)*CL100+(1-EXP(-LN(2)/25))/(LN(2)/25)*Calculateur!CG101*Calculateur!CI101*VLOOKUP('Données projet'!$B$12,Paramètres!$A$1:$I$89,3,0)*0.475*44/12</f>
        <v>23.881555887026046</v>
      </c>
      <c r="CM101" s="21">
        <f>EXP(-LN(2)/2)*CM100+(1-EXP(-LN(2)/2))/(LN(2)/2)*CG101*CJ101*VLOOKUP('Données projet'!$B$12,Paramètres!$A$1:$I$89,3,0)*0.475*44/12</f>
        <v>6.9449700460961106E-4</v>
      </c>
      <c r="CN101" s="22">
        <f t="shared" si="66"/>
        <v>70.412643002416033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243.33915530322201</v>
      </c>
      <c r="CZ101" s="59">
        <f t="shared" si="96"/>
        <v>247.73814704672577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36.394712632035862</v>
      </c>
      <c r="DG101" s="21">
        <f>EXP(-LN(2)/25)*DG100+(1-EXP(-LN(2)/25))/(LN(2)/25)*Calculateur!DB101*Calculateur!DD101*VLOOKUP('Données projet'!$B$13,Paramètres!$A$1:$I$89,3,0)*0.475*44/12</f>
        <v>31.158515432875213</v>
      </c>
      <c r="DH101" s="21">
        <f>EXP(-LN(2)/2)*DH100+(1-EXP(-LN(2)/2))/(LN(2)/2)*DB101*DE101*VLOOKUP('Données projet'!$B$13,Paramètres!$A$1:$I$89,3,0)*0.475*44/12</f>
        <v>0.12191664297734603</v>
      </c>
      <c r="DI101" s="22">
        <f t="shared" si="69"/>
        <v>67.675144707888421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5.6843418860808015E-13</v>
      </c>
      <c r="O102" s="13">
        <f>N102*VLOOKUP('Données projet'!$B$9,Paramètres!$A$1:$I$89,3,0)*VLOOKUP('Données projet'!$B$9,Paramètres!$A$1:$I$89,5,0)</f>
        <v>3.177547114319168E-13</v>
      </c>
      <c r="P102" s="13">
        <f t="shared" si="87"/>
        <v>4.1725404435445377E-12</v>
      </c>
      <c r="Q102" s="20">
        <f t="shared" si="107"/>
        <v>7.820597394917325E-12</v>
      </c>
      <c r="R102" s="59">
        <f t="shared" si="55"/>
        <v>293.33333333334116</v>
      </c>
      <c r="S102" s="59">
        <f ca="1">AVERAGE(OFFSET($R$3,0,0,'Données projet'!$E$9+1,1))-AVERAGE(OFFSET($H$3,0,0,'Données projet'!$E$9+1,1))</f>
        <v>287.413090017863</v>
      </c>
      <c r="T102" s="59">
        <f t="shared" si="88"/>
        <v>258.48456031927117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129.93149718369131</v>
      </c>
      <c r="AA102" s="21">
        <f>EXP(-LN(2)/25)*AA101+(1-EXP(-LN(2)/25))/(LN(2)/25)*Calculateur!V102*Calculateur!X102*VLOOKUP('Données projet'!$B$9,Paramètres!$A$1:$I$89,3,0)*0.475*44/12</f>
        <v>34.349874179094513</v>
      </c>
      <c r="AB102" s="21">
        <f>EXP(-LN(2)/2)*AB101+(1-EXP(-LN(2)/2))/(LN(2)/2)*V102*Y102*VLOOKUP('Données projet'!$B$9,Paramètres!$A$1:$I$89,3,0)*0.475*44/12</f>
        <v>3.2586955728583838E-3</v>
      </c>
      <c r="AC102" s="22">
        <f t="shared" si="57"/>
        <v>164.28463005835869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8.9420000000000019</v>
      </c>
      <c r="AI102" s="13">
        <f>IF('Données projet'!$A$62&gt;35,AI101+AH102-AQ101,IF(A102&lt;'Données projet'!$A$62,$AF$205^A102,IF(A102='Données projet'!$A$62,'Données projet'!$B$62,AI101+AH102-AQ101)))</f>
        <v>357.49000000000052</v>
      </c>
      <c r="AJ102" s="13">
        <f>AI102*VLOOKUP('Données projet'!$B$10,Paramètres!$A$1:$I$89,3,0)*VLOOKUP('Données projet'!$B$10,Paramètres!$A$1:$I$89,5,0)</f>
        <v>323.45695200000046</v>
      </c>
      <c r="AK102" s="13">
        <f t="shared" si="89"/>
        <v>76.072189325282608</v>
      </c>
      <c r="AL102" s="20">
        <f t="shared" si="58"/>
        <v>695.84658780820121</v>
      </c>
      <c r="AM102" s="59">
        <f t="shared" si="59"/>
        <v>989.17992114153458</v>
      </c>
      <c r="AN102" s="59">
        <f ca="1">AVERAGE(OFFSET($AM$3,0,0,'Données projet'!$E$10+1,1))-AVERAGE(OFFSET($H$3,0,0,'Données projet'!$E$10+1,1))</f>
        <v>422.10969295064359</v>
      </c>
      <c r="AO102" s="59">
        <f t="shared" si="90"/>
        <v>184.04075143033037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25.555870949956144</v>
      </c>
      <c r="AV102" s="21">
        <f>EXP(-LN(2)/25)*AV101+(1-EXP(-LN(2)/25))/(LN(2)/25)*Calculateur!AQ102*Calculateur!AS102*VLOOKUP('Données projet'!$B$10,Paramètres!$A$1:$I$89,3,0)*0.475*44/12</f>
        <v>24.538165942968764</v>
      </c>
      <c r="AW102" s="21">
        <f>EXP(-LN(2)/2)*AW101+(1-EXP(-LN(2)/2))/(LN(2)/2)*AQ102*AT102*VLOOKUP('Données projet'!$B$10,Paramètres!$A$1:$I$89,3,0)*0.475*44/12</f>
        <v>1.0486747938151593</v>
      </c>
      <c r="AX102" s="21">
        <f t="shared" si="60"/>
        <v>51.142711686740064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-2.2737367544323206E-13</v>
      </c>
      <c r="BE102" s="13">
        <f>BD102*VLOOKUP('Données projet'!$B$11,Paramètres!$A$1:$I$89,3,0)*VLOOKUP('Données projet'!$B$11,Paramètres!$A$1:$I$89,5,0)</f>
        <v>-9.1631591203622526E-14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217.61052961346684</v>
      </c>
      <c r="BJ102" s="59">
        <f t="shared" si="92"/>
        <v>180.77145728128608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115.61115625585637</v>
      </c>
      <c r="BQ102" s="21">
        <f>EXP(-LN(2)/25)*BQ101+(1-EXP(-LN(2)/25))/(LN(2)/25)*Calculateur!BL102*Calculateur!BN102*VLOOKUP('Données projet'!$B$11,Paramètres!$A$1:$I$89,3,0)*0.475*44/12</f>
        <v>35.596253297408097</v>
      </c>
      <c r="BR102" s="21">
        <f>EXP(-LN(2)/2)*BR101+(1-EXP(-LN(2)/2))/(LN(2)/2)*BL102*BO102*VLOOKUP('Données projet'!$B$11,Paramètres!$A$1:$I$89,3,0)*0.475*44/12</f>
        <v>9.0300342487349042E-2</v>
      </c>
      <c r="BS102" s="22">
        <f t="shared" si="63"/>
        <v>151.29770989575184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465.23</v>
      </c>
      <c r="BW102" s="12">
        <f>VLOOKUP(A102,'Données projet'!$A$113:$I$133,9,0)</f>
        <v>11.216666666666672</v>
      </c>
      <c r="BX102" s="12">
        <f t="array" ref="BX102">INDEX(BW:BW,MIN(IF(ISNUMBER(BW102:BW298),ROW(BW102:BW298),"")))</f>
        <v>11.216666666666672</v>
      </c>
      <c r="BY102" s="12">
        <f>IF('Données projet'!$A$114&gt;35,BY101+BX102-CG101,IF(A102&lt;'Données projet'!$A$114,$BV$205^A102,IF(A102='Données projet'!$A$114,'Données projet'!$B$114,BY101+BX102-CG101)))</f>
        <v>465.23000000000013</v>
      </c>
      <c r="BZ102" s="13">
        <f>BY102*VLOOKUP('Données projet'!$B$12,Paramètres!$A$1:$I$89,3,0)*VLOOKUP('Données projet'!$B$12,Paramètres!$A$1:$I$89,5,0)</f>
        <v>391.90975200000014</v>
      </c>
      <c r="CA102" s="13">
        <f t="shared" si="93"/>
        <v>90.134546207940858</v>
      </c>
      <c r="CB102" s="20">
        <f t="shared" si="64"/>
        <v>839.56048604549721</v>
      </c>
      <c r="CC102" s="59">
        <f t="shared" si="65"/>
        <v>1132.8938193788306</v>
      </c>
      <c r="CD102" s="59">
        <f ca="1">AVERAGE(OFFSET($CC$3,0,0,'Données projet'!$E$12+1,1))-AVERAGE(OFFSET($H$3,0,0,'Données projet'!$E$12+1,1))</f>
        <v>287.72859857368331</v>
      </c>
      <c r="CE102" s="59">
        <f t="shared" si="94"/>
        <v>179.60736986885922</v>
      </c>
      <c r="CF102" s="15">
        <f>IF(ISNA(VLOOKUP(A102,'Données projet'!$A$113:$I$133,3,0)),0,VLOOKUP(A102,'Données projet'!$A$113:$I$133,3,0))</f>
        <v>10</v>
      </c>
      <c r="CG102" s="15">
        <f>IF(ISNA(VLOOKUP(A102,'Données projet'!$A$113:$I$133,4,0)),0,VLOOKUP(A102,'Données projet'!$A$113:$I$133,4,0))</f>
        <v>226.42000000000002</v>
      </c>
      <c r="CH102" s="16">
        <f>IF(ISNA(VLOOKUP(A102,'Données projet'!$A$113:$I$133,5,0)),0%,VLOOKUP(A102,'Données projet'!$A$113:$I$133,5,0)*VLOOKUP('Données projet'!$B$12,Paramètres!$A$1:$I$89,7,0))</f>
        <v>0.19350000000000001</v>
      </c>
      <c r="CI102" s="16">
        <f>IF(ISNA(VLOOKUP(A102,'Données projet'!$A$113:$I$133,6,0)),0%,VLOOKUP(A102,'Données projet'!$A$113:$I$133,6,0)*VLOOKUP('Données projet'!$B$12,Paramètres!$A$1:$I$89,7,0))</f>
        <v>2.1500000000000002E-2</v>
      </c>
      <c r="CJ102" s="16">
        <f>IF(ISNA(VLOOKUP(A102,'Données projet'!$A$113:$I$133,7,0)),0%,VLOOKUP(A102,'Données projet'!$A$113:$I$133,7,0))</f>
        <v>0.05</v>
      </c>
      <c r="CK102" s="21">
        <f>EXP(-LN(2)/35)*CK101+(1-EXP(-LN(2)/35))/(LN(2)/35)*CG102*CH102*VLOOKUP('Données projet'!$B$12,Paramètres!$A$1:$I$89,3,0)*0.475*44/12</f>
        <v>86.418059665948277</v>
      </c>
      <c r="CL102" s="21">
        <f>EXP(-LN(2)/25)*CL101+(1-EXP(-LN(2)/25))/(LN(2)/25)*Calculateur!CG102*Calculateur!CI102*VLOOKUP('Données projet'!$B$12,Paramètres!$A$1:$I$89,3,0)*0.475*44/12</f>
        <v>27.744008388488901</v>
      </c>
      <c r="CM102" s="21">
        <f>EXP(-LN(2)/2)*CM101+(1-EXP(-LN(2)/2))/(LN(2)/2)*CG102*CJ102*VLOOKUP('Données projet'!$B$12,Paramètres!$A$1:$I$89,3,0)*0.475*44/12</f>
        <v>8.9987283754300513</v>
      </c>
      <c r="CN102" s="22">
        <f t="shared" si="66"/>
        <v>123.16079642986723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243.33915530322201</v>
      </c>
      <c r="CZ102" s="59">
        <f t="shared" si="96"/>
        <v>247.73814704672577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35.681034515904415</v>
      </c>
      <c r="DG102" s="21">
        <f>EXP(-LN(2)/25)*DG101+(1-EXP(-LN(2)/25))/(LN(2)/25)*Calculateur!DB102*Calculateur!DD102*VLOOKUP('Données projet'!$B$13,Paramètres!$A$1:$I$89,3,0)*0.475*44/12</f>
        <v>30.306484189808128</v>
      </c>
      <c r="DH102" s="21">
        <f>EXP(-LN(2)/2)*DH101+(1-EXP(-LN(2)/2))/(LN(2)/2)*DB102*DE102*VLOOKUP('Données projet'!$B$13,Paramètres!$A$1:$I$89,3,0)*0.475*44/12</f>
        <v>8.6208084988780659E-2</v>
      </c>
      <c r="DI102" s="22">
        <f t="shared" si="69"/>
        <v>66.073726790701329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5.6843418860808015E-13</v>
      </c>
      <c r="O103" s="13">
        <f>N103*VLOOKUP('Données projet'!$B$9,Paramètres!$A$1:$I$89,3,0)*VLOOKUP('Données projet'!$B$9,Paramètres!$A$1:$I$89,5,0)</f>
        <v>3.177547114319168E-13</v>
      </c>
      <c r="P103" s="13">
        <f t="shared" si="87"/>
        <v>4.1725404435445377E-12</v>
      </c>
      <c r="Q103" s="20">
        <f t="shared" si="107"/>
        <v>7.820597394917325E-12</v>
      </c>
      <c r="R103" s="59">
        <f t="shared" si="55"/>
        <v>293.33333333334116</v>
      </c>
      <c r="S103" s="59">
        <f ca="1">AVERAGE(OFFSET($R$3,0,0,'Données projet'!$E$9+1,1))-AVERAGE(OFFSET($H$3,0,0,'Données projet'!$E$9+1,1))</f>
        <v>287.413090017863</v>
      </c>
      <c r="T103" s="59">
        <f t="shared" si="88"/>
        <v>258.48456031927117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127.38361977430708</v>
      </c>
      <c r="AA103" s="21">
        <f>EXP(-LN(2)/25)*AA102+(1-EXP(-LN(2)/25))/(LN(2)/25)*Calculateur!V103*Calculateur!X103*VLOOKUP('Données projet'!$B$9,Paramètres!$A$1:$I$89,3,0)*0.475*44/12</f>
        <v>33.410575063285798</v>
      </c>
      <c r="AB103" s="21">
        <f>EXP(-LN(2)/2)*AB102+(1-EXP(-LN(2)/2))/(LN(2)/2)*V103*Y103*VLOOKUP('Données projet'!$B$9,Paramètres!$A$1:$I$89,3,0)*0.475*44/12</f>
        <v>2.3042457373907443E-3</v>
      </c>
      <c r="AC103" s="22">
        <f t="shared" si="57"/>
        <v>160.79649908333025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8.9420000000000019</v>
      </c>
      <c r="AI103" s="13">
        <f>IF('Données projet'!$A$62&gt;35,AI102+AH103-AQ102,IF(A103&lt;'Données projet'!$A$62,$AF$205^A103,IF(A103='Données projet'!$A$62,'Données projet'!$B$62,AI102+AH103-AQ102)))</f>
        <v>366.43200000000053</v>
      </c>
      <c r="AJ103" s="13">
        <f>AI103*VLOOKUP('Données projet'!$B$10,Paramètres!$A$1:$I$89,3,0)*VLOOKUP('Données projet'!$B$10,Paramètres!$A$1:$I$89,5,0)</f>
        <v>331.54767360000045</v>
      </c>
      <c r="AK103" s="13">
        <f t="shared" si="89"/>
        <v>77.751091964826287</v>
      </c>
      <c r="AL103" s="20">
        <f t="shared" si="58"/>
        <v>712.86201669207321</v>
      </c>
      <c r="AM103" s="59">
        <f t="shared" si="59"/>
        <v>1006.1953500254065</v>
      </c>
      <c r="AN103" s="59">
        <f ca="1">AVERAGE(OFFSET($AM$3,0,0,'Données projet'!$E$10+1,1))-AVERAGE(OFFSET($H$3,0,0,'Données projet'!$E$10+1,1))</f>
        <v>422.10969295064359</v>
      </c>
      <c r="AO103" s="59">
        <f t="shared" si="90"/>
        <v>184.04075143033037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25.054735908169643</v>
      </c>
      <c r="AV103" s="21">
        <f>EXP(-LN(2)/25)*AV102+(1-EXP(-LN(2)/25))/(LN(2)/25)*Calculateur!AQ103*Calculateur!AS103*VLOOKUP('Données projet'!$B$10,Paramètres!$A$1:$I$89,3,0)*0.475*44/12</f>
        <v>23.86716850485222</v>
      </c>
      <c r="AW103" s="21">
        <f>EXP(-LN(2)/2)*AW102+(1-EXP(-LN(2)/2))/(LN(2)/2)*AQ103*AT103*VLOOKUP('Données projet'!$B$10,Paramètres!$A$1:$I$89,3,0)*0.475*44/12</f>
        <v>0.74152505796610368</v>
      </c>
      <c r="AX103" s="21">
        <f t="shared" si="60"/>
        <v>49.663429470987964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-2.2737367544323206E-13</v>
      </c>
      <c r="BE103" s="13">
        <f>BD103*VLOOKUP('Données projet'!$B$11,Paramètres!$A$1:$I$89,3,0)*VLOOKUP('Données projet'!$B$11,Paramètres!$A$1:$I$89,5,0)</f>
        <v>-9.1631591203622526E-14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217.61052961346684</v>
      </c>
      <c r="BJ103" s="59">
        <f t="shared" si="92"/>
        <v>180.77145728128608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113.34409199752149</v>
      </c>
      <c r="BQ103" s="21">
        <f>EXP(-LN(2)/25)*BQ102+(1-EXP(-LN(2)/25))/(LN(2)/25)*Calculateur!BL103*Calculateur!BN103*VLOOKUP('Données projet'!$B$11,Paramètres!$A$1:$I$89,3,0)*0.475*44/12</f>
        <v>34.622871879064867</v>
      </c>
      <c r="BR103" s="21">
        <f>EXP(-LN(2)/2)*BR102+(1-EXP(-LN(2)/2))/(LN(2)/2)*BL103*BO103*VLOOKUP('Données projet'!$B$11,Paramètres!$A$1:$I$89,3,0)*0.475*44/12</f>
        <v>6.385198451627222E-2</v>
      </c>
      <c r="BS103" s="22">
        <f t="shared" si="63"/>
        <v>148.03081586110264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7.0300000000000011</v>
      </c>
      <c r="BY103" s="12">
        <f>IF('Données projet'!$A$114&gt;35,BY102+BX103-CG102,IF(A103&lt;'Données projet'!$A$114,$BV$205^A103,IF(A103='Données projet'!$A$114,'Données projet'!$B$114,BY102+BX103-CG102)))</f>
        <v>245.84000000000009</v>
      </c>
      <c r="BZ103" s="13">
        <f>BY103*VLOOKUP('Données projet'!$B$12,Paramètres!$A$1:$I$89,3,0)*VLOOKUP('Données projet'!$B$12,Paramètres!$A$1:$I$89,5,0)</f>
        <v>207.09561600000009</v>
      </c>
      <c r="CA103" s="13">
        <f t="shared" si="93"/>
        <v>51.300391199015458</v>
      </c>
      <c r="CB103" s="20">
        <f t="shared" si="64"/>
        <v>450.03971253828541</v>
      </c>
      <c r="CC103" s="59">
        <f t="shared" si="65"/>
        <v>743.37304587161873</v>
      </c>
      <c r="CD103" s="59">
        <f ca="1">AVERAGE(OFFSET($CC$3,0,0,'Données projet'!$E$12+1,1))-AVERAGE(OFFSET($H$3,0,0,'Données projet'!$E$12+1,1))</f>
        <v>287.72859857368331</v>
      </c>
      <c r="CE103" s="59">
        <f t="shared" si="94"/>
        <v>179.60736986885922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84.723454225710768</v>
      </c>
      <c r="CL103" s="21">
        <f>EXP(-LN(2)/25)*CL102+(1-EXP(-LN(2)/25))/(LN(2)/25)*Calculateur!CG103*Calculateur!CI103*VLOOKUP('Données projet'!$B$12,Paramètres!$A$1:$I$89,3,0)*0.475*44/12</f>
        <v>26.985347020111679</v>
      </c>
      <c r="CM103" s="21">
        <f>EXP(-LN(2)/2)*CM102+(1-EXP(-LN(2)/2))/(LN(2)/2)*CG103*CJ103*VLOOKUP('Données projet'!$B$12,Paramètres!$A$1:$I$89,3,0)*0.475*44/12</f>
        <v>6.3630618563223944</v>
      </c>
      <c r="CN103" s="22">
        <f t="shared" si="66"/>
        <v>118.07186310214483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243.33915530322201</v>
      </c>
      <c r="CZ103" s="59">
        <f t="shared" si="96"/>
        <v>247.73814704672577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34.98135119232964</v>
      </c>
      <c r="DG103" s="21">
        <f>EXP(-LN(2)/25)*DG102+(1-EXP(-LN(2)/25))/(LN(2)/25)*Calculateur!DB103*Calculateur!DD103*VLOOKUP('Données projet'!$B$13,Paramètres!$A$1:$I$89,3,0)*0.475*44/12</f>
        <v>29.477751785889087</v>
      </c>
      <c r="DH103" s="21">
        <f>EXP(-LN(2)/2)*DH102+(1-EXP(-LN(2)/2))/(LN(2)/2)*DB103*DE103*VLOOKUP('Données projet'!$B$13,Paramètres!$A$1:$I$89,3,0)*0.475*44/12</f>
        <v>6.0958321488673022E-2</v>
      </c>
      <c r="DI103" s="22">
        <f t="shared" si="69"/>
        <v>64.520061299707393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5.6843418860808015E-13</v>
      </c>
      <c r="O104" s="13">
        <f>N104*VLOOKUP('Données projet'!$B$9,Paramètres!$A$1:$I$89,3,0)*VLOOKUP('Données projet'!$B$9,Paramètres!$A$1:$I$89,5,0)</f>
        <v>3.177547114319168E-13</v>
      </c>
      <c r="P104" s="13">
        <f t="shared" si="87"/>
        <v>4.1725404435445377E-12</v>
      </c>
      <c r="Q104" s="20">
        <f t="shared" si="107"/>
        <v>7.820597394917325E-12</v>
      </c>
      <c r="R104" s="59">
        <f t="shared" si="55"/>
        <v>293.33333333334116</v>
      </c>
      <c r="S104" s="59">
        <f ca="1">AVERAGE(OFFSET($R$3,0,0,'Données projet'!$E$9+1,1))-AVERAGE(OFFSET($H$3,0,0,'Données projet'!$E$9+1,1))</f>
        <v>287.413090017863</v>
      </c>
      <c r="T104" s="59">
        <f t="shared" si="88"/>
        <v>258.48456031927117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124.8857046868691</v>
      </c>
      <c r="AA104" s="21">
        <f>EXP(-LN(2)/25)*AA103+(1-EXP(-LN(2)/25))/(LN(2)/25)*Calculateur!V104*Calculateur!X104*VLOOKUP('Données projet'!$B$9,Paramètres!$A$1:$I$89,3,0)*0.475*44/12</f>
        <v>32.496961131194467</v>
      </c>
      <c r="AB104" s="21">
        <f>EXP(-LN(2)/2)*AB103+(1-EXP(-LN(2)/2))/(LN(2)/2)*V104*Y104*VLOOKUP('Données projet'!$B$9,Paramètres!$A$1:$I$89,3,0)*0.475*44/12</f>
        <v>1.6293477864291919E-3</v>
      </c>
      <c r="AC104" s="22">
        <f t="shared" si="57"/>
        <v>157.38429516585001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8.9420000000000019</v>
      </c>
      <c r="AI104" s="13">
        <f>IF('Données projet'!$A$62&gt;35,AI103+AH104-AQ103,IF(A104&lt;'Données projet'!$A$62,$AF$205^A104,IF(A104='Données projet'!$A$62,'Données projet'!$B$62,AI103+AH104-AQ103)))</f>
        <v>375.37400000000054</v>
      </c>
      <c r="AJ104" s="13">
        <f>AI104*VLOOKUP('Données projet'!$B$10,Paramètres!$A$1:$I$89,3,0)*VLOOKUP('Données projet'!$B$10,Paramètres!$A$1:$I$89,5,0)</f>
        <v>339.6383952000005</v>
      </c>
      <c r="AK104" s="13">
        <f t="shared" si="89"/>
        <v>79.425231954431325</v>
      </c>
      <c r="AL104" s="20">
        <f t="shared" si="58"/>
        <v>729.86915062730213</v>
      </c>
      <c r="AM104" s="59">
        <f t="shared" si="59"/>
        <v>1023.2024839606354</v>
      </c>
      <c r="AN104" s="59">
        <f ca="1">AVERAGE(OFFSET($AM$3,0,0,'Données projet'!$E$10+1,1))-AVERAGE(OFFSET($H$3,0,0,'Données projet'!$E$10+1,1))</f>
        <v>422.10969295064359</v>
      </c>
      <c r="AO104" s="59">
        <f t="shared" si="90"/>
        <v>184.04075143033037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24.563427818890382</v>
      </c>
      <c r="AV104" s="21">
        <f>EXP(-LN(2)/25)*AV103+(1-EXP(-LN(2)/25))/(LN(2)/25)*Calculateur!AQ104*Calculateur!AS104*VLOOKUP('Données projet'!$B$10,Paramètres!$A$1:$I$89,3,0)*0.475*44/12</f>
        <v>23.214519526967194</v>
      </c>
      <c r="AW104" s="21">
        <f>EXP(-LN(2)/2)*AW103+(1-EXP(-LN(2)/2))/(LN(2)/2)*AQ104*AT104*VLOOKUP('Données projet'!$B$10,Paramètres!$A$1:$I$89,3,0)*0.475*44/12</f>
        <v>0.52433739690757963</v>
      </c>
      <c r="AX104" s="21">
        <f t="shared" si="60"/>
        <v>48.302284742765153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-9.1631591203622526E-14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217.61052961346684</v>
      </c>
      <c r="BJ104" s="59">
        <f t="shared" si="92"/>
        <v>180.77145728128608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111.12148348651989</v>
      </c>
      <c r="BQ104" s="21">
        <f>EXP(-LN(2)/25)*BQ103+(1-EXP(-LN(2)/25))/(LN(2)/25)*Calculateur!BL104*Calculateur!BN104*VLOOKUP('Données projet'!$B$11,Paramètres!$A$1:$I$89,3,0)*0.475*44/12</f>
        <v>33.676107626794135</v>
      </c>
      <c r="BR104" s="21">
        <f>EXP(-LN(2)/2)*BR103+(1-EXP(-LN(2)/2))/(LN(2)/2)*BL104*BO104*VLOOKUP('Données projet'!$B$11,Paramètres!$A$1:$I$89,3,0)*0.475*44/12</f>
        <v>4.5150171243674521E-2</v>
      </c>
      <c r="BS104" s="22">
        <f t="shared" si="63"/>
        <v>144.84274128455769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>
        <f>VLOOKUP(A104,'Données projet'!$A$113:$I$133,2,0)</f>
        <v>252.87</v>
      </c>
      <c r="BW104" s="12">
        <f>VLOOKUP(A104,'Données projet'!$A$113:$I$133,9,0)</f>
        <v>7.0300000000000011</v>
      </c>
      <c r="BX104" s="12">
        <f t="array" ref="BX104">INDEX(BW:BW,MIN(IF(ISNUMBER(BW104:BW300),ROW(BW104:BW300),"")))</f>
        <v>7.0300000000000011</v>
      </c>
      <c r="BY104" s="12">
        <f>IF('Données projet'!$A$114&gt;35,BY103+BX104-CG103,IF(A104&lt;'Données projet'!$A$114,$BV$205^A104,IF(A104='Données projet'!$A$114,'Données projet'!$B$114,BY103+BX104-CG103)))</f>
        <v>252.87000000000009</v>
      </c>
      <c r="BZ104" s="13">
        <f>BY104*VLOOKUP('Données projet'!$B$12,Paramètres!$A$1:$I$89,3,0)*VLOOKUP('Données projet'!$B$12,Paramètres!$A$1:$I$89,5,0)</f>
        <v>213.01768800000011</v>
      </c>
      <c r="CA104" s="13">
        <f t="shared" si="93"/>
        <v>52.594477866693403</v>
      </c>
      <c r="CB104" s="20">
        <f t="shared" si="64"/>
        <v>462.6078555511578</v>
      </c>
      <c r="CC104" s="59">
        <f t="shared" si="65"/>
        <v>755.94118888449111</v>
      </c>
      <c r="CD104" s="59">
        <f ca="1">AVERAGE(OFFSET($CC$3,0,0,'Données projet'!$E$12+1,1))-AVERAGE(OFFSET($H$3,0,0,'Données projet'!$E$12+1,1))</f>
        <v>287.72859857368331</v>
      </c>
      <c r="CE104" s="59">
        <f t="shared" si="94"/>
        <v>179.60736986885922</v>
      </c>
      <c r="CF104" s="15">
        <f>IF(ISNA(VLOOKUP(A104,'Données projet'!$A$113:$I$133,3,0)),0,VLOOKUP(A104,'Données projet'!$A$113:$I$133,3,0))</f>
        <v>11</v>
      </c>
      <c r="CG104" s="15">
        <f>IF(ISNA(VLOOKUP(A104,'Données projet'!$A$113:$I$133,4,0)),0,VLOOKUP(A104,'Données projet'!$A$113:$I$133,4,0))</f>
        <v>82.539999999999992</v>
      </c>
      <c r="CH104" s="16">
        <f>IF(ISNA(VLOOKUP(A104,'Données projet'!$A$113:$I$133,5,0)),0%,VLOOKUP(A104,'Données projet'!$A$113:$I$133,5,0)*VLOOKUP('Données projet'!$B$12,Paramètres!$A$1:$I$89,7,0))</f>
        <v>0.19350000000000001</v>
      </c>
      <c r="CI104" s="16">
        <f>IF(ISNA(VLOOKUP(A104,'Données projet'!$A$113:$I$133,6,0)),0%,VLOOKUP(A104,'Données projet'!$A$113:$I$133,6,0)*VLOOKUP('Données projet'!$B$12,Paramètres!$A$1:$I$89,7,0))</f>
        <v>2.1500000000000002E-2</v>
      </c>
      <c r="CJ104" s="16">
        <f>IF(ISNA(VLOOKUP(A104,'Données projet'!$A$113:$I$133,7,0)),0%,VLOOKUP(A104,'Données projet'!$A$113:$I$133,7,0))</f>
        <v>0.05</v>
      </c>
      <c r="CK104" s="21">
        <f>EXP(-LN(2)/35)*CK103+(1-EXP(-LN(2)/35))/(LN(2)/35)*CG104*CH104*VLOOKUP('Données projet'!$B$12,Paramètres!$A$1:$I$89,3,0)*0.475*44/12</f>
        <v>97.93550104050351</v>
      </c>
      <c r="CL104" s="21">
        <f>EXP(-LN(2)/25)*CL103+(1-EXP(-LN(2)/25))/(LN(2)/25)*Calculateur!CG104*Calculateur!CI104*VLOOKUP('Données projet'!$B$12,Paramètres!$A$1:$I$89,3,0)*0.475*44/12</f>
        <v>27.893526814084925</v>
      </c>
      <c r="CM104" s="21">
        <f>EXP(-LN(2)/2)*CM103+(1-EXP(-LN(2)/2))/(LN(2)/2)*CG104*CJ104*VLOOKUP('Données projet'!$B$12,Paramètres!$A$1:$I$89,3,0)*0.475*44/12</f>
        <v>7.7796155174230179</v>
      </c>
      <c r="CN104" s="22">
        <f t="shared" si="66"/>
        <v>133.60864337201144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243.33915530322201</v>
      </c>
      <c r="CZ104" s="59">
        <f t="shared" si="96"/>
        <v>247.73814704672577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34.295388231965475</v>
      </c>
      <c r="DG104" s="21">
        <f>EXP(-LN(2)/25)*DG103+(1-EXP(-LN(2)/25))/(LN(2)/25)*Calculateur!DB104*Calculateur!DD104*VLOOKUP('Données projet'!$B$13,Paramètres!$A$1:$I$89,3,0)*0.475*44/12</f>
        <v>28.671681113136355</v>
      </c>
      <c r="DH104" s="21">
        <f>EXP(-LN(2)/2)*DH103+(1-EXP(-LN(2)/2))/(LN(2)/2)*DB104*DE104*VLOOKUP('Données projet'!$B$13,Paramètres!$A$1:$I$89,3,0)*0.475*44/12</f>
        <v>4.3104042494390336E-2</v>
      </c>
      <c r="DI104" s="22">
        <f t="shared" si="69"/>
        <v>63.010173387596225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5.6843418860808015E-13</v>
      </c>
      <c r="O105" s="13">
        <f>N105*VLOOKUP('Données projet'!$B$9,Paramètres!$A$1:$I$89,3,0)*VLOOKUP('Données projet'!$B$9,Paramètres!$A$1:$I$89,5,0)</f>
        <v>3.177547114319168E-13</v>
      </c>
      <c r="P105" s="13">
        <f t="shared" si="87"/>
        <v>4.1725404435445377E-12</v>
      </c>
      <c r="Q105" s="20">
        <f t="shared" si="107"/>
        <v>7.820597394917325E-12</v>
      </c>
      <c r="R105" s="59">
        <f t="shared" si="55"/>
        <v>293.33333333334116</v>
      </c>
      <c r="S105" s="59">
        <f ca="1">AVERAGE(OFFSET($R$3,0,0,'Données projet'!$E$9+1,1))-AVERAGE(OFFSET($H$3,0,0,'Données projet'!$E$9+1,1))</f>
        <v>287.413090017863</v>
      </c>
      <c r="T105" s="59">
        <f t="shared" si="88"/>
        <v>258.48456031927117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122.43677219071803</v>
      </c>
      <c r="AA105" s="21">
        <f>EXP(-LN(2)/25)*AA104+(1-EXP(-LN(2)/25))/(LN(2)/25)*Calculateur!V105*Calculateur!X105*VLOOKUP('Données projet'!$B$9,Paramètres!$A$1:$I$89,3,0)*0.475*44/12</f>
        <v>31.608330020121041</v>
      </c>
      <c r="AB105" s="21">
        <f>EXP(-LN(2)/2)*AB104+(1-EXP(-LN(2)/2))/(LN(2)/2)*V105*Y105*VLOOKUP('Données projet'!$B$9,Paramètres!$A$1:$I$89,3,0)*0.475*44/12</f>
        <v>1.1521228686953721E-3</v>
      </c>
      <c r="AC105" s="22">
        <f t="shared" si="57"/>
        <v>154.04625433370776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8.9420000000000019</v>
      </c>
      <c r="AI105" s="13">
        <f>IF('Données projet'!$A$62&gt;35,AI104+AH105-AQ104,IF(A105&lt;'Données projet'!$A$62,$AF$205^A105,IF(A105='Données projet'!$A$62,'Données projet'!$B$62,AI104+AH105-AQ104)))</f>
        <v>384.31600000000054</v>
      </c>
      <c r="AJ105" s="13">
        <f>AI105*VLOOKUP('Données projet'!$B$10,Paramètres!$A$1:$I$89,3,0)*VLOOKUP('Données projet'!$B$10,Paramètres!$A$1:$I$89,5,0)</f>
        <v>347.7291168000005</v>
      </c>
      <c r="AK105" s="13">
        <f t="shared" si="89"/>
        <v>81.094735802697301</v>
      </c>
      <c r="AL105" s="20">
        <f t="shared" si="58"/>
        <v>746.86820994969855</v>
      </c>
      <c r="AM105" s="59">
        <f t="shared" si="59"/>
        <v>1040.2015432830319</v>
      </c>
      <c r="AN105" s="59">
        <f ca="1">AVERAGE(OFFSET($AM$3,0,0,'Données projet'!$E$10+1,1))-AVERAGE(OFFSET($H$3,0,0,'Données projet'!$E$10+1,1))</f>
        <v>422.10969295064359</v>
      </c>
      <c r="AO105" s="59">
        <f t="shared" si="90"/>
        <v>184.04075143033037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24.081753981573542</v>
      </c>
      <c r="AV105" s="21">
        <f>EXP(-LN(2)/25)*AV104+(1-EXP(-LN(2)/25))/(LN(2)/25)*Calculateur!AQ105*Calculateur!AS105*VLOOKUP('Données projet'!$B$10,Paramètres!$A$1:$I$89,3,0)*0.475*44/12</f>
        <v>22.579717269703753</v>
      </c>
      <c r="AW105" s="21">
        <f>EXP(-LN(2)/2)*AW104+(1-EXP(-LN(2)/2))/(LN(2)/2)*AQ105*AT105*VLOOKUP('Données projet'!$B$10,Paramètres!$A$1:$I$89,3,0)*0.475*44/12</f>
        <v>0.37076252898305184</v>
      </c>
      <c r="AX105" s="21">
        <f t="shared" si="60"/>
        <v>47.032233780260341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-9.1631591203622526E-14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217.61052961346684</v>
      </c>
      <c r="BJ105" s="59">
        <f t="shared" si="92"/>
        <v>180.77145728128608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108.9424589727617</v>
      </c>
      <c r="BQ105" s="21">
        <f>EXP(-LN(2)/25)*BQ104+(1-EXP(-LN(2)/25))/(LN(2)/25)*Calculateur!BL105*Calculateur!BN105*VLOOKUP('Données projet'!$B$11,Paramètres!$A$1:$I$89,3,0)*0.475*44/12</f>
        <v>32.755232692789917</v>
      </c>
      <c r="BR105" s="21">
        <f>EXP(-LN(2)/2)*BR104+(1-EXP(-LN(2)/2))/(LN(2)/2)*BL105*BO105*VLOOKUP('Données projet'!$B$11,Paramètres!$A$1:$I$89,3,0)*0.475*44/12</f>
        <v>3.192599225813611E-2</v>
      </c>
      <c r="BS105" s="22">
        <f t="shared" si="63"/>
        <v>141.72961765780974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4.8149999999999977</v>
      </c>
      <c r="BY105" s="12">
        <f>IF('Données projet'!$A$114&gt;35,BY104+BX105-CG104,IF(A105&lt;'Données projet'!$A$114,$BV$205^A105,IF(A105='Données projet'!$A$114,'Données projet'!$B$114,BY104+BX105-CG104)))</f>
        <v>175.14500000000007</v>
      </c>
      <c r="BZ105" s="13">
        <f>BY105*VLOOKUP('Données projet'!$B$12,Paramètres!$A$1:$I$89,3,0)*VLOOKUP('Données projet'!$B$12,Paramètres!$A$1:$I$89,5,0)</f>
        <v>147.54214800000008</v>
      </c>
      <c r="CA105" s="13">
        <f t="shared" si="93"/>
        <v>38.019493993011075</v>
      </c>
      <c r="CB105" s="20">
        <f t="shared" si="64"/>
        <v>323.18652647116113</v>
      </c>
      <c r="CC105" s="59">
        <f t="shared" si="65"/>
        <v>616.51985980449444</v>
      </c>
      <c r="CD105" s="59">
        <f ca="1">AVERAGE(OFFSET($CC$3,0,0,'Données projet'!$E$12+1,1))-AVERAGE(OFFSET($H$3,0,0,'Données projet'!$E$12+1,1))</f>
        <v>287.72859857368331</v>
      </c>
      <c r="CE105" s="59">
        <f t="shared" si="94"/>
        <v>179.60736986885922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96.015045599856549</v>
      </c>
      <c r="CL105" s="21">
        <f>EXP(-LN(2)/25)*CL104+(1-EXP(-LN(2)/25))/(LN(2)/25)*Calculateur!CG105*Calculateur!CI105*VLOOKUP('Données projet'!$B$12,Paramètres!$A$1:$I$89,3,0)*0.475*44/12</f>
        <v>27.130776856496951</v>
      </c>
      <c r="CM105" s="21">
        <f>EXP(-LN(2)/2)*CM104+(1-EXP(-LN(2)/2))/(LN(2)/2)*CG105*CJ105*VLOOKUP('Données projet'!$B$12,Paramètres!$A$1:$I$89,3,0)*0.475*44/12</f>
        <v>5.5010188873939079</v>
      </c>
      <c r="CN105" s="22">
        <f t="shared" si="66"/>
        <v>128.64684134374741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243.33915530322201</v>
      </c>
      <c r="CZ105" s="59">
        <f t="shared" si="96"/>
        <v>247.73814704672577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33.622876586857963</v>
      </c>
      <c r="DG105" s="21">
        <f>EXP(-LN(2)/25)*DG104+(1-EXP(-LN(2)/25))/(LN(2)/25)*Calculateur!DB105*Calculateur!DD105*VLOOKUP('Données projet'!$B$13,Paramètres!$A$1:$I$89,3,0)*0.475*44/12</f>
        <v>27.88765248531946</v>
      </c>
      <c r="DH105" s="21">
        <f>EXP(-LN(2)/2)*DH104+(1-EXP(-LN(2)/2))/(LN(2)/2)*DB105*DE105*VLOOKUP('Données projet'!$B$13,Paramètres!$A$1:$I$89,3,0)*0.475*44/12</f>
        <v>3.0479160744336514E-2</v>
      </c>
      <c r="DI105" s="22">
        <f t="shared" si="69"/>
        <v>61.541008232921754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5.6843418860808015E-13</v>
      </c>
      <c r="O106" s="13">
        <f>N106*VLOOKUP('Données projet'!$B$9,Paramètres!$A$1:$I$89,3,0)*VLOOKUP('Données projet'!$B$9,Paramètres!$A$1:$I$89,5,0)</f>
        <v>3.177547114319168E-13</v>
      </c>
      <c r="P106" s="13">
        <f t="shared" si="87"/>
        <v>4.1725404435445377E-12</v>
      </c>
      <c r="Q106" s="20">
        <f t="shared" si="107"/>
        <v>7.820597394917325E-12</v>
      </c>
      <c r="R106" s="59">
        <f t="shared" si="55"/>
        <v>293.33333333334116</v>
      </c>
      <c r="S106" s="59">
        <f ca="1">AVERAGE(OFFSET($R$3,0,0,'Données projet'!$E$9+1,1))-AVERAGE(OFFSET($H$3,0,0,'Données projet'!$E$9+1,1))</f>
        <v>287.413090017863</v>
      </c>
      <c r="T106" s="59">
        <f t="shared" si="88"/>
        <v>258.48456031927117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120.03586176711514</v>
      </c>
      <c r="AA106" s="21">
        <f>EXP(-LN(2)/25)*AA105+(1-EXP(-LN(2)/25))/(LN(2)/25)*Calculateur!V106*Calculateur!X106*VLOOKUP('Données projet'!$B$9,Paramètres!$A$1:$I$89,3,0)*0.475*44/12</f>
        <v>30.743998573510996</v>
      </c>
      <c r="AB106" s="21">
        <f>EXP(-LN(2)/2)*AB105+(1-EXP(-LN(2)/2))/(LN(2)/2)*V106*Y106*VLOOKUP('Données projet'!$B$9,Paramètres!$A$1:$I$89,3,0)*0.475*44/12</f>
        <v>8.1467389321459595E-4</v>
      </c>
      <c r="AC106" s="22">
        <f t="shared" si="57"/>
        <v>150.78067501451935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8.9420000000000019</v>
      </c>
      <c r="AI106" s="13">
        <f>IF('Données projet'!$A$62&gt;35,AI105+AH106-AQ105,IF(A106&lt;'Données projet'!$A$62,$AF$205^A106,IF(A106='Données projet'!$A$62,'Données projet'!$B$62,AI105+AH106-AQ105)))</f>
        <v>393.25800000000055</v>
      </c>
      <c r="AJ106" s="13">
        <f>AI106*VLOOKUP('Données projet'!$B$10,Paramètres!$A$1:$I$89,3,0)*VLOOKUP('Données projet'!$B$10,Paramètres!$A$1:$I$89,5,0)</f>
        <v>355.81983840000049</v>
      </c>
      <c r="AK106" s="13">
        <f t="shared" si="89"/>
        <v>82.759723795307863</v>
      </c>
      <c r="AL106" s="20">
        <f t="shared" si="58"/>
        <v>763.85940415682887</v>
      </c>
      <c r="AM106" s="59">
        <f t="shared" si="59"/>
        <v>1057.1927374901622</v>
      </c>
      <c r="AN106" s="59">
        <f ca="1">AVERAGE(OFFSET($AM$3,0,0,'Données projet'!$E$10+1,1))-AVERAGE(OFFSET($H$3,0,0,'Données projet'!$E$10+1,1))</f>
        <v>422.10969295064359</v>
      </c>
      <c r="AO106" s="59">
        <f t="shared" si="90"/>
        <v>184.04075143033037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23.60952547441445</v>
      </c>
      <c r="AV106" s="21">
        <f>EXP(-LN(2)/25)*AV105+(1-EXP(-LN(2)/25))/(LN(2)/25)*Calculateur!AQ106*Calculateur!AS106*VLOOKUP('Données projet'!$B$10,Paramètres!$A$1:$I$89,3,0)*0.475*44/12</f>
        <v>21.96227371354798</v>
      </c>
      <c r="AW106" s="21">
        <f>EXP(-LN(2)/2)*AW105+(1-EXP(-LN(2)/2))/(LN(2)/2)*AQ106*AT106*VLOOKUP('Données projet'!$B$10,Paramètres!$A$1:$I$89,3,0)*0.475*44/12</f>
        <v>0.26216869845378982</v>
      </c>
      <c r="AX106" s="21">
        <f t="shared" si="60"/>
        <v>45.833967886416218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-9.1631591203622526E-14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217.61052961346684</v>
      </c>
      <c r="BJ106" s="59">
        <f t="shared" si="92"/>
        <v>180.77145728128608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106.80616380064458</v>
      </c>
      <c r="BQ106" s="21">
        <f>EXP(-LN(2)/25)*BQ105+(1-EXP(-LN(2)/25))/(LN(2)/25)*Calculateur!BL106*Calculateur!BN106*VLOOKUP('Données projet'!$B$11,Paramètres!$A$1:$I$89,3,0)*0.475*44/12</f>
        <v>31.859539132282752</v>
      </c>
      <c r="BR106" s="21">
        <f>EXP(-LN(2)/2)*BR105+(1-EXP(-LN(2)/2))/(LN(2)/2)*BL106*BO106*VLOOKUP('Données projet'!$B$11,Paramètres!$A$1:$I$89,3,0)*0.475*44/12</f>
        <v>2.257508562183726E-2</v>
      </c>
      <c r="BS106" s="22">
        <f t="shared" si="63"/>
        <v>138.68827801854917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179.96</v>
      </c>
      <c r="BW106" s="12">
        <f>VLOOKUP(A106,'Données projet'!$A$113:$I$133,9,0)</f>
        <v>4.8149999999999977</v>
      </c>
      <c r="BX106" s="12">
        <f t="array" ref="BX106">INDEX(BW:BW,MIN(IF(ISNUMBER(BW106:BW302),ROW(BW106:BW302),"")))</f>
        <v>4.8149999999999977</v>
      </c>
      <c r="BY106" s="12">
        <f>IF('Données projet'!$A$114&gt;35,BY105+BX106-CG105,IF(A106&lt;'Données projet'!$A$114,$BV$205^A106,IF(A106='Données projet'!$A$114,'Données projet'!$B$114,BY105+BX106-CG105)))</f>
        <v>179.96000000000006</v>
      </c>
      <c r="BZ106" s="13">
        <f>BY106*VLOOKUP('Données projet'!$B$12,Paramètres!$A$1:$I$89,3,0)*VLOOKUP('Données projet'!$B$12,Paramètres!$A$1:$I$89,5,0)</f>
        <v>151.59830400000007</v>
      </c>
      <c r="CA106" s="13">
        <f t="shared" si="93"/>
        <v>38.941581580147371</v>
      </c>
      <c r="CB106" s="20">
        <f t="shared" si="64"/>
        <v>331.85696738542345</v>
      </c>
      <c r="CC106" s="59">
        <f t="shared" si="65"/>
        <v>625.19030071875682</v>
      </c>
      <c r="CD106" s="59">
        <f ca="1">AVERAGE(OFFSET($CC$3,0,0,'Données projet'!$E$12+1,1))-AVERAGE(OFFSET($H$3,0,0,'Données projet'!$E$12+1,1))</f>
        <v>287.72859857368331</v>
      </c>
      <c r="CE106" s="59">
        <f t="shared" si="94"/>
        <v>179.60736986885922</v>
      </c>
      <c r="CF106" s="15">
        <f>IF(ISNA(VLOOKUP(A106,'Données projet'!$A$113:$I$133,3,0)),0,VLOOKUP(A106,'Données projet'!$A$113:$I$133,3,0))</f>
        <v>12</v>
      </c>
      <c r="CG106" s="15">
        <f>IF(ISNA(VLOOKUP(A106,'Données projet'!$A$113:$I$133,4,0)),0,VLOOKUP(A106,'Données projet'!$A$113:$I$133,4,0))</f>
        <v>58.600000000000009</v>
      </c>
      <c r="CH106" s="16">
        <f>IF(ISNA(VLOOKUP(A106,'Données projet'!$A$113:$I$133,5,0)),0%,VLOOKUP(A106,'Données projet'!$A$113:$I$133,5,0)*VLOOKUP('Données projet'!$B$12,Paramètres!$A$1:$I$89,7,0))</f>
        <v>0.19350000000000001</v>
      </c>
      <c r="CI106" s="16">
        <f>IF(ISNA(VLOOKUP(A106,'Données projet'!$A$113:$I$133,6,0)),0%,VLOOKUP(A106,'Données projet'!$A$113:$I$133,6,0)*VLOOKUP('Données projet'!$B$12,Paramètres!$A$1:$I$89,7,0))</f>
        <v>2.1500000000000002E-2</v>
      </c>
      <c r="CJ106" s="16">
        <f>IF(ISNA(VLOOKUP(A106,'Données projet'!$A$113:$I$133,7,0)),0%,VLOOKUP(A106,'Données projet'!$A$113:$I$133,7,0))</f>
        <v>0.05</v>
      </c>
      <c r="CK106" s="21">
        <f>EXP(-LN(2)/35)*CK105+(1-EXP(-LN(2)/35))/(LN(2)/35)*CG106*CH106*VLOOKUP('Données projet'!$B$12,Paramètres!$A$1:$I$89,3,0)*0.475*44/12</f>
        <v>104.69176612474402</v>
      </c>
      <c r="CL106" s="21">
        <f>EXP(-LN(2)/25)*CL105+(1-EXP(-LN(2)/25))/(LN(2)/25)*Calculateur!CG106*Calculateur!CI106*VLOOKUP('Données projet'!$B$12,Paramètres!$A$1:$I$89,3,0)*0.475*44/12</f>
        <v>27.557544354806343</v>
      </c>
      <c r="CM106" s="21">
        <f>EXP(-LN(2)/2)*CM105+(1-EXP(-LN(2)/2))/(LN(2)/2)*CG106*CJ106*VLOOKUP('Données projet'!$B$12,Paramètres!$A$1:$I$89,3,0)*0.475*44/12</f>
        <v>6.2186510822017969</v>
      </c>
      <c r="CN106" s="22">
        <f t="shared" si="66"/>
        <v>138.46796156175216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243.33915530322201</v>
      </c>
      <c r="CZ106" s="59">
        <f t="shared" si="96"/>
        <v>247.73814704672577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32.963552484919404</v>
      </c>
      <c r="DG106" s="21">
        <f>EXP(-LN(2)/25)*DG105+(1-EXP(-LN(2)/25))/(LN(2)/25)*Calculateur!DB106*Calculateur!DD106*VLOOKUP('Données projet'!$B$13,Paramètres!$A$1:$I$89,3,0)*0.475*44/12</f>
        <v>27.125063161560494</v>
      </c>
      <c r="DH106" s="21">
        <f>EXP(-LN(2)/2)*DH105+(1-EXP(-LN(2)/2))/(LN(2)/2)*DB106*DE106*VLOOKUP('Données projet'!$B$13,Paramètres!$A$1:$I$89,3,0)*0.475*44/12</f>
        <v>2.1552021247195172E-2</v>
      </c>
      <c r="DI106" s="22">
        <f t="shared" si="69"/>
        <v>60.11016766772709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5.6843418860808015E-13</v>
      </c>
      <c r="O107" s="13">
        <f>N107*VLOOKUP('Données projet'!$B$9,Paramètres!$A$1:$I$89,3,0)*VLOOKUP('Données projet'!$B$9,Paramètres!$A$1:$I$89,5,0)</f>
        <v>3.177547114319168E-13</v>
      </c>
      <c r="P107" s="13">
        <f t="shared" si="87"/>
        <v>4.1725404435445377E-12</v>
      </c>
      <c r="Q107" s="20">
        <f t="shared" si="107"/>
        <v>7.820597394917325E-12</v>
      </c>
      <c r="R107" s="59">
        <f t="shared" si="55"/>
        <v>293.33333333334116</v>
      </c>
      <c r="S107" s="59">
        <f ca="1">AVERAGE(OFFSET($R$3,0,0,'Données projet'!$E$9+1,1))-AVERAGE(OFFSET($H$3,0,0,'Données projet'!$E$9+1,1))</f>
        <v>287.413090017863</v>
      </c>
      <c r="T107" s="59">
        <f t="shared" si="88"/>
        <v>258.48456031927117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117.68203173250834</v>
      </c>
      <c r="AA107" s="21">
        <f>EXP(-LN(2)/25)*AA106+(1-EXP(-LN(2)/25))/(LN(2)/25)*Calculateur!V107*Calculateur!X107*VLOOKUP('Données projet'!$B$9,Paramètres!$A$1:$I$89,3,0)*0.475*44/12</f>
        <v>29.903302315761721</v>
      </c>
      <c r="AB107" s="21">
        <f>EXP(-LN(2)/2)*AB106+(1-EXP(-LN(2)/2))/(LN(2)/2)*V107*Y107*VLOOKUP('Données projet'!$B$9,Paramètres!$A$1:$I$89,3,0)*0.475*44/12</f>
        <v>5.7606143434768607E-4</v>
      </c>
      <c r="AC107" s="22">
        <f t="shared" si="57"/>
        <v>147.5859101097044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8.9420000000000019</v>
      </c>
      <c r="AH107" s="12">
        <f t="array" ref="AH107">INDEX(AG:AG,MIN(IF(ISNUMBER(AG107:AG303),ROW(AG107:AG303),"")))</f>
        <v>8.9420000000000019</v>
      </c>
      <c r="AI107" s="13">
        <f>IF('Données projet'!$A$62&gt;35,AI106+AH107-AQ106,IF(A107&lt;'Données projet'!$A$62,$AF$205^A107,IF(A107='Données projet'!$A$62,'Données projet'!$B$62,AI106+AH107-AQ106)))</f>
        <v>402.20000000000056</v>
      </c>
      <c r="AJ107" s="13">
        <f>AI107*VLOOKUP('Données projet'!$B$10,Paramètres!$A$1:$I$89,3,0)*VLOOKUP('Données projet'!$B$10,Paramètres!$A$1:$I$89,5,0)</f>
        <v>363.91056000000049</v>
      </c>
      <c r="AK107" s="13">
        <f t="shared" si="89"/>
        <v>84.42031043556446</v>
      </c>
      <c r="AL107" s="20">
        <f t="shared" si="58"/>
        <v>780.84293267527562</v>
      </c>
      <c r="AM107" s="59">
        <f t="shared" si="59"/>
        <v>1074.176266008609</v>
      </c>
      <c r="AN107" s="59">
        <f ca="1">AVERAGE(OFFSET($AM$3,0,0,'Données projet'!$E$10+1,1))-AVERAGE(OFFSET($H$3,0,0,'Données projet'!$E$10+1,1))</f>
        <v>422.10969295064359</v>
      </c>
      <c r="AO107" s="59">
        <f t="shared" si="90"/>
        <v>184.04075143033037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66.089999999999975</v>
      </c>
      <c r="AR107" s="16">
        <f>IF(ISNA(VLOOKUP(A107,'Données projet'!$A$61:$I$81,5,0)),0%,VLOOKUP(A107,'Données projet'!$A$61:$I$81,5,0)*VLOOKUP('Données projet'!$B$10,Paramètres!$A$1:$I$89,7,0))</f>
        <v>0.15049999999999999</v>
      </c>
      <c r="AS107" s="16">
        <f>IF(ISNA(VLOOKUP(A107,'Données projet'!$A$61:$I$81,6,0)),0%,VLOOKUP(A107,'Données projet'!$A$61:$I$81,6,0)*VLOOKUP('Données projet'!$B$10,Paramètres!$A$1:$I$89,7,0))</f>
        <v>8.6000000000000007E-2</v>
      </c>
      <c r="AT107" s="16">
        <f>IF(ISNA(VLOOKUP(A107,'Données projet'!$A$61:$I$81,7,0)),0%,VLOOKUP(A107,'Données projet'!$A$61:$I$81,7,0))</f>
        <v>0.1</v>
      </c>
      <c r="AU107" s="21">
        <f>EXP(-LN(2)/35)*AU106+(1-EXP(-LN(2)/35))/(LN(2)/35)*AQ107*AR107*VLOOKUP('Données projet'!$B$10,Paramètres!$A$1:$I$89,3,0)*0.475*44/12</f>
        <v>33.09538580102793</v>
      </c>
      <c r="AV107" s="21">
        <f>EXP(-LN(2)/25)*AV106+(1-EXP(-LN(2)/25))/(LN(2)/25)*Calculateur!AQ107*Calculateur!AS107*VLOOKUP('Données projet'!$B$10,Paramètres!$A$1:$I$89,3,0)*0.475*44/12</f>
        <v>27.024374978935796</v>
      </c>
      <c r="AW107" s="21">
        <f>EXP(-LN(2)/2)*AW106+(1-EXP(-LN(2)/2))/(LN(2)/2)*AQ107*AT107*VLOOKUP('Données projet'!$B$10,Paramètres!$A$1:$I$89,3,0)*0.475*44/12</f>
        <v>5.8275053982732432</v>
      </c>
      <c r="AX107" s="21">
        <f t="shared" si="60"/>
        <v>65.947266178236973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-9.1631591203622526E-14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217.61052961346684</v>
      </c>
      <c r="BJ107" s="59">
        <f t="shared" si="92"/>
        <v>180.77145728128608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104.71176007384129</v>
      </c>
      <c r="BQ107" s="21">
        <f>EXP(-LN(2)/25)*BQ106+(1-EXP(-LN(2)/25))/(LN(2)/25)*Calculateur!BL107*Calculateur!BN107*VLOOKUP('Données projet'!$B$11,Paramètres!$A$1:$I$89,3,0)*0.475*44/12</f>
        <v>30.988338359290132</v>
      </c>
      <c r="BR107" s="21">
        <f>EXP(-LN(2)/2)*BR106+(1-EXP(-LN(2)/2))/(LN(2)/2)*BL107*BO107*VLOOKUP('Données projet'!$B$11,Paramètres!$A$1:$I$89,3,0)*0.475*44/12</f>
        <v>1.5962996129068055E-2</v>
      </c>
      <c r="BS107" s="22">
        <f t="shared" si="63"/>
        <v>135.71606142926049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3.3666666666666694</v>
      </c>
      <c r="BY107" s="12">
        <f>IF('Données projet'!$A$114&gt;35,BY106+BX107-CG106,IF(A107&lt;'Données projet'!$A$114,$BV$205^A107,IF(A107='Données projet'!$A$114,'Données projet'!$B$114,BY106+BX107-CG106)))</f>
        <v>124.72666666666673</v>
      </c>
      <c r="BZ107" s="13">
        <f>BY107*VLOOKUP('Données projet'!$B$12,Paramètres!$A$1:$I$89,3,0)*VLOOKUP('Données projet'!$B$12,Paramètres!$A$1:$I$89,5,0)</f>
        <v>105.06974400000007</v>
      </c>
      <c r="CA107" s="13">
        <f t="shared" si="93"/>
        <v>28.166295917869327</v>
      </c>
      <c r="CB107" s="20">
        <f t="shared" si="64"/>
        <v>232.05276952362252</v>
      </c>
      <c r="CC107" s="59">
        <f t="shared" si="65"/>
        <v>525.38610285695586</v>
      </c>
      <c r="CD107" s="59">
        <f ca="1">AVERAGE(OFFSET($CC$3,0,0,'Données projet'!$E$12+1,1))-AVERAGE(OFFSET($H$3,0,0,'Données projet'!$E$12+1,1))</f>
        <v>287.72859857368331</v>
      </c>
      <c r="CE107" s="59">
        <f t="shared" si="94"/>
        <v>179.60736986885922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102.6388244467099</v>
      </c>
      <c r="CL107" s="21">
        <f>EXP(-LN(2)/25)*CL106+(1-EXP(-LN(2)/25))/(LN(2)/25)*Calculateur!CG107*Calculateur!CI107*VLOOKUP('Données projet'!$B$12,Paramètres!$A$1:$I$89,3,0)*0.475*44/12</f>
        <v>26.803981855235889</v>
      </c>
      <c r="CM107" s="21">
        <f>EXP(-LN(2)/2)*CM106+(1-EXP(-LN(2)/2))/(LN(2)/2)*CG107*CJ107*VLOOKUP('Données projet'!$B$12,Paramètres!$A$1:$I$89,3,0)*0.475*44/12</f>
        <v>4.397250350057953</v>
      </c>
      <c r="CN107" s="22">
        <f t="shared" si="66"/>
        <v>133.84005665200374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243.33915530322201</v>
      </c>
      <c r="CZ107" s="59">
        <f t="shared" si="96"/>
        <v>247.73814704672577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32.317157326471872</v>
      </c>
      <c r="DG107" s="21">
        <f>EXP(-LN(2)/25)*DG106+(1-EXP(-LN(2)/25))/(LN(2)/25)*Calculateur!DB107*Calculateur!DD107*VLOOKUP('Données projet'!$B$13,Paramètres!$A$1:$I$89,3,0)*0.475*44/12</f>
        <v>26.383326882962546</v>
      </c>
      <c r="DH107" s="21">
        <f>EXP(-LN(2)/2)*DH106+(1-EXP(-LN(2)/2))/(LN(2)/2)*DB107*DE107*VLOOKUP('Données projet'!$B$13,Paramètres!$A$1:$I$89,3,0)*0.475*44/12</f>
        <v>1.5239580372168261E-2</v>
      </c>
      <c r="DI107" s="22">
        <f t="shared" si="69"/>
        <v>58.715723789806589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5.6843418860808015E-13</v>
      </c>
      <c r="O108" s="13">
        <f>N108*VLOOKUP('Données projet'!$B$9,Paramètres!$A$1:$I$89,3,0)*VLOOKUP('Données projet'!$B$9,Paramètres!$A$1:$I$89,5,0)</f>
        <v>3.177547114319168E-13</v>
      </c>
      <c r="P108" s="13">
        <f t="shared" si="87"/>
        <v>4.1725404435445377E-12</v>
      </c>
      <c r="Q108" s="20">
        <f t="shared" si="107"/>
        <v>7.820597394917325E-12</v>
      </c>
      <c r="R108" s="59">
        <f t="shared" si="55"/>
        <v>293.33333333334116</v>
      </c>
      <c r="S108" s="59">
        <f ca="1">AVERAGE(OFFSET($R$3,0,0,'Données projet'!$E$9+1,1))-AVERAGE(OFFSET($H$3,0,0,'Données projet'!$E$9+1,1))</f>
        <v>287.413090017863</v>
      </c>
      <c r="T108" s="59">
        <f t="shared" si="88"/>
        <v>258.48456031927117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115.37435886918563</v>
      </c>
      <c r="AA108" s="21">
        <f>EXP(-LN(2)/25)*AA107+(1-EXP(-LN(2)/25))/(LN(2)/25)*Calculateur!V108*Calculateur!X108*VLOOKUP('Données projet'!$B$9,Paramètres!$A$1:$I$89,3,0)*0.475*44/12</f>
        <v>29.085594941390891</v>
      </c>
      <c r="AB108" s="21">
        <f>EXP(-LN(2)/2)*AB107+(1-EXP(-LN(2)/2))/(LN(2)/2)*V108*Y108*VLOOKUP('Données projet'!$B$9,Paramètres!$A$1:$I$89,3,0)*0.475*44/12</f>
        <v>4.0733694660729798E-4</v>
      </c>
      <c r="AC108" s="22">
        <f t="shared" si="57"/>
        <v>144.46036114752312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8.8449999999999989</v>
      </c>
      <c r="AI108" s="13">
        <f>IF('Données projet'!$A$62&gt;35,AI107+AH108-AQ107,IF(A108&lt;'Données projet'!$A$62,$AF$205^A108,IF(A108='Données projet'!$A$62,'Données projet'!$B$62,AI107+AH108-AQ107)))</f>
        <v>344.95500000000055</v>
      </c>
      <c r="AJ108" s="13">
        <f>AI108*VLOOKUP('Données projet'!$B$10,Paramètres!$A$1:$I$89,3,0)*VLOOKUP('Données projet'!$B$10,Paramètres!$A$1:$I$89,5,0)</f>
        <v>312.11528400000049</v>
      </c>
      <c r="AK108" s="13">
        <f t="shared" si="89"/>
        <v>73.71041067221141</v>
      </c>
      <c r="AL108" s="20">
        <f t="shared" si="58"/>
        <v>671.97975155410234</v>
      </c>
      <c r="AM108" s="59">
        <f t="shared" si="59"/>
        <v>965.31308488743571</v>
      </c>
      <c r="AN108" s="59">
        <f ca="1">AVERAGE(OFFSET($AM$3,0,0,'Données projet'!$E$10+1,1))-AVERAGE(OFFSET($H$3,0,0,'Données projet'!$E$10+1,1))</f>
        <v>422.10969295064359</v>
      </c>
      <c r="AO108" s="59">
        <f t="shared" si="90"/>
        <v>184.04075143033037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32.44640547166189</v>
      </c>
      <c r="AV108" s="21">
        <f>EXP(-LN(2)/25)*AV107+(1-EXP(-LN(2)/25))/(LN(2)/25)*Calculateur!AQ108*Calculateur!AS108*VLOOKUP('Données projet'!$B$10,Paramètres!$A$1:$I$89,3,0)*0.475*44/12</f>
        <v>26.285392023986681</v>
      </c>
      <c r="AW108" s="21">
        <f>EXP(-LN(2)/2)*AW107+(1-EXP(-LN(2)/2))/(LN(2)/2)*AQ108*AT108*VLOOKUP('Données projet'!$B$10,Paramètres!$A$1:$I$89,3,0)*0.475*44/12</f>
        <v>4.1206685845202227</v>
      </c>
      <c r="AX108" s="21">
        <f t="shared" si="60"/>
        <v>62.852466080168796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-9.1631591203622526E-14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217.61052961346684</v>
      </c>
      <c r="BJ108" s="59">
        <f t="shared" si="92"/>
        <v>180.77145728128608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102.65842632666048</v>
      </c>
      <c r="BQ108" s="21">
        <f>EXP(-LN(2)/25)*BQ107+(1-EXP(-LN(2)/25))/(LN(2)/25)*Calculateur!BL108*Calculateur!BN108*VLOOKUP('Données projet'!$B$11,Paramètres!$A$1:$I$89,3,0)*0.475*44/12</f>
        <v>30.140960617249455</v>
      </c>
      <c r="BR108" s="21">
        <f>EXP(-LN(2)/2)*BR107+(1-EXP(-LN(2)/2))/(LN(2)/2)*BL108*BO108*VLOOKUP('Données projet'!$B$11,Paramètres!$A$1:$I$89,3,0)*0.475*44/12</f>
        <v>1.128754281091863E-2</v>
      </c>
      <c r="BS108" s="22">
        <f t="shared" si="63"/>
        <v>132.81067448672084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3.3666666666666694</v>
      </c>
      <c r="BY108" s="12">
        <f>IF('Données projet'!$A$114&gt;35,BY107+BX108-CG107,IF(A108&lt;'Données projet'!$A$114,$BV$205^A108,IF(A108='Données projet'!$A$114,'Données projet'!$B$114,BY107+BX108-CG107)))</f>
        <v>128.09333333333339</v>
      </c>
      <c r="BZ108" s="13">
        <f>BY108*VLOOKUP('Données projet'!$B$12,Paramètres!$A$1:$I$89,3,0)*VLOOKUP('Données projet'!$B$12,Paramètres!$A$1:$I$89,5,0)</f>
        <v>107.90582400000005</v>
      </c>
      <c r="CA108" s="13">
        <f t="shared" si="93"/>
        <v>28.837029763814225</v>
      </c>
      <c r="CB108" s="20">
        <f t="shared" si="64"/>
        <v>238.1604703053099</v>
      </c>
      <c r="CC108" s="59">
        <f t="shared" si="65"/>
        <v>531.49380363864316</v>
      </c>
      <c r="CD108" s="59">
        <f ca="1">AVERAGE(OFFSET($CC$3,0,0,'Données projet'!$E$12+1,1))-AVERAGE(OFFSET($H$3,0,0,'Données projet'!$E$12+1,1))</f>
        <v>287.72859857368331</v>
      </c>
      <c r="CE108" s="59">
        <f t="shared" si="94"/>
        <v>179.60736986885922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100.62613970281126</v>
      </c>
      <c r="CL108" s="21">
        <f>EXP(-LN(2)/25)*CL107+(1-EXP(-LN(2)/25))/(LN(2)/25)*Calculateur!CG108*Calculateur!CI108*VLOOKUP('Données projet'!$B$12,Paramètres!$A$1:$I$89,3,0)*0.475*44/12</f>
        <v>26.071025561844319</v>
      </c>
      <c r="CM108" s="21">
        <f>EXP(-LN(2)/2)*CM107+(1-EXP(-LN(2)/2))/(LN(2)/2)*CG108*CJ108*VLOOKUP('Données projet'!$B$12,Paramètres!$A$1:$I$89,3,0)*0.475*44/12</f>
        <v>3.1093255411008989</v>
      </c>
      <c r="CN108" s="22">
        <f t="shared" si="66"/>
        <v>129.80649080575648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243.33915530322201</v>
      </c>
      <c r="CZ108" s="59">
        <f t="shared" si="96"/>
        <v>247.73814704672577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31.683437582819376</v>
      </c>
      <c r="DG108" s="21">
        <f>EXP(-LN(2)/25)*DG107+(1-EXP(-LN(2)/25))/(LN(2)/25)*Calculateur!DB108*Calculateur!DD108*VLOOKUP('Données projet'!$B$13,Paramètres!$A$1:$I$89,3,0)*0.475*44/12</f>
        <v>25.661873421909075</v>
      </c>
      <c r="DH108" s="21">
        <f>EXP(-LN(2)/2)*DH107+(1-EXP(-LN(2)/2))/(LN(2)/2)*DB108*DE108*VLOOKUP('Données projet'!$B$13,Paramètres!$A$1:$I$89,3,0)*0.475*44/12</f>
        <v>1.0776010623597588E-2</v>
      </c>
      <c r="DI108" s="22">
        <f t="shared" si="69"/>
        <v>57.356087015352045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5.6843418860808015E-13</v>
      </c>
      <c r="O109" s="13">
        <f>N109*VLOOKUP('Données projet'!$B$9,Paramètres!$A$1:$I$89,3,0)*VLOOKUP('Données projet'!$B$9,Paramètres!$A$1:$I$89,5,0)</f>
        <v>3.177547114319168E-13</v>
      </c>
      <c r="P109" s="13">
        <f t="shared" si="87"/>
        <v>4.1725404435445377E-12</v>
      </c>
      <c r="Q109" s="20">
        <f t="shared" si="107"/>
        <v>7.820597394917325E-12</v>
      </c>
      <c r="R109" s="59">
        <f t="shared" si="55"/>
        <v>293.33333333334116</v>
      </c>
      <c r="S109" s="59">
        <f ca="1">AVERAGE(OFFSET($R$3,0,0,'Données projet'!$E$9+1,1))-AVERAGE(OFFSET($H$3,0,0,'Données projet'!$E$9+1,1))</f>
        <v>287.413090017863</v>
      </c>
      <c r="T109" s="59">
        <f t="shared" si="88"/>
        <v>258.48456031927117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113.11193806317121</v>
      </c>
      <c r="AA109" s="21">
        <f>EXP(-LN(2)/25)*AA108+(1-EXP(-LN(2)/25))/(LN(2)/25)*Calculateur!V109*Calculateur!X109*VLOOKUP('Données projet'!$B$9,Paramètres!$A$1:$I$89,3,0)*0.475*44/12</f>
        <v>28.290247818173594</v>
      </c>
      <c r="AB109" s="21">
        <f>EXP(-LN(2)/2)*AB108+(1-EXP(-LN(2)/2))/(LN(2)/2)*V109*Y109*VLOOKUP('Données projet'!$B$9,Paramètres!$A$1:$I$89,3,0)*0.475*44/12</f>
        <v>2.8803071717384304E-4</v>
      </c>
      <c r="AC109" s="22">
        <f t="shared" si="57"/>
        <v>141.40247391206196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8.8449999999999989</v>
      </c>
      <c r="AI109" s="13">
        <f>IF('Données projet'!$A$62&gt;35,AI108+AH109-AQ108,IF(A109&lt;'Données projet'!$A$62,$AF$205^A109,IF(A109='Données projet'!$A$62,'Données projet'!$B$62,AI108+AH109-AQ108)))</f>
        <v>353.80000000000052</v>
      </c>
      <c r="AJ109" s="13">
        <f>AI109*VLOOKUP('Données projet'!$B$10,Paramètres!$A$1:$I$89,3,0)*VLOOKUP('Données projet'!$B$10,Paramètres!$A$1:$I$89,5,0)</f>
        <v>320.11824000000047</v>
      </c>
      <c r="AK109" s="13">
        <f t="shared" si="89"/>
        <v>75.377955265343587</v>
      </c>
      <c r="AL109" s="20">
        <f t="shared" si="58"/>
        <v>688.82254008714096</v>
      </c>
      <c r="AM109" s="59">
        <f t="shared" si="59"/>
        <v>982.15587342047434</v>
      </c>
      <c r="AN109" s="59">
        <f ca="1">AVERAGE(OFFSET($AM$3,0,0,'Données projet'!$E$10+1,1))-AVERAGE(OFFSET($H$3,0,0,'Données projet'!$E$10+1,1))</f>
        <v>422.10969295064359</v>
      </c>
      <c r="AO109" s="59">
        <f t="shared" si="90"/>
        <v>184.04075143033037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31.810151250715805</v>
      </c>
      <c r="AV109" s="21">
        <f>EXP(-LN(2)/25)*AV108+(1-EXP(-LN(2)/25))/(LN(2)/25)*Calculateur!AQ109*Calculateur!AS109*VLOOKUP('Données projet'!$B$10,Paramètres!$A$1:$I$89,3,0)*0.475*44/12</f>
        <v>25.566616596802074</v>
      </c>
      <c r="AW109" s="21">
        <f>EXP(-LN(2)/2)*AW108+(1-EXP(-LN(2)/2))/(LN(2)/2)*AQ109*AT109*VLOOKUP('Données projet'!$B$10,Paramètres!$A$1:$I$89,3,0)*0.475*44/12</f>
        <v>2.9137526991366216</v>
      </c>
      <c r="AX109" s="21">
        <f t="shared" si="60"/>
        <v>60.290520546654506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-9.1631591203622526E-14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217.61052961346684</v>
      </c>
      <c r="BJ109" s="59">
        <f t="shared" si="92"/>
        <v>180.77145728128608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100.64535720185197</v>
      </c>
      <c r="BQ109" s="21">
        <f>EXP(-LN(2)/25)*BQ108+(1-EXP(-LN(2)/25))/(LN(2)/25)*Calculateur!BL109*Calculateur!BN109*VLOOKUP('Données projet'!$B$11,Paramètres!$A$1:$I$89,3,0)*0.475*44/12</f>
        <v>29.316754464126539</v>
      </c>
      <c r="BR109" s="21">
        <f>EXP(-LN(2)/2)*BR108+(1-EXP(-LN(2)/2))/(LN(2)/2)*BL109*BO109*VLOOKUP('Données projet'!$B$11,Paramètres!$A$1:$I$89,3,0)*0.475*44/12</f>
        <v>7.9814980645340275E-3</v>
      </c>
      <c r="BS109" s="22">
        <f t="shared" si="63"/>
        <v>129.97009316404305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>
        <f>VLOOKUP(A109,'Données projet'!$A$113:$I$133,2,0)</f>
        <v>131.46</v>
      </c>
      <c r="BW109" s="12">
        <f>VLOOKUP(A109,'Données projet'!$A$113:$I$133,9,0)</f>
        <v>3.3666666666666694</v>
      </c>
      <c r="BX109" s="12">
        <f t="array" ref="BX109">INDEX(BW:BW,MIN(IF(ISNUMBER(BW109:BW305),ROW(BW109:BW305),"")))</f>
        <v>3.3666666666666694</v>
      </c>
      <c r="BY109" s="12">
        <f>IF('Données projet'!$A$114&gt;35,BY108+BX109-CG108,IF(A109&lt;'Données projet'!$A$114,$BV$205^A109,IF(A109='Données projet'!$A$114,'Données projet'!$B$114,BY108+BX109-CG108)))</f>
        <v>131.46000000000006</v>
      </c>
      <c r="BZ109" s="13">
        <f>BY109*VLOOKUP('Données projet'!$B$12,Paramètres!$A$1:$I$89,3,0)*VLOOKUP('Données projet'!$B$12,Paramètres!$A$1:$I$89,5,0)</f>
        <v>110.74190400000006</v>
      </c>
      <c r="CA109" s="13">
        <f t="shared" si="93"/>
        <v>29.505714498780094</v>
      </c>
      <c r="CB109" s="20">
        <f t="shared" si="64"/>
        <v>244.26460221870877</v>
      </c>
      <c r="CC109" s="59">
        <f t="shared" si="65"/>
        <v>537.59793555204214</v>
      </c>
      <c r="CD109" s="59">
        <f ca="1">AVERAGE(OFFSET($CC$3,0,0,'Données projet'!$E$12+1,1))-AVERAGE(OFFSET($H$3,0,0,'Données projet'!$E$12+1,1))</f>
        <v>287.72859857368331</v>
      </c>
      <c r="CE109" s="59">
        <f t="shared" si="94"/>
        <v>179.60736986885922</v>
      </c>
      <c r="CF109" s="15" t="str">
        <f>IF(ISNA(VLOOKUP(A109,'Données projet'!$A$113:$I$133,3,0)),0,VLOOKUP(A109,'Données projet'!$A$113:$I$133,3,0))</f>
        <v>CR</v>
      </c>
      <c r="CG109" s="15">
        <f>IF(ISNA(VLOOKUP(A109,'Données projet'!$A$113:$I$133,4,0)),0,VLOOKUP(A109,'Données projet'!$A$113:$I$133,4,0))</f>
        <v>131.46</v>
      </c>
      <c r="CH109" s="16">
        <f>IF(ISNA(VLOOKUP(A109,'Données projet'!$A$113:$I$133,5,0)),0%,VLOOKUP(A109,'Données projet'!$A$113:$I$133,5,0)*VLOOKUP('Données projet'!$B$12,Paramètres!$A$1:$I$89,7,0))</f>
        <v>0.19350000000000001</v>
      </c>
      <c r="CI109" s="16">
        <f>IF(ISNA(VLOOKUP(A109,'Données projet'!$A$113:$I$133,6,0)),0%,VLOOKUP(A109,'Données projet'!$A$113:$I$133,6,0)*VLOOKUP('Données projet'!$B$12,Paramètres!$A$1:$I$89,7,0))</f>
        <v>2.1500000000000002E-2</v>
      </c>
      <c r="CJ109" s="16">
        <f>IF(ISNA(VLOOKUP(A109,'Données projet'!$A$113:$I$133,7,0)),0%,VLOOKUP(A109,'Données projet'!$A$113:$I$133,7,0))</f>
        <v>0.05</v>
      </c>
      <c r="CK109" s="21">
        <f>EXP(-LN(2)/35)*CK108+(1-EXP(-LN(2)/35))/(LN(2)/35)*CG109*CH109*VLOOKUP('Données projet'!$B$12,Paramètres!$A$1:$I$89,3,0)*0.475*44/12</f>
        <v>122.34155909294726</v>
      </c>
      <c r="CL109" s="21">
        <f>EXP(-LN(2)/25)*CL108+(1-EXP(-LN(2)/25))/(LN(2)/25)*Calculateur!CG109*Calculateur!CI109*VLOOKUP('Données projet'!$B$12,Paramètres!$A$1:$I$89,3,0)*0.475*44/12</f>
        <v>27.979819266328533</v>
      </c>
      <c r="CM109" s="21">
        <f>EXP(-LN(2)/2)*CM108+(1-EXP(-LN(2)/2))/(LN(2)/2)*CG109*CJ109*VLOOKUP('Données projet'!$B$12,Paramètres!$A$1:$I$89,3,0)*0.475*44/12</f>
        <v>7.423023524961283</v>
      </c>
      <c r="CN109" s="22">
        <f t="shared" si="66"/>
        <v>157.74440188423708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243.33915530322201</v>
      </c>
      <c r="CZ109" s="59">
        <f t="shared" si="96"/>
        <v>247.73814704672577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31.062144696809028</v>
      </c>
      <c r="DG109" s="21">
        <f>EXP(-LN(2)/25)*DG108+(1-EXP(-LN(2)/25))/(LN(2)/25)*Calculateur!DB109*Calculateur!DD109*VLOOKUP('Données projet'!$B$13,Paramètres!$A$1:$I$89,3,0)*0.475*44/12</f>
        <v>24.9601481436877</v>
      </c>
      <c r="DH109" s="21">
        <f>EXP(-LN(2)/2)*DH108+(1-EXP(-LN(2)/2))/(LN(2)/2)*DB109*DE109*VLOOKUP('Données projet'!$B$13,Paramètres!$A$1:$I$89,3,0)*0.475*44/12</f>
        <v>7.6197901860841312E-3</v>
      </c>
      <c r="DI109" s="22">
        <f t="shared" si="69"/>
        <v>56.029912630682816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5.6843418860808015E-13</v>
      </c>
      <c r="O110" s="13">
        <f>N110*VLOOKUP('Données projet'!$B$9,Paramètres!$A$1:$I$89,3,0)*VLOOKUP('Données projet'!$B$9,Paramètres!$A$1:$I$89,5,0)</f>
        <v>3.177547114319168E-13</v>
      </c>
      <c r="P110" s="13">
        <f t="shared" si="87"/>
        <v>4.1725404435445377E-12</v>
      </c>
      <c r="Q110" s="20">
        <f t="shared" si="107"/>
        <v>7.820597394917325E-12</v>
      </c>
      <c r="R110" s="59">
        <f t="shared" si="55"/>
        <v>293.33333333334116</v>
      </c>
      <c r="S110" s="59">
        <f ca="1">AVERAGE(OFFSET($R$3,0,0,'Données projet'!$E$9+1,1))-AVERAGE(OFFSET($H$3,0,0,'Données projet'!$E$9+1,1))</f>
        <v>287.413090017863</v>
      </c>
      <c r="T110" s="59">
        <f t="shared" si="88"/>
        <v>258.48456031927117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110.8938819492223</v>
      </c>
      <c r="AA110" s="21">
        <f>EXP(-LN(2)/25)*AA109+(1-EXP(-LN(2)/25))/(LN(2)/25)*Calculateur!V110*Calculateur!X110*VLOOKUP('Données projet'!$B$9,Paramètres!$A$1:$I$89,3,0)*0.475*44/12</f>
        <v>27.516649503866162</v>
      </c>
      <c r="AB110" s="21">
        <f>EXP(-LN(2)/2)*AB109+(1-EXP(-LN(2)/2))/(LN(2)/2)*V110*Y110*VLOOKUP('Données projet'!$B$9,Paramètres!$A$1:$I$89,3,0)*0.475*44/12</f>
        <v>2.0366847330364899E-4</v>
      </c>
      <c r="AC110" s="22">
        <f t="shared" si="57"/>
        <v>138.41073512156177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8.8449999999999989</v>
      </c>
      <c r="AI110" s="13">
        <f>IF('Données projet'!$A$62&gt;35,AI109+AH110-AQ109,IF(A110&lt;'Données projet'!$A$62,$AF$205^A110,IF(A110='Données projet'!$A$62,'Données projet'!$B$62,AI109+AH110-AQ109)))</f>
        <v>362.64500000000055</v>
      </c>
      <c r="AJ110" s="13">
        <f>AI110*VLOOKUP('Données projet'!$B$10,Paramètres!$A$1:$I$89,3,0)*VLOOKUP('Données projet'!$B$10,Paramètres!$A$1:$I$89,5,0)</f>
        <v>328.12119600000045</v>
      </c>
      <c r="AK110" s="13">
        <f t="shared" si="89"/>
        <v>77.040653823854953</v>
      </c>
      <c r="AL110" s="20">
        <f t="shared" si="58"/>
        <v>705.65688844321483</v>
      </c>
      <c r="AM110" s="59">
        <f t="shared" si="59"/>
        <v>998.9902217765482</v>
      </c>
      <c r="AN110" s="59">
        <f ca="1">AVERAGE(OFFSET($AM$3,0,0,'Données projet'!$E$10+1,1))-AVERAGE(OFFSET($H$3,0,0,'Données projet'!$E$10+1,1))</f>
        <v>422.10969295064359</v>
      </c>
      <c r="AO110" s="59">
        <f t="shared" si="90"/>
        <v>184.04075143033037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31.186373586965715</v>
      </c>
      <c r="AV110" s="21">
        <f>EXP(-LN(2)/25)*AV109+(1-EXP(-LN(2)/25))/(LN(2)/25)*Calculateur!AQ110*Calculateur!AS110*VLOOKUP('Données projet'!$B$10,Paramètres!$A$1:$I$89,3,0)*0.475*44/12</f>
        <v>24.867496121472588</v>
      </c>
      <c r="AW110" s="21">
        <f>EXP(-LN(2)/2)*AW109+(1-EXP(-LN(2)/2))/(LN(2)/2)*AQ110*AT110*VLOOKUP('Données projet'!$B$10,Paramètres!$A$1:$I$89,3,0)*0.475*44/12</f>
        <v>2.0603342922601113</v>
      </c>
      <c r="AX110" s="21">
        <f t="shared" si="60"/>
        <v>58.114204000698408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-9.1631591203622526E-14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217.61052961346684</v>
      </c>
      <c r="BJ110" s="59">
        <f t="shared" si="92"/>
        <v>180.77145728128608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98.671763134730014</v>
      </c>
      <c r="BQ110" s="21">
        <f>EXP(-LN(2)/25)*BQ109+(1-EXP(-LN(2)/25))/(LN(2)/25)*Calculateur!BL110*Calculateur!BN110*VLOOKUP('Données projet'!$B$11,Paramètres!$A$1:$I$89,3,0)*0.475*44/12</f>
        <v>28.515086271603888</v>
      </c>
      <c r="BR110" s="21">
        <f>EXP(-LN(2)/2)*BR109+(1-EXP(-LN(2)/2))/(LN(2)/2)*BL110*BO110*VLOOKUP('Données projet'!$B$11,Paramètres!$A$1:$I$89,3,0)*0.475*44/12</f>
        <v>5.6437714054593151E-3</v>
      </c>
      <c r="BS110" s="22">
        <f t="shared" si="63"/>
        <v>127.19249317773937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>
        <f>BY110*VLOOKUP('Données projet'!$B$12,Paramètres!$A$1:$I$89,3,0)*VLOOKUP('Données projet'!$B$12,Paramètres!$A$1:$I$89,5,0)</f>
        <v>4.7884896048344674E-14</v>
      </c>
      <c r="CA110" s="13">
        <f t="shared" si="93"/>
        <v>7.8374629847779921E-13</v>
      </c>
      <c r="CB110" s="20">
        <f t="shared" si="64"/>
        <v>1.4484243304663672E-12</v>
      </c>
      <c r="CC110" s="59">
        <f t="shared" si="65"/>
        <v>293.33333333333474</v>
      </c>
      <c r="CD110" s="59">
        <f ca="1">AVERAGE(OFFSET($CC$3,0,0,'Données projet'!$E$12+1,1))-AVERAGE(OFFSET($H$3,0,0,'Données projet'!$E$12+1,1))</f>
        <v>287.72859857368331</v>
      </c>
      <c r="CE110" s="59">
        <f t="shared" si="94"/>
        <v>179.60736986885922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119.9425157401174</v>
      </c>
      <c r="CL110" s="21">
        <f>EXP(-LN(2)/25)*CL109+(1-EXP(-LN(2)/25))/(LN(2)/25)*Calculateur!CG110*Calculateur!CI110*VLOOKUP('Données projet'!$B$12,Paramètres!$A$1:$I$89,3,0)*0.475*44/12</f>
        <v>27.214709637096032</v>
      </c>
      <c r="CM110" s="21">
        <f>EXP(-LN(2)/2)*CM109+(1-EXP(-LN(2)/2))/(LN(2)/2)*CG110*CJ110*VLOOKUP('Données projet'!$B$12,Paramètres!$A$1:$I$89,3,0)*0.475*44/12</f>
        <v>5.2488702714073927</v>
      </c>
      <c r="CN110" s="22">
        <f t="shared" si="66"/>
        <v>152.40609564862081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243.33915530322201</v>
      </c>
      <c r="CZ110" s="59">
        <f t="shared" si="96"/>
        <v>247.73814704672577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30.453034985342104</v>
      </c>
      <c r="DG110" s="21">
        <f>EXP(-LN(2)/25)*DG109+(1-EXP(-LN(2)/25))/(LN(2)/25)*Calculateur!DB110*Calculateur!DD110*VLOOKUP('Données projet'!$B$13,Paramètres!$A$1:$I$89,3,0)*0.475*44/12</f>
        <v>24.277611580101418</v>
      </c>
      <c r="DH110" s="21">
        <f>EXP(-LN(2)/2)*DH109+(1-EXP(-LN(2)/2))/(LN(2)/2)*DB110*DE110*VLOOKUP('Données projet'!$B$13,Paramètres!$A$1:$I$89,3,0)*0.475*44/12</f>
        <v>5.3880053117987946E-3</v>
      </c>
      <c r="DI110" s="22">
        <f t="shared" si="69"/>
        <v>54.736034570755322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5.6843418860808015E-13</v>
      </c>
      <c r="O111" s="13">
        <f>N111*VLOOKUP('Données projet'!$B$9,Paramètres!$A$1:$I$89,3,0)*VLOOKUP('Données projet'!$B$9,Paramètres!$A$1:$I$89,5,0)</f>
        <v>3.177547114319168E-13</v>
      </c>
      <c r="P111" s="13">
        <f t="shared" si="87"/>
        <v>4.1725404435445377E-12</v>
      </c>
      <c r="Q111" s="20">
        <f t="shared" si="107"/>
        <v>7.820597394917325E-12</v>
      </c>
      <c r="R111" s="59">
        <f t="shared" si="55"/>
        <v>293.33333333334116</v>
      </c>
      <c r="S111" s="59">
        <f ca="1">AVERAGE(OFFSET($R$3,0,0,'Données projet'!$E$9+1,1))-AVERAGE(OFFSET($H$3,0,0,'Données projet'!$E$9+1,1))</f>
        <v>287.413090017863</v>
      </c>
      <c r="T111" s="59">
        <f t="shared" si="88"/>
        <v>258.48456031927117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108.71932056278729</v>
      </c>
      <c r="AA111" s="21">
        <f>EXP(-LN(2)/25)*AA110+(1-EXP(-LN(2)/25))/(LN(2)/25)*Calculateur!V111*Calculateur!X111*VLOOKUP('Données projet'!$B$9,Paramètres!$A$1:$I$89,3,0)*0.475*44/12</f>
        <v>26.764205276145233</v>
      </c>
      <c r="AB111" s="21">
        <f>EXP(-LN(2)/2)*AB110+(1-EXP(-LN(2)/2))/(LN(2)/2)*V111*Y111*VLOOKUP('Données projet'!$B$9,Paramètres!$A$1:$I$89,3,0)*0.475*44/12</f>
        <v>1.4401535858692152E-4</v>
      </c>
      <c r="AC111" s="22">
        <f t="shared" si="57"/>
        <v>135.48366985429109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8.8449999999999989</v>
      </c>
      <c r="AI111" s="13">
        <f>IF('Données projet'!$A$62&gt;35,AI110+AH111-AQ110,IF(A111&lt;'Données projet'!$A$62,$AF$205^A111,IF(A111='Données projet'!$A$62,'Données projet'!$B$62,AI110+AH111-AQ110)))</f>
        <v>371.49000000000058</v>
      </c>
      <c r="AJ111" s="13">
        <f>AI111*VLOOKUP('Données projet'!$B$10,Paramètres!$A$1:$I$89,3,0)*VLOOKUP('Données projet'!$B$10,Paramètres!$A$1:$I$89,5,0)</f>
        <v>336.12415200000049</v>
      </c>
      <c r="AK111" s="13">
        <f t="shared" si="89"/>
        <v>78.698638141016232</v>
      </c>
      <c r="AL111" s="20">
        <f t="shared" si="58"/>
        <v>722.4830261622709</v>
      </c>
      <c r="AM111" s="59">
        <f t="shared" si="59"/>
        <v>1015.8163594956043</v>
      </c>
      <c r="AN111" s="59">
        <f ca="1">AVERAGE(OFFSET($AM$3,0,0,'Données projet'!$E$10+1,1))-AVERAGE(OFFSET($H$3,0,0,'Données projet'!$E$10+1,1))</f>
        <v>422.10969295064359</v>
      </c>
      <c r="AO111" s="59">
        <f t="shared" si="90"/>
        <v>184.04075143033037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30.574827822734957</v>
      </c>
      <c r="AV111" s="21">
        <f>EXP(-LN(2)/25)*AV110+(1-EXP(-LN(2)/25))/(LN(2)/25)*Calculateur!AQ111*Calculateur!AS111*VLOOKUP('Données projet'!$B$10,Paramètres!$A$1:$I$89,3,0)*0.475*44/12</f>
        <v>24.187493132306134</v>
      </c>
      <c r="AW111" s="21">
        <f>EXP(-LN(2)/2)*AW110+(1-EXP(-LN(2)/2))/(LN(2)/2)*AQ111*AT111*VLOOKUP('Données projet'!$B$10,Paramètres!$A$1:$I$89,3,0)*0.475*44/12</f>
        <v>1.4568763495683108</v>
      </c>
      <c r="AX111" s="21">
        <f t="shared" si="60"/>
        <v>56.219197304609402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-9.1631591203622526E-14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217.61052961346684</v>
      </c>
      <c r="BJ111" s="59">
        <f t="shared" si="92"/>
        <v>180.77145728128608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96.736870043490811</v>
      </c>
      <c r="BQ111" s="21">
        <f>EXP(-LN(2)/25)*BQ110+(1-EXP(-LN(2)/25))/(LN(2)/25)*Calculateur!BL111*Calculateur!BN111*VLOOKUP('Données projet'!$B$11,Paramètres!$A$1:$I$89,3,0)*0.475*44/12</f>
        <v>27.735339737963663</v>
      </c>
      <c r="BR111" s="21">
        <f>EXP(-LN(2)/2)*BR110+(1-EXP(-LN(2)/2))/(LN(2)/2)*BL111*BO111*VLOOKUP('Données projet'!$B$11,Paramètres!$A$1:$I$89,3,0)*0.475*44/12</f>
        <v>3.9907490322670137E-3</v>
      </c>
      <c r="BS111" s="22">
        <f t="shared" si="63"/>
        <v>124.47620053048674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>
        <f>BY111*VLOOKUP('Données projet'!$B$12,Paramètres!$A$1:$I$89,3,0)*VLOOKUP('Données projet'!$B$12,Paramètres!$A$1:$I$89,5,0)</f>
        <v>4.7884896048344674E-14</v>
      </c>
      <c r="CA111" s="13">
        <f t="shared" si="93"/>
        <v>7.8374629847779921E-13</v>
      </c>
      <c r="CB111" s="20">
        <f t="shared" si="64"/>
        <v>1.4484243304663672E-12</v>
      </c>
      <c r="CC111" s="59">
        <f t="shared" si="65"/>
        <v>293.33333333333474</v>
      </c>
      <c r="CD111" s="59">
        <f ca="1">AVERAGE(OFFSET($CC$3,0,0,'Données projet'!$E$12+1,1))-AVERAGE(OFFSET($H$3,0,0,'Données projet'!$E$12+1,1))</f>
        <v>287.72859857368331</v>
      </c>
      <c r="CE111" s="59">
        <f t="shared" si="94"/>
        <v>179.60736986885922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117.59051616416457</v>
      </c>
      <c r="CL111" s="21">
        <f>EXP(-LN(2)/25)*CL110+(1-EXP(-LN(2)/25))/(LN(2)/25)*Calculateur!CG111*Calculateur!CI111*VLOOKUP('Données projet'!$B$12,Paramètres!$A$1:$I$89,3,0)*0.475*44/12</f>
        <v>26.470521970910262</v>
      </c>
      <c r="CM111" s="21">
        <f>EXP(-LN(2)/2)*CM110+(1-EXP(-LN(2)/2))/(LN(2)/2)*CG111*CJ111*VLOOKUP('Données projet'!$B$12,Paramètres!$A$1:$I$89,3,0)*0.475*44/12</f>
        <v>3.711511762480642</v>
      </c>
      <c r="CN111" s="22">
        <f t="shared" si="66"/>
        <v>147.77254989755548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243.33915530322201</v>
      </c>
      <c r="CZ111" s="59">
        <f t="shared" si="96"/>
        <v>247.73814704672577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29.855869543796803</v>
      </c>
      <c r="DG111" s="21">
        <f>EXP(-LN(2)/25)*DG110+(1-EXP(-LN(2)/25))/(LN(2)/25)*Calculateur!DB111*Calculateur!DD111*VLOOKUP('Données projet'!$B$13,Paramètres!$A$1:$I$89,3,0)*0.475*44/12</f>
        <v>23.613739014739437</v>
      </c>
      <c r="DH111" s="21">
        <f>EXP(-LN(2)/2)*DH110+(1-EXP(-LN(2)/2))/(LN(2)/2)*DB111*DE111*VLOOKUP('Données projet'!$B$13,Paramètres!$A$1:$I$89,3,0)*0.475*44/12</f>
        <v>3.8098950930420664E-3</v>
      </c>
      <c r="DI111" s="22">
        <f t="shared" si="69"/>
        <v>53.473418453629279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5.6843418860808015E-13</v>
      </c>
      <c r="O112" s="13">
        <f>N112*VLOOKUP('Données projet'!$B$9,Paramètres!$A$1:$I$89,3,0)*VLOOKUP('Données projet'!$B$9,Paramètres!$A$1:$I$89,5,0)</f>
        <v>3.177547114319168E-13</v>
      </c>
      <c r="P112" s="13">
        <f t="shared" si="87"/>
        <v>4.1725404435445377E-12</v>
      </c>
      <c r="Q112" s="20">
        <f t="shared" si="107"/>
        <v>7.820597394917325E-12</v>
      </c>
      <c r="R112" s="59">
        <f t="shared" si="55"/>
        <v>293.33333333334116</v>
      </c>
      <c r="S112" s="59">
        <f ca="1">AVERAGE(OFFSET($R$3,0,0,'Données projet'!$E$9+1,1))-AVERAGE(OFFSET($H$3,0,0,'Données projet'!$E$9+1,1))</f>
        <v>287.413090017863</v>
      </c>
      <c r="T112" s="59">
        <f t="shared" si="88"/>
        <v>258.48456031927117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106.58740099878878</v>
      </c>
      <c r="AA112" s="21">
        <f>EXP(-LN(2)/25)*AA111+(1-EXP(-LN(2)/25))/(LN(2)/25)*Calculateur!V112*Calculateur!X112*VLOOKUP('Données projet'!$B$9,Paramètres!$A$1:$I$89,3,0)*0.475*44/12</f>
        <v>26.032336675400657</v>
      </c>
      <c r="AB112" s="21">
        <f>EXP(-LN(2)/2)*AB111+(1-EXP(-LN(2)/2))/(LN(2)/2)*V112*Y112*VLOOKUP('Données projet'!$B$9,Paramètres!$A$1:$I$89,3,0)*0.475*44/12</f>
        <v>1.0183423665182449E-4</v>
      </c>
      <c r="AC112" s="22">
        <f t="shared" si="57"/>
        <v>132.61983950842608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8.8449999999999989</v>
      </c>
      <c r="AI112" s="13">
        <f>IF('Données projet'!$A$62&gt;35,AI111+AH112-AQ111,IF(A112&lt;'Données projet'!$A$62,$AF$205^A112,IF(A112='Données projet'!$A$62,'Données projet'!$B$62,AI111+AH112-AQ111)))</f>
        <v>380.3350000000006</v>
      </c>
      <c r="AJ112" s="13">
        <f>AI112*VLOOKUP('Données projet'!$B$10,Paramètres!$A$1:$I$89,3,0)*VLOOKUP('Données projet'!$B$10,Paramètres!$A$1:$I$89,5,0)</f>
        <v>344.12710800000053</v>
      </c>
      <c r="AK112" s="13">
        <f t="shared" si="89"/>
        <v>80.352033376279337</v>
      </c>
      <c r="AL112" s="20">
        <f t="shared" si="58"/>
        <v>739.30117123035416</v>
      </c>
      <c r="AM112" s="59">
        <f t="shared" si="59"/>
        <v>1032.6345045636874</v>
      </c>
      <c r="AN112" s="59">
        <f ca="1">AVERAGE(OFFSET($AM$3,0,0,'Données projet'!$E$10+1,1))-AVERAGE(OFFSET($H$3,0,0,'Données projet'!$E$10+1,1))</f>
        <v>422.10969295064359</v>
      </c>
      <c r="AO112" s="59">
        <f t="shared" si="90"/>
        <v>184.04075143033037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29.97527409793468</v>
      </c>
      <c r="AV112" s="21">
        <f>EXP(-LN(2)/25)*AV111+(1-EXP(-LN(2)/25))/(LN(2)/25)*Calculateur!AQ112*Calculateur!AS112*VLOOKUP('Données projet'!$B$10,Paramètres!$A$1:$I$89,3,0)*0.475*44/12</f>
        <v>23.526084860638239</v>
      </c>
      <c r="AW112" s="21">
        <f>EXP(-LN(2)/2)*AW111+(1-EXP(-LN(2)/2))/(LN(2)/2)*AQ112*AT112*VLOOKUP('Données projet'!$B$10,Paramètres!$A$1:$I$89,3,0)*0.475*44/12</f>
        <v>1.0301671461300557</v>
      </c>
      <c r="AX112" s="21">
        <f t="shared" si="60"/>
        <v>54.531526104702976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-9.1631591203622526E-14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217.61052961346684</v>
      </c>
      <c r="BJ112" s="59">
        <f t="shared" si="92"/>
        <v>180.77145728128608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94.839919025602555</v>
      </c>
      <c r="BQ112" s="21">
        <f>EXP(-LN(2)/25)*BQ111+(1-EXP(-LN(2)/25))/(LN(2)/25)*Calculateur!BL112*Calculateur!BN112*VLOOKUP('Données projet'!$B$11,Paramètres!$A$1:$I$89,3,0)*0.475*44/12</f>
        <v>26.976915414290922</v>
      </c>
      <c r="BR112" s="21">
        <f>EXP(-LN(2)/2)*BR111+(1-EXP(-LN(2)/2))/(LN(2)/2)*BL112*BO112*VLOOKUP('Données projet'!$B$11,Paramètres!$A$1:$I$89,3,0)*0.475*44/12</f>
        <v>2.8218857027296576E-3</v>
      </c>
      <c r="BS112" s="22">
        <f t="shared" si="63"/>
        <v>121.81965632559621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>
        <f>BY112*VLOOKUP('Données projet'!$B$12,Paramètres!$A$1:$I$89,3,0)*VLOOKUP('Données projet'!$B$12,Paramètres!$A$1:$I$89,5,0)</f>
        <v>4.7884896048344674E-14</v>
      </c>
      <c r="CA112" s="13">
        <f t="shared" si="93"/>
        <v>7.8374629847779921E-13</v>
      </c>
      <c r="CB112" s="20">
        <f t="shared" si="64"/>
        <v>1.4484243304663672E-12</v>
      </c>
      <c r="CC112" s="59">
        <f t="shared" si="65"/>
        <v>293.33333333333474</v>
      </c>
      <c r="CD112" s="59">
        <f ca="1">AVERAGE(OFFSET($CC$3,0,0,'Données projet'!$E$12+1,1))-AVERAGE(OFFSET($H$3,0,0,'Données projet'!$E$12+1,1))</f>
        <v>287.72859857368331</v>
      </c>
      <c r="CE112" s="59">
        <f t="shared" si="94"/>
        <v>179.60736986885922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115.28463786531809</v>
      </c>
      <c r="CL112" s="21">
        <f>EXP(-LN(2)/25)*CL111+(1-EXP(-LN(2)/25))/(LN(2)/25)*Calculateur!CG112*Calculateur!CI112*VLOOKUP('Données projet'!$B$12,Paramètres!$A$1:$I$89,3,0)*0.475*44/12</f>
        <v>25.74668415559147</v>
      </c>
      <c r="CM112" s="21">
        <f>EXP(-LN(2)/2)*CM111+(1-EXP(-LN(2)/2))/(LN(2)/2)*CG112*CJ112*VLOOKUP('Données projet'!$B$12,Paramètres!$A$1:$I$89,3,0)*0.475*44/12</f>
        <v>2.6244351357036968</v>
      </c>
      <c r="CN112" s="22">
        <f t="shared" si="66"/>
        <v>143.65575715661325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243.33915530322201</v>
      </c>
      <c r="CZ112" s="59">
        <f t="shared" si="96"/>
        <v>247.73814704672577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29.270414152325255</v>
      </c>
      <c r="DG112" s="21">
        <f>EXP(-LN(2)/25)*DG111+(1-EXP(-LN(2)/25))/(LN(2)/25)*Calculateur!DB112*Calculateur!DD112*VLOOKUP('Données projet'!$B$13,Paramètres!$A$1:$I$89,3,0)*0.475*44/12</f>
        <v>22.968020079588822</v>
      </c>
      <c r="DH112" s="21">
        <f>EXP(-LN(2)/2)*DH111+(1-EXP(-LN(2)/2))/(LN(2)/2)*DB112*DE112*VLOOKUP('Données projet'!$B$13,Paramètres!$A$1:$I$89,3,0)*0.475*44/12</f>
        <v>2.6940026558993978E-3</v>
      </c>
      <c r="DI112" s="22">
        <f t="shared" si="69"/>
        <v>52.241128234569977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5.6843418860808015E-13</v>
      </c>
      <c r="O113" s="13">
        <f>N113*VLOOKUP('Données projet'!$B$9,Paramètres!$A$1:$I$89,3,0)*VLOOKUP('Données projet'!$B$9,Paramètres!$A$1:$I$89,5,0)</f>
        <v>3.177547114319168E-13</v>
      </c>
      <c r="P113" s="13">
        <f t="shared" si="87"/>
        <v>4.1725404435445377E-12</v>
      </c>
      <c r="Q113" s="20">
        <f t="shared" si="107"/>
        <v>7.820597394917325E-12</v>
      </c>
      <c r="R113" s="59">
        <f t="shared" si="55"/>
        <v>293.33333333334116</v>
      </c>
      <c r="S113" s="59">
        <f ca="1">AVERAGE(OFFSET($R$3,0,0,'Données projet'!$E$9+1,1))-AVERAGE(OFFSET($H$3,0,0,'Données projet'!$E$9+1,1))</f>
        <v>287.413090017863</v>
      </c>
      <c r="T113" s="59">
        <f t="shared" si="88"/>
        <v>258.48456031927117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104.49728707709775</v>
      </c>
      <c r="AA113" s="21">
        <f>EXP(-LN(2)/25)*AA112+(1-EXP(-LN(2)/25))/(LN(2)/25)*Calculateur!V113*Calculateur!X113*VLOOKUP('Données projet'!$B$9,Paramètres!$A$1:$I$89,3,0)*0.475*44/12</f>
        <v>25.320481060030737</v>
      </c>
      <c r="AB113" s="21">
        <f>EXP(-LN(2)/2)*AB112+(1-EXP(-LN(2)/2))/(LN(2)/2)*V113*Y113*VLOOKUP('Données projet'!$B$9,Paramètres!$A$1:$I$89,3,0)*0.475*44/12</f>
        <v>7.2007679293460759E-5</v>
      </c>
      <c r="AC113" s="22">
        <f t="shared" si="57"/>
        <v>129.8178401448078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8.8449999999999989</v>
      </c>
      <c r="AI113" s="13">
        <f>IF('Données projet'!$A$62&gt;35,AI112+AH113-AQ112,IF(A113&lt;'Données projet'!$A$62,$AF$205^A113,IF(A113='Données projet'!$A$62,'Données projet'!$B$62,AI112+AH113-AQ112)))</f>
        <v>389.18000000000063</v>
      </c>
      <c r="AJ113" s="13">
        <f>AI113*VLOOKUP('Données projet'!$B$10,Paramètres!$A$1:$I$89,3,0)*VLOOKUP('Données projet'!$B$10,Paramètres!$A$1:$I$89,5,0)</f>
        <v>352.13006400000057</v>
      </c>
      <c r="AK113" s="13">
        <f t="shared" si="89"/>
        <v>82.000958535583734</v>
      </c>
      <c r="AL113" s="20">
        <f t="shared" si="58"/>
        <v>756.11153091614267</v>
      </c>
      <c r="AM113" s="59">
        <f t="shared" si="59"/>
        <v>1049.444864249476</v>
      </c>
      <c r="AN113" s="59">
        <f ca="1">AVERAGE(OFFSET($AM$3,0,0,'Données projet'!$E$10+1,1))-AVERAGE(OFFSET($H$3,0,0,'Données projet'!$E$10+1,1))</f>
        <v>422.10969295064359</v>
      </c>
      <c r="AO113" s="59">
        <f t="shared" si="90"/>
        <v>184.04075143033037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29.387477255986074</v>
      </c>
      <c r="AV113" s="21">
        <f>EXP(-LN(2)/25)*AV112+(1-EXP(-LN(2)/25))/(LN(2)/25)*Calculateur!AQ113*Calculateur!AS113*VLOOKUP('Données projet'!$B$10,Paramètres!$A$1:$I$89,3,0)*0.475*44/12</f>
        <v>22.882762832941054</v>
      </c>
      <c r="AW113" s="21">
        <f>EXP(-LN(2)/2)*AW112+(1-EXP(-LN(2)/2))/(LN(2)/2)*AQ113*AT113*VLOOKUP('Données projet'!$B$10,Paramètres!$A$1:$I$89,3,0)*0.475*44/12</f>
        <v>0.7284381747841554</v>
      </c>
      <c r="AX113" s="21">
        <f t="shared" si="60"/>
        <v>52.998678263711277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-9.1631591203622526E-14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217.61052961346684</v>
      </c>
      <c r="BJ113" s="59">
        <f t="shared" si="92"/>
        <v>180.77145728128608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92.980166060149216</v>
      </c>
      <c r="BQ113" s="21">
        <f>EXP(-LN(2)/25)*BQ112+(1-EXP(-LN(2)/25))/(LN(2)/25)*Calculateur!BL113*Calculateur!BN113*VLOOKUP('Données projet'!$B$11,Paramètres!$A$1:$I$89,3,0)*0.475*44/12</f>
        <v>26.239230243632811</v>
      </c>
      <c r="BR113" s="21">
        <f>EXP(-LN(2)/2)*BR112+(1-EXP(-LN(2)/2))/(LN(2)/2)*BL113*BO113*VLOOKUP('Données projet'!$B$11,Paramètres!$A$1:$I$89,3,0)*0.475*44/12</f>
        <v>1.9953745161335069E-3</v>
      </c>
      <c r="BS113" s="22">
        <f t="shared" si="63"/>
        <v>119.22139167829815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>
        <f>BY113*VLOOKUP('Données projet'!$B$12,Paramètres!$A$1:$I$89,3,0)*VLOOKUP('Données projet'!$B$12,Paramètres!$A$1:$I$89,5,0)</f>
        <v>4.7884896048344674E-14</v>
      </c>
      <c r="CA113" s="13">
        <f t="shared" si="93"/>
        <v>7.8374629847779921E-13</v>
      </c>
      <c r="CB113" s="20">
        <f t="shared" si="64"/>
        <v>1.4484243304663672E-12</v>
      </c>
      <c r="CC113" s="59">
        <f t="shared" si="65"/>
        <v>293.33333333333474</v>
      </c>
      <c r="CD113" s="59">
        <f ca="1">AVERAGE(OFFSET($CC$3,0,0,'Données projet'!$E$12+1,1))-AVERAGE(OFFSET($H$3,0,0,'Données projet'!$E$12+1,1))</f>
        <v>287.72859857368331</v>
      </c>
      <c r="CE113" s="59">
        <f t="shared" si="94"/>
        <v>179.60736986885922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113.02397643346511</v>
      </c>
      <c r="CL113" s="21">
        <f>EXP(-LN(2)/25)*CL112+(1-EXP(-LN(2)/25))/(LN(2)/25)*Calculateur!CG113*Calculateur!CI113*VLOOKUP('Données projet'!$B$12,Paramètres!$A$1:$I$89,3,0)*0.475*44/12</f>
        <v>25.042639723397546</v>
      </c>
      <c r="CM113" s="21">
        <f>EXP(-LN(2)/2)*CM112+(1-EXP(-LN(2)/2))/(LN(2)/2)*CG113*CJ113*VLOOKUP('Données projet'!$B$12,Paramètres!$A$1:$I$89,3,0)*0.475*44/12</f>
        <v>1.8557558812403212</v>
      </c>
      <c r="CN113" s="22">
        <f t="shared" si="66"/>
        <v>139.92237203810299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243.33915530322201</v>
      </c>
      <c r="CZ113" s="59">
        <f t="shared" si="96"/>
        <v>247.73814704672577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28.696439183987934</v>
      </c>
      <c r="DG113" s="21">
        <f>EXP(-LN(2)/25)*DG112+(1-EXP(-LN(2)/25))/(LN(2)/25)*Calculateur!DB113*Calculateur!DD113*VLOOKUP('Données projet'!$B$13,Paramètres!$A$1:$I$89,3,0)*0.475*44/12</f>
        <v>22.339958362676782</v>
      </c>
      <c r="DH113" s="21">
        <f>EXP(-LN(2)/2)*DH112+(1-EXP(-LN(2)/2))/(LN(2)/2)*DB113*DE113*VLOOKUP('Données projet'!$B$13,Paramètres!$A$1:$I$89,3,0)*0.475*44/12</f>
        <v>1.9049475465210334E-3</v>
      </c>
      <c r="DI113" s="22">
        <f t="shared" si="69"/>
        <v>51.038302494211237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5.6843418860808015E-13</v>
      </c>
      <c r="O114" s="13">
        <f>N114*VLOOKUP('Données projet'!$B$9,Paramètres!$A$1:$I$89,3,0)*VLOOKUP('Données projet'!$B$9,Paramètres!$A$1:$I$89,5,0)</f>
        <v>3.177547114319168E-13</v>
      </c>
      <c r="P114" s="13">
        <f t="shared" si="87"/>
        <v>4.1725404435445377E-12</v>
      </c>
      <c r="Q114" s="20">
        <f t="shared" si="107"/>
        <v>7.820597394917325E-12</v>
      </c>
      <c r="R114" s="59">
        <f t="shared" si="55"/>
        <v>293.33333333334116</v>
      </c>
      <c r="S114" s="59">
        <f ca="1">AVERAGE(OFFSET($R$3,0,0,'Données projet'!$E$9+1,1))-AVERAGE(OFFSET($H$3,0,0,'Données projet'!$E$9+1,1))</f>
        <v>287.413090017863</v>
      </c>
      <c r="T114" s="59">
        <f t="shared" si="88"/>
        <v>258.48456031927117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102.44815901456747</v>
      </c>
      <c r="AA114" s="21">
        <f>EXP(-LN(2)/25)*AA113+(1-EXP(-LN(2)/25))/(LN(2)/25)*Calculateur!V114*Calculateur!X114*VLOOKUP('Données projet'!$B$9,Paramètres!$A$1:$I$89,3,0)*0.475*44/12</f>
        <v>24.628091173897968</v>
      </c>
      <c r="AB114" s="21">
        <f>EXP(-LN(2)/2)*AB113+(1-EXP(-LN(2)/2))/(LN(2)/2)*V114*Y114*VLOOKUP('Données projet'!$B$9,Paramètres!$A$1:$I$89,3,0)*0.475*44/12</f>
        <v>5.0917118325912247E-5</v>
      </c>
      <c r="AC114" s="22">
        <f t="shared" si="57"/>
        <v>127.07630110558377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8.8449999999999989</v>
      </c>
      <c r="AI114" s="13">
        <f>IF('Données projet'!$A$62&gt;35,AI113+AH114-AQ113,IF(A114&lt;'Données projet'!$A$62,$AF$205^A114,IF(A114='Données projet'!$A$62,'Données projet'!$B$62,AI113+AH114-AQ113)))</f>
        <v>398.02500000000066</v>
      </c>
      <c r="AJ114" s="13">
        <f>AI114*VLOOKUP('Données projet'!$B$10,Paramètres!$A$1:$I$89,3,0)*VLOOKUP('Données projet'!$B$10,Paramètres!$A$1:$I$89,5,0)</f>
        <v>360.13302000000061</v>
      </c>
      <c r="AK114" s="13">
        <f t="shared" si="89"/>
        <v>83.645526906767415</v>
      </c>
      <c r="AL114" s="20">
        <f t="shared" si="58"/>
        <v>772.91430252928774</v>
      </c>
      <c r="AM114" s="59">
        <f t="shared" si="59"/>
        <v>1066.2476358626211</v>
      </c>
      <c r="AN114" s="59">
        <f ca="1">AVERAGE(OFFSET($AM$3,0,0,'Données projet'!$E$10+1,1))-AVERAGE(OFFSET($H$3,0,0,'Données projet'!$E$10+1,1))</f>
        <v>422.10969295064359</v>
      </c>
      <c r="AO114" s="59">
        <f t="shared" si="90"/>
        <v>184.04075143033037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28.811206751587406</v>
      </c>
      <c r="AV114" s="21">
        <f>EXP(-LN(2)/25)*AV113+(1-EXP(-LN(2)/25))/(LN(2)/25)*Calculateur!AQ114*Calculateur!AS114*VLOOKUP('Données projet'!$B$10,Paramètres!$A$1:$I$89,3,0)*0.475*44/12</f>
        <v>22.257032479922085</v>
      </c>
      <c r="AW114" s="21">
        <f>EXP(-LN(2)/2)*AW113+(1-EXP(-LN(2)/2))/(LN(2)/2)*AQ114*AT114*VLOOKUP('Données projet'!$B$10,Paramètres!$A$1:$I$89,3,0)*0.475*44/12</f>
        <v>0.51508357306502783</v>
      </c>
      <c r="AX114" s="21">
        <f t="shared" si="60"/>
        <v>51.583322804574522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-9.1631591203622526E-14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217.61052961346684</v>
      </c>
      <c r="BJ114" s="59">
        <f t="shared" si="92"/>
        <v>180.77145728128608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91.156881716011114</v>
      </c>
      <c r="BQ114" s="21">
        <f>EXP(-LN(2)/25)*BQ113+(1-EXP(-LN(2)/25))/(LN(2)/25)*Calculateur!BL114*Calculateur!BN114*VLOOKUP('Données projet'!$B$11,Paramètres!$A$1:$I$89,3,0)*0.475*44/12</f>
        <v>25.521717112759525</v>
      </c>
      <c r="BR114" s="21">
        <f>EXP(-LN(2)/2)*BR113+(1-EXP(-LN(2)/2))/(LN(2)/2)*BL114*BO114*VLOOKUP('Données projet'!$B$11,Paramètres!$A$1:$I$89,3,0)*0.475*44/12</f>
        <v>1.4109428513648288E-3</v>
      </c>
      <c r="BS114" s="22">
        <f t="shared" si="63"/>
        <v>116.68000977162201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>
        <f>BY114*VLOOKUP('Données projet'!$B$12,Paramètres!$A$1:$I$89,3,0)*VLOOKUP('Données projet'!$B$12,Paramètres!$A$1:$I$89,5,0)</f>
        <v>4.7884896048344674E-14</v>
      </c>
      <c r="CA114" s="13">
        <f t="shared" si="93"/>
        <v>7.8374629847779921E-13</v>
      </c>
      <c r="CB114" s="20">
        <f t="shared" si="64"/>
        <v>1.4484243304663672E-12</v>
      </c>
      <c r="CC114" s="59">
        <f t="shared" si="65"/>
        <v>293.33333333333474</v>
      </c>
      <c r="CD114" s="59">
        <f ca="1">AVERAGE(OFFSET($CC$3,0,0,'Données projet'!$E$12+1,1))-AVERAGE(OFFSET($H$3,0,0,'Données projet'!$E$12+1,1))</f>
        <v>287.72859857368331</v>
      </c>
      <c r="CE114" s="59">
        <f t="shared" si="94"/>
        <v>179.60736986885922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110.80764519342344</v>
      </c>
      <c r="CL114" s="21">
        <f>EXP(-LN(2)/25)*CL113+(1-EXP(-LN(2)/25))/(LN(2)/25)*Calculateur!CG114*Calculateur!CI114*VLOOKUP('Données projet'!$B$12,Paramètres!$A$1:$I$89,3,0)*0.475*44/12</f>
        <v>24.357847423226051</v>
      </c>
      <c r="CM114" s="21">
        <f>EXP(-LN(2)/2)*CM113+(1-EXP(-LN(2)/2))/(LN(2)/2)*CG114*CJ114*VLOOKUP('Données projet'!$B$12,Paramètres!$A$1:$I$89,3,0)*0.475*44/12</f>
        <v>1.3122175678518486</v>
      </c>
      <c r="CN114" s="22">
        <f t="shared" si="66"/>
        <v>136.47771018450135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243.33915530322201</v>
      </c>
      <c r="CZ114" s="59">
        <f t="shared" si="96"/>
        <v>247.73814704672577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28.133719514689545</v>
      </c>
      <c r="DG114" s="21">
        <f>EXP(-LN(2)/25)*DG113+(1-EXP(-LN(2)/25))/(LN(2)/25)*Calculateur!DB114*Calculateur!DD114*VLOOKUP('Données projet'!$B$13,Paramètres!$A$1:$I$89,3,0)*0.475*44/12</f>
        <v>21.729071026442035</v>
      </c>
      <c r="DH114" s="21">
        <f>EXP(-LN(2)/2)*DH113+(1-EXP(-LN(2)/2))/(LN(2)/2)*DB114*DE114*VLOOKUP('Données projet'!$B$13,Paramètres!$A$1:$I$89,3,0)*0.475*44/12</f>
        <v>1.3470013279496991E-3</v>
      </c>
      <c r="DI114" s="22">
        <f t="shared" si="69"/>
        <v>49.864137542459531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5.6843418860808015E-13</v>
      </c>
      <c r="O115" s="13">
        <f>N115*VLOOKUP('Données projet'!$B$9,Paramètres!$A$1:$I$89,3,0)*VLOOKUP('Données projet'!$B$9,Paramètres!$A$1:$I$89,5,0)</f>
        <v>3.177547114319168E-13</v>
      </c>
      <c r="P115" s="13">
        <f t="shared" si="87"/>
        <v>4.1725404435445377E-12</v>
      </c>
      <c r="Q115" s="20">
        <f t="shared" si="107"/>
        <v>7.820597394917325E-12</v>
      </c>
      <c r="R115" s="59">
        <f t="shared" si="55"/>
        <v>293.33333333334116</v>
      </c>
      <c r="S115" s="59">
        <f ca="1">AVERAGE(OFFSET($R$3,0,0,'Données projet'!$E$9+1,1))-AVERAGE(OFFSET($H$3,0,0,'Données projet'!$E$9+1,1))</f>
        <v>287.413090017863</v>
      </c>
      <c r="T115" s="59">
        <f t="shared" si="88"/>
        <v>258.48456031927117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100.4392131034987</v>
      </c>
      <c r="AA115" s="21">
        <f>EXP(-LN(2)/25)*AA114+(1-EXP(-LN(2)/25))/(LN(2)/25)*Calculateur!V115*Calculateur!X115*VLOOKUP('Données projet'!$B$9,Paramètres!$A$1:$I$89,3,0)*0.475*44/12</f>
        <v>23.954634725612703</v>
      </c>
      <c r="AB115" s="21">
        <f>EXP(-LN(2)/2)*AB114+(1-EXP(-LN(2)/2))/(LN(2)/2)*V115*Y115*VLOOKUP('Données projet'!$B$9,Paramètres!$A$1:$I$89,3,0)*0.475*44/12</f>
        <v>3.600383964673038E-5</v>
      </c>
      <c r="AC115" s="22">
        <f t="shared" si="57"/>
        <v>124.39388383295106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8.8449999999999989</v>
      </c>
      <c r="AI115" s="13">
        <f>IF('Données projet'!$A$62&gt;35,AI114+AH115-AQ114,IF(A115&lt;'Données projet'!$A$62,$AF$205^A115,IF(A115='Données projet'!$A$62,'Données projet'!$B$62,AI114+AH115-AQ114)))</f>
        <v>406.87000000000069</v>
      </c>
      <c r="AJ115" s="13">
        <f>AI115*VLOOKUP('Données projet'!$B$10,Paramètres!$A$1:$I$89,3,0)*VLOOKUP('Données projet'!$B$10,Paramètres!$A$1:$I$89,5,0)</f>
        <v>368.1359760000006</v>
      </c>
      <c r="AK115" s="13">
        <f t="shared" si="89"/>
        <v>85.285846455183602</v>
      </c>
      <c r="AL115" s="20">
        <f t="shared" si="58"/>
        <v>789.70967410944593</v>
      </c>
      <c r="AM115" s="59">
        <f t="shared" si="59"/>
        <v>1083.0430074427793</v>
      </c>
      <c r="AN115" s="59">
        <f ca="1">AVERAGE(OFFSET($AM$3,0,0,'Données projet'!$E$10+1,1))-AVERAGE(OFFSET($H$3,0,0,'Données projet'!$E$10+1,1))</f>
        <v>422.10969295064359</v>
      </c>
      <c r="AO115" s="59">
        <f t="shared" si="90"/>
        <v>184.04075143033037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28.246236560289695</v>
      </c>
      <c r="AV115" s="21">
        <f>EXP(-LN(2)/25)*AV114+(1-EXP(-LN(2)/25))/(LN(2)/25)*Calculateur!AQ115*Calculateur!AS115*VLOOKUP('Données projet'!$B$10,Paramètres!$A$1:$I$89,3,0)*0.475*44/12</f>
        <v>21.648412756312148</v>
      </c>
      <c r="AW115" s="21">
        <f>EXP(-LN(2)/2)*AW114+(1-EXP(-LN(2)/2))/(LN(2)/2)*AQ115*AT115*VLOOKUP('Données projet'!$B$10,Paramètres!$A$1:$I$89,3,0)*0.475*44/12</f>
        <v>0.3642190873920777</v>
      </c>
      <c r="AX115" s="21">
        <f t="shared" si="60"/>
        <v>50.258868403993922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-9.1631591203622526E-14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217.61052961346684</v>
      </c>
      <c r="BJ115" s="59">
        <f t="shared" si="92"/>
        <v>180.77145728128608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89.369350865767913</v>
      </c>
      <c r="BQ115" s="21">
        <f>EXP(-LN(2)/25)*BQ114+(1-EXP(-LN(2)/25))/(LN(2)/25)*Calculateur!BL115*Calculateur!BN115*VLOOKUP('Données projet'!$B$11,Paramètres!$A$1:$I$89,3,0)*0.475*44/12</f>
        <v>24.823824416182344</v>
      </c>
      <c r="BR115" s="21">
        <f>EXP(-LN(2)/2)*BR114+(1-EXP(-LN(2)/2))/(LN(2)/2)*BL115*BO115*VLOOKUP('Données projet'!$B$11,Paramètres!$A$1:$I$89,3,0)*0.475*44/12</f>
        <v>9.9768725806675344E-4</v>
      </c>
      <c r="BS115" s="22">
        <f t="shared" si="63"/>
        <v>114.19417296920832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>
        <f>BY115*VLOOKUP('Données projet'!$B$12,Paramètres!$A$1:$I$89,3,0)*VLOOKUP('Données projet'!$B$12,Paramètres!$A$1:$I$89,5,0)</f>
        <v>4.7884896048344674E-14</v>
      </c>
      <c r="CA115" s="13">
        <f t="shared" si="93"/>
        <v>7.8374629847779921E-13</v>
      </c>
      <c r="CB115" s="20">
        <f t="shared" si="64"/>
        <v>1.4484243304663672E-12</v>
      </c>
      <c r="CC115" s="59">
        <f t="shared" si="65"/>
        <v>293.33333333333474</v>
      </c>
      <c r="CD115" s="59">
        <f ca="1">AVERAGE(OFFSET($CC$3,0,0,'Données projet'!$E$12+1,1))-AVERAGE(OFFSET($H$3,0,0,'Données projet'!$E$12+1,1))</f>
        <v>287.72859857368331</v>
      </c>
      <c r="CE115" s="59">
        <f t="shared" si="94"/>
        <v>179.60736986885922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108.63477485717041</v>
      </c>
      <c r="CL115" s="21">
        <f>EXP(-LN(2)/25)*CL114+(1-EXP(-LN(2)/25))/(LN(2)/25)*Calculateur!CG115*Calculateur!CI115*VLOOKUP('Données projet'!$B$12,Paramètres!$A$1:$I$89,3,0)*0.475*44/12</f>
        <v>23.691780804514408</v>
      </c>
      <c r="CM115" s="21">
        <f>EXP(-LN(2)/2)*CM114+(1-EXP(-LN(2)/2))/(LN(2)/2)*CG115*CJ115*VLOOKUP('Données projet'!$B$12,Paramètres!$A$1:$I$89,3,0)*0.475*44/12</f>
        <v>0.92787794062016071</v>
      </c>
      <c r="CN115" s="22">
        <f t="shared" si="66"/>
        <v>133.254433602305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243.33915530322201</v>
      </c>
      <c r="CZ115" s="59">
        <f t="shared" si="96"/>
        <v>247.73814704672577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27.582034434880992</v>
      </c>
      <c r="DG115" s="21">
        <f>EXP(-LN(2)/25)*DG114+(1-EXP(-LN(2)/25))/(LN(2)/25)*Calculateur!DB115*Calculateur!DD115*VLOOKUP('Données projet'!$B$13,Paramètres!$A$1:$I$89,3,0)*0.475*44/12</f>
        <v>21.134888436541797</v>
      </c>
      <c r="DH115" s="21">
        <f>EXP(-LN(2)/2)*DH114+(1-EXP(-LN(2)/2))/(LN(2)/2)*DB115*DE115*VLOOKUP('Données projet'!$B$13,Paramètres!$A$1:$I$89,3,0)*0.475*44/12</f>
        <v>9.5247377326051694E-4</v>
      </c>
      <c r="DI115" s="22">
        <f t="shared" si="69"/>
        <v>48.717875345196049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5.6843418860808015E-13</v>
      </c>
      <c r="O116" s="13">
        <f>N116*VLOOKUP('Données projet'!$B$9,Paramètres!$A$1:$I$89,3,0)*VLOOKUP('Données projet'!$B$9,Paramètres!$A$1:$I$89,5,0)</f>
        <v>3.177547114319168E-13</v>
      </c>
      <c r="P116" s="13">
        <f t="shared" si="87"/>
        <v>4.1725404435445377E-12</v>
      </c>
      <c r="Q116" s="20">
        <f t="shared" si="107"/>
        <v>7.820597394917325E-12</v>
      </c>
      <c r="R116" s="59">
        <f t="shared" si="55"/>
        <v>293.33333333334116</v>
      </c>
      <c r="S116" s="59">
        <f ca="1">AVERAGE(OFFSET($R$3,0,0,'Données projet'!$E$9+1,1))-AVERAGE(OFFSET($H$3,0,0,'Données projet'!$E$9+1,1))</f>
        <v>287.413090017863</v>
      </c>
      <c r="T116" s="59">
        <f t="shared" si="88"/>
        <v>258.48456031927117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98.469661396409975</v>
      </c>
      <c r="AA116" s="21">
        <f>EXP(-LN(2)/25)*AA115+(1-EXP(-LN(2)/25))/(LN(2)/25)*Calculateur!V116*Calculateur!X116*VLOOKUP('Données projet'!$B$9,Paramètres!$A$1:$I$89,3,0)*0.475*44/12</f>
        <v>23.299593979321333</v>
      </c>
      <c r="AB116" s="21">
        <f>EXP(-LN(2)/2)*AB115+(1-EXP(-LN(2)/2))/(LN(2)/2)*V116*Y116*VLOOKUP('Données projet'!$B$9,Paramètres!$A$1:$I$89,3,0)*0.475*44/12</f>
        <v>2.5458559162956124E-5</v>
      </c>
      <c r="AC116" s="22">
        <f t="shared" si="57"/>
        <v>121.76928083429047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8.8449999999999989</v>
      </c>
      <c r="AI116" s="13">
        <f>IF('Données projet'!$A$62&gt;35,AI115+AH116-AQ115,IF(A116&lt;'Données projet'!$A$62,$AF$205^A116,IF(A116='Données projet'!$A$62,'Données projet'!$B$62,AI115+AH116-AQ115)))</f>
        <v>415.71500000000071</v>
      </c>
      <c r="AJ116" s="13">
        <f>AI116*VLOOKUP('Données projet'!$B$10,Paramètres!$A$1:$I$89,3,0)*VLOOKUP('Données projet'!$B$10,Paramètres!$A$1:$I$89,5,0)</f>
        <v>376.13893200000064</v>
      </c>
      <c r="AK116" s="13">
        <f t="shared" si="89"/>
        <v>86.922020183945492</v>
      </c>
      <c r="AL116" s="20">
        <f t="shared" si="58"/>
        <v>806.49782505370615</v>
      </c>
      <c r="AM116" s="59">
        <f t="shared" si="59"/>
        <v>1099.8311583870395</v>
      </c>
      <c r="AN116" s="59">
        <f ca="1">AVERAGE(OFFSET($AM$3,0,0,'Données projet'!$E$10+1,1))-AVERAGE(OFFSET($H$3,0,0,'Données projet'!$E$10+1,1))</f>
        <v>422.10969295064359</v>
      </c>
      <c r="AO116" s="59">
        <f t="shared" si="90"/>
        <v>184.04075143033037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27.692345089845542</v>
      </c>
      <c r="AV116" s="21">
        <f>EXP(-LN(2)/25)*AV115+(1-EXP(-LN(2)/25))/(LN(2)/25)*Calculateur!AQ116*Calculateur!AS116*VLOOKUP('Données projet'!$B$10,Paramètres!$A$1:$I$89,3,0)*0.475*44/12</f>
        <v>21.056435771050243</v>
      </c>
      <c r="AW116" s="21">
        <f>EXP(-LN(2)/2)*AW115+(1-EXP(-LN(2)/2))/(LN(2)/2)*AQ116*AT116*VLOOKUP('Données projet'!$B$10,Paramètres!$A$1:$I$89,3,0)*0.475*44/12</f>
        <v>0.25754178653251392</v>
      </c>
      <c r="AX116" s="21">
        <f t="shared" si="60"/>
        <v>49.006322647428298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-9.1631591203622526E-14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217.61052961346684</v>
      </c>
      <c r="BJ116" s="59">
        <f t="shared" si="92"/>
        <v>180.77145728128608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87.616872405211822</v>
      </c>
      <c r="BQ116" s="21">
        <f>EXP(-LN(2)/25)*BQ115+(1-EXP(-LN(2)/25))/(LN(2)/25)*Calculateur!BL116*Calculateur!BN116*VLOOKUP('Données projet'!$B$11,Paramètres!$A$1:$I$89,3,0)*0.475*44/12</f>
        <v>24.145015632093646</v>
      </c>
      <c r="BR116" s="21">
        <f>EXP(-LN(2)/2)*BR115+(1-EXP(-LN(2)/2))/(LN(2)/2)*BL116*BO116*VLOOKUP('Données projet'!$B$11,Paramètres!$A$1:$I$89,3,0)*0.475*44/12</f>
        <v>7.0547142568241439E-4</v>
      </c>
      <c r="BS116" s="22">
        <f t="shared" si="63"/>
        <v>111.76259350873114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>
        <f>BY116*VLOOKUP('Données projet'!$B$12,Paramètres!$A$1:$I$89,3,0)*VLOOKUP('Données projet'!$B$12,Paramètres!$A$1:$I$89,5,0)</f>
        <v>4.7884896048344674E-14</v>
      </c>
      <c r="CA116" s="13">
        <f t="shared" si="93"/>
        <v>7.8374629847779921E-13</v>
      </c>
      <c r="CB116" s="20">
        <f t="shared" si="64"/>
        <v>1.4484243304663672E-12</v>
      </c>
      <c r="CC116" s="59">
        <f t="shared" si="65"/>
        <v>293.33333333333474</v>
      </c>
      <c r="CD116" s="59">
        <f ca="1">AVERAGE(OFFSET($CC$3,0,0,'Données projet'!$E$12+1,1))-AVERAGE(OFFSET($H$3,0,0,'Données projet'!$E$12+1,1))</f>
        <v>287.72859857368331</v>
      </c>
      <c r="CE116" s="59">
        <f t="shared" si="94"/>
        <v>179.60736986885922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106.50451318289127</v>
      </c>
      <c r="CL116" s="21">
        <f>EXP(-LN(2)/25)*CL115+(1-EXP(-LN(2)/25))/(LN(2)/25)*Calculateur!CG116*Calculateur!CI116*VLOOKUP('Données projet'!$B$12,Paramètres!$A$1:$I$89,3,0)*0.475*44/12</f>
        <v>23.043927812518358</v>
      </c>
      <c r="CM116" s="21">
        <f>EXP(-LN(2)/2)*CM115+(1-EXP(-LN(2)/2))/(LN(2)/2)*CG116*CJ116*VLOOKUP('Données projet'!$B$12,Paramètres!$A$1:$I$89,3,0)*0.475*44/12</f>
        <v>0.65610878392592431</v>
      </c>
      <c r="CN116" s="22">
        <f t="shared" si="66"/>
        <v>130.20454977933557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243.33915530322201</v>
      </c>
      <c r="CZ116" s="59">
        <f t="shared" si="96"/>
        <v>247.73814704672577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27.041167562992811</v>
      </c>
      <c r="DG116" s="21">
        <f>EXP(-LN(2)/25)*DG115+(1-EXP(-LN(2)/25))/(LN(2)/25)*Calculateur!DB116*Calculateur!DD116*VLOOKUP('Données projet'!$B$13,Paramètres!$A$1:$I$89,3,0)*0.475*44/12</f>
        <v>20.556953800809083</v>
      </c>
      <c r="DH116" s="21">
        <f>EXP(-LN(2)/2)*DH115+(1-EXP(-LN(2)/2))/(LN(2)/2)*DB116*DE116*VLOOKUP('Données projet'!$B$13,Paramètres!$A$1:$I$89,3,0)*0.475*44/12</f>
        <v>6.7350066397484966E-4</v>
      </c>
      <c r="DI116" s="22">
        <f t="shared" si="69"/>
        <v>47.598794864465866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5.6843418860808015E-13</v>
      </c>
      <c r="O117" s="13">
        <f>N117*VLOOKUP('Données projet'!$B$9,Paramètres!$A$1:$I$89,3,0)*VLOOKUP('Données projet'!$B$9,Paramètres!$A$1:$I$89,5,0)</f>
        <v>3.177547114319168E-13</v>
      </c>
      <c r="P117" s="13">
        <f t="shared" si="87"/>
        <v>4.1725404435445377E-12</v>
      </c>
      <c r="Q117" s="20">
        <f t="shared" si="107"/>
        <v>7.820597394917325E-12</v>
      </c>
      <c r="R117" s="59">
        <f t="shared" si="55"/>
        <v>293.33333333334116</v>
      </c>
      <c r="S117" s="59">
        <f ca="1">AVERAGE(OFFSET($R$3,0,0,'Données projet'!$E$9+1,1))-AVERAGE(OFFSET($H$3,0,0,'Données projet'!$E$9+1,1))</f>
        <v>287.413090017863</v>
      </c>
      <c r="T117" s="59">
        <f t="shared" si="88"/>
        <v>258.48456031927117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96.538731396989334</v>
      </c>
      <c r="AA117" s="21">
        <f>EXP(-LN(2)/25)*AA116+(1-EXP(-LN(2)/25))/(LN(2)/25)*Calculateur!V117*Calculateur!X117*VLOOKUP('Données projet'!$B$9,Paramètres!$A$1:$I$89,3,0)*0.475*44/12</f>
        <v>22.662465356684397</v>
      </c>
      <c r="AB117" s="21">
        <f>EXP(-LN(2)/2)*AB116+(1-EXP(-LN(2)/2))/(LN(2)/2)*V117*Y117*VLOOKUP('Données projet'!$B$9,Paramètres!$A$1:$I$89,3,0)*0.475*44/12</f>
        <v>1.800191982336519E-5</v>
      </c>
      <c r="AC117" s="22">
        <f t="shared" si="57"/>
        <v>119.20121475559355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8.8449999999999989</v>
      </c>
      <c r="AH117" s="12">
        <f t="array" ref="AH117">INDEX(AG:AG,MIN(IF(ISNUMBER(AG117:AG313),ROW(AG117:AG313),"")))</f>
        <v>8.8449999999999989</v>
      </c>
      <c r="AI117" s="13">
        <f>IF('Données projet'!$A$62&gt;35,AI116+AH117-AQ116,IF(A117&lt;'Données projet'!$A$62,$AF$205^A117,IF(A117='Données projet'!$A$62,'Données projet'!$B$62,AI116+AH117-AQ116)))</f>
        <v>424.56000000000074</v>
      </c>
      <c r="AJ117" s="13">
        <f>AI117*VLOOKUP('Données projet'!$B$10,Paramètres!$A$1:$I$89,3,0)*VLOOKUP('Données projet'!$B$10,Paramètres!$A$1:$I$89,5,0)</f>
        <v>384.14188800000068</v>
      </c>
      <c r="AK117" s="13">
        <f t="shared" si="89"/>
        <v>88.554146462646884</v>
      </c>
      <c r="AL117" s="20">
        <f t="shared" si="58"/>
        <v>823.27892668911102</v>
      </c>
      <c r="AM117" s="59">
        <f t="shared" si="59"/>
        <v>1116.6122600224444</v>
      </c>
      <c r="AN117" s="59">
        <f ca="1">AVERAGE(OFFSET($AM$3,0,0,'Données projet'!$E$10+1,1))-AVERAGE(OFFSET($H$3,0,0,'Données projet'!$E$10+1,1))</f>
        <v>422.10969295064359</v>
      </c>
      <c r="AO117" s="59">
        <f t="shared" si="90"/>
        <v>184.04075143033037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61.860000000000014</v>
      </c>
      <c r="AR117" s="16">
        <f>IF(ISNA(VLOOKUP(A117,'Données projet'!$A$61:$I$81,5,0)),0%,VLOOKUP(A117,'Données projet'!$A$61:$I$81,5,0)*VLOOKUP('Données projet'!$B$10,Paramètres!$A$1:$I$89,7,0))</f>
        <v>0.15049999999999999</v>
      </c>
      <c r="AS117" s="16">
        <f>IF(ISNA(VLOOKUP(A117,'Données projet'!$A$61:$I$81,6,0)),0%,VLOOKUP(A117,'Données projet'!$A$61:$I$81,6,0)*VLOOKUP('Données projet'!$B$10,Paramètres!$A$1:$I$89,7,0))</f>
        <v>8.6000000000000007E-2</v>
      </c>
      <c r="AT117" s="16">
        <f>IF(ISNA(VLOOKUP(A117,'Données projet'!$A$61:$I$81,7,0)),0%,VLOOKUP(A117,'Données projet'!$A$61:$I$81,7,0))</f>
        <v>0.1</v>
      </c>
      <c r="AU117" s="21">
        <f>EXP(-LN(2)/35)*AU116+(1-EXP(-LN(2)/35))/(LN(2)/35)*AQ117*AR117*VLOOKUP('Données projet'!$B$10,Paramètres!$A$1:$I$89,3,0)*0.475*44/12</f>
        <v>36.461382647651561</v>
      </c>
      <c r="AV117" s="21">
        <f>EXP(-LN(2)/25)*AV116+(1-EXP(-LN(2)/25))/(LN(2)/25)*Calculateur!AQ117*Calculateur!AS117*VLOOKUP('Données projet'!$B$10,Paramètres!$A$1:$I$89,3,0)*0.475*44/12</f>
        <v>25.780876368276925</v>
      </c>
      <c r="AW117" s="21">
        <f>EXP(-LN(2)/2)*AW116+(1-EXP(-LN(2)/2))/(LN(2)/2)*AQ117*AT117*VLOOKUP('Données projet'!$B$10,Paramètres!$A$1:$I$89,3,0)*0.475*44/12</f>
        <v>5.4631172440400739</v>
      </c>
      <c r="AX117" s="21">
        <f t="shared" si="60"/>
        <v>67.70537625996856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-9.1631591203622526E-14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217.61052961346684</v>
      </c>
      <c r="BJ117" s="59">
        <f t="shared" si="92"/>
        <v>180.77145728128608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85.898758978360917</v>
      </c>
      <c r="BQ117" s="21">
        <f>EXP(-LN(2)/25)*BQ116+(1-EXP(-LN(2)/25))/(LN(2)/25)*Calculateur!BL117*Calculateur!BN117*VLOOKUP('Données projet'!$B$11,Paramètres!$A$1:$I$89,3,0)*0.475*44/12</f>
        <v>23.484768909902858</v>
      </c>
      <c r="BR117" s="21">
        <f>EXP(-LN(2)/2)*BR116+(1-EXP(-LN(2)/2))/(LN(2)/2)*BL117*BO117*VLOOKUP('Données projet'!$B$11,Paramètres!$A$1:$I$89,3,0)*0.475*44/12</f>
        <v>4.9884362903337672E-4</v>
      </c>
      <c r="BS117" s="22">
        <f t="shared" si="63"/>
        <v>109.3840267318928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>
        <f>BY117*VLOOKUP('Données projet'!$B$12,Paramètres!$A$1:$I$89,3,0)*VLOOKUP('Données projet'!$B$12,Paramètres!$A$1:$I$89,5,0)</f>
        <v>4.7884896048344674E-14</v>
      </c>
      <c r="CA117" s="13">
        <f t="shared" si="93"/>
        <v>7.8374629847779921E-13</v>
      </c>
      <c r="CB117" s="20">
        <f t="shared" si="64"/>
        <v>1.4484243304663672E-12</v>
      </c>
      <c r="CC117" s="59">
        <f t="shared" si="65"/>
        <v>293.33333333333474</v>
      </c>
      <c r="CD117" s="59">
        <f ca="1">AVERAGE(OFFSET($CC$3,0,0,'Données projet'!$E$12+1,1))-AVERAGE(OFFSET($H$3,0,0,'Données projet'!$E$12+1,1))</f>
        <v>287.72859857368331</v>
      </c>
      <c r="CE117" s="59">
        <f t="shared" si="94"/>
        <v>179.60736986885922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104.41602464071342</v>
      </c>
      <c r="CL117" s="21">
        <f>EXP(-LN(2)/25)*CL116+(1-EXP(-LN(2)/25))/(LN(2)/25)*Calculateur!CG117*Calculateur!CI117*VLOOKUP('Données projet'!$B$12,Paramètres!$A$1:$I$89,3,0)*0.475*44/12</f>
        <v>22.413790394657546</v>
      </c>
      <c r="CM117" s="21">
        <f>EXP(-LN(2)/2)*CM116+(1-EXP(-LN(2)/2))/(LN(2)/2)*CG117*CJ117*VLOOKUP('Données projet'!$B$12,Paramètres!$A$1:$I$89,3,0)*0.475*44/12</f>
        <v>0.46393897031008036</v>
      </c>
      <c r="CN117" s="22">
        <f t="shared" si="66"/>
        <v>127.29375400568104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243.33915530322201</v>
      </c>
      <c r="CZ117" s="59">
        <f t="shared" si="96"/>
        <v>247.73814704672577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26.51090676056614</v>
      </c>
      <c r="DG117" s="21">
        <f>EXP(-LN(2)/25)*DG116+(1-EXP(-LN(2)/25))/(LN(2)/25)*Calculateur!DB117*Calculateur!DD117*VLOOKUP('Données projet'!$B$13,Paramètres!$A$1:$I$89,3,0)*0.475*44/12</f>
        <v>19.994822818082742</v>
      </c>
      <c r="DH117" s="21">
        <f>EXP(-LN(2)/2)*DH116+(1-EXP(-LN(2)/2))/(LN(2)/2)*DB117*DE117*VLOOKUP('Données projet'!$B$13,Paramètres!$A$1:$I$89,3,0)*0.475*44/12</f>
        <v>4.7623688663025852E-4</v>
      </c>
      <c r="DI117" s="22">
        <f t="shared" si="69"/>
        <v>46.506205815535516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5.6843418860808015E-13</v>
      </c>
      <c r="O118" s="13">
        <f>N118*VLOOKUP('Données projet'!$B$9,Paramètres!$A$1:$I$89,3,0)*VLOOKUP('Données projet'!$B$9,Paramètres!$A$1:$I$89,5,0)</f>
        <v>3.177547114319168E-13</v>
      </c>
      <c r="P118" s="13">
        <f t="shared" si="87"/>
        <v>4.1725404435445377E-12</v>
      </c>
      <c r="Q118" s="20">
        <f t="shared" si="107"/>
        <v>7.820597394917325E-12</v>
      </c>
      <c r="R118" s="59">
        <f t="shared" si="55"/>
        <v>293.33333333334116</v>
      </c>
      <c r="S118" s="59">
        <f ca="1">AVERAGE(OFFSET($R$3,0,0,'Données projet'!$E$9+1,1))-AVERAGE(OFFSET($H$3,0,0,'Données projet'!$E$9+1,1))</f>
        <v>287.413090017863</v>
      </c>
      <c r="T118" s="59">
        <f t="shared" si="88"/>
        <v>258.48456031927117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94.645665757106329</v>
      </c>
      <c r="AA118" s="21">
        <f>EXP(-LN(2)/25)*AA117+(1-EXP(-LN(2)/25))/(LN(2)/25)*Calculateur!V118*Calculateur!X118*VLOOKUP('Données projet'!$B$9,Paramètres!$A$1:$I$89,3,0)*0.475*44/12</f>
        <v>22.042759049738606</v>
      </c>
      <c r="AB118" s="21">
        <f>EXP(-LN(2)/2)*AB117+(1-EXP(-LN(2)/2))/(LN(2)/2)*V118*Y118*VLOOKUP('Données projet'!$B$9,Paramètres!$A$1:$I$89,3,0)*0.475*44/12</f>
        <v>1.2729279581478062E-5</v>
      </c>
      <c r="AC118" s="22">
        <f t="shared" si="57"/>
        <v>116.68843753612451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8.9160000000000021</v>
      </c>
      <c r="AI118" s="13">
        <f>IF('Données projet'!$A$62&gt;35,AI117+AH118-AQ117,IF(A118&lt;'Données projet'!$A$62,$AF$205^A118,IF(A118='Données projet'!$A$62,'Données projet'!$B$62,AI117+AH118-AQ117)))</f>
        <v>371.61600000000072</v>
      </c>
      <c r="AJ118" s="13">
        <f>AI118*VLOOKUP('Données projet'!$B$10,Paramètres!$A$1:$I$89,3,0)*VLOOKUP('Données projet'!$B$10,Paramètres!$A$1:$I$89,5,0)</f>
        <v>336.23815680000064</v>
      </c>
      <c r="AK118" s="13">
        <f t="shared" si="89"/>
        <v>78.722223243612518</v>
      </c>
      <c r="AL118" s="20">
        <f t="shared" si="58"/>
        <v>722.72266190929292</v>
      </c>
      <c r="AM118" s="59">
        <f t="shared" si="59"/>
        <v>1016.0559952426263</v>
      </c>
      <c r="AN118" s="59">
        <f ca="1">AVERAGE(OFFSET($AM$3,0,0,'Données projet'!$E$10+1,1))-AVERAGE(OFFSET($H$3,0,0,'Données projet'!$E$10+1,1))</f>
        <v>422.10969295064359</v>
      </c>
      <c r="AO118" s="59">
        <f t="shared" si="90"/>
        <v>184.04075143033037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35.746397173178586</v>
      </c>
      <c r="AV118" s="21">
        <f>EXP(-LN(2)/25)*AV117+(1-EXP(-LN(2)/25))/(LN(2)/25)*Calculateur!AQ118*Calculateur!AS118*VLOOKUP('Données projet'!$B$10,Paramètres!$A$1:$I$89,3,0)*0.475*44/12</f>
        <v>25.075896948229026</v>
      </c>
      <c r="AW118" s="21">
        <f>EXP(-LN(2)/2)*AW117+(1-EXP(-LN(2)/2))/(LN(2)/2)*AQ118*AT118*VLOOKUP('Données projet'!$B$10,Paramètres!$A$1:$I$89,3,0)*0.475*44/12</f>
        <v>3.8630072496778993</v>
      </c>
      <c r="AX118" s="21">
        <f t="shared" si="60"/>
        <v>64.685301371085501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-9.1631591203622526E-14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217.61052961346684</v>
      </c>
      <c r="BJ118" s="59">
        <f t="shared" si="92"/>
        <v>180.77145728128608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84.214336707864845</v>
      </c>
      <c r="BQ118" s="21">
        <f>EXP(-LN(2)/25)*BQ117+(1-EXP(-LN(2)/25))/(LN(2)/25)*Calculateur!BL118*Calculateur!BN118*VLOOKUP('Données projet'!$B$11,Paramètres!$A$1:$I$89,3,0)*0.475*44/12</f>
        <v>22.842576669051244</v>
      </c>
      <c r="BR118" s="21">
        <f>EXP(-LN(2)/2)*BR117+(1-EXP(-LN(2)/2))/(LN(2)/2)*BL118*BO118*VLOOKUP('Données projet'!$B$11,Paramètres!$A$1:$I$89,3,0)*0.475*44/12</f>
        <v>3.5273571284120719E-4</v>
      </c>
      <c r="BS118" s="22">
        <f t="shared" si="63"/>
        <v>107.05726611262892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>
        <f>BY118*VLOOKUP('Données projet'!$B$12,Paramètres!$A$1:$I$89,3,0)*VLOOKUP('Données projet'!$B$12,Paramètres!$A$1:$I$89,5,0)</f>
        <v>4.7884896048344674E-14</v>
      </c>
      <c r="CA118" s="13">
        <f t="shared" si="93"/>
        <v>7.8374629847779921E-13</v>
      </c>
      <c r="CB118" s="20">
        <f t="shared" si="64"/>
        <v>1.4484243304663672E-12</v>
      </c>
      <c r="CC118" s="59">
        <f t="shared" si="65"/>
        <v>293.33333333333474</v>
      </c>
      <c r="CD118" s="59">
        <f ca="1">AVERAGE(OFFSET($CC$3,0,0,'Données projet'!$E$12+1,1))-AVERAGE(OFFSET($H$3,0,0,'Données projet'!$E$12+1,1))</f>
        <v>287.72859857368331</v>
      </c>
      <c r="CE118" s="59">
        <f t="shared" si="94"/>
        <v>179.60736986885922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102.36849008499544</v>
      </c>
      <c r="CL118" s="21">
        <f>EXP(-LN(2)/25)*CL117+(1-EXP(-LN(2)/25))/(LN(2)/25)*Calculateur!CG118*Calculateur!CI118*VLOOKUP('Données projet'!$B$12,Paramètres!$A$1:$I$89,3,0)*0.475*44/12</f>
        <v>21.800884117625625</v>
      </c>
      <c r="CM118" s="21">
        <f>EXP(-LN(2)/2)*CM117+(1-EXP(-LN(2)/2))/(LN(2)/2)*CG118*CJ118*VLOOKUP('Données projet'!$B$12,Paramètres!$A$1:$I$89,3,0)*0.475*44/12</f>
        <v>0.32805439196296216</v>
      </c>
      <c r="CN118" s="22">
        <f t="shared" si="66"/>
        <v>124.49742859458404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243.33915530322201</v>
      </c>
      <c r="CZ118" s="59">
        <f t="shared" si="96"/>
        <v>247.73814704672577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25.9910440490479</v>
      </c>
      <c r="DG118" s="21">
        <f>EXP(-LN(2)/25)*DG117+(1-EXP(-LN(2)/25))/(LN(2)/25)*Calculateur!DB118*Calculateur!DD118*VLOOKUP('Données projet'!$B$13,Paramètres!$A$1:$I$89,3,0)*0.475*44/12</f>
        <v>19.448063336640235</v>
      </c>
      <c r="DH118" s="21">
        <f>EXP(-LN(2)/2)*DH117+(1-EXP(-LN(2)/2))/(LN(2)/2)*DB118*DE118*VLOOKUP('Données projet'!$B$13,Paramètres!$A$1:$I$89,3,0)*0.475*44/12</f>
        <v>3.3675033198742488E-4</v>
      </c>
      <c r="DI118" s="22">
        <f t="shared" si="69"/>
        <v>45.439444136020121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5.6843418860808015E-13</v>
      </c>
      <c r="O119" s="13">
        <f>N119*VLOOKUP('Données projet'!$B$9,Paramètres!$A$1:$I$89,3,0)*VLOOKUP('Données projet'!$B$9,Paramètres!$A$1:$I$89,5,0)</f>
        <v>3.177547114319168E-13</v>
      </c>
      <c r="P119" s="13">
        <f t="shared" si="87"/>
        <v>4.1725404435445377E-12</v>
      </c>
      <c r="Q119" s="20">
        <f t="shared" si="107"/>
        <v>7.820597394917325E-12</v>
      </c>
      <c r="R119" s="59">
        <f t="shared" si="55"/>
        <v>293.33333333334116</v>
      </c>
      <c r="S119" s="59">
        <f ca="1">AVERAGE(OFFSET($R$3,0,0,'Données projet'!$E$9+1,1))-AVERAGE(OFFSET($H$3,0,0,'Données projet'!$E$9+1,1))</f>
        <v>287.413090017863</v>
      </c>
      <c r="T119" s="59">
        <f t="shared" si="88"/>
        <v>258.48456031927117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92.789721979765403</v>
      </c>
      <c r="AA119" s="21">
        <f>EXP(-LN(2)/25)*AA118+(1-EXP(-LN(2)/25))/(LN(2)/25)*Calculateur!V119*Calculateur!X119*VLOOKUP('Données projet'!$B$9,Paramètres!$A$1:$I$89,3,0)*0.475*44/12</f>
        <v>21.439998644345184</v>
      </c>
      <c r="AB119" s="21">
        <f>EXP(-LN(2)/2)*AB118+(1-EXP(-LN(2)/2))/(LN(2)/2)*V119*Y119*VLOOKUP('Données projet'!$B$9,Paramètres!$A$1:$I$89,3,0)*0.475*44/12</f>
        <v>9.0009599116825949E-6</v>
      </c>
      <c r="AC119" s="22">
        <f t="shared" si="57"/>
        <v>114.22972962507049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8.9160000000000021</v>
      </c>
      <c r="AI119" s="13">
        <f>IF('Données projet'!$A$62&gt;35,AI118+AH119-AQ118,IF(A119&lt;'Données projet'!$A$62,$AF$205^A119,IF(A119='Données projet'!$A$62,'Données projet'!$B$62,AI118+AH119-AQ118)))</f>
        <v>380.53200000000072</v>
      </c>
      <c r="AJ119" s="13">
        <f>AI119*VLOOKUP('Données projet'!$B$10,Paramètres!$A$1:$I$89,3,0)*VLOOKUP('Données projet'!$B$10,Paramètres!$A$1:$I$89,5,0)</f>
        <v>344.30535360000061</v>
      </c>
      <c r="AK119" s="13">
        <f t="shared" si="89"/>
        <v>80.388807253544201</v>
      </c>
      <c r="AL119" s="20">
        <f t="shared" si="58"/>
        <v>739.67566348659057</v>
      </c>
      <c r="AM119" s="59">
        <f t="shared" si="59"/>
        <v>1033.0089968199238</v>
      </c>
      <c r="AN119" s="59">
        <f ca="1">AVERAGE(OFFSET($AM$3,0,0,'Données projet'!$E$10+1,1))-AVERAGE(OFFSET($H$3,0,0,'Données projet'!$E$10+1,1))</f>
        <v>422.10969295064359</v>
      </c>
      <c r="AO119" s="59">
        <f t="shared" si="90"/>
        <v>184.04075143033037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35.045432127761948</v>
      </c>
      <c r="AV119" s="21">
        <f>EXP(-LN(2)/25)*AV118+(1-EXP(-LN(2)/25))/(LN(2)/25)*Calculateur!AQ119*Calculateur!AS119*VLOOKUP('Données projet'!$B$10,Paramètres!$A$1:$I$89,3,0)*0.475*44/12</f>
        <v>24.390195227495596</v>
      </c>
      <c r="AW119" s="21">
        <f>EXP(-LN(2)/2)*AW118+(1-EXP(-LN(2)/2))/(LN(2)/2)*AQ119*AT119*VLOOKUP('Données projet'!$B$10,Paramètres!$A$1:$I$89,3,0)*0.475*44/12</f>
        <v>2.7315586220200374</v>
      </c>
      <c r="AX119" s="21">
        <f t="shared" si="60"/>
        <v>62.167185977277583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-9.1631591203622526E-14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217.61052961346684</v>
      </c>
      <c r="BJ119" s="59">
        <f t="shared" si="92"/>
        <v>180.77145728128608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82.562944930697071</v>
      </c>
      <c r="BQ119" s="21">
        <f>EXP(-LN(2)/25)*BQ118+(1-EXP(-LN(2)/25))/(LN(2)/25)*Calculateur!BL119*Calculateur!BN119*VLOOKUP('Données projet'!$B$11,Paramètres!$A$1:$I$89,3,0)*0.475*44/12</f>
        <v>22.21794520879714</v>
      </c>
      <c r="BR119" s="21">
        <f>EXP(-LN(2)/2)*BR118+(1-EXP(-LN(2)/2))/(LN(2)/2)*BL119*BO119*VLOOKUP('Données projet'!$B$11,Paramètres!$A$1:$I$89,3,0)*0.475*44/12</f>
        <v>2.4942181451668836E-4</v>
      </c>
      <c r="BS119" s="22">
        <f t="shared" si="63"/>
        <v>104.78113956130872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projet'!$B$12,Paramètres!$A$1:$I$89,3,0)*VLOOKUP('Données projet'!$B$12,Paramètres!$A$1:$I$89,5,0)</f>
        <v>4.7884896048344674E-14</v>
      </c>
      <c r="CA119" s="13">
        <f t="shared" si="93"/>
        <v>7.8374629847779921E-13</v>
      </c>
      <c r="CB119" s="20">
        <f t="shared" si="64"/>
        <v>1.4484243304663672E-12</v>
      </c>
      <c r="CC119" s="59">
        <f t="shared" si="65"/>
        <v>293.33333333333474</v>
      </c>
      <c r="CD119" s="59">
        <f ca="1">AVERAGE(OFFSET($CC$3,0,0,'Données projet'!$E$12+1,1))-AVERAGE(OFFSET($H$3,0,0,'Données projet'!$E$12+1,1))</f>
        <v>287.72859857368331</v>
      </c>
      <c r="CE119" s="59">
        <f t="shared" si="94"/>
        <v>179.60736986885922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100.36110643304234</v>
      </c>
      <c r="CL119" s="21">
        <f>EXP(-LN(2)/25)*CL118+(1-EXP(-LN(2)/25))/(LN(2)/25)*Calculateur!CG119*Calculateur!CI119*VLOOKUP('Données projet'!$B$12,Paramètres!$A$1:$I$89,3,0)*0.475*44/12</f>
        <v>21.204737794970484</v>
      </c>
      <c r="CM119" s="21">
        <f>EXP(-LN(2)/2)*CM118+(1-EXP(-LN(2)/2))/(LN(2)/2)*CG119*CJ119*VLOOKUP('Données projet'!$B$12,Paramètres!$A$1:$I$89,3,0)*0.475*44/12</f>
        <v>0.23196948515504018</v>
      </c>
      <c r="CN119" s="22">
        <f t="shared" si="66"/>
        <v>121.79781371316786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243.33915530322201</v>
      </c>
      <c r="CZ119" s="59">
        <f t="shared" si="96"/>
        <v>247.73814704672577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25.48137552821759</v>
      </c>
      <c r="DG119" s="21">
        <f>EXP(-LN(2)/25)*DG118+(1-EXP(-LN(2)/25))/(LN(2)/25)*Calculateur!DB119*Calculateur!DD119*VLOOKUP('Données projet'!$B$13,Paramètres!$A$1:$I$89,3,0)*0.475*44/12</f>
        <v>18.916255021970606</v>
      </c>
      <c r="DH119" s="21">
        <f>EXP(-LN(2)/2)*DH118+(1-EXP(-LN(2)/2))/(LN(2)/2)*DB119*DE119*VLOOKUP('Données projet'!$B$13,Paramètres!$A$1:$I$89,3,0)*0.475*44/12</f>
        <v>2.3811844331512929E-4</v>
      </c>
      <c r="DI119" s="22">
        <f t="shared" si="69"/>
        <v>44.39786866863151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5.6843418860808015E-13</v>
      </c>
      <c r="O120" s="13">
        <f>N120*VLOOKUP('Données projet'!$B$9,Paramètres!$A$1:$I$89,3,0)*VLOOKUP('Données projet'!$B$9,Paramètres!$A$1:$I$89,5,0)</f>
        <v>3.177547114319168E-13</v>
      </c>
      <c r="P120" s="13">
        <f t="shared" si="87"/>
        <v>4.1725404435445377E-12</v>
      </c>
      <c r="Q120" s="20">
        <f t="shared" si="107"/>
        <v>7.820597394917325E-12</v>
      </c>
      <c r="R120" s="59">
        <f t="shared" si="55"/>
        <v>293.33333333334116</v>
      </c>
      <c r="S120" s="59">
        <f ca="1">AVERAGE(OFFSET($R$3,0,0,'Données projet'!$E$9+1,1))-AVERAGE(OFFSET($H$3,0,0,'Données projet'!$E$9+1,1))</f>
        <v>287.413090017863</v>
      </c>
      <c r="T120" s="59">
        <f t="shared" si="88"/>
        <v>258.48456031927117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90.970172127884211</v>
      </c>
      <c r="AA120" s="21">
        <f>EXP(-LN(2)/25)*AA119+(1-EXP(-LN(2)/25))/(LN(2)/25)*Calculateur!V120*Calculateur!X120*VLOOKUP('Données projet'!$B$9,Paramètres!$A$1:$I$89,3,0)*0.475*44/12</f>
        <v>20.85372075393504</v>
      </c>
      <c r="AB120" s="21">
        <f>EXP(-LN(2)/2)*AB119+(1-EXP(-LN(2)/2))/(LN(2)/2)*V120*Y120*VLOOKUP('Données projet'!$B$9,Paramètres!$A$1:$I$89,3,0)*0.475*44/12</f>
        <v>6.3646397907390309E-6</v>
      </c>
      <c r="AC120" s="22">
        <f t="shared" si="57"/>
        <v>111.82389924645904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8.9160000000000021</v>
      </c>
      <c r="AI120" s="13">
        <f>IF('Données projet'!$A$62&gt;35,AI119+AH120-AQ119,IF(A120&lt;'Données projet'!$A$62,$AF$205^A120,IF(A120='Données projet'!$A$62,'Données projet'!$B$62,AI119+AH120-AQ119)))</f>
        <v>389.44800000000072</v>
      </c>
      <c r="AJ120" s="13">
        <f>AI120*VLOOKUP('Données projet'!$B$10,Paramètres!$A$1:$I$89,3,0)*VLOOKUP('Données projet'!$B$10,Paramètres!$A$1:$I$89,5,0)</f>
        <v>352.37255040000065</v>
      </c>
      <c r="AK120" s="13">
        <f t="shared" si="89"/>
        <v>82.050851753476593</v>
      </c>
      <c r="AL120" s="20">
        <f t="shared" si="58"/>
        <v>756.62075875063954</v>
      </c>
      <c r="AM120" s="59">
        <f t="shared" si="59"/>
        <v>1049.9540920839729</v>
      </c>
      <c r="AN120" s="59">
        <f ca="1">AVERAGE(OFFSET($AM$3,0,0,'Données projet'!$E$10+1,1))-AVERAGE(OFFSET($H$3,0,0,'Données projet'!$E$10+1,1))</f>
        <v>422.10969295064359</v>
      </c>
      <c r="AO120" s="59">
        <f t="shared" si="90"/>
        <v>184.04075143033037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34.358212579339472</v>
      </c>
      <c r="AV120" s="21">
        <f>EXP(-LN(2)/25)*AV119+(1-EXP(-LN(2)/25))/(LN(2)/25)*Calculateur!AQ120*Calculateur!AS120*VLOOKUP('Données projet'!$B$10,Paramètres!$A$1:$I$89,3,0)*0.475*44/12</f>
        <v>23.723244056375105</v>
      </c>
      <c r="AW120" s="21">
        <f>EXP(-LN(2)/2)*AW119+(1-EXP(-LN(2)/2))/(LN(2)/2)*AQ120*AT120*VLOOKUP('Données projet'!$B$10,Paramètres!$A$1:$I$89,3,0)*0.475*44/12</f>
        <v>1.9315036248389501</v>
      </c>
      <c r="AX120" s="21">
        <f t="shared" si="60"/>
        <v>60.012960260553527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-9.1631591203622526E-14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217.61052961346684</v>
      </c>
      <c r="BJ120" s="59">
        <f t="shared" si="92"/>
        <v>180.77145728128608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80.943935939030027</v>
      </c>
      <c r="BQ120" s="21">
        <f>EXP(-LN(2)/25)*BQ119+(1-EXP(-LN(2)/25))/(LN(2)/25)*Calculateur!BL120*Calculateur!BN120*VLOOKUP('Données projet'!$B$11,Paramètres!$A$1:$I$89,3,0)*0.475*44/12</f>
        <v>21.610394328671624</v>
      </c>
      <c r="BR120" s="21">
        <f>EXP(-LN(2)/2)*BR119+(1-EXP(-LN(2)/2))/(LN(2)/2)*BL120*BO120*VLOOKUP('Données projet'!$B$11,Paramètres!$A$1:$I$89,3,0)*0.475*44/12</f>
        <v>1.763678564206036E-4</v>
      </c>
      <c r="BS120" s="22">
        <f t="shared" si="63"/>
        <v>102.55450663555808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projet'!$B$12,Paramètres!$A$1:$I$89,3,0)*VLOOKUP('Données projet'!$B$12,Paramètres!$A$1:$I$89,5,0)</f>
        <v>4.7884896048344674E-14</v>
      </c>
      <c r="CA120" s="13">
        <f t="shared" si="93"/>
        <v>7.8374629847779921E-13</v>
      </c>
      <c r="CB120" s="20">
        <f t="shared" si="64"/>
        <v>1.4484243304663672E-12</v>
      </c>
      <c r="CC120" s="59">
        <f t="shared" si="65"/>
        <v>293.33333333333474</v>
      </c>
      <c r="CD120" s="59">
        <f ca="1">AVERAGE(OFFSET($CC$3,0,0,'Données projet'!$E$12+1,1))-AVERAGE(OFFSET($H$3,0,0,'Données projet'!$E$12+1,1))</f>
        <v>287.72859857368331</v>
      </c>
      <c r="CE120" s="59">
        <f t="shared" si="94"/>
        <v>179.60736986885922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98.393086350120896</v>
      </c>
      <c r="CL120" s="21">
        <f>EXP(-LN(2)/25)*CL119+(1-EXP(-LN(2)/25))/(LN(2)/25)*Calculateur!CG120*Calculateur!CI120*VLOOKUP('Données projet'!$B$12,Paramètres!$A$1:$I$89,3,0)*0.475*44/12</f>
        <v>20.624893124858321</v>
      </c>
      <c r="CM120" s="21">
        <f>EXP(-LN(2)/2)*CM119+(1-EXP(-LN(2)/2))/(LN(2)/2)*CG120*CJ120*VLOOKUP('Données projet'!$B$12,Paramètres!$A$1:$I$89,3,0)*0.475*44/12</f>
        <v>0.16402719598148108</v>
      </c>
      <c r="CN120" s="22">
        <f t="shared" si="66"/>
        <v>119.18200667096069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243.33915530322201</v>
      </c>
      <c r="CZ120" s="59">
        <f t="shared" si="96"/>
        <v>247.73814704672577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24.981701296213661</v>
      </c>
      <c r="DG120" s="21">
        <f>EXP(-LN(2)/25)*DG119+(1-EXP(-LN(2)/25))/(LN(2)/25)*Calculateur!DB120*Calculateur!DD120*VLOOKUP('Données projet'!$B$13,Paramètres!$A$1:$I$89,3,0)*0.475*44/12</f>
        <v>18.398989033632201</v>
      </c>
      <c r="DH120" s="21">
        <f>EXP(-LN(2)/2)*DH119+(1-EXP(-LN(2)/2))/(LN(2)/2)*DB120*DE120*VLOOKUP('Données projet'!$B$13,Paramètres!$A$1:$I$89,3,0)*0.475*44/12</f>
        <v>1.6837516599371247E-4</v>
      </c>
      <c r="DI120" s="22">
        <f t="shared" si="69"/>
        <v>43.380858705011853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5.6843418860808015E-13</v>
      </c>
      <c r="O121" s="13">
        <f>N121*VLOOKUP('Données projet'!$B$9,Paramètres!$A$1:$I$89,3,0)*VLOOKUP('Données projet'!$B$9,Paramètres!$A$1:$I$89,5,0)</f>
        <v>3.177547114319168E-13</v>
      </c>
      <c r="P121" s="13">
        <f t="shared" si="87"/>
        <v>4.1725404435445377E-12</v>
      </c>
      <c r="Q121" s="20">
        <f t="shared" si="107"/>
        <v>7.820597394917325E-12</v>
      </c>
      <c r="R121" s="59">
        <f t="shared" si="55"/>
        <v>293.33333333334116</v>
      </c>
      <c r="S121" s="59">
        <f ca="1">AVERAGE(OFFSET($R$3,0,0,'Données projet'!$E$9+1,1))-AVERAGE(OFFSET($H$3,0,0,'Données projet'!$E$9+1,1))</f>
        <v>287.413090017863</v>
      </c>
      <c r="T121" s="59">
        <f t="shared" si="88"/>
        <v>258.48456031927117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89.186302538782584</v>
      </c>
      <c r="AA121" s="21">
        <f>EXP(-LN(2)/25)*AA120+(1-EXP(-LN(2)/25))/(LN(2)/25)*Calculateur!V121*Calculateur!X121*VLOOKUP('Données projet'!$B$9,Paramètres!$A$1:$I$89,3,0)*0.475*44/12</f>
        <v>20.283474663269175</v>
      </c>
      <c r="AB121" s="21">
        <f>EXP(-LN(2)/2)*AB120+(1-EXP(-LN(2)/2))/(LN(2)/2)*V121*Y121*VLOOKUP('Données projet'!$B$9,Paramètres!$A$1:$I$89,3,0)*0.475*44/12</f>
        <v>4.5004799558412974E-6</v>
      </c>
      <c r="AC121" s="22">
        <f t="shared" si="57"/>
        <v>109.46978170253172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8.9160000000000021</v>
      </c>
      <c r="AI121" s="13">
        <f>IF('Données projet'!$A$62&gt;35,AI120+AH121-AQ120,IF(A121&lt;'Données projet'!$A$62,$AF$205^A121,IF(A121='Données projet'!$A$62,'Données projet'!$B$62,AI120+AH121-AQ120)))</f>
        <v>398.36400000000071</v>
      </c>
      <c r="AJ121" s="13">
        <f>AI121*VLOOKUP('Données projet'!$B$10,Paramètres!$A$1:$I$89,3,0)*VLOOKUP('Données projet'!$B$10,Paramètres!$A$1:$I$89,5,0)</f>
        <v>360.43974720000062</v>
      </c>
      <c r="AK121" s="13">
        <f t="shared" si="89"/>
        <v>83.708472633827739</v>
      </c>
      <c r="AL121" s="20">
        <f t="shared" si="58"/>
        <v>773.55814954391769</v>
      </c>
      <c r="AM121" s="59">
        <f t="shared" si="59"/>
        <v>1066.8914828772511</v>
      </c>
      <c r="AN121" s="59">
        <f ca="1">AVERAGE(OFFSET($AM$3,0,0,'Données projet'!$E$10+1,1))-AVERAGE(OFFSET($H$3,0,0,'Données projet'!$E$10+1,1))</f>
        <v>422.10969295064359</v>
      </c>
      <c r="AO121" s="59">
        <f t="shared" si="90"/>
        <v>184.04075143033037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33.684468987099024</v>
      </c>
      <c r="AV121" s="21">
        <f>EXP(-LN(2)/25)*AV120+(1-EXP(-LN(2)/25))/(LN(2)/25)*Calculateur!AQ121*Calculateur!AS121*VLOOKUP('Données projet'!$B$10,Paramètres!$A$1:$I$89,3,0)*0.475*44/12</f>
        <v>23.074530700102343</v>
      </c>
      <c r="AW121" s="21">
        <f>EXP(-LN(2)/2)*AW120+(1-EXP(-LN(2)/2))/(LN(2)/2)*AQ121*AT121*VLOOKUP('Données projet'!$B$10,Paramètres!$A$1:$I$89,3,0)*0.475*44/12</f>
        <v>1.3657793110100189</v>
      </c>
      <c r="AX121" s="21">
        <f t="shared" si="60"/>
        <v>58.124778998211383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-9.1631591203622526E-14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217.61052961346684</v>
      </c>
      <c r="BJ121" s="59">
        <f t="shared" si="92"/>
        <v>180.77145728128608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79.356674726191599</v>
      </c>
      <c r="BQ121" s="21">
        <f>EXP(-LN(2)/25)*BQ120+(1-EXP(-LN(2)/25))/(LN(2)/25)*Calculateur!BL121*Calculateur!BN121*VLOOKUP('Données projet'!$B$11,Paramètres!$A$1:$I$89,3,0)*0.475*44/12</f>
        <v>21.019456959312851</v>
      </c>
      <c r="BR121" s="21">
        <f>EXP(-LN(2)/2)*BR120+(1-EXP(-LN(2)/2))/(LN(2)/2)*BL121*BO121*VLOOKUP('Données projet'!$B$11,Paramètres!$A$1:$I$89,3,0)*0.475*44/12</f>
        <v>1.2471090725834418E-4</v>
      </c>
      <c r="BS121" s="22">
        <f t="shared" si="63"/>
        <v>100.3762563964117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projet'!$B$12,Paramètres!$A$1:$I$89,3,0)*VLOOKUP('Données projet'!$B$12,Paramètres!$A$1:$I$89,5,0)</f>
        <v>4.7884896048344674E-14</v>
      </c>
      <c r="CA121" s="13">
        <f t="shared" si="93"/>
        <v>7.8374629847779921E-13</v>
      </c>
      <c r="CB121" s="20">
        <f t="shared" si="64"/>
        <v>1.4484243304663672E-12</v>
      </c>
      <c r="CC121" s="59">
        <f t="shared" si="65"/>
        <v>293.33333333333474</v>
      </c>
      <c r="CD121" s="59">
        <f ca="1">AVERAGE(OFFSET($CC$3,0,0,'Données projet'!$E$12+1,1))-AVERAGE(OFFSET($H$3,0,0,'Données projet'!$E$12+1,1))</f>
        <v>287.72859857368331</v>
      </c>
      <c r="CE121" s="59">
        <f t="shared" si="94"/>
        <v>179.60736986885922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96.463657940651828</v>
      </c>
      <c r="CL121" s="21">
        <f>EXP(-LN(2)/25)*CL120+(1-EXP(-LN(2)/25))/(LN(2)/25)*Calculateur!CG121*Calculateur!CI121*VLOOKUP('Données projet'!$B$12,Paramètres!$A$1:$I$89,3,0)*0.475*44/12</f>
        <v>20.060904337743079</v>
      </c>
      <c r="CM121" s="21">
        <f>EXP(-LN(2)/2)*CM120+(1-EXP(-LN(2)/2))/(LN(2)/2)*CG121*CJ121*VLOOKUP('Données projet'!$B$12,Paramètres!$A$1:$I$89,3,0)*0.475*44/12</f>
        <v>0.11598474257752009</v>
      </c>
      <c r="CN121" s="22">
        <f t="shared" si="66"/>
        <v>116.64054702097243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243.33915530322201</v>
      </c>
      <c r="CZ121" s="59">
        <f t="shared" si="96"/>
        <v>247.73814704672577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24.49182537112814</v>
      </c>
      <c r="DG121" s="21">
        <f>EXP(-LN(2)/25)*DG120+(1-EXP(-LN(2)/25))/(LN(2)/25)*Calculateur!DB121*Calculateur!DD121*VLOOKUP('Données projet'!$B$13,Paramètres!$A$1:$I$89,3,0)*0.475*44/12</f>
        <v>17.895867710946746</v>
      </c>
      <c r="DH121" s="21">
        <f>EXP(-LN(2)/2)*DH120+(1-EXP(-LN(2)/2))/(LN(2)/2)*DB121*DE121*VLOOKUP('Données projet'!$B$13,Paramètres!$A$1:$I$89,3,0)*0.475*44/12</f>
        <v>1.1905922165756467E-4</v>
      </c>
      <c r="DI121" s="22">
        <f t="shared" si="69"/>
        <v>42.38781214129655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5.6843418860808015E-13</v>
      </c>
      <c r="O122" s="13">
        <f>N122*VLOOKUP('Données projet'!$B$9,Paramètres!$A$1:$I$89,3,0)*VLOOKUP('Données projet'!$B$9,Paramètres!$A$1:$I$89,5,0)</f>
        <v>3.177547114319168E-13</v>
      </c>
      <c r="P122" s="13">
        <f t="shared" si="87"/>
        <v>4.1725404435445377E-12</v>
      </c>
      <c r="Q122" s="20">
        <f t="shared" si="107"/>
        <v>7.820597394917325E-12</v>
      </c>
      <c r="R122" s="59">
        <f t="shared" si="55"/>
        <v>293.33333333334116</v>
      </c>
      <c r="S122" s="59">
        <f ca="1">AVERAGE(OFFSET($R$3,0,0,'Données projet'!$E$9+1,1))-AVERAGE(OFFSET($H$3,0,0,'Données projet'!$E$9+1,1))</f>
        <v>287.413090017863</v>
      </c>
      <c r="T122" s="59">
        <f t="shared" si="88"/>
        <v>258.48456031927117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87.437413544270228</v>
      </c>
      <c r="AA122" s="21">
        <f>EXP(-LN(2)/25)*AA121+(1-EXP(-LN(2)/25))/(LN(2)/25)*Calculateur!V122*Calculateur!X122*VLOOKUP('Données projet'!$B$9,Paramètres!$A$1:$I$89,3,0)*0.475*44/12</f>
        <v>19.728821981940506</v>
      </c>
      <c r="AB122" s="21">
        <f>EXP(-LN(2)/2)*AB121+(1-EXP(-LN(2)/2))/(LN(2)/2)*V122*Y122*VLOOKUP('Données projet'!$B$9,Paramètres!$A$1:$I$89,3,0)*0.475*44/12</f>
        <v>3.1823198953695154E-6</v>
      </c>
      <c r="AC122" s="22">
        <f t="shared" si="57"/>
        <v>107.16623870853063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8.9160000000000021</v>
      </c>
      <c r="AI122" s="13">
        <f>IF('Données projet'!$A$62&gt;35,AI121+AH122-AQ121,IF(A122&lt;'Données projet'!$A$62,$AF$205^A122,IF(A122='Données projet'!$A$62,'Données projet'!$B$62,AI121+AH122-AQ121)))</f>
        <v>407.28000000000071</v>
      </c>
      <c r="AJ122" s="13">
        <f>AI122*VLOOKUP('Données projet'!$B$10,Paramètres!$A$1:$I$89,3,0)*VLOOKUP('Données projet'!$B$10,Paramètres!$A$1:$I$89,5,0)</f>
        <v>368.5069440000006</v>
      </c>
      <c r="AK122" s="13">
        <f t="shared" si="89"/>
        <v>85.361780301252097</v>
      </c>
      <c r="AL122" s="20">
        <f t="shared" si="58"/>
        <v>790.48802815801503</v>
      </c>
      <c r="AM122" s="59">
        <f t="shared" si="59"/>
        <v>1083.8213614913484</v>
      </c>
      <c r="AN122" s="59">
        <f ca="1">AVERAGE(OFFSET($AM$3,0,0,'Données projet'!$E$10+1,1))-AVERAGE(OFFSET($H$3,0,0,'Données projet'!$E$10+1,1))</f>
        <v>422.10969295064359</v>
      </c>
      <c r="AO122" s="59">
        <f t="shared" si="90"/>
        <v>184.04075143033037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33.023937095759393</v>
      </c>
      <c r="AV122" s="21">
        <f>EXP(-LN(2)/25)*AV121+(1-EXP(-LN(2)/25))/(LN(2)/25)*Calculateur!AQ122*Calculateur!AS122*VLOOKUP('Données projet'!$B$10,Paramètres!$A$1:$I$89,3,0)*0.475*44/12</f>
        <v>22.443556444671213</v>
      </c>
      <c r="AW122" s="21">
        <f>EXP(-LN(2)/2)*AW121+(1-EXP(-LN(2)/2))/(LN(2)/2)*AQ122*AT122*VLOOKUP('Données projet'!$B$10,Paramètres!$A$1:$I$89,3,0)*0.475*44/12</f>
        <v>0.96575181241947516</v>
      </c>
      <c r="AX122" s="21">
        <f t="shared" si="60"/>
        <v>56.433245352850086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-9.1631591203622526E-14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217.61052961346684</v>
      </c>
      <c r="BJ122" s="59">
        <f t="shared" si="92"/>
        <v>180.77145728128608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77.80053873760319</v>
      </c>
      <c r="BQ122" s="21">
        <f>EXP(-LN(2)/25)*BQ121+(1-EXP(-LN(2)/25))/(LN(2)/25)*Calculateur!BL122*Calculateur!BN122*VLOOKUP('Données projet'!$B$11,Paramètres!$A$1:$I$89,3,0)*0.475*44/12</f>
        <v>20.444678803395242</v>
      </c>
      <c r="BR122" s="21">
        <f>EXP(-LN(2)/2)*BR121+(1-EXP(-LN(2)/2))/(LN(2)/2)*BL122*BO122*VLOOKUP('Données projet'!$B$11,Paramètres!$A$1:$I$89,3,0)*0.475*44/12</f>
        <v>8.8183928210301799E-5</v>
      </c>
      <c r="BS122" s="22">
        <f t="shared" si="63"/>
        <v>98.245305724926638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projet'!$B$12,Paramètres!$A$1:$I$89,3,0)*VLOOKUP('Données projet'!$B$12,Paramètres!$A$1:$I$89,5,0)</f>
        <v>4.7884896048344674E-14</v>
      </c>
      <c r="CA122" s="13">
        <f t="shared" si="93"/>
        <v>7.8374629847779921E-13</v>
      </c>
      <c r="CB122" s="20">
        <f t="shared" si="64"/>
        <v>1.4484243304663672E-12</v>
      </c>
      <c r="CC122" s="59">
        <f t="shared" si="65"/>
        <v>293.33333333333474</v>
      </c>
      <c r="CD122" s="59">
        <f ca="1">AVERAGE(OFFSET($CC$3,0,0,'Données projet'!$E$12+1,1))-AVERAGE(OFFSET($H$3,0,0,'Données projet'!$E$12+1,1))</f>
        <v>287.72859857368331</v>
      </c>
      <c r="CE122" s="59">
        <f t="shared" si="94"/>
        <v>179.60736986885922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94.572064445457315</v>
      </c>
      <c r="CL122" s="21">
        <f>EXP(-LN(2)/25)*CL121+(1-EXP(-LN(2)/25))/(LN(2)/25)*Calculateur!CG122*Calculateur!CI122*VLOOKUP('Données projet'!$B$12,Paramètres!$A$1:$I$89,3,0)*0.475*44/12</f>
        <v>19.512337853670385</v>
      </c>
      <c r="CM122" s="21">
        <f>EXP(-LN(2)/2)*CM121+(1-EXP(-LN(2)/2))/(LN(2)/2)*CG122*CJ122*VLOOKUP('Données projet'!$B$12,Paramètres!$A$1:$I$89,3,0)*0.475*44/12</f>
        <v>8.2013597990740539E-2</v>
      </c>
      <c r="CN122" s="22">
        <f t="shared" si="66"/>
        <v>114.16641589711844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243.33915530322201</v>
      </c>
      <c r="CZ122" s="59">
        <f t="shared" si="96"/>
        <v>247.73814704672577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24.011555614138736</v>
      </c>
      <c r="DG122" s="21">
        <f>EXP(-LN(2)/25)*DG121+(1-EXP(-LN(2)/25))/(LN(2)/25)*Calculateur!DB122*Calculateur!DD122*VLOOKUP('Données projet'!$B$13,Paramètres!$A$1:$I$89,3,0)*0.475*44/12</f>
        <v>17.406504267288124</v>
      </c>
      <c r="DH122" s="21">
        <f>EXP(-LN(2)/2)*DH121+(1-EXP(-LN(2)/2))/(LN(2)/2)*DB122*DE122*VLOOKUP('Données projet'!$B$13,Paramètres!$A$1:$I$89,3,0)*0.475*44/12</f>
        <v>8.4187582996856248E-5</v>
      </c>
      <c r="DI122" s="22">
        <f t="shared" si="69"/>
        <v>41.418144069009855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5.6843418860808015E-13</v>
      </c>
      <c r="O123" s="13">
        <f>N123*VLOOKUP('Données projet'!$B$9,Paramètres!$A$1:$I$89,3,0)*VLOOKUP('Données projet'!$B$9,Paramètres!$A$1:$I$89,5,0)</f>
        <v>3.177547114319168E-13</v>
      </c>
      <c r="P123" s="13">
        <f t="shared" si="87"/>
        <v>4.1725404435445377E-12</v>
      </c>
      <c r="Q123" s="20">
        <f t="shared" si="107"/>
        <v>7.820597394917325E-12</v>
      </c>
      <c r="R123" s="59">
        <f t="shared" si="55"/>
        <v>293.33333333334116</v>
      </c>
      <c r="S123" s="59">
        <f ca="1">AVERAGE(OFFSET($R$3,0,0,'Données projet'!$E$9+1,1))-AVERAGE(OFFSET($H$3,0,0,'Données projet'!$E$9+1,1))</f>
        <v>287.413090017863</v>
      </c>
      <c r="T123" s="59">
        <f t="shared" si="88"/>
        <v>258.48456031927117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85.722819196223298</v>
      </c>
      <c r="AA123" s="21">
        <f>EXP(-LN(2)/25)*AA122+(1-EXP(-LN(2)/25))/(LN(2)/25)*Calculateur!V123*Calculateur!X123*VLOOKUP('Données projet'!$B$9,Paramètres!$A$1:$I$89,3,0)*0.475*44/12</f>
        <v>19.189336307350686</v>
      </c>
      <c r="AB123" s="21">
        <f>EXP(-LN(2)/2)*AB122+(1-EXP(-LN(2)/2))/(LN(2)/2)*V123*Y123*VLOOKUP('Données projet'!$B$9,Paramètres!$A$1:$I$89,3,0)*0.475*44/12</f>
        <v>2.2502399779206487E-6</v>
      </c>
      <c r="AC123" s="22">
        <f t="shared" si="57"/>
        <v>104.91215775381396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8.9160000000000021</v>
      </c>
      <c r="AI123" s="13">
        <f>IF('Données projet'!$A$62&gt;35,AI122+AH123-AQ122,IF(A123&lt;'Données projet'!$A$62,$AF$205^A123,IF(A123='Données projet'!$A$62,'Données projet'!$B$62,AI122+AH123-AQ122)))</f>
        <v>416.19600000000071</v>
      </c>
      <c r="AJ123" s="13">
        <f>AI123*VLOOKUP('Données projet'!$B$10,Paramètres!$A$1:$I$89,3,0)*VLOOKUP('Données projet'!$B$10,Paramètres!$A$1:$I$89,5,0)</f>
        <v>376.57414080000063</v>
      </c>
      <c r="AK123" s="13">
        <f t="shared" si="89"/>
        <v>87.010880052402811</v>
      </c>
      <c r="AL123" s="20">
        <f t="shared" si="58"/>
        <v>807.41057798460258</v>
      </c>
      <c r="AM123" s="59">
        <f t="shared" si="59"/>
        <v>1100.743911317936</v>
      </c>
      <c r="AN123" s="59">
        <f ca="1">AVERAGE(OFFSET($AM$3,0,0,'Données projet'!$E$10+1,1))-AVERAGE(OFFSET($H$3,0,0,'Données projet'!$E$10+1,1))</f>
        <v>422.10969295064359</v>
      </c>
      <c r="AO123" s="59">
        <f t="shared" si="90"/>
        <v>184.04075143033037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32.37635783192426</v>
      </c>
      <c r="AV123" s="21">
        <f>EXP(-LN(2)/25)*AV122+(1-EXP(-LN(2)/25))/(LN(2)/25)*Calculateur!AQ123*Calculateur!AS123*VLOOKUP('Données projet'!$B$10,Paramètres!$A$1:$I$89,3,0)*0.475*44/12</f>
        <v>21.829836213436341</v>
      </c>
      <c r="AW123" s="21">
        <f>EXP(-LN(2)/2)*AW122+(1-EXP(-LN(2)/2))/(LN(2)/2)*AQ123*AT123*VLOOKUP('Données projet'!$B$10,Paramètres!$A$1:$I$89,3,0)*0.475*44/12</f>
        <v>0.68288965550500957</v>
      </c>
      <c r="AX123" s="21">
        <f t="shared" si="60"/>
        <v>54.889083700865612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-9.1631591203622526E-14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217.61052961346684</v>
      </c>
      <c r="BJ123" s="59">
        <f t="shared" si="92"/>
        <v>180.77145728128608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76.274917626601763</v>
      </c>
      <c r="BQ123" s="21">
        <f>EXP(-LN(2)/25)*BQ122+(1-EXP(-LN(2)/25))/(LN(2)/25)*Calculateur!BL123*Calculateur!BN123*VLOOKUP('Données projet'!$B$11,Paramètres!$A$1:$I$89,3,0)*0.475*44/12</f>
        <v>19.885617986377468</v>
      </c>
      <c r="BR123" s="21">
        <f>EXP(-LN(2)/2)*BR122+(1-EXP(-LN(2)/2))/(LN(2)/2)*BL123*BO123*VLOOKUP('Données projet'!$B$11,Paramètres!$A$1:$I$89,3,0)*0.475*44/12</f>
        <v>6.235545362917209E-5</v>
      </c>
      <c r="BS123" s="22">
        <f t="shared" si="63"/>
        <v>96.160597968432867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projet'!$B$12,Paramètres!$A$1:$I$89,3,0)*VLOOKUP('Données projet'!$B$12,Paramètres!$A$1:$I$89,5,0)</f>
        <v>4.7884896048344674E-14</v>
      </c>
      <c r="CA123" s="13">
        <f t="shared" si="93"/>
        <v>7.8374629847779921E-13</v>
      </c>
      <c r="CB123" s="20">
        <f t="shared" si="64"/>
        <v>1.4484243304663672E-12</v>
      </c>
      <c r="CC123" s="59">
        <f t="shared" si="65"/>
        <v>293.33333333333474</v>
      </c>
      <c r="CD123" s="59">
        <f ca="1">AVERAGE(OFFSET($CC$3,0,0,'Données projet'!$E$12+1,1))-AVERAGE(OFFSET($H$3,0,0,'Données projet'!$E$12+1,1))</f>
        <v>287.72859857368331</v>
      </c>
      <c r="CE123" s="59">
        <f t="shared" si="94"/>
        <v>179.60736986885922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92.717563944945454</v>
      </c>
      <c r="CL123" s="21">
        <f>EXP(-LN(2)/25)*CL122+(1-EXP(-LN(2)/25))/(LN(2)/25)*Calculateur!CG123*Calculateur!CI123*VLOOKUP('Données projet'!$B$12,Paramètres!$A$1:$I$89,3,0)*0.475*44/12</f>
        <v>18.978771948952517</v>
      </c>
      <c r="CM123" s="21">
        <f>EXP(-LN(2)/2)*CM122+(1-EXP(-LN(2)/2))/(LN(2)/2)*CG123*CJ123*VLOOKUP('Données projet'!$B$12,Paramètres!$A$1:$I$89,3,0)*0.475*44/12</f>
        <v>5.7992371288760045E-2</v>
      </c>
      <c r="CN123" s="22">
        <f t="shared" si="66"/>
        <v>111.75432826518673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243.33915530322201</v>
      </c>
      <c r="CZ123" s="59">
        <f t="shared" si="96"/>
        <v>247.73814704672577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23.540703654148267</v>
      </c>
      <c r="DG123" s="21">
        <f>EXP(-LN(2)/25)*DG122+(1-EXP(-LN(2)/25))/(LN(2)/25)*Calculateur!DB123*Calculateur!DD123*VLOOKUP('Données projet'!$B$13,Paramètres!$A$1:$I$89,3,0)*0.475*44/12</f>
        <v>16.930522492730855</v>
      </c>
      <c r="DH123" s="21">
        <f>EXP(-LN(2)/2)*DH122+(1-EXP(-LN(2)/2))/(LN(2)/2)*DB123*DE123*VLOOKUP('Données projet'!$B$13,Paramètres!$A$1:$I$89,3,0)*0.475*44/12</f>
        <v>5.9529610828782342E-5</v>
      </c>
      <c r="DI123" s="22">
        <f t="shared" si="69"/>
        <v>40.471285676489948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5.6843418860808015E-13</v>
      </c>
      <c r="O124" s="13">
        <f>N124*VLOOKUP('Données projet'!$B$9,Paramètres!$A$1:$I$89,3,0)*VLOOKUP('Données projet'!$B$9,Paramètres!$A$1:$I$89,5,0)</f>
        <v>3.177547114319168E-13</v>
      </c>
      <c r="P124" s="13">
        <f t="shared" si="87"/>
        <v>4.1725404435445377E-12</v>
      </c>
      <c r="Q124" s="20">
        <f t="shared" si="107"/>
        <v>7.820597394917325E-12</v>
      </c>
      <c r="R124" s="59">
        <f t="shared" si="55"/>
        <v>293.33333333334116</v>
      </c>
      <c r="S124" s="59">
        <f ca="1">AVERAGE(OFFSET($R$3,0,0,'Données projet'!$E$9+1,1))-AVERAGE(OFFSET($H$3,0,0,'Données projet'!$E$9+1,1))</f>
        <v>287.413090017863</v>
      </c>
      <c r="T124" s="59">
        <f t="shared" si="88"/>
        <v>258.48456031927117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84.041846997542279</v>
      </c>
      <c r="AA124" s="21">
        <f>EXP(-LN(2)/25)*AA123+(1-EXP(-LN(2)/25))/(LN(2)/25)*Calculateur!V124*Calculateur!X124*VLOOKUP('Données projet'!$B$9,Paramètres!$A$1:$I$89,3,0)*0.475*44/12</f>
        <v>18.664602896902842</v>
      </c>
      <c r="AB124" s="21">
        <f>EXP(-LN(2)/2)*AB123+(1-EXP(-LN(2)/2))/(LN(2)/2)*V124*Y124*VLOOKUP('Données projet'!$B$9,Paramètres!$A$1:$I$89,3,0)*0.475*44/12</f>
        <v>1.5911599476847577E-6</v>
      </c>
      <c r="AC124" s="22">
        <f t="shared" si="57"/>
        <v>102.70645148560506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8.9160000000000021</v>
      </c>
      <c r="AI124" s="13">
        <f>IF('Données projet'!$A$62&gt;35,AI123+AH124-AQ123,IF(A124&lt;'Données projet'!$A$62,$AF$205^A124,IF(A124='Données projet'!$A$62,'Données projet'!$B$62,AI123+AH124-AQ123)))</f>
        <v>425.11200000000071</v>
      </c>
      <c r="AJ124" s="13">
        <f>AI124*VLOOKUP('Données projet'!$B$10,Paramètres!$A$1:$I$89,3,0)*VLOOKUP('Données projet'!$B$10,Paramètres!$A$1:$I$89,5,0)</f>
        <v>384.64133760000061</v>
      </c>
      <c r="AK124" s="13">
        <f t="shared" si="89"/>
        <v>88.65587241476193</v>
      </c>
      <c r="AL124" s="20">
        <f t="shared" si="58"/>
        <v>824.32597410904464</v>
      </c>
      <c r="AM124" s="59">
        <f t="shared" si="59"/>
        <v>1117.6593074423779</v>
      </c>
      <c r="AN124" s="59">
        <f ca="1">AVERAGE(OFFSET($AM$3,0,0,'Données projet'!$E$10+1,1))-AVERAGE(OFFSET($H$3,0,0,'Données projet'!$E$10+1,1))</f>
        <v>422.10969295064359</v>
      </c>
      <c r="AO124" s="59">
        <f t="shared" si="90"/>
        <v>184.04075143033037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31.741477202468587</v>
      </c>
      <c r="AV124" s="21">
        <f>EXP(-LN(2)/25)*AV123+(1-EXP(-LN(2)/25))/(LN(2)/25)*Calculateur!AQ124*Calculateur!AS124*VLOOKUP('Données projet'!$B$10,Paramètres!$A$1:$I$89,3,0)*0.475*44/12</f>
        <v>21.232898194198729</v>
      </c>
      <c r="AW124" s="21">
        <f>EXP(-LN(2)/2)*AW123+(1-EXP(-LN(2)/2))/(LN(2)/2)*AQ124*AT124*VLOOKUP('Données projet'!$B$10,Paramètres!$A$1:$I$89,3,0)*0.475*44/12</f>
        <v>0.48287590620973764</v>
      </c>
      <c r="AX124" s="21">
        <f t="shared" si="60"/>
        <v>53.457251302877047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-9.1631591203622526E-14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217.61052961346684</v>
      </c>
      <c r="BJ124" s="59">
        <f t="shared" si="92"/>
        <v>180.77145728128608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74.779213015050075</v>
      </c>
      <c r="BQ124" s="21">
        <f>EXP(-LN(2)/25)*BQ123+(1-EXP(-LN(2)/25))/(LN(2)/25)*Calculateur!BL124*Calculateur!BN124*VLOOKUP('Données projet'!$B$11,Paramètres!$A$1:$I$89,3,0)*0.475*44/12</f>
        <v>19.341844716800775</v>
      </c>
      <c r="BR124" s="21">
        <f>EXP(-LN(2)/2)*BR123+(1-EXP(-LN(2)/2))/(LN(2)/2)*BL124*BO124*VLOOKUP('Données projet'!$B$11,Paramètres!$A$1:$I$89,3,0)*0.475*44/12</f>
        <v>4.4091964105150899E-5</v>
      </c>
      <c r="BS124" s="22">
        <f t="shared" si="63"/>
        <v>94.121101823814953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projet'!$B$12,Paramètres!$A$1:$I$89,3,0)*VLOOKUP('Données projet'!$B$12,Paramètres!$A$1:$I$89,5,0)</f>
        <v>4.7884896048344674E-14</v>
      </c>
      <c r="CA124" s="13">
        <f t="shared" si="93"/>
        <v>7.8374629847779921E-13</v>
      </c>
      <c r="CB124" s="20">
        <f t="shared" si="64"/>
        <v>1.4484243304663672E-12</v>
      </c>
      <c r="CC124" s="59">
        <f t="shared" si="65"/>
        <v>293.33333333333474</v>
      </c>
      <c r="CD124" s="59">
        <f ca="1">AVERAGE(OFFSET($CC$3,0,0,'Données projet'!$E$12+1,1))-AVERAGE(OFFSET($H$3,0,0,'Données projet'!$E$12+1,1))</f>
        <v>287.72859857368331</v>
      </c>
      <c r="CE124" s="59">
        <f t="shared" si="94"/>
        <v>179.60736986885922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90.899429068115026</v>
      </c>
      <c r="CL124" s="21">
        <f>EXP(-LN(2)/25)*CL123+(1-EXP(-LN(2)/25))/(LN(2)/25)*Calculateur!CG124*Calculateur!CI124*VLOOKUP('Données projet'!$B$12,Paramètres!$A$1:$I$89,3,0)*0.475*44/12</f>
        <v>18.459796431958171</v>
      </c>
      <c r="CM124" s="21">
        <f>EXP(-LN(2)/2)*CM123+(1-EXP(-LN(2)/2))/(LN(2)/2)*CG124*CJ124*VLOOKUP('Données projet'!$B$12,Paramètres!$A$1:$I$89,3,0)*0.475*44/12</f>
        <v>4.1006798995370269E-2</v>
      </c>
      <c r="CN124" s="22">
        <f t="shared" si="66"/>
        <v>109.40023229906856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243.33915530322201</v>
      </c>
      <c r="CZ124" s="59">
        <f t="shared" si="96"/>
        <v>247.73814704672577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23.079084813901872</v>
      </c>
      <c r="DG124" s="21">
        <f>EXP(-LN(2)/25)*DG123+(1-EXP(-LN(2)/25))/(LN(2)/25)*Calculateur!DB124*Calculateur!DD124*VLOOKUP('Données projet'!$B$13,Paramètres!$A$1:$I$89,3,0)*0.475*44/12</f>
        <v>16.467556464829649</v>
      </c>
      <c r="DH124" s="21">
        <f>EXP(-LN(2)/2)*DH123+(1-EXP(-LN(2)/2))/(LN(2)/2)*DB124*DE124*VLOOKUP('Données projet'!$B$13,Paramètres!$A$1:$I$89,3,0)*0.475*44/12</f>
        <v>4.2093791498428131E-5</v>
      </c>
      <c r="DI124" s="22">
        <f t="shared" si="69"/>
        <v>39.54668337252302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5.6843418860808015E-13</v>
      </c>
      <c r="O125" s="13">
        <f>N125*VLOOKUP('Données projet'!$B$9,Paramètres!$A$1:$I$89,3,0)*VLOOKUP('Données projet'!$B$9,Paramètres!$A$1:$I$89,5,0)</f>
        <v>3.177547114319168E-13</v>
      </c>
      <c r="P125" s="13">
        <f t="shared" si="87"/>
        <v>4.1725404435445377E-12</v>
      </c>
      <c r="Q125" s="20">
        <f t="shared" si="107"/>
        <v>7.820597394917325E-12</v>
      </c>
      <c r="R125" s="59">
        <f t="shared" si="55"/>
        <v>293.33333333334116</v>
      </c>
      <c r="S125" s="59">
        <f ca="1">AVERAGE(OFFSET($R$3,0,0,'Données projet'!$E$9+1,1))-AVERAGE(OFFSET($H$3,0,0,'Données projet'!$E$9+1,1))</f>
        <v>287.413090017863</v>
      </c>
      <c r="T125" s="59">
        <f t="shared" si="88"/>
        <v>258.48456031927117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82.393837638385591</v>
      </c>
      <c r="AA125" s="21">
        <f>EXP(-LN(2)/25)*AA124+(1-EXP(-LN(2)/25))/(LN(2)/25)*Calculateur!V125*Calculateur!X125*VLOOKUP('Données projet'!$B$9,Paramètres!$A$1:$I$89,3,0)*0.475*44/12</f>
        <v>18.154218349158228</v>
      </c>
      <c r="AB125" s="21">
        <f>EXP(-LN(2)/2)*AB124+(1-EXP(-LN(2)/2))/(LN(2)/2)*V125*Y125*VLOOKUP('Données projet'!$B$9,Paramètres!$A$1:$I$89,3,0)*0.475*44/12</f>
        <v>1.1251199889603244E-6</v>
      </c>
      <c r="AC125" s="22">
        <f t="shared" si="57"/>
        <v>100.54805711266381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8.9160000000000021</v>
      </c>
      <c r="AI125" s="13">
        <f>IF('Données projet'!$A$62&gt;35,AI124+AH125-AQ124,IF(A125&lt;'Données projet'!$A$62,$AF$205^A125,IF(A125='Données projet'!$A$62,'Données projet'!$B$62,AI124+AH125-AQ124)))</f>
        <v>434.0280000000007</v>
      </c>
      <c r="AJ125" s="13">
        <f>AI125*VLOOKUP('Données projet'!$B$10,Paramètres!$A$1:$I$89,3,0)*VLOOKUP('Données projet'!$B$10,Paramètres!$A$1:$I$89,5,0)</f>
        <v>392.70853440000059</v>
      </c>
      <c r="AK125" s="13">
        <f t="shared" si="89"/>
        <v>90.296853458070288</v>
      </c>
      <c r="AL125" s="20">
        <f t="shared" si="58"/>
        <v>841.23438385280679</v>
      </c>
      <c r="AM125" s="59">
        <f t="shared" si="59"/>
        <v>1134.56771718614</v>
      </c>
      <c r="AN125" s="59">
        <f ca="1">AVERAGE(OFFSET($AM$3,0,0,'Données projet'!$E$10+1,1))-AVERAGE(OFFSET($H$3,0,0,'Données projet'!$E$10+1,1))</f>
        <v>422.10969295064359</v>
      </c>
      <c r="AO125" s="59">
        <f t="shared" si="90"/>
        <v>184.04075143033037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31.11904619491759</v>
      </c>
      <c r="AV125" s="21">
        <f>EXP(-LN(2)/25)*AV124+(1-EXP(-LN(2)/25))/(LN(2)/25)*Calculateur!AQ125*Calculateur!AS125*VLOOKUP('Données projet'!$B$10,Paramètres!$A$1:$I$89,3,0)*0.475*44/12</f>
        <v>20.652283476488776</v>
      </c>
      <c r="AW125" s="21">
        <f>EXP(-LN(2)/2)*AW124+(1-EXP(-LN(2)/2))/(LN(2)/2)*AQ125*AT125*VLOOKUP('Données projet'!$B$10,Paramètres!$A$1:$I$89,3,0)*0.475*44/12</f>
        <v>0.34144482775250484</v>
      </c>
      <c r="AX125" s="21">
        <f t="shared" si="60"/>
        <v>52.112774499158867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-9.1631591203622526E-14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217.61052961346684</v>
      </c>
      <c r="BJ125" s="59">
        <f t="shared" si="92"/>
        <v>180.77145728128608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73.312838258641193</v>
      </c>
      <c r="BQ125" s="21">
        <f>EXP(-LN(2)/25)*BQ124+(1-EXP(-LN(2)/25))/(LN(2)/25)*Calculateur!BL125*Calculateur!BN125*VLOOKUP('Données projet'!$B$11,Paramètres!$A$1:$I$89,3,0)*0.475*44/12</f>
        <v>18.812940955876449</v>
      </c>
      <c r="BR125" s="21">
        <f>EXP(-LN(2)/2)*BR124+(1-EXP(-LN(2)/2))/(LN(2)/2)*BL125*BO125*VLOOKUP('Données projet'!$B$11,Paramètres!$A$1:$I$89,3,0)*0.475*44/12</f>
        <v>3.1177726814586045E-5</v>
      </c>
      <c r="BS125" s="22">
        <f t="shared" si="63"/>
        <v>92.12581039224446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projet'!$B$12,Paramètres!$A$1:$I$89,3,0)*VLOOKUP('Données projet'!$B$12,Paramètres!$A$1:$I$89,5,0)</f>
        <v>4.7884896048344674E-14</v>
      </c>
      <c r="CA125" s="13">
        <f t="shared" si="93"/>
        <v>7.8374629847779921E-13</v>
      </c>
      <c r="CB125" s="20">
        <f t="shared" si="64"/>
        <v>1.4484243304663672E-12</v>
      </c>
      <c r="CC125" s="59">
        <f t="shared" si="65"/>
        <v>293.33333333333474</v>
      </c>
      <c r="CD125" s="59">
        <f ca="1">AVERAGE(OFFSET($CC$3,0,0,'Données projet'!$E$12+1,1))-AVERAGE(OFFSET($H$3,0,0,'Données projet'!$E$12+1,1))</f>
        <v>287.72859857368331</v>
      </c>
      <c r="CE125" s="59">
        <f t="shared" si="94"/>
        <v>179.60736986885922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89.116946707266465</v>
      </c>
      <c r="CL125" s="21">
        <f>EXP(-LN(2)/25)*CL124+(1-EXP(-LN(2)/25))/(LN(2)/25)*Calculateur!CG125*Calculateur!CI125*VLOOKUP('Données projet'!$B$12,Paramètres!$A$1:$I$89,3,0)*0.475*44/12</f>
        <v>17.955012327767772</v>
      </c>
      <c r="CM125" s="21">
        <f>EXP(-LN(2)/2)*CM124+(1-EXP(-LN(2)/2))/(LN(2)/2)*CG125*CJ125*VLOOKUP('Données projet'!$B$12,Paramètres!$A$1:$I$89,3,0)*0.475*44/12</f>
        <v>2.8996185644380022E-2</v>
      </c>
      <c r="CN125" s="22">
        <f t="shared" si="66"/>
        <v>107.10095522067861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243.33915530322201</v>
      </c>
      <c r="CZ125" s="59">
        <f t="shared" si="96"/>
        <v>247.73814704672577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22.626518037553019</v>
      </c>
      <c r="DG125" s="21">
        <f>EXP(-LN(2)/25)*DG124+(1-EXP(-LN(2)/25))/(LN(2)/25)*Calculateur!DB125*Calculateur!DD125*VLOOKUP('Données projet'!$B$13,Paramètres!$A$1:$I$89,3,0)*0.475*44/12</f>
        <v>16.017250267307723</v>
      </c>
      <c r="DH125" s="21">
        <f>EXP(-LN(2)/2)*DH124+(1-EXP(-LN(2)/2))/(LN(2)/2)*DB125*DE125*VLOOKUP('Données projet'!$B$13,Paramètres!$A$1:$I$89,3,0)*0.475*44/12</f>
        <v>2.9764805414391178E-5</v>
      </c>
      <c r="DI125" s="22">
        <f t="shared" si="69"/>
        <v>38.643798069666154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5.6843418860808015E-13</v>
      </c>
      <c r="O126" s="13">
        <f>N126*VLOOKUP('Données projet'!$B$9,Paramètres!$A$1:$I$89,3,0)*VLOOKUP('Données projet'!$B$9,Paramètres!$A$1:$I$89,5,0)</f>
        <v>3.177547114319168E-13</v>
      </c>
      <c r="P126" s="13">
        <f t="shared" si="87"/>
        <v>4.1725404435445377E-12</v>
      </c>
      <c r="Q126" s="20">
        <f t="shared" si="107"/>
        <v>7.820597394917325E-12</v>
      </c>
      <c r="R126" s="59">
        <f t="shared" si="55"/>
        <v>293.33333333334116</v>
      </c>
      <c r="S126" s="59">
        <f ca="1">AVERAGE(OFFSET($R$3,0,0,'Données projet'!$E$9+1,1))-AVERAGE(OFFSET($H$3,0,0,'Données projet'!$E$9+1,1))</f>
        <v>287.413090017863</v>
      </c>
      <c r="T126" s="59">
        <f t="shared" si="88"/>
        <v>258.48456031927117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80.778144737575516</v>
      </c>
      <c r="AA126" s="21">
        <f>EXP(-LN(2)/25)*AA125+(1-EXP(-LN(2)/25))/(LN(2)/25)*Calculateur!V126*Calculateur!X126*VLOOKUP('Données projet'!$B$9,Paramètres!$A$1:$I$89,3,0)*0.475*44/12</f>
        <v>17.657790293711646</v>
      </c>
      <c r="AB126" s="21">
        <f>EXP(-LN(2)/2)*AB125+(1-EXP(-LN(2)/2))/(LN(2)/2)*V126*Y126*VLOOKUP('Données projet'!$B$9,Paramètres!$A$1:$I$89,3,0)*0.475*44/12</f>
        <v>7.9557997384237886E-7</v>
      </c>
      <c r="AC126" s="22">
        <f t="shared" si="57"/>
        <v>98.435935826867137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8.9160000000000021</v>
      </c>
      <c r="AI126" s="13">
        <f>IF('Données projet'!$A$62&gt;35,AI125+AH126-AQ125,IF(A126&lt;'Données projet'!$A$62,$AF$205^A126,IF(A126='Données projet'!$A$62,'Données projet'!$B$62,AI125+AH126-AQ125)))</f>
        <v>442.9440000000007</v>
      </c>
      <c r="AJ126" s="13">
        <f>AI126*VLOOKUP('Données projet'!$B$10,Paramètres!$A$1:$I$89,3,0)*VLOOKUP('Données projet'!$B$10,Paramètres!$A$1:$I$89,5,0)</f>
        <v>400.77573120000062</v>
      </c>
      <c r="AK126" s="13">
        <f t="shared" si="89"/>
        <v>91.933915079444887</v>
      </c>
      <c r="AL126" s="20">
        <f t="shared" si="58"/>
        <v>858.13596727003414</v>
      </c>
      <c r="AM126" s="59">
        <f t="shared" si="59"/>
        <v>1151.4693006033674</v>
      </c>
      <c r="AN126" s="59">
        <f ca="1">AVERAGE(OFFSET($AM$3,0,0,'Données projet'!$E$10+1,1))-AVERAGE(OFFSET($H$3,0,0,'Données projet'!$E$10+1,1))</f>
        <v>422.10969295064359</v>
      </c>
      <c r="AO126" s="59">
        <f t="shared" si="90"/>
        <v>184.04075143033037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30.508820679779241</v>
      </c>
      <c r="AV126" s="21">
        <f>EXP(-LN(2)/25)*AV125+(1-EXP(-LN(2)/25))/(LN(2)/25)*Calculateur!AQ126*Calculateur!AS126*VLOOKUP('Données projet'!$B$10,Paramètres!$A$1:$I$89,3,0)*0.475*44/12</f>
        <v>20.087545698767805</v>
      </c>
      <c r="AW126" s="21">
        <f>EXP(-LN(2)/2)*AW125+(1-EXP(-LN(2)/2))/(LN(2)/2)*AQ126*AT126*VLOOKUP('Données projet'!$B$10,Paramètres!$A$1:$I$89,3,0)*0.475*44/12</f>
        <v>0.24143795310486887</v>
      </c>
      <c r="AX126" s="21">
        <f t="shared" si="60"/>
        <v>50.837804331651917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-9.1631591203622526E-14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217.61052961346684</v>
      </c>
      <c r="BJ126" s="59">
        <f t="shared" si="92"/>
        <v>180.77145728128608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71.875218216805195</v>
      </c>
      <c r="BQ126" s="21">
        <f>EXP(-LN(2)/25)*BQ125+(1-EXP(-LN(2)/25))/(LN(2)/25)*Calculateur!BL126*Calculateur!BN126*VLOOKUP('Données projet'!$B$11,Paramètres!$A$1:$I$89,3,0)*0.475*44/12</f>
        <v>18.298500096108441</v>
      </c>
      <c r="BR126" s="21">
        <f>EXP(-LN(2)/2)*BR125+(1-EXP(-LN(2)/2))/(LN(2)/2)*BL126*BO126*VLOOKUP('Données projet'!$B$11,Paramètres!$A$1:$I$89,3,0)*0.475*44/12</f>
        <v>2.204598205257545E-5</v>
      </c>
      <c r="BS126" s="22">
        <f t="shared" si="63"/>
        <v>90.173740358895685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projet'!$B$12,Paramètres!$A$1:$I$89,3,0)*VLOOKUP('Données projet'!$B$12,Paramètres!$A$1:$I$89,5,0)</f>
        <v>4.7884896048344674E-14</v>
      </c>
      <c r="CA126" s="13">
        <f t="shared" si="93"/>
        <v>7.8374629847779921E-13</v>
      </c>
      <c r="CB126" s="20">
        <f t="shared" si="64"/>
        <v>1.4484243304663672E-12</v>
      </c>
      <c r="CC126" s="59">
        <f t="shared" si="65"/>
        <v>293.33333333333474</v>
      </c>
      <c r="CD126" s="59">
        <f ca="1">AVERAGE(OFFSET($CC$3,0,0,'Données projet'!$E$12+1,1))-AVERAGE(OFFSET($H$3,0,0,'Données projet'!$E$12+1,1))</f>
        <v>287.72859857368331</v>
      </c>
      <c r="CE126" s="59">
        <f t="shared" si="94"/>
        <v>179.60736986885922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87.369417738307249</v>
      </c>
      <c r="CL126" s="21">
        <f>EXP(-LN(2)/25)*CL125+(1-EXP(-LN(2)/25))/(LN(2)/25)*Calculateur!CG126*Calculateur!CI126*VLOOKUP('Données projet'!$B$12,Paramètres!$A$1:$I$89,3,0)*0.475*44/12</f>
        <v>17.464031571451901</v>
      </c>
      <c r="CM126" s="21">
        <f>EXP(-LN(2)/2)*CM125+(1-EXP(-LN(2)/2))/(LN(2)/2)*CG126*CJ126*VLOOKUP('Données projet'!$B$12,Paramètres!$A$1:$I$89,3,0)*0.475*44/12</f>
        <v>2.0503399497685135E-2</v>
      </c>
      <c r="CN126" s="22">
        <f t="shared" si="66"/>
        <v>104.85395270925683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243.33915530322201</v>
      </c>
      <c r="CZ126" s="59">
        <f t="shared" si="96"/>
        <v>247.73814704672577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22.182825819649889</v>
      </c>
      <c r="DG126" s="21">
        <f>EXP(-LN(2)/25)*DG125+(1-EXP(-LN(2)/25))/(LN(2)/25)*Calculateur!DB126*Calculateur!DD126*VLOOKUP('Données projet'!$B$13,Paramètres!$A$1:$I$89,3,0)*0.475*44/12</f>
        <v>15.57925771643761</v>
      </c>
      <c r="DH126" s="21">
        <f>EXP(-LN(2)/2)*DH125+(1-EXP(-LN(2)/2))/(LN(2)/2)*DB126*DE126*VLOOKUP('Données projet'!$B$13,Paramètres!$A$1:$I$89,3,0)*0.475*44/12</f>
        <v>2.1046895749214069E-5</v>
      </c>
      <c r="DI126" s="22">
        <f t="shared" si="69"/>
        <v>37.762104582983248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5.6843418860808015E-13</v>
      </c>
      <c r="O127" s="13">
        <f>N127*VLOOKUP('Données projet'!$B$9,Paramètres!$A$1:$I$89,3,0)*VLOOKUP('Données projet'!$B$9,Paramètres!$A$1:$I$89,5,0)</f>
        <v>3.177547114319168E-13</v>
      </c>
      <c r="P127" s="13">
        <f t="shared" si="87"/>
        <v>4.1725404435445377E-12</v>
      </c>
      <c r="Q127" s="20">
        <f t="shared" si="107"/>
        <v>7.820597394917325E-12</v>
      </c>
      <c r="R127" s="59">
        <f t="shared" si="55"/>
        <v>293.33333333334116</v>
      </c>
      <c r="S127" s="59">
        <f ca="1">AVERAGE(OFFSET($R$3,0,0,'Données projet'!$E$9+1,1))-AVERAGE(OFFSET($H$3,0,0,'Données projet'!$E$9+1,1))</f>
        <v>287.413090017863</v>
      </c>
      <c r="T127" s="59">
        <f t="shared" si="88"/>
        <v>258.48456031927117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79.194134589074963</v>
      </c>
      <c r="AA127" s="21">
        <f>EXP(-LN(2)/25)*AA126+(1-EXP(-LN(2)/25))/(LN(2)/25)*Calculateur!V127*Calculateur!X127*VLOOKUP('Données projet'!$B$9,Paramètres!$A$1:$I$89,3,0)*0.475*44/12</f>
        <v>17.174937089547267</v>
      </c>
      <c r="AB127" s="21">
        <f>EXP(-LN(2)/2)*AB126+(1-EXP(-LN(2)/2))/(LN(2)/2)*V127*Y127*VLOOKUP('Données projet'!$B$9,Paramètres!$A$1:$I$89,3,0)*0.475*44/12</f>
        <v>5.6255999448016218E-7</v>
      </c>
      <c r="AC127" s="22">
        <f t="shared" si="57"/>
        <v>96.369072241182224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8.9160000000000021</v>
      </c>
      <c r="AH127" s="12">
        <f t="array" ref="AH127">INDEX(AG:AG,MIN(IF(ISNUMBER(AG127:AG323),ROW(AG127:AG323),"")))</f>
        <v>8.9160000000000021</v>
      </c>
      <c r="AI127" s="13">
        <f>IF('Données projet'!$A$62&gt;35,AI126+AH127-AQ126,IF(A127&lt;'Données projet'!$A$62,$AF$205^A127,IF(A127='Données projet'!$A$62,'Données projet'!$B$62,AI126+AH127-AQ126)))</f>
        <v>451.8600000000007</v>
      </c>
      <c r="AJ127" s="13">
        <f>AI127*VLOOKUP('Données projet'!$B$10,Paramètres!$A$1:$I$89,3,0)*VLOOKUP('Données projet'!$B$10,Paramètres!$A$1:$I$89,5,0)</f>
        <v>408.84292800000065</v>
      </c>
      <c r="AK127" s="13">
        <f t="shared" si="89"/>
        <v>93.567145264891295</v>
      </c>
      <c r="AL127" s="20">
        <f t="shared" si="58"/>
        <v>875.03087760302014</v>
      </c>
      <c r="AM127" s="59">
        <f t="shared" si="59"/>
        <v>1168.3642109363534</v>
      </c>
      <c r="AN127" s="59">
        <f ca="1">AVERAGE(OFFSET($AM$3,0,0,'Données projet'!$E$10+1,1))-AVERAGE(OFFSET($H$3,0,0,'Données projet'!$E$10+1,1))</f>
        <v>422.10969295064359</v>
      </c>
      <c r="AO127" s="59">
        <f t="shared" si="90"/>
        <v>184.04075143033037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57.81</v>
      </c>
      <c r="AR127" s="16">
        <f>IF(ISNA(VLOOKUP(A127,'Données projet'!$A$61:$I$81,5,0)),0%,VLOOKUP(A127,'Données projet'!$A$61:$I$81,5,0)*VLOOKUP('Données projet'!$B$10,Paramètres!$A$1:$I$89,7,0))</f>
        <v>0.15049999999999999</v>
      </c>
      <c r="AS127" s="16">
        <f>IF(ISNA(VLOOKUP(A127,'Données projet'!$A$61:$I$81,6,0)),0%,VLOOKUP(A127,'Données projet'!$A$61:$I$81,6,0)*VLOOKUP('Données projet'!$B$10,Paramètres!$A$1:$I$89,7,0))</f>
        <v>8.6000000000000007E-2</v>
      </c>
      <c r="AT127" s="16">
        <f>IF(ISNA(VLOOKUP(A127,'Données projet'!$A$61:$I$81,7,0)),0%,VLOOKUP(A127,'Données projet'!$A$61:$I$81,7,0))</f>
        <v>0.1</v>
      </c>
      <c r="AU127" s="21">
        <f>EXP(-LN(2)/35)*AU126+(1-EXP(-LN(2)/35))/(LN(2)/35)*AQ127*AR127*VLOOKUP('Données projet'!$B$10,Paramètres!$A$1:$I$89,3,0)*0.475*44/12</f>
        <v>38.612963922572</v>
      </c>
      <c r="AV127" s="21">
        <f>EXP(-LN(2)/25)*AV126+(1-EXP(-LN(2)/25))/(LN(2)/25)*Calculateur!AQ127*Calculateur!AS127*VLOOKUP('Données projet'!$B$10,Paramètres!$A$1:$I$89,3,0)*0.475*44/12</f>
        <v>24.491472381184234</v>
      </c>
      <c r="AW127" s="21">
        <f>EXP(-LN(2)/2)*AW126+(1-EXP(-LN(2)/2))/(LN(2)/2)*AQ127*AT127*VLOOKUP('Données projet'!$B$10,Paramètres!$A$1:$I$89,3,0)*0.475*44/12</f>
        <v>5.1059803375246293</v>
      </c>
      <c r="AX127" s="21">
        <f t="shared" si="60"/>
        <v>68.210416641280858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-9.1631591203622526E-14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217.61052961346684</v>
      </c>
      <c r="BJ127" s="59">
        <f t="shared" si="92"/>
        <v>180.77145728128608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70.465789027127954</v>
      </c>
      <c r="BQ127" s="21">
        <f>EXP(-LN(2)/25)*BQ126+(1-EXP(-LN(2)/25))/(LN(2)/25)*Calculateur!BL127*Calculateur!BN127*VLOOKUP('Données projet'!$B$11,Paramètres!$A$1:$I$89,3,0)*0.475*44/12</f>
        <v>17.798126648704056</v>
      </c>
      <c r="BR127" s="21">
        <f>EXP(-LN(2)/2)*BR126+(1-EXP(-LN(2)/2))/(LN(2)/2)*BL127*BO127*VLOOKUP('Données projet'!$B$11,Paramètres!$A$1:$I$89,3,0)*0.475*44/12</f>
        <v>1.5588863407293022E-5</v>
      </c>
      <c r="BS127" s="22">
        <f t="shared" si="63"/>
        <v>88.263931264695415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projet'!$B$12,Paramètres!$A$1:$I$89,3,0)*VLOOKUP('Données projet'!$B$12,Paramètres!$A$1:$I$89,5,0)</f>
        <v>4.7884896048344674E-14</v>
      </c>
      <c r="CA127" s="13">
        <f t="shared" si="93"/>
        <v>7.8374629847779921E-13</v>
      </c>
      <c r="CB127" s="20">
        <f t="shared" si="64"/>
        <v>1.4484243304663672E-12</v>
      </c>
      <c r="CC127" s="59">
        <f t="shared" si="65"/>
        <v>293.33333333333474</v>
      </c>
      <c r="CD127" s="59">
        <f ca="1">AVERAGE(OFFSET($CC$3,0,0,'Données projet'!$E$12+1,1))-AVERAGE(OFFSET($H$3,0,0,'Données projet'!$E$12+1,1))</f>
        <v>287.72859857368331</v>
      </c>
      <c r="CE127" s="59">
        <f t="shared" si="94"/>
        <v>179.60736986885922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85.65615674654191</v>
      </c>
      <c r="CL127" s="21">
        <f>EXP(-LN(2)/25)*CL126+(1-EXP(-LN(2)/25))/(LN(2)/25)*Calculateur!CG127*Calculateur!CI127*VLOOKUP('Données projet'!$B$12,Paramètres!$A$1:$I$89,3,0)*0.475*44/12</f>
        <v>16.986476709737044</v>
      </c>
      <c r="CM127" s="21">
        <f>EXP(-LN(2)/2)*CM126+(1-EXP(-LN(2)/2))/(LN(2)/2)*CG127*CJ127*VLOOKUP('Données projet'!$B$12,Paramètres!$A$1:$I$89,3,0)*0.475*44/12</f>
        <v>1.4498092822190011E-2</v>
      </c>
      <c r="CN127" s="22">
        <f t="shared" si="66"/>
        <v>102.65713154910115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243.33915530322201</v>
      </c>
      <c r="CZ127" s="59">
        <f t="shared" si="96"/>
        <v>247.73814704672577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21.74783413551431</v>
      </c>
      <c r="DG127" s="21">
        <f>EXP(-LN(2)/25)*DG126+(1-EXP(-LN(2)/25))/(LN(2)/25)*Calculateur!DB127*Calculateur!DD127*VLOOKUP('Données projet'!$B$13,Paramètres!$A$1:$I$89,3,0)*0.475*44/12</f>
        <v>15.153242094904067</v>
      </c>
      <c r="DH127" s="21">
        <f>EXP(-LN(2)/2)*DH126+(1-EXP(-LN(2)/2))/(LN(2)/2)*DB127*DE127*VLOOKUP('Données projet'!$B$13,Paramètres!$A$1:$I$89,3,0)*0.475*44/12</f>
        <v>1.4882402707195591E-5</v>
      </c>
      <c r="DI127" s="22">
        <f t="shared" si="69"/>
        <v>36.901091112821085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5.6843418860808015E-13</v>
      </c>
      <c r="O128" s="13">
        <f>N128*VLOOKUP('Données projet'!$B$9,Paramètres!$A$1:$I$89,3,0)*VLOOKUP('Données projet'!$B$9,Paramètres!$A$1:$I$89,5,0)</f>
        <v>3.177547114319168E-13</v>
      </c>
      <c r="P128" s="13">
        <f t="shared" si="87"/>
        <v>4.1725404435445377E-12</v>
      </c>
      <c r="Q128" s="20">
        <f t="shared" si="107"/>
        <v>7.820597394917325E-12</v>
      </c>
      <c r="R128" s="59">
        <f t="shared" si="55"/>
        <v>293.33333333334116</v>
      </c>
      <c r="S128" s="59">
        <f ca="1">AVERAGE(OFFSET($R$3,0,0,'Données projet'!$E$9+1,1))-AVERAGE(OFFSET($H$3,0,0,'Données projet'!$E$9+1,1))</f>
        <v>287.413090017863</v>
      </c>
      <c r="T128" s="59">
        <f t="shared" si="88"/>
        <v>258.48456031927117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77.641185913435706</v>
      </c>
      <c r="AA128" s="21">
        <f>EXP(-LN(2)/25)*AA127+(1-EXP(-LN(2)/25))/(LN(2)/25)*Calculateur!V128*Calculateur!X128*VLOOKUP('Données projet'!$B$9,Paramètres!$A$1:$I$89,3,0)*0.475*44/12</f>
        <v>16.705287531642909</v>
      </c>
      <c r="AB128" s="21">
        <f>EXP(-LN(2)/2)*AB127+(1-EXP(-LN(2)/2))/(LN(2)/2)*V128*Y128*VLOOKUP('Données projet'!$B$9,Paramètres!$A$1:$I$89,3,0)*0.475*44/12</f>
        <v>3.9778998692118943E-7</v>
      </c>
      <c r="AC128" s="22">
        <f t="shared" si="57"/>
        <v>94.346473842868605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9.0229999999999961</v>
      </c>
      <c r="AI128" s="13">
        <f>IF('Données projet'!$A$62&gt;35,AI127+AH128-AQ127,IF(A128&lt;'Données projet'!$A$62,$AF$205^A128,IF(A128='Données projet'!$A$62,'Données projet'!$B$62,AI127+AH128-AQ127)))</f>
        <v>403.07300000000072</v>
      </c>
      <c r="AJ128" s="13">
        <f>AI128*VLOOKUP('Données projet'!$B$10,Paramètres!$A$1:$I$89,3,0)*VLOOKUP('Données projet'!$B$10,Paramètres!$A$1:$I$89,5,0)</f>
        <v>364.70045040000065</v>
      </c>
      <c r="AK128" s="13">
        <f t="shared" si="89"/>
        <v>84.582200429685614</v>
      </c>
      <c r="AL128" s="20">
        <f t="shared" si="58"/>
        <v>782.50061686170341</v>
      </c>
      <c r="AM128" s="59">
        <f t="shared" si="59"/>
        <v>1075.8339501950368</v>
      </c>
      <c r="AN128" s="59">
        <f ca="1">AVERAGE(OFFSET($AM$3,0,0,'Données projet'!$E$10+1,1))-AVERAGE(OFFSET($H$3,0,0,'Données projet'!$E$10+1,1))</f>
        <v>422.10969295064359</v>
      </c>
      <c r="AO128" s="59">
        <f t="shared" si="90"/>
        <v>184.04075143033037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37.855787251632833</v>
      </c>
      <c r="AV128" s="21">
        <f>EXP(-LN(2)/25)*AV127+(1-EXP(-LN(2)/25))/(LN(2)/25)*Calculateur!AQ128*Calculateur!AS128*VLOOKUP('Données projet'!$B$10,Paramètres!$A$1:$I$89,3,0)*0.475*44/12</f>
        <v>23.821751780970196</v>
      </c>
      <c r="AW128" s="21">
        <f>EXP(-LN(2)/2)*AW127+(1-EXP(-LN(2)/2))/(LN(2)/2)*AQ128*AT128*VLOOKUP('Données projet'!$B$10,Paramètres!$A$1:$I$89,3,0)*0.475*44/12</f>
        <v>3.6104733212688425</v>
      </c>
      <c r="AX128" s="21">
        <f t="shared" si="60"/>
        <v>65.288012353871878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-9.1631591203622526E-14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217.61052961346684</v>
      </c>
      <c r="BJ128" s="59">
        <f t="shared" si="92"/>
        <v>180.77145728128608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69.083997884193366</v>
      </c>
      <c r="BQ128" s="21">
        <f>EXP(-LN(2)/25)*BQ127+(1-EXP(-LN(2)/25))/(LN(2)/25)*Calculateur!BL128*Calculateur!BN128*VLOOKUP('Données projet'!$B$11,Paramètres!$A$1:$I$89,3,0)*0.475*44/12</f>
        <v>17.311435939532441</v>
      </c>
      <c r="BR128" s="21">
        <f>EXP(-LN(2)/2)*BR127+(1-EXP(-LN(2)/2))/(LN(2)/2)*BL128*BO128*VLOOKUP('Données projet'!$B$11,Paramètres!$A$1:$I$89,3,0)*0.475*44/12</f>
        <v>1.1022991026287725E-5</v>
      </c>
      <c r="BS128" s="22">
        <f t="shared" si="63"/>
        <v>86.395444846716842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projet'!$B$12,Paramètres!$A$1:$I$89,3,0)*VLOOKUP('Données projet'!$B$12,Paramètres!$A$1:$I$89,5,0)</f>
        <v>4.7884896048344674E-14</v>
      </c>
      <c r="CA128" s="13">
        <f t="shared" si="93"/>
        <v>7.8374629847779921E-13</v>
      </c>
      <c r="CB128" s="20">
        <f t="shared" si="64"/>
        <v>1.4484243304663672E-12</v>
      </c>
      <c r="CC128" s="59">
        <f t="shared" si="65"/>
        <v>293.33333333333474</v>
      </c>
      <c r="CD128" s="59">
        <f ca="1">AVERAGE(OFFSET($CC$3,0,0,'Données projet'!$E$12+1,1))-AVERAGE(OFFSET($H$3,0,0,'Données projet'!$E$12+1,1))</f>
        <v>287.72859857368331</v>
      </c>
      <c r="CE128" s="59">
        <f t="shared" si="94"/>
        <v>179.60736986885922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83.976491757839071</v>
      </c>
      <c r="CL128" s="21">
        <f>EXP(-LN(2)/25)*CL127+(1-EXP(-LN(2)/25))/(LN(2)/25)*Calculateur!CG128*Calculateur!CI128*VLOOKUP('Données projet'!$B$12,Paramètres!$A$1:$I$89,3,0)*0.475*44/12</f>
        <v>16.521980610829296</v>
      </c>
      <c r="CM128" s="21">
        <f>EXP(-LN(2)/2)*CM127+(1-EXP(-LN(2)/2))/(LN(2)/2)*CG128*CJ128*VLOOKUP('Données projet'!$B$12,Paramètres!$A$1:$I$89,3,0)*0.475*44/12</f>
        <v>1.0251699748842567E-2</v>
      </c>
      <c r="CN128" s="22">
        <f t="shared" si="66"/>
        <v>100.50872406841721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243.33915530322201</v>
      </c>
      <c r="CZ128" s="59">
        <f t="shared" si="96"/>
        <v>247.73814704672577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21.321372372985898</v>
      </c>
      <c r="DG128" s="21">
        <f>EXP(-LN(2)/25)*DG127+(1-EXP(-LN(2)/25))/(LN(2)/25)*Calculateur!DB128*Calculateur!DD128*VLOOKUP('Données projet'!$B$13,Paramètres!$A$1:$I$89,3,0)*0.475*44/12</f>
        <v>14.738875892944547</v>
      </c>
      <c r="DH128" s="21">
        <f>EXP(-LN(2)/2)*DH127+(1-EXP(-LN(2)/2))/(LN(2)/2)*DB128*DE128*VLOOKUP('Données projet'!$B$13,Paramètres!$A$1:$I$89,3,0)*0.475*44/12</f>
        <v>1.0523447874607036E-5</v>
      </c>
      <c r="DI128" s="22">
        <f t="shared" si="69"/>
        <v>36.060258789378324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5.6843418860808015E-13</v>
      </c>
      <c r="O129" s="13">
        <f>N129*VLOOKUP('Données projet'!$B$9,Paramètres!$A$1:$I$89,3,0)*VLOOKUP('Données projet'!$B$9,Paramètres!$A$1:$I$89,5,0)</f>
        <v>3.177547114319168E-13</v>
      </c>
      <c r="P129" s="13">
        <f t="shared" si="87"/>
        <v>4.1725404435445377E-12</v>
      </c>
      <c r="Q129" s="20">
        <f t="shared" si="107"/>
        <v>7.820597394917325E-12</v>
      </c>
      <c r="R129" s="59">
        <f t="shared" si="55"/>
        <v>293.33333333334116</v>
      </c>
      <c r="S129" s="59">
        <f ca="1">AVERAGE(OFFSET($R$3,0,0,'Données projet'!$E$9+1,1))-AVERAGE(OFFSET($H$3,0,0,'Données projet'!$E$9+1,1))</f>
        <v>287.413090017863</v>
      </c>
      <c r="T129" s="59">
        <f t="shared" si="88"/>
        <v>258.48456031927117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76.118689614120584</v>
      </c>
      <c r="AA129" s="21">
        <f>EXP(-LN(2)/25)*AA128+(1-EXP(-LN(2)/25))/(LN(2)/25)*Calculateur!V129*Calculateur!X129*VLOOKUP('Données projet'!$B$9,Paramètres!$A$1:$I$89,3,0)*0.475*44/12</f>
        <v>16.248480565597244</v>
      </c>
      <c r="AB129" s="21">
        <f>EXP(-LN(2)/2)*AB128+(1-EXP(-LN(2)/2))/(LN(2)/2)*V129*Y129*VLOOKUP('Données projet'!$B$9,Paramètres!$A$1:$I$89,3,0)*0.475*44/12</f>
        <v>2.8127999724008109E-7</v>
      </c>
      <c r="AC129" s="22">
        <f t="shared" si="57"/>
        <v>92.367170460997826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9.0229999999999961</v>
      </c>
      <c r="AI129" s="13">
        <f>IF('Données projet'!$A$62&gt;35,AI128+AH129-AQ128,IF(A129&lt;'Données projet'!$A$62,$AF$205^A129,IF(A129='Données projet'!$A$62,'Données projet'!$B$62,AI128+AH129-AQ128)))</f>
        <v>412.09600000000069</v>
      </c>
      <c r="AJ129" s="13">
        <f>AI129*VLOOKUP('Données projet'!$B$10,Paramètres!$A$1:$I$89,3,0)*VLOOKUP('Données projet'!$B$10,Paramètres!$A$1:$I$89,5,0)</f>
        <v>372.86446080000059</v>
      </c>
      <c r="AK129" s="13">
        <f t="shared" si="89"/>
        <v>86.253061792690659</v>
      </c>
      <c r="AL129" s="20">
        <f t="shared" si="58"/>
        <v>799.62968518227046</v>
      </c>
      <c r="AM129" s="59">
        <f t="shared" si="59"/>
        <v>1092.9630185156038</v>
      </c>
      <c r="AN129" s="59">
        <f ca="1">AVERAGE(OFFSET($AM$3,0,0,'Données projet'!$E$10+1,1))-AVERAGE(OFFSET($H$3,0,0,'Données projet'!$E$10+1,1))</f>
        <v>422.10969295064359</v>
      </c>
      <c r="AO129" s="59">
        <f t="shared" si="90"/>
        <v>184.04075143033037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37.113458353378611</v>
      </c>
      <c r="AV129" s="21">
        <f>EXP(-LN(2)/25)*AV128+(1-EXP(-LN(2)/25))/(LN(2)/25)*Calculateur!AQ129*Calculateur!AS129*VLOOKUP('Données projet'!$B$10,Paramètres!$A$1:$I$89,3,0)*0.475*44/12</f>
        <v>23.170344725788084</v>
      </c>
      <c r="AW129" s="21">
        <f>EXP(-LN(2)/2)*AW128+(1-EXP(-LN(2)/2))/(LN(2)/2)*AQ129*AT129*VLOOKUP('Données projet'!$B$10,Paramètres!$A$1:$I$89,3,0)*0.475*44/12</f>
        <v>2.5529901687623151</v>
      </c>
      <c r="AX129" s="21">
        <f t="shared" si="60"/>
        <v>62.836793247929009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-9.1631591203622526E-14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217.61052961346684</v>
      </c>
      <c r="BJ129" s="59">
        <f t="shared" si="92"/>
        <v>180.77145728128608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67.729302822762349</v>
      </c>
      <c r="BQ129" s="21">
        <f>EXP(-LN(2)/25)*BQ128+(1-EXP(-LN(2)/25))/(LN(2)/25)*Calculateur!BL129*Calculateur!BN129*VLOOKUP('Données projet'!$B$11,Paramètres!$A$1:$I$89,3,0)*0.475*44/12</f>
        <v>16.838053813397075</v>
      </c>
      <c r="BR129" s="21">
        <f>EXP(-LN(2)/2)*BR128+(1-EXP(-LN(2)/2))/(LN(2)/2)*BL129*BO129*VLOOKUP('Données projet'!$B$11,Paramètres!$A$1:$I$89,3,0)*0.475*44/12</f>
        <v>7.7944317036465112E-6</v>
      </c>
      <c r="BS129" s="22">
        <f t="shared" si="63"/>
        <v>84.567364430591127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projet'!$B$12,Paramètres!$A$1:$I$89,3,0)*VLOOKUP('Données projet'!$B$12,Paramètres!$A$1:$I$89,5,0)</f>
        <v>4.7884896048344674E-14</v>
      </c>
      <c r="CA129" s="13">
        <f t="shared" si="93"/>
        <v>7.8374629847779921E-13</v>
      </c>
      <c r="CB129" s="20">
        <f t="shared" si="64"/>
        <v>1.4484243304663672E-12</v>
      </c>
      <c r="CC129" s="59">
        <f t="shared" si="65"/>
        <v>293.33333333333474</v>
      </c>
      <c r="CD129" s="59">
        <f ca="1">AVERAGE(OFFSET($CC$3,0,0,'Données projet'!$E$12+1,1))-AVERAGE(OFFSET($H$3,0,0,'Données projet'!$E$12+1,1))</f>
        <v>287.72859857368331</v>
      </c>
      <c r="CE129" s="59">
        <f t="shared" si="94"/>
        <v>179.60736986885922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82.329763975070207</v>
      </c>
      <c r="CL129" s="21">
        <f>EXP(-LN(2)/25)*CL128+(1-EXP(-LN(2)/25))/(LN(2)/25)*Calculateur!CG129*Calculateur!CI129*VLOOKUP('Données projet'!$B$12,Paramètres!$A$1:$I$89,3,0)*0.475*44/12</f>
        <v>16.070186182172971</v>
      </c>
      <c r="CM129" s="21">
        <f>EXP(-LN(2)/2)*CM128+(1-EXP(-LN(2)/2))/(LN(2)/2)*CG129*CJ129*VLOOKUP('Données projet'!$B$12,Paramètres!$A$1:$I$89,3,0)*0.475*44/12</f>
        <v>7.2490464110950056E-3</v>
      </c>
      <c r="CN129" s="22">
        <f t="shared" si="66"/>
        <v>98.407199203654272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243.33915530322201</v>
      </c>
      <c r="CZ129" s="59">
        <f t="shared" si="96"/>
        <v>247.73814704672577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20.90327326550468</v>
      </c>
      <c r="DG129" s="21">
        <f>EXP(-LN(2)/25)*DG128+(1-EXP(-LN(2)/25))/(LN(2)/25)*Calculateur!DB129*Calculateur!DD129*VLOOKUP('Données projet'!$B$13,Paramètres!$A$1:$I$89,3,0)*0.475*44/12</f>
        <v>14.335840556568181</v>
      </c>
      <c r="DH129" s="21">
        <f>EXP(-LN(2)/2)*DH128+(1-EXP(-LN(2)/2))/(LN(2)/2)*DB129*DE129*VLOOKUP('Données projet'!$B$13,Paramètres!$A$1:$I$89,3,0)*0.475*44/12</f>
        <v>7.4412013535977962E-6</v>
      </c>
      <c r="DI129" s="22">
        <f t="shared" si="69"/>
        <v>35.239121263274214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5.6843418860808015E-13</v>
      </c>
      <c r="O130" s="13">
        <f>N130*VLOOKUP('Données projet'!$B$9,Paramètres!$A$1:$I$89,3,0)*VLOOKUP('Données projet'!$B$9,Paramètres!$A$1:$I$89,5,0)</f>
        <v>3.177547114319168E-13</v>
      </c>
      <c r="P130" s="13">
        <f t="shared" si="87"/>
        <v>4.1725404435445377E-12</v>
      </c>
      <c r="Q130" s="20">
        <f t="shared" si="107"/>
        <v>7.820597394917325E-12</v>
      </c>
      <c r="R130" s="59">
        <f t="shared" si="55"/>
        <v>293.33333333334116</v>
      </c>
      <c r="S130" s="59">
        <f ca="1">AVERAGE(OFFSET($R$3,0,0,'Données projet'!$E$9+1,1))-AVERAGE(OFFSET($H$3,0,0,'Données projet'!$E$9+1,1))</f>
        <v>287.413090017863</v>
      </c>
      <c r="T130" s="59">
        <f t="shared" si="88"/>
        <v>258.48456031927117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74.626048538603982</v>
      </c>
      <c r="AA130" s="21">
        <f>EXP(-LN(2)/25)*AA129+(1-EXP(-LN(2)/25))/(LN(2)/25)*Calculateur!V130*Calculateur!X130*VLOOKUP('Données projet'!$B$9,Paramètres!$A$1:$I$89,3,0)*0.475*44/12</f>
        <v>15.804165010060531</v>
      </c>
      <c r="AB130" s="21">
        <f>EXP(-LN(2)/2)*AB129+(1-EXP(-LN(2)/2))/(LN(2)/2)*V130*Y130*VLOOKUP('Données projet'!$B$9,Paramètres!$A$1:$I$89,3,0)*0.475*44/12</f>
        <v>1.9889499346059472E-7</v>
      </c>
      <c r="AC130" s="22">
        <f t="shared" si="57"/>
        <v>90.430213747559506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9.0229999999999961</v>
      </c>
      <c r="AI130" s="13">
        <f>IF('Données projet'!$A$62&gt;35,AI129+AH130-AQ129,IF(A130&lt;'Données projet'!$A$62,$AF$205^A130,IF(A130='Données projet'!$A$62,'Données projet'!$B$62,AI129+AH130-AQ129)))</f>
        <v>421.11900000000071</v>
      </c>
      <c r="AJ130" s="13">
        <f>AI130*VLOOKUP('Données projet'!$B$10,Paramètres!$A$1:$I$89,3,0)*VLOOKUP('Données projet'!$B$10,Paramètres!$A$1:$I$89,5,0)</f>
        <v>381.02847120000064</v>
      </c>
      <c r="AK130" s="13">
        <f t="shared" si="89"/>
        <v>87.919669823283783</v>
      </c>
      <c r="AL130" s="20">
        <f t="shared" si="58"/>
        <v>816.75134561555353</v>
      </c>
      <c r="AM130" s="59">
        <f t="shared" si="59"/>
        <v>1110.0846789488869</v>
      </c>
      <c r="AN130" s="59">
        <f ca="1">AVERAGE(OFFSET($AM$3,0,0,'Données projet'!$E$10+1,1))-AVERAGE(OFFSET($H$3,0,0,'Données projet'!$E$10+1,1))</f>
        <v>422.10969295064359</v>
      </c>
      <c r="AO130" s="59">
        <f t="shared" si="90"/>
        <v>184.04075143033037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36.385686072043235</v>
      </c>
      <c r="AV130" s="21">
        <f>EXP(-LN(2)/25)*AV129+(1-EXP(-LN(2)/25))/(LN(2)/25)*Calculateur!AQ130*Calculateur!AS130*VLOOKUP('Données projet'!$B$10,Paramètres!$A$1:$I$89,3,0)*0.475*44/12</f>
        <v>22.536750430785936</v>
      </c>
      <c r="AW130" s="21">
        <f>EXP(-LN(2)/2)*AW129+(1-EXP(-LN(2)/2))/(LN(2)/2)*AQ130*AT130*VLOOKUP('Données projet'!$B$10,Paramètres!$A$1:$I$89,3,0)*0.475*44/12</f>
        <v>1.8052366606344215</v>
      </c>
      <c r="AX130" s="21">
        <f t="shared" si="60"/>
        <v>60.727673163463592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-9.1631591203622526E-14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217.61052961346684</v>
      </c>
      <c r="BJ130" s="59">
        <f t="shared" si="92"/>
        <v>180.77145728128608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66.401172505203604</v>
      </c>
      <c r="BQ130" s="21">
        <f>EXP(-LN(2)/25)*BQ129+(1-EXP(-LN(2)/25))/(LN(2)/25)*Calculateur!BL130*Calculateur!BN130*VLOOKUP('Données projet'!$B$11,Paramètres!$A$1:$I$89,3,0)*0.475*44/12</f>
        <v>16.377616346394966</v>
      </c>
      <c r="BR130" s="21">
        <f>EXP(-LN(2)/2)*BR129+(1-EXP(-LN(2)/2))/(LN(2)/2)*BL130*BO130*VLOOKUP('Données projet'!$B$11,Paramètres!$A$1:$I$89,3,0)*0.475*44/12</f>
        <v>5.5114955131438624E-6</v>
      </c>
      <c r="BS130" s="22">
        <f t="shared" si="63"/>
        <v>82.778794363094079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projet'!$B$12,Paramètres!$A$1:$I$89,3,0)*VLOOKUP('Données projet'!$B$12,Paramètres!$A$1:$I$89,5,0)</f>
        <v>4.7884896048344674E-14</v>
      </c>
      <c r="CA130" s="13">
        <f t="shared" si="93"/>
        <v>7.8374629847779921E-13</v>
      </c>
      <c r="CB130" s="20">
        <f t="shared" si="64"/>
        <v>1.4484243304663672E-12</v>
      </c>
      <c r="CC130" s="59">
        <f t="shared" si="65"/>
        <v>293.33333333333474</v>
      </c>
      <c r="CD130" s="59">
        <f ca="1">AVERAGE(OFFSET($CC$3,0,0,'Données projet'!$E$12+1,1))-AVERAGE(OFFSET($H$3,0,0,'Données projet'!$E$12+1,1))</f>
        <v>287.72859857368331</v>
      </c>
      <c r="CE130" s="59">
        <f t="shared" si="94"/>
        <v>179.60736986885922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80.715327519716666</v>
      </c>
      <c r="CL130" s="21">
        <f>EXP(-LN(2)/25)*CL129+(1-EXP(-LN(2)/25))/(LN(2)/25)*Calculateur!CG130*Calculateur!CI130*VLOOKUP('Données projet'!$B$12,Paramètres!$A$1:$I$89,3,0)*0.475*44/12</f>
        <v>15.630746095927089</v>
      </c>
      <c r="CM130" s="21">
        <f>EXP(-LN(2)/2)*CM129+(1-EXP(-LN(2)/2))/(LN(2)/2)*CG130*CJ130*VLOOKUP('Données projet'!$B$12,Paramètres!$A$1:$I$89,3,0)*0.475*44/12</f>
        <v>5.1258498744212837E-3</v>
      </c>
      <c r="CN130" s="22">
        <f t="shared" si="66"/>
        <v>96.351199465518178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243.33915530322201</v>
      </c>
      <c r="CZ130" s="59">
        <f t="shared" si="96"/>
        <v>247.73814704672577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20.493372826505894</v>
      </c>
      <c r="DG130" s="21">
        <f>EXP(-LN(2)/25)*DG129+(1-EXP(-LN(2)/25))/(LN(2)/25)*Calculateur!DB130*Calculateur!DD130*VLOOKUP('Données projet'!$B$13,Paramètres!$A$1:$I$89,3,0)*0.475*44/12</f>
        <v>13.943826242659734</v>
      </c>
      <c r="DH130" s="21">
        <f>EXP(-LN(2)/2)*DH129+(1-EXP(-LN(2)/2))/(LN(2)/2)*DB130*DE130*VLOOKUP('Données projet'!$B$13,Paramètres!$A$1:$I$89,3,0)*0.475*44/12</f>
        <v>5.2617239373035189E-6</v>
      </c>
      <c r="DI130" s="22">
        <f t="shared" si="69"/>
        <v>34.437204330889564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5.6843418860808015E-13</v>
      </c>
      <c r="O131" s="13">
        <f>N131*VLOOKUP('Données projet'!$B$9,Paramètres!$A$1:$I$89,3,0)*VLOOKUP('Données projet'!$B$9,Paramètres!$A$1:$I$89,5,0)</f>
        <v>3.177547114319168E-13</v>
      </c>
      <c r="P131" s="13">
        <f t="shared" si="87"/>
        <v>4.1725404435445377E-12</v>
      </c>
      <c r="Q131" s="20">
        <f t="shared" ref="Q131:Q153" si="108">(O131+P131)*0.475*44/12</f>
        <v>7.820597394917325E-12</v>
      </c>
      <c r="R131" s="59">
        <f t="shared" ref="R131:R194" si="109">Q131+(I131+J131)*44/12</f>
        <v>293.33333333334116</v>
      </c>
      <c r="S131" s="59">
        <f ca="1">AVERAGE(OFFSET($R$3,0,0,'Données projet'!$E$9+1,1))-AVERAGE(OFFSET($H$3,0,0,'Données projet'!$E$9+1,1))</f>
        <v>287.413090017863</v>
      </c>
      <c r="T131" s="59">
        <f t="shared" si="88"/>
        <v>258.48456031927117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73.162677244157095</v>
      </c>
      <c r="AA131" s="21">
        <f>EXP(-LN(2)/25)*AA130+(1-EXP(-LN(2)/25))/(LN(2)/25)*Calculateur!V131*Calculateur!X131*VLOOKUP('Données projet'!$B$9,Paramètres!$A$1:$I$89,3,0)*0.475*44/12</f>
        <v>15.371999286755509</v>
      </c>
      <c r="AB131" s="21">
        <f>EXP(-LN(2)/2)*AB130+(1-EXP(-LN(2)/2))/(LN(2)/2)*V131*Y131*VLOOKUP('Données projet'!$B$9,Paramètres!$A$1:$I$89,3,0)*0.475*44/12</f>
        <v>1.4063999862004055E-7</v>
      </c>
      <c r="AC131" s="22">
        <f t="shared" si="57"/>
        <v>88.534676671552603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9.0229999999999961</v>
      </c>
      <c r="AI131" s="13">
        <f>IF('Données projet'!$A$62&gt;35,AI130+AH131-AQ130,IF(A131&lt;'Données projet'!$A$62,$AF$205^A131,IF(A131='Données projet'!$A$62,'Données projet'!$B$62,AI130+AH131-AQ130)))</f>
        <v>430.14200000000073</v>
      </c>
      <c r="AJ131" s="13">
        <f>AI131*VLOOKUP('Données projet'!$B$10,Paramètres!$A$1:$I$89,3,0)*VLOOKUP('Données projet'!$B$10,Paramètres!$A$1:$I$89,5,0)</f>
        <v>389.19248160000063</v>
      </c>
      <c r="AK131" s="13">
        <f t="shared" si="89"/>
        <v>89.582126151232899</v>
      </c>
      <c r="AL131" s="20">
        <f t="shared" si="58"/>
        <v>833.86577516673162</v>
      </c>
      <c r="AM131" s="59">
        <f t="shared" si="59"/>
        <v>1127.199108500065</v>
      </c>
      <c r="AN131" s="59">
        <f ca="1">AVERAGE(OFFSET($AM$3,0,0,'Données projet'!$E$10+1,1))-AVERAGE(OFFSET($H$3,0,0,'Données projet'!$E$10+1,1))</f>
        <v>422.10969295064359</v>
      </c>
      <c r="AO131" s="59">
        <f t="shared" si="90"/>
        <v>184.04075143033037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35.672184961247588</v>
      </c>
      <c r="AV131" s="21">
        <f>EXP(-LN(2)/25)*AV130+(1-EXP(-LN(2)/25))/(LN(2)/25)*Calculateur!AQ131*Calculateur!AS131*VLOOKUP('Données projet'!$B$10,Paramètres!$A$1:$I$89,3,0)*0.475*44/12</f>
        <v>21.920481805099897</v>
      </c>
      <c r="AW131" s="21">
        <f>EXP(-LN(2)/2)*AW130+(1-EXP(-LN(2)/2))/(LN(2)/2)*AQ131*AT131*VLOOKUP('Données projet'!$B$10,Paramètres!$A$1:$I$89,3,0)*0.475*44/12</f>
        <v>1.2764950843811578</v>
      </c>
      <c r="AX131" s="21">
        <f t="shared" si="60"/>
        <v>58.869161850728645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-9.1631591203622526E-14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217.61052961346684</v>
      </c>
      <c r="BJ131" s="59">
        <f t="shared" si="92"/>
        <v>180.77145728128608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65.099086013092673</v>
      </c>
      <c r="BQ131" s="21">
        <f>EXP(-LN(2)/25)*BQ130+(1-EXP(-LN(2)/25))/(LN(2)/25)*Calculateur!BL131*Calculateur!BN131*VLOOKUP('Données projet'!$B$11,Paramètres!$A$1:$I$89,3,0)*0.475*44/12</f>
        <v>15.929769566141383</v>
      </c>
      <c r="BR131" s="21">
        <f>EXP(-LN(2)/2)*BR130+(1-EXP(-LN(2)/2))/(LN(2)/2)*BL131*BO131*VLOOKUP('Données projet'!$B$11,Paramètres!$A$1:$I$89,3,0)*0.475*44/12</f>
        <v>3.8972158518232556E-6</v>
      </c>
      <c r="BS131" s="22">
        <f t="shared" si="63"/>
        <v>81.028859476449909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projet'!$B$12,Paramètres!$A$1:$I$89,3,0)*VLOOKUP('Données projet'!$B$12,Paramètres!$A$1:$I$89,5,0)</f>
        <v>4.7884896048344674E-14</v>
      </c>
      <c r="CA131" s="13">
        <f t="shared" si="93"/>
        <v>7.8374629847779921E-13</v>
      </c>
      <c r="CB131" s="20">
        <f t="shared" si="64"/>
        <v>1.4484243304663672E-12</v>
      </c>
      <c r="CC131" s="59">
        <f t="shared" si="65"/>
        <v>293.33333333333474</v>
      </c>
      <c r="CD131" s="59">
        <f ca="1">AVERAGE(OFFSET($CC$3,0,0,'Données projet'!$E$12+1,1))-AVERAGE(OFFSET($H$3,0,0,'Données projet'!$E$12+1,1))</f>
        <v>287.72859857368331</v>
      </c>
      <c r="CE131" s="59">
        <f t="shared" si="94"/>
        <v>179.60736986885922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79.132549178543599</v>
      </c>
      <c r="CL131" s="21">
        <f>EXP(-LN(2)/25)*CL130+(1-EXP(-LN(2)/25))/(LN(2)/25)*Calculateur!CG131*Calculateur!CI131*VLOOKUP('Données projet'!$B$12,Paramètres!$A$1:$I$89,3,0)*0.475*44/12</f>
        <v>15.203322521948749</v>
      </c>
      <c r="CM131" s="21">
        <f>EXP(-LN(2)/2)*CM130+(1-EXP(-LN(2)/2))/(LN(2)/2)*CG131*CJ131*VLOOKUP('Données projet'!$B$12,Paramètres!$A$1:$I$89,3,0)*0.475*44/12</f>
        <v>3.6245232055475028E-3</v>
      </c>
      <c r="CN131" s="22">
        <f t="shared" si="66"/>
        <v>94.339496223697893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243.33915530322201</v>
      </c>
      <c r="CZ131" s="59">
        <f t="shared" si="96"/>
        <v>247.73814704672577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20.091510285101293</v>
      </c>
      <c r="DG131" s="21">
        <f>EXP(-LN(2)/25)*DG130+(1-EXP(-LN(2)/25))/(LN(2)/25)*Calculateur!DB131*Calculateur!DD131*VLOOKUP('Données projet'!$B$13,Paramètres!$A$1:$I$89,3,0)*0.475*44/12</f>
        <v>13.56253158078025</v>
      </c>
      <c r="DH131" s="21">
        <f>EXP(-LN(2)/2)*DH130+(1-EXP(-LN(2)/2))/(LN(2)/2)*DB131*DE131*VLOOKUP('Données projet'!$B$13,Paramètres!$A$1:$I$89,3,0)*0.475*44/12</f>
        <v>3.7206006767988989E-6</v>
      </c>
      <c r="DI131" s="22">
        <f t="shared" si="69"/>
        <v>33.654045586482219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5.6843418860808015E-13</v>
      </c>
      <c r="O132" s="13">
        <f>N132*VLOOKUP('Données projet'!$B$9,Paramètres!$A$1:$I$89,3,0)*VLOOKUP('Données projet'!$B$9,Paramètres!$A$1:$I$89,5,0)</f>
        <v>3.177547114319168E-13</v>
      </c>
      <c r="P132" s="13">
        <f t="shared" si="87"/>
        <v>4.1725404435445377E-12</v>
      </c>
      <c r="Q132" s="20">
        <f t="shared" si="108"/>
        <v>7.820597394917325E-12</v>
      </c>
      <c r="R132" s="59">
        <f t="shared" si="109"/>
        <v>293.33333333334116</v>
      </c>
      <c r="S132" s="59">
        <f ca="1">AVERAGE(OFFSET($R$3,0,0,'Données projet'!$E$9+1,1))-AVERAGE(OFFSET($H$3,0,0,'Données projet'!$E$9+1,1))</f>
        <v>287.413090017863</v>
      </c>
      <c r="T132" s="59">
        <f t="shared" si="88"/>
        <v>258.48456031927117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71.728001768225951</v>
      </c>
      <c r="AA132" s="21">
        <f>EXP(-LN(2)/25)*AA131+(1-EXP(-LN(2)/25))/(LN(2)/25)*Calculateur!V132*Calculateur!X132*VLOOKUP('Données projet'!$B$9,Paramètres!$A$1:$I$89,3,0)*0.475*44/12</f>
        <v>14.951651157880869</v>
      </c>
      <c r="AB132" s="21">
        <f>EXP(-LN(2)/2)*AB131+(1-EXP(-LN(2)/2))/(LN(2)/2)*V132*Y132*VLOOKUP('Données projet'!$B$9,Paramètres!$A$1:$I$89,3,0)*0.475*44/12</f>
        <v>9.9447496730297358E-8</v>
      </c>
      <c r="AC132" s="22">
        <f t="shared" ref="AC132:AC153" si="111">SUM(Z132:AB132)</f>
        <v>86.679653025554316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9.0229999999999961</v>
      </c>
      <c r="AI132" s="13">
        <f>IF('Données projet'!$A$62&gt;35,AI131+AH132-AQ131,IF(A132&lt;'Données projet'!$A$62,$AF$205^A132,IF(A132='Données projet'!$A$62,'Données projet'!$B$62,AI131+AH132-AQ131)))</f>
        <v>439.16500000000076</v>
      </c>
      <c r="AJ132" s="13">
        <f>AI132*VLOOKUP('Données projet'!$B$10,Paramètres!$A$1:$I$89,3,0)*VLOOKUP('Données projet'!$B$10,Paramètres!$A$1:$I$89,5,0)</f>
        <v>397.35649200000069</v>
      </c>
      <c r="AK132" s="13">
        <f t="shared" si="89"/>
        <v>91.240527898934658</v>
      </c>
      <c r="AL132" s="20">
        <f t="shared" ref="AL132:AL153" si="112">(AJ132+AK132)*0.475*44/12</f>
        <v>850.97314299064567</v>
      </c>
      <c r="AM132" s="59">
        <f t="shared" ref="AM132:AM195" si="113">AL132+(AD132+AE132)*44/12</f>
        <v>1144.306476323979</v>
      </c>
      <c r="AN132" s="59">
        <f ca="1">AVERAGE(OFFSET($AM$3,0,0,'Données projet'!$E$10+1,1))-AVERAGE(OFFSET($H$3,0,0,'Données projet'!$E$10+1,1))</f>
        <v>422.10969295064359</v>
      </c>
      <c r="AO132" s="59">
        <f t="shared" si="90"/>
        <v>184.04075143033037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34.972675172041939</v>
      </c>
      <c r="AV132" s="21">
        <f>EXP(-LN(2)/25)*AV131+(1-EXP(-LN(2)/25))/(LN(2)/25)*Calculateur!AQ132*Calculateur!AS132*VLOOKUP('Données projet'!$B$10,Paramètres!$A$1:$I$89,3,0)*0.475*44/12</f>
        <v>21.321065077391403</v>
      </c>
      <c r="AW132" s="21">
        <f>EXP(-LN(2)/2)*AW131+(1-EXP(-LN(2)/2))/(LN(2)/2)*AQ132*AT132*VLOOKUP('Données projet'!$B$10,Paramètres!$A$1:$I$89,3,0)*0.475*44/12</f>
        <v>0.90261833031721095</v>
      </c>
      <c r="AX132" s="21">
        <f t="shared" ref="AX132:AX153" si="114">SUM(AU132:AW132)</f>
        <v>57.196358579750552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-9.1631591203622526E-14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217.61052961346684</v>
      </c>
      <c r="BJ132" s="59">
        <f t="shared" si="92"/>
        <v>180.77145728128608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63.822532642897698</v>
      </c>
      <c r="BQ132" s="21">
        <f>EXP(-LN(2)/25)*BQ131+(1-EXP(-LN(2)/25))/(LN(2)/25)*Calculateur!BL132*Calculateur!BN132*VLOOKUP('Données projet'!$B$11,Paramètres!$A$1:$I$89,3,0)*0.475*44/12</f>
        <v>15.494169179645073</v>
      </c>
      <c r="BR132" s="21">
        <f>EXP(-LN(2)/2)*BR131+(1-EXP(-LN(2)/2))/(LN(2)/2)*BL132*BO132*VLOOKUP('Données projet'!$B$11,Paramètres!$A$1:$I$89,3,0)*0.475*44/12</f>
        <v>2.7557477565719312E-6</v>
      </c>
      <c r="BS132" s="22">
        <f t="shared" ref="BS132:BS153" si="117">SUM(BP132:BR132)</f>
        <v>79.316704578290526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projet'!$B$12,Paramètres!$A$1:$I$89,3,0)*VLOOKUP('Données projet'!$B$12,Paramètres!$A$1:$I$89,5,0)</f>
        <v>4.7884896048344674E-14</v>
      </c>
      <c r="CA132" s="13">
        <f t="shared" si="93"/>
        <v>7.8374629847779921E-13</v>
      </c>
      <c r="CB132" s="20">
        <f t="shared" ref="CB132:CB153" si="118">(BZ132+CA132)*0.475*44/12</f>
        <v>1.4484243304663672E-12</v>
      </c>
      <c r="CC132" s="59">
        <f t="shared" ref="CC132:CC195" si="119">CB132+(BT132+BU132)*44/12</f>
        <v>293.33333333333474</v>
      </c>
      <c r="CD132" s="59">
        <f ca="1">AVERAGE(OFFSET($CC$3,0,0,'Données projet'!$E$12+1,1))-AVERAGE(OFFSET($H$3,0,0,'Données projet'!$E$12+1,1))</f>
        <v>287.72859857368331</v>
      </c>
      <c r="CE132" s="59">
        <f t="shared" si="94"/>
        <v>179.60736986885922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77.580808155241471</v>
      </c>
      <c r="CL132" s="21">
        <f>EXP(-LN(2)/25)*CL131+(1-EXP(-LN(2)/25))/(LN(2)/25)*Calculateur!CG132*Calculateur!CI132*VLOOKUP('Données projet'!$B$12,Paramètres!$A$1:$I$89,3,0)*0.475*44/12</f>
        <v>14.787586868078076</v>
      </c>
      <c r="CM132" s="21">
        <f>EXP(-LN(2)/2)*CM131+(1-EXP(-LN(2)/2))/(LN(2)/2)*CG132*CJ132*VLOOKUP('Données projet'!$B$12,Paramètres!$A$1:$I$89,3,0)*0.475*44/12</f>
        <v>2.5629249372106418E-3</v>
      </c>
      <c r="CN132" s="22">
        <f t="shared" ref="CN132:CN153" si="120">SUM(CK132:CM132)</f>
        <v>92.370957948256759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243.33915530322201</v>
      </c>
      <c r="CZ132" s="59">
        <f t="shared" si="96"/>
        <v>247.73814704672577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19.69752802302169</v>
      </c>
      <c r="DG132" s="21">
        <f>EXP(-LN(2)/25)*DG131+(1-EXP(-LN(2)/25))/(LN(2)/25)*Calculateur!DB132*Calculateur!DD132*VLOOKUP('Données projet'!$B$13,Paramètres!$A$1:$I$89,3,0)*0.475*44/12</f>
        <v>13.191663441481277</v>
      </c>
      <c r="DH132" s="21">
        <f>EXP(-LN(2)/2)*DH131+(1-EXP(-LN(2)/2))/(LN(2)/2)*DB132*DE132*VLOOKUP('Données projet'!$B$13,Paramètres!$A$1:$I$89,3,0)*0.475*44/12</f>
        <v>2.6308619686517599E-6</v>
      </c>
      <c r="DI132" s="22">
        <f t="shared" ref="DI132:DI153" si="123">SUM(DF132:DH132)</f>
        <v>32.889194095364935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5.6843418860808015E-13</v>
      </c>
      <c r="O133" s="13">
        <f>N133*VLOOKUP('Données projet'!$B$9,Paramètres!$A$1:$I$89,3,0)*VLOOKUP('Données projet'!$B$9,Paramètres!$A$1:$I$89,5,0)</f>
        <v>3.177547114319168E-13</v>
      </c>
      <c r="P133" s="13">
        <f t="shared" ref="P133:P196" si="141">EXP(-1.0587+0.8836*LN(O133)+0.284)</f>
        <v>4.1725404435445377E-12</v>
      </c>
      <c r="Q133" s="20">
        <f t="shared" si="108"/>
        <v>7.820597394917325E-12</v>
      </c>
      <c r="R133" s="59">
        <f t="shared" si="109"/>
        <v>293.33333333334116</v>
      </c>
      <c r="S133" s="59">
        <f ca="1">AVERAGE(OFFSET($R$3,0,0,'Données projet'!$E$9+1,1))-AVERAGE(OFFSET($H$3,0,0,'Données projet'!$E$9+1,1))</f>
        <v>287.413090017863</v>
      </c>
      <c r="T133" s="59">
        <f t="shared" ref="T133:T196" si="142">$T$3</f>
        <v>258.48456031927117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70.32145940331219</v>
      </c>
      <c r="AA133" s="21">
        <f>EXP(-LN(2)/25)*AA132+(1-EXP(-LN(2)/25))/(LN(2)/25)*Calculateur!V133*Calculateur!X133*VLOOKUP('Données projet'!$B$9,Paramètres!$A$1:$I$89,3,0)*0.475*44/12</f>
        <v>14.542797470695454</v>
      </c>
      <c r="AB133" s="21">
        <f>EXP(-LN(2)/2)*AB132+(1-EXP(-LN(2)/2))/(LN(2)/2)*V133*Y133*VLOOKUP('Données projet'!$B$9,Paramètres!$A$1:$I$89,3,0)*0.475*44/12</f>
        <v>7.0319999310020273E-8</v>
      </c>
      <c r="AC133" s="22">
        <f t="shared" si="111"/>
        <v>84.86425694432765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9.0229999999999961</v>
      </c>
      <c r="AI133" s="13">
        <f>IF('Données projet'!$A$62&gt;35,AI132+AH133-AQ132,IF(A133&lt;'Données projet'!$A$62,$AF$205^A133,IF(A133='Données projet'!$A$62,'Données projet'!$B$62,AI132+AH133-AQ132)))</f>
        <v>448.18800000000078</v>
      </c>
      <c r="AJ133" s="13">
        <f>AI133*VLOOKUP('Données projet'!$B$10,Paramètres!$A$1:$I$89,3,0)*VLOOKUP('Données projet'!$B$10,Paramètres!$A$1:$I$89,5,0)</f>
        <v>405.52050240000068</v>
      </c>
      <c r="AK133" s="13">
        <f t="shared" ref="AK133:AK153" si="143">EXP(-1.0587+0.8836*LN(AJ133)+0.284)</f>
        <v>92.894967969753338</v>
      </c>
      <c r="AL133" s="20">
        <f t="shared" si="112"/>
        <v>868.07361089398819</v>
      </c>
      <c r="AM133" s="59">
        <f t="shared" si="113"/>
        <v>1161.4069442273214</v>
      </c>
      <c r="AN133" s="59">
        <f ca="1">AVERAGE(OFFSET($AM$3,0,0,'Données projet'!$E$10+1,1))-AVERAGE(OFFSET($H$3,0,0,'Données projet'!$E$10+1,1))</f>
        <v>422.10969295064359</v>
      </c>
      <c r="AO133" s="59">
        <f t="shared" ref="AO133:AO196" si="144">$AO$3</f>
        <v>184.04075143033037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34.286882343143766</v>
      </c>
      <c r="AV133" s="21">
        <f>EXP(-LN(2)/25)*AV132+(1-EXP(-LN(2)/25))/(LN(2)/25)*Calculateur!AQ133*Calculateur!AS133*VLOOKUP('Données projet'!$B$10,Paramètres!$A$1:$I$89,3,0)*0.475*44/12</f>
        <v>20.738039431624053</v>
      </c>
      <c r="AW133" s="21">
        <f>EXP(-LN(2)/2)*AW132+(1-EXP(-LN(2)/2))/(LN(2)/2)*AQ133*AT133*VLOOKUP('Données projet'!$B$10,Paramètres!$A$1:$I$89,3,0)*0.475*44/12</f>
        <v>0.638247542190579</v>
      </c>
      <c r="AX133" s="21">
        <f t="shared" si="114"/>
        <v>55.663169316958395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-9.1631591203622526E-14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217.61052961346684</v>
      </c>
      <c r="BJ133" s="59">
        <f t="shared" ref="BJ133:BJ196" si="146">$BJ$3</f>
        <v>180.77145728128608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62.571011705671573</v>
      </c>
      <c r="BQ133" s="21">
        <f>EXP(-LN(2)/25)*BQ132+(1-EXP(-LN(2)/25))/(LN(2)/25)*Calculateur!BL133*Calculateur!BN133*VLOOKUP('Données projet'!$B$11,Paramètres!$A$1:$I$89,3,0)*0.475*44/12</f>
        <v>15.070480308624735</v>
      </c>
      <c r="BR133" s="21">
        <f>EXP(-LN(2)/2)*BR132+(1-EXP(-LN(2)/2))/(LN(2)/2)*BL133*BO133*VLOOKUP('Données projet'!$B$11,Paramètres!$A$1:$I$89,3,0)*0.475*44/12</f>
        <v>1.9486079259116278E-6</v>
      </c>
      <c r="BS133" s="22">
        <f t="shared" si="117"/>
        <v>77.641493962904235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projet'!$B$12,Paramètres!$A$1:$I$89,3,0)*VLOOKUP('Données projet'!$B$12,Paramètres!$A$1:$I$89,5,0)</f>
        <v>4.7884896048344674E-14</v>
      </c>
      <c r="CA133" s="13">
        <f t="shared" ref="CA133:CA153" si="147">EXP(-1.0587+0.8836*LN(BZ133)+0.284)</f>
        <v>7.8374629847779921E-13</v>
      </c>
      <c r="CB133" s="20">
        <f t="shared" si="118"/>
        <v>1.4484243304663672E-12</v>
      </c>
      <c r="CC133" s="59">
        <f t="shared" si="119"/>
        <v>293.33333333333474</v>
      </c>
      <c r="CD133" s="59">
        <f ca="1">AVERAGE(OFFSET($CC$3,0,0,'Données projet'!$E$12+1,1))-AVERAGE(OFFSET($H$3,0,0,'Données projet'!$E$12+1,1))</f>
        <v>287.72859857368331</v>
      </c>
      <c r="CE133" s="59">
        <f t="shared" ref="CE133:CE196" si="148">$CE$3</f>
        <v>179.60736986885922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76.059495826937734</v>
      </c>
      <c r="CL133" s="21">
        <f>EXP(-LN(2)/25)*CL132+(1-EXP(-LN(2)/25))/(LN(2)/25)*Calculateur!CG133*Calculateur!CI133*VLOOKUP('Données projet'!$B$12,Paramètres!$A$1:$I$89,3,0)*0.475*44/12</f>
        <v>14.383219527525085</v>
      </c>
      <c r="CM133" s="21">
        <f>EXP(-LN(2)/2)*CM132+(1-EXP(-LN(2)/2))/(LN(2)/2)*CG133*CJ133*VLOOKUP('Données projet'!$B$12,Paramètres!$A$1:$I$89,3,0)*0.475*44/12</f>
        <v>1.8122616027737514E-3</v>
      </c>
      <c r="CN133" s="22">
        <f t="shared" si="120"/>
        <v>90.444527616065599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243.33915530322201</v>
      </c>
      <c r="CZ133" s="59">
        <f t="shared" ref="CZ133:CZ196" si="150">$CZ$3</f>
        <v>247.73814704672577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19.311271512796015</v>
      </c>
      <c r="DG133" s="21">
        <f>EXP(-LN(2)/25)*DG132+(1-EXP(-LN(2)/25))/(LN(2)/25)*Calculateur!DB133*Calculateur!DD133*VLOOKUP('Données projet'!$B$13,Paramètres!$A$1:$I$89,3,0)*0.475*44/12</f>
        <v>12.830936710954541</v>
      </c>
      <c r="DH133" s="21">
        <f>EXP(-LN(2)/2)*DH132+(1-EXP(-LN(2)/2))/(LN(2)/2)*DB133*DE133*VLOOKUP('Données projet'!$B$13,Paramètres!$A$1:$I$89,3,0)*0.475*44/12</f>
        <v>1.8603003383994497E-6</v>
      </c>
      <c r="DI133" s="22">
        <f t="shared" si="123"/>
        <v>32.142210084050895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5.6843418860808015E-13</v>
      </c>
      <c r="O134" s="13">
        <f>N134*VLOOKUP('Données projet'!$B$9,Paramètres!$A$1:$I$89,3,0)*VLOOKUP('Données projet'!$B$9,Paramètres!$A$1:$I$89,5,0)</f>
        <v>3.177547114319168E-13</v>
      </c>
      <c r="P134" s="13">
        <f t="shared" si="141"/>
        <v>4.1725404435445377E-12</v>
      </c>
      <c r="Q134" s="20">
        <f t="shared" si="108"/>
        <v>7.820597394917325E-12</v>
      </c>
      <c r="R134" s="59">
        <f t="shared" si="109"/>
        <v>293.33333333334116</v>
      </c>
      <c r="S134" s="59">
        <f ca="1">AVERAGE(OFFSET($R$3,0,0,'Données projet'!$E$9+1,1))-AVERAGE(OFFSET($H$3,0,0,'Données projet'!$E$9+1,1))</f>
        <v>287.413090017863</v>
      </c>
      <c r="T134" s="59">
        <f t="shared" si="142"/>
        <v>258.48456031927117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68.942498476268256</v>
      </c>
      <c r="AA134" s="21">
        <f>EXP(-LN(2)/25)*AA133+(1-EXP(-LN(2)/25))/(LN(2)/25)*Calculateur!V134*Calculateur!X134*VLOOKUP('Données projet'!$B$9,Paramètres!$A$1:$I$89,3,0)*0.475*44/12</f>
        <v>14.145123909086806</v>
      </c>
      <c r="AB134" s="21">
        <f>EXP(-LN(2)/2)*AB133+(1-EXP(-LN(2)/2))/(LN(2)/2)*V134*Y134*VLOOKUP('Données projet'!$B$9,Paramètres!$A$1:$I$89,3,0)*0.475*44/12</f>
        <v>4.9723748365148679E-8</v>
      </c>
      <c r="AC134" s="22">
        <f t="shared" si="111"/>
        <v>83.087622435078814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9.0229999999999961</v>
      </c>
      <c r="AI134" s="13">
        <f>IF('Données projet'!$A$62&gt;35,AI133+AH134-AQ133,IF(A134&lt;'Données projet'!$A$62,$AF$205^A134,IF(A134='Données projet'!$A$62,'Données projet'!$B$62,AI133+AH134-AQ133)))</f>
        <v>457.21100000000081</v>
      </c>
      <c r="AJ134" s="13">
        <f>AI134*VLOOKUP('Données projet'!$B$10,Paramètres!$A$1:$I$89,3,0)*VLOOKUP('Données projet'!$B$10,Paramètres!$A$1:$I$89,5,0)</f>
        <v>413.68451280000073</v>
      </c>
      <c r="AK134" s="13">
        <f t="shared" si="143"/>
        <v>94.545535312483779</v>
      </c>
      <c r="AL134" s="20">
        <f t="shared" si="112"/>
        <v>885.16733379591051</v>
      </c>
      <c r="AM134" s="59">
        <f t="shared" si="113"/>
        <v>1178.5006671292438</v>
      </c>
      <c r="AN134" s="59">
        <f ca="1">AVERAGE(OFFSET($AM$3,0,0,'Données projet'!$E$10+1,1))-AVERAGE(OFFSET($H$3,0,0,'Données projet'!$E$10+1,1))</f>
        <v>422.10969295064359</v>
      </c>
      <c r="AO134" s="59">
        <f t="shared" si="144"/>
        <v>184.04075143033037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33.614537493327965</v>
      </c>
      <c r="AV134" s="21">
        <f>EXP(-LN(2)/25)*AV133+(1-EXP(-LN(2)/25))/(LN(2)/25)*Calculateur!AQ134*Calculateur!AS134*VLOOKUP('Données projet'!$B$10,Paramètres!$A$1:$I$89,3,0)*0.475*44/12</f>
        <v>20.170956652800196</v>
      </c>
      <c r="AW134" s="21">
        <f>EXP(-LN(2)/2)*AW133+(1-EXP(-LN(2)/2))/(LN(2)/2)*AQ134*AT134*VLOOKUP('Données projet'!$B$10,Paramètres!$A$1:$I$89,3,0)*0.475*44/12</f>
        <v>0.45130916515860553</v>
      </c>
      <c r="AX134" s="21">
        <f t="shared" si="114"/>
        <v>54.236803311286764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-9.1631591203622526E-14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217.61052961346684</v>
      </c>
      <c r="BJ134" s="59">
        <f t="shared" si="146"/>
        <v>180.77145728128608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61.344032330672057</v>
      </c>
      <c r="BQ134" s="21">
        <f>EXP(-LN(2)/25)*BQ133+(1-EXP(-LN(2)/25))/(LN(2)/25)*Calculateur!BL134*Calculateur!BN134*VLOOKUP('Données projet'!$B$11,Paramètres!$A$1:$I$89,3,0)*0.475*44/12</f>
        <v>14.658377232063275</v>
      </c>
      <c r="BR134" s="21">
        <f>EXP(-LN(2)/2)*BR133+(1-EXP(-LN(2)/2))/(LN(2)/2)*BL134*BO134*VLOOKUP('Données projet'!$B$11,Paramètres!$A$1:$I$89,3,0)*0.475*44/12</f>
        <v>1.3778738782859656E-6</v>
      </c>
      <c r="BS134" s="22">
        <f t="shared" si="117"/>
        <v>76.002410940609209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projet'!$B$12,Paramètres!$A$1:$I$89,3,0)*VLOOKUP('Données projet'!$B$12,Paramètres!$A$1:$I$89,5,0)</f>
        <v>4.7884896048344674E-14</v>
      </c>
      <c r="CA134" s="13">
        <f t="shared" si="147"/>
        <v>7.8374629847779921E-13</v>
      </c>
      <c r="CB134" s="20">
        <f t="shared" si="118"/>
        <v>1.4484243304663672E-12</v>
      </c>
      <c r="CC134" s="59">
        <f t="shared" si="119"/>
        <v>293.33333333333474</v>
      </c>
      <c r="CD134" s="59">
        <f ca="1">AVERAGE(OFFSET($CC$3,0,0,'Données projet'!$E$12+1,1))-AVERAGE(OFFSET($H$3,0,0,'Données projet'!$E$12+1,1))</f>
        <v>287.72859857368331</v>
      </c>
      <c r="CE134" s="59">
        <f t="shared" si="148"/>
        <v>179.60736986885922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74.568015505483132</v>
      </c>
      <c r="CL134" s="21">
        <f>EXP(-LN(2)/25)*CL133+(1-EXP(-LN(2)/25))/(LN(2)/25)*Calculateur!CG134*Calculateur!CI134*VLOOKUP('Données projet'!$B$12,Paramètres!$A$1:$I$89,3,0)*0.475*44/12</f>
        <v>13.98990963316427</v>
      </c>
      <c r="CM134" s="21">
        <f>EXP(-LN(2)/2)*CM133+(1-EXP(-LN(2)/2))/(LN(2)/2)*CG134*CJ134*VLOOKUP('Données projet'!$B$12,Paramètres!$A$1:$I$89,3,0)*0.475*44/12</f>
        <v>1.2814624686053209E-3</v>
      </c>
      <c r="CN134" s="22">
        <f t="shared" si="120"/>
        <v>88.559206601116017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243.33915530322201</v>
      </c>
      <c r="CZ134" s="59">
        <f t="shared" si="150"/>
        <v>247.73814704672577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18.932589257142656</v>
      </c>
      <c r="DG134" s="21">
        <f>EXP(-LN(2)/25)*DG133+(1-EXP(-LN(2)/25))/(LN(2)/25)*Calculateur!DB134*Calculateur!DD134*VLOOKUP('Données projet'!$B$13,Paramètres!$A$1:$I$89,3,0)*0.475*44/12</f>
        <v>12.480074071843854</v>
      </c>
      <c r="DH134" s="21">
        <f>EXP(-LN(2)/2)*DH133+(1-EXP(-LN(2)/2))/(LN(2)/2)*DB134*DE134*VLOOKUP('Données projet'!$B$13,Paramètres!$A$1:$I$89,3,0)*0.475*44/12</f>
        <v>1.3154309843258801E-6</v>
      </c>
      <c r="DI134" s="22">
        <f t="shared" si="123"/>
        <v>31.412664644417497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3.177547114319168E-13</v>
      </c>
      <c r="P135" s="13">
        <f t="shared" si="141"/>
        <v>4.1725404435445377E-12</v>
      </c>
      <c r="Q135" s="20">
        <f t="shared" si="108"/>
        <v>7.820597394917325E-12</v>
      </c>
      <c r="R135" s="59">
        <f t="shared" si="109"/>
        <v>293.33333333334116</v>
      </c>
      <c r="S135" s="59">
        <f ca="1">AVERAGE(OFFSET($R$3,0,0,'Données projet'!$E$9+1,1))-AVERAGE(OFFSET($H$3,0,0,'Données projet'!$E$9+1,1))</f>
        <v>287.413090017863</v>
      </c>
      <c r="T135" s="59">
        <f t="shared" si="142"/>
        <v>258.48456031927117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67.590578131920537</v>
      </c>
      <c r="AA135" s="21">
        <f>EXP(-LN(2)/25)*AA134+(1-EXP(-LN(2)/25))/(LN(2)/25)*Calculateur!V135*Calculateur!X135*VLOOKUP('Données projet'!$B$9,Paramètres!$A$1:$I$89,3,0)*0.475*44/12</f>
        <v>13.75832475193309</v>
      </c>
      <c r="AB135" s="21">
        <f>EXP(-LN(2)/2)*AB134+(1-EXP(-LN(2)/2))/(LN(2)/2)*V135*Y135*VLOOKUP('Données projet'!$B$9,Paramètres!$A$1:$I$89,3,0)*0.475*44/12</f>
        <v>3.5159999655010136E-8</v>
      </c>
      <c r="AC135" s="22">
        <f t="shared" si="111"/>
        <v>81.348902919013625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9.0229999999999961</v>
      </c>
      <c r="AI135" s="13">
        <f>IF('Données projet'!$A$62&gt;35,AI134+AH135-AQ134,IF(A135&lt;'Données projet'!$A$62,$AF$205^A135,IF(A135='Données projet'!$A$62,'Données projet'!$B$62,AI134+AH135-AQ134)))</f>
        <v>466.23400000000083</v>
      </c>
      <c r="AJ135" s="13">
        <f>AI135*VLOOKUP('Données projet'!$B$10,Paramètres!$A$1:$I$89,3,0)*VLOOKUP('Données projet'!$B$10,Paramètres!$A$1:$I$89,5,0)</f>
        <v>421.84852320000078</v>
      </c>
      <c r="AK135" s="13">
        <f t="shared" si="143"/>
        <v>96.192315164348642</v>
      </c>
      <c r="AL135" s="20">
        <f t="shared" si="112"/>
        <v>902.2544601512418</v>
      </c>
      <c r="AM135" s="59">
        <f t="shared" si="113"/>
        <v>1195.5877934845751</v>
      </c>
      <c r="AN135" s="59">
        <f ca="1">AVERAGE(OFFSET($AM$3,0,0,'Données projet'!$E$10+1,1))-AVERAGE(OFFSET($H$3,0,0,'Données projet'!$E$10+1,1))</f>
        <v>422.10969295064359</v>
      </c>
      <c r="AO135" s="59">
        <f t="shared" si="144"/>
        <v>184.04075143033037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32.955376915927189</v>
      </c>
      <c r="AV135" s="21">
        <f>EXP(-LN(2)/25)*AV134+(1-EXP(-LN(2)/25))/(LN(2)/25)*Calculateur!AQ135*Calculateur!AS135*VLOOKUP('Données projet'!$B$10,Paramètres!$A$1:$I$89,3,0)*0.475*44/12</f>
        <v>19.619380782384866</v>
      </c>
      <c r="AW135" s="21">
        <f>EXP(-LN(2)/2)*AW134+(1-EXP(-LN(2)/2))/(LN(2)/2)*AQ135*AT135*VLOOKUP('Données projet'!$B$10,Paramètres!$A$1:$I$89,3,0)*0.475*44/12</f>
        <v>0.31912377109528955</v>
      </c>
      <c r="AX135" s="21">
        <f t="shared" si="114"/>
        <v>52.893881469407347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-9.1631591203622526E-14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217.61052961346684</v>
      </c>
      <c r="BJ135" s="59">
        <f t="shared" si="146"/>
        <v>180.77145728128608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60.141113272832762</v>
      </c>
      <c r="BQ135" s="21">
        <f>EXP(-LN(2)/25)*BQ134+(1-EXP(-LN(2)/25))/(LN(2)/25)*Calculateur!BL135*Calculateur!BN135*VLOOKUP('Données projet'!$B$11,Paramètres!$A$1:$I$89,3,0)*0.475*44/12</f>
        <v>14.257543135801948</v>
      </c>
      <c r="BR135" s="21">
        <f>EXP(-LN(2)/2)*BR134+(1-EXP(-LN(2)/2))/(LN(2)/2)*BL135*BO135*VLOOKUP('Données projet'!$B$11,Paramètres!$A$1:$I$89,3,0)*0.475*44/12</f>
        <v>9.743039629558139E-7</v>
      </c>
      <c r="BS135" s="22">
        <f t="shared" si="117"/>
        <v>74.398657382938666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projet'!$B$12,Paramètres!$A$1:$I$89,3,0)*VLOOKUP('Données projet'!$B$12,Paramètres!$A$1:$I$89,5,0)</f>
        <v>4.7884896048344674E-14</v>
      </c>
      <c r="CA135" s="13">
        <f t="shared" si="147"/>
        <v>7.8374629847779921E-13</v>
      </c>
      <c r="CB135" s="20">
        <f t="shared" si="118"/>
        <v>1.4484243304663672E-12</v>
      </c>
      <c r="CC135" s="59">
        <f t="shared" si="119"/>
        <v>293.33333333333474</v>
      </c>
      <c r="CD135" s="59">
        <f ca="1">AVERAGE(OFFSET($CC$3,0,0,'Données projet'!$E$12+1,1))-AVERAGE(OFFSET($H$3,0,0,'Données projet'!$E$12+1,1))</f>
        <v>287.72859857368331</v>
      </c>
      <c r="CE135" s="59">
        <f t="shared" si="148"/>
        <v>179.60736986885922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73.105782203419096</v>
      </c>
      <c r="CL135" s="21">
        <f>EXP(-LN(2)/25)*CL134+(1-EXP(-LN(2)/25))/(LN(2)/25)*Calculateur!CG135*Calculateur!CI135*VLOOKUP('Données projet'!$B$12,Paramètres!$A$1:$I$89,3,0)*0.475*44/12</f>
        <v>13.60735481854802</v>
      </c>
      <c r="CM135" s="21">
        <f>EXP(-LN(2)/2)*CM134+(1-EXP(-LN(2)/2))/(LN(2)/2)*CG135*CJ135*VLOOKUP('Données projet'!$B$12,Paramètres!$A$1:$I$89,3,0)*0.475*44/12</f>
        <v>9.061308013868757E-4</v>
      </c>
      <c r="CN135" s="22">
        <f t="shared" si="120"/>
        <v>86.714043152768497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243.33915530322201</v>
      </c>
      <c r="CZ135" s="59">
        <f t="shared" si="150"/>
        <v>247.73814704672577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18.561332729549292</v>
      </c>
      <c r="DG135" s="21">
        <f>EXP(-LN(2)/25)*DG134+(1-EXP(-LN(2)/25))/(LN(2)/25)*Calculateur!DB135*Calculateur!DD135*VLOOKUP('Données projet'!$B$13,Paramètres!$A$1:$I$89,3,0)*0.475*44/12</f>
        <v>12.138805790050712</v>
      </c>
      <c r="DH135" s="21">
        <f>EXP(-LN(2)/2)*DH134+(1-EXP(-LN(2)/2))/(LN(2)/2)*DB135*DE135*VLOOKUP('Données projet'!$B$13,Paramètres!$A$1:$I$89,3,0)*0.475*44/12</f>
        <v>9.3015016919972505E-7</v>
      </c>
      <c r="DI135" s="22">
        <f t="shared" si="123"/>
        <v>30.700139449750171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3.177547114319168E-13</v>
      </c>
      <c r="P136" s="13">
        <f t="shared" si="141"/>
        <v>4.1725404435445377E-12</v>
      </c>
      <c r="Q136" s="20">
        <f t="shared" si="108"/>
        <v>7.820597394917325E-12</v>
      </c>
      <c r="R136" s="59">
        <f t="shared" si="109"/>
        <v>293.33333333334116</v>
      </c>
      <c r="S136" s="59">
        <f ca="1">AVERAGE(OFFSET($R$3,0,0,'Données projet'!$E$9+1,1))-AVERAGE(OFFSET($H$3,0,0,'Données projet'!$E$9+1,1))</f>
        <v>287.413090017863</v>
      </c>
      <c r="T136" s="59">
        <f t="shared" si="142"/>
        <v>258.48456031927117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66.265168120935485</v>
      </c>
      <c r="AA136" s="21">
        <f>EXP(-LN(2)/25)*AA135+(1-EXP(-LN(2)/25))/(LN(2)/25)*Calculateur!V136*Calculateur!X136*VLOOKUP('Données projet'!$B$9,Paramètres!$A$1:$I$89,3,0)*0.475*44/12</f>
        <v>13.382102638072626</v>
      </c>
      <c r="AB136" s="21">
        <f>EXP(-LN(2)/2)*AB135+(1-EXP(-LN(2)/2))/(LN(2)/2)*V136*Y136*VLOOKUP('Données projet'!$B$9,Paramètres!$A$1:$I$89,3,0)*0.475*44/12</f>
        <v>2.4861874182574339E-8</v>
      </c>
      <c r="AC136" s="22">
        <f t="shared" si="111"/>
        <v>79.647270783869985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9.0229999999999961</v>
      </c>
      <c r="AI136" s="13">
        <f>IF('Données projet'!$A$62&gt;35,AI135+AH136-AQ135,IF(A136&lt;'Données projet'!$A$62,$AF$205^A136,IF(A136='Données projet'!$A$62,'Données projet'!$B$62,AI135+AH136-AQ135)))</f>
        <v>475.25700000000086</v>
      </c>
      <c r="AJ136" s="13">
        <f>AI136*VLOOKUP('Données projet'!$B$10,Paramètres!$A$1:$I$89,3,0)*VLOOKUP('Données projet'!$B$10,Paramètres!$A$1:$I$89,5,0)</f>
        <v>430.01253360000078</v>
      </c>
      <c r="AK136" s="13">
        <f t="shared" si="143"/>
        <v>97.835389274652726</v>
      </c>
      <c r="AL136" s="20">
        <f t="shared" si="112"/>
        <v>919.33513234002146</v>
      </c>
      <c r="AM136" s="59">
        <f t="shared" si="113"/>
        <v>1212.6684656733548</v>
      </c>
      <c r="AN136" s="59">
        <f ca="1">AVERAGE(OFFSET($AM$3,0,0,'Données projet'!$E$10+1,1))-AVERAGE(OFFSET($H$3,0,0,'Données projet'!$E$10+1,1))</f>
        <v>422.10969295064359</v>
      </c>
      <c r="AO136" s="59">
        <f t="shared" si="144"/>
        <v>184.04075143033037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32.309142075400985</v>
      </c>
      <c r="AV136" s="21">
        <f>EXP(-LN(2)/25)*AV135+(1-EXP(-LN(2)/25))/(LN(2)/25)*Calculateur!AQ136*Calculateur!AS136*VLOOKUP('Données projet'!$B$10,Paramètres!$A$1:$I$89,3,0)*0.475*44/12</f>
        <v>19.082887783152156</v>
      </c>
      <c r="AW136" s="21">
        <f>EXP(-LN(2)/2)*AW135+(1-EXP(-LN(2)/2))/(LN(2)/2)*AQ136*AT136*VLOOKUP('Données projet'!$B$10,Paramètres!$A$1:$I$89,3,0)*0.475*44/12</f>
        <v>0.22565458257930279</v>
      </c>
      <c r="AX136" s="21">
        <f t="shared" si="114"/>
        <v>51.617684441132447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-9.1631591203622526E-14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217.61052961346684</v>
      </c>
      <c r="BJ136" s="59">
        <f t="shared" si="146"/>
        <v>180.77145728128608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58.961782724009517</v>
      </c>
      <c r="BQ136" s="21">
        <f>EXP(-LN(2)/25)*BQ135+(1-EXP(-LN(2)/25))/(LN(2)/25)*Calculateur!BL136*Calculateur!BN136*VLOOKUP('Données projet'!$B$11,Paramètres!$A$1:$I$89,3,0)*0.475*44/12</f>
        <v>13.867669868981835</v>
      </c>
      <c r="BR136" s="21">
        <f>EXP(-LN(2)/2)*BR135+(1-EXP(-LN(2)/2))/(LN(2)/2)*BL136*BO136*VLOOKUP('Données projet'!$B$11,Paramètres!$A$1:$I$89,3,0)*0.475*44/12</f>
        <v>6.889369391429828E-7</v>
      </c>
      <c r="BS136" s="22">
        <f t="shared" si="117"/>
        <v>72.829453281928281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projet'!$B$12,Paramètres!$A$1:$I$89,3,0)*VLOOKUP('Données projet'!$B$12,Paramètres!$A$1:$I$89,5,0)</f>
        <v>4.7884896048344674E-14</v>
      </c>
      <c r="CA136" s="13">
        <f t="shared" si="147"/>
        <v>7.8374629847779921E-13</v>
      </c>
      <c r="CB136" s="20">
        <f t="shared" si="118"/>
        <v>1.4484243304663672E-12</v>
      </c>
      <c r="CC136" s="59">
        <f t="shared" si="119"/>
        <v>293.33333333333474</v>
      </c>
      <c r="CD136" s="59">
        <f ca="1">AVERAGE(OFFSET($CC$3,0,0,'Données projet'!$E$12+1,1))-AVERAGE(OFFSET($H$3,0,0,'Données projet'!$E$12+1,1))</f>
        <v>287.72859857368331</v>
      </c>
      <c r="CE136" s="59">
        <f t="shared" si="148"/>
        <v>179.60736986885922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71.672222404534281</v>
      </c>
      <c r="CL136" s="21">
        <f>EXP(-LN(2)/25)*CL135+(1-EXP(-LN(2)/25))/(LN(2)/25)*Calculateur!CG136*Calculateur!CI136*VLOOKUP('Données projet'!$B$12,Paramètres!$A$1:$I$89,3,0)*0.475*44/12</f>
        <v>13.235260985455135</v>
      </c>
      <c r="CM136" s="21">
        <f>EXP(-LN(2)/2)*CM135+(1-EXP(-LN(2)/2))/(LN(2)/2)*CG136*CJ136*VLOOKUP('Données projet'!$B$12,Paramètres!$A$1:$I$89,3,0)*0.475*44/12</f>
        <v>6.4073123430266046E-4</v>
      </c>
      <c r="CN136" s="22">
        <f t="shared" si="120"/>
        <v>84.908124121223707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243.33915530322201</v>
      </c>
      <c r="CZ136" s="59">
        <f t="shared" si="150"/>
        <v>247.73814704672577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18.19735631601791</v>
      </c>
      <c r="DG136" s="21">
        <f>EXP(-LN(2)/25)*DG135+(1-EXP(-LN(2)/25))/(LN(2)/25)*Calculateur!DB136*Calculateur!DD136*VLOOKUP('Données projet'!$B$13,Paramètres!$A$1:$I$89,3,0)*0.475*44/12</f>
        <v>11.806869507369722</v>
      </c>
      <c r="DH136" s="21">
        <f>EXP(-LN(2)/2)*DH135+(1-EXP(-LN(2)/2))/(LN(2)/2)*DB136*DE136*VLOOKUP('Données projet'!$B$13,Paramètres!$A$1:$I$89,3,0)*0.475*44/12</f>
        <v>6.5771549216294018E-7</v>
      </c>
      <c r="DI136" s="22">
        <f t="shared" si="123"/>
        <v>30.004226481103125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3.177547114319168E-13</v>
      </c>
      <c r="P137" s="13">
        <f t="shared" si="141"/>
        <v>4.1725404435445377E-12</v>
      </c>
      <c r="Q137" s="20">
        <f t="shared" si="108"/>
        <v>7.820597394917325E-12</v>
      </c>
      <c r="R137" s="59">
        <f t="shared" si="109"/>
        <v>293.33333333334116</v>
      </c>
      <c r="S137" s="59">
        <f ca="1">AVERAGE(OFFSET($R$3,0,0,'Données projet'!$E$9+1,1))-AVERAGE(OFFSET($H$3,0,0,'Données projet'!$E$9+1,1))</f>
        <v>287.413090017863</v>
      </c>
      <c r="T137" s="59">
        <f t="shared" si="142"/>
        <v>258.48456031927117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64.965748591845568</v>
      </c>
      <c r="AA137" s="21">
        <f>EXP(-LN(2)/25)*AA136+(1-EXP(-LN(2)/25))/(LN(2)/25)*Calculateur!V137*Calculateur!X137*VLOOKUP('Données projet'!$B$9,Paramètres!$A$1:$I$89,3,0)*0.475*44/12</f>
        <v>13.016168337700337</v>
      </c>
      <c r="AB137" s="21">
        <f>EXP(-LN(2)/2)*AB136+(1-EXP(-LN(2)/2))/(LN(2)/2)*V137*Y137*VLOOKUP('Données projet'!$B$9,Paramètres!$A$1:$I$89,3,0)*0.475*44/12</f>
        <v>1.7579999827505068E-8</v>
      </c>
      <c r="AC137" s="22">
        <f t="shared" si="111"/>
        <v>77.98191694712591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9.0229999999999961</v>
      </c>
      <c r="AH137" s="12">
        <f t="array" ref="AH137">INDEX(AG:AG,MIN(IF(ISNUMBER(AG137:AG333),ROW(AG137:AG333),"")))</f>
        <v>9.0229999999999961</v>
      </c>
      <c r="AI137" s="13">
        <f>IF('Données projet'!$A$62&gt;35,AI136+AH137-AQ136,IF(A137&lt;'Données projet'!$A$62,$AF$205^A137,IF(A137='Données projet'!$A$62,'Données projet'!$B$62,AI136+AH137-AQ136)))</f>
        <v>484.28000000000088</v>
      </c>
      <c r="AJ137" s="13">
        <f>AI137*VLOOKUP('Données projet'!$B$10,Paramètres!$A$1:$I$89,3,0)*VLOOKUP('Données projet'!$B$10,Paramètres!$A$1:$I$89,5,0)</f>
        <v>438.17654400000077</v>
      </c>
      <c r="AK137" s="13">
        <f t="shared" si="143"/>
        <v>99.474836110972063</v>
      </c>
      <c r="AL137" s="20">
        <f t="shared" si="112"/>
        <v>936.40948702661092</v>
      </c>
      <c r="AM137" s="59">
        <f t="shared" si="113"/>
        <v>1229.7428203599443</v>
      </c>
      <c r="AN137" s="59">
        <f ca="1">AVERAGE(OFFSET($AM$3,0,0,'Données projet'!$E$10+1,1))-AVERAGE(OFFSET($H$3,0,0,'Données projet'!$E$10+1,1))</f>
        <v>422.10969295064359</v>
      </c>
      <c r="AO137" s="59">
        <f t="shared" si="144"/>
        <v>184.04075143033037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60.779999999999973</v>
      </c>
      <c r="AR137" s="16">
        <f>IF(ISNA(VLOOKUP(A137,'Données projet'!$A$61:$I$81,5,0)),0%,VLOOKUP(A137,'Données projet'!$A$61:$I$81,5,0)*VLOOKUP('Données projet'!$B$10,Paramètres!$A$1:$I$89,7,0))</f>
        <v>0.215</v>
      </c>
      <c r="AS137" s="16">
        <f>IF(ISNA(VLOOKUP(A137,'Données projet'!$A$61:$I$81,6,0)),0%,VLOOKUP(A137,'Données projet'!$A$61:$I$81,6,0)*VLOOKUP('Données projet'!$B$10,Paramètres!$A$1:$I$89,7,0))</f>
        <v>8.6000000000000007E-2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44.746279842031008</v>
      </c>
      <c r="AV137" s="21">
        <f>EXP(-LN(2)/25)*AV136+(1-EXP(-LN(2)/25))/(LN(2)/25)*Calculateur!AQ137*Calculateur!AS137*VLOOKUP('Données projet'!$B$10,Paramètres!$A$1:$I$89,3,0)*0.475*44/12</f>
        <v>23.768759616615345</v>
      </c>
      <c r="AW137" s="21">
        <f>EXP(-LN(2)/2)*AW136+(1-EXP(-LN(2)/2))/(LN(2)/2)*AQ137*AT137*VLOOKUP('Données projet'!$B$10,Paramètres!$A$1:$I$89,3,0)*0.475*44/12</f>
        <v>0.15956188554764478</v>
      </c>
      <c r="AX137" s="21">
        <f t="shared" si="114"/>
        <v>68.674601344194002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-9.1631591203622526E-14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217.61052961346684</v>
      </c>
      <c r="BJ137" s="59">
        <f t="shared" si="146"/>
        <v>180.77145728128608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57.805578127928086</v>
      </c>
      <c r="BQ137" s="21">
        <f>EXP(-LN(2)/25)*BQ136+(1-EXP(-LN(2)/25))/(LN(2)/25)*Calculateur!BL137*Calculateur!BN137*VLOOKUP('Données projet'!$B$11,Paramètres!$A$1:$I$89,3,0)*0.475*44/12</f>
        <v>13.488457707145464</v>
      </c>
      <c r="BR137" s="21">
        <f>EXP(-LN(2)/2)*BR136+(1-EXP(-LN(2)/2))/(LN(2)/2)*BL137*BO137*VLOOKUP('Données projet'!$B$11,Paramètres!$A$1:$I$89,3,0)*0.475*44/12</f>
        <v>4.8715198147790695E-7</v>
      </c>
      <c r="BS137" s="22">
        <f t="shared" si="117"/>
        <v>71.294036322225523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projet'!$B$12,Paramètres!$A$1:$I$89,3,0)*VLOOKUP('Données projet'!$B$12,Paramètres!$A$1:$I$89,5,0)</f>
        <v>4.7884896048344674E-14</v>
      </c>
      <c r="CA137" s="13">
        <f t="shared" si="147"/>
        <v>7.8374629847779921E-13</v>
      </c>
      <c r="CB137" s="20">
        <f t="shared" si="118"/>
        <v>1.4484243304663672E-12</v>
      </c>
      <c r="CC137" s="59">
        <f t="shared" si="119"/>
        <v>293.33333333333474</v>
      </c>
      <c r="CD137" s="59">
        <f ca="1">AVERAGE(OFFSET($CC$3,0,0,'Données projet'!$E$12+1,1))-AVERAGE(OFFSET($H$3,0,0,'Données projet'!$E$12+1,1))</f>
        <v>287.72859857368331</v>
      </c>
      <c r="CE137" s="59">
        <f t="shared" si="148"/>
        <v>179.60736986885922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70.266773838920457</v>
      </c>
      <c r="CL137" s="21">
        <f>EXP(-LN(2)/25)*CL136+(1-EXP(-LN(2)/25))/(LN(2)/25)*Calculateur!CG137*Calculateur!CI137*VLOOKUP('Données projet'!$B$12,Paramètres!$A$1:$I$89,3,0)*0.475*44/12</f>
        <v>12.873342077795739</v>
      </c>
      <c r="CM137" s="21">
        <f>EXP(-LN(2)/2)*CM136+(1-EXP(-LN(2)/2))/(LN(2)/2)*CG137*CJ137*VLOOKUP('Données projet'!$B$12,Paramètres!$A$1:$I$89,3,0)*0.475*44/12</f>
        <v>4.5306540069343785E-4</v>
      </c>
      <c r="CN137" s="22">
        <f t="shared" si="120"/>
        <v>83.140568982116889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243.33915530322201</v>
      </c>
      <c r="CZ137" s="59">
        <f t="shared" si="150"/>
        <v>247.73814704672577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17.840517257952186</v>
      </c>
      <c r="DG137" s="21">
        <f>EXP(-LN(2)/25)*DG136+(1-EXP(-LN(2)/25))/(LN(2)/25)*Calculateur!DB137*Calculateur!DD137*VLOOKUP('Données projet'!$B$13,Paramètres!$A$1:$I$89,3,0)*0.475*44/12</f>
        <v>11.484010039794414</v>
      </c>
      <c r="DH137" s="21">
        <f>EXP(-LN(2)/2)*DH136+(1-EXP(-LN(2)/2))/(LN(2)/2)*DB137*DE137*VLOOKUP('Données projet'!$B$13,Paramètres!$A$1:$I$89,3,0)*0.475*44/12</f>
        <v>4.6507508459986258E-7</v>
      </c>
      <c r="DI137" s="22">
        <f t="shared" si="123"/>
        <v>29.324527762821685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3.177547114319168E-13</v>
      </c>
      <c r="P138" s="13">
        <f t="shared" si="141"/>
        <v>4.1725404435445377E-12</v>
      </c>
      <c r="Q138" s="20">
        <f t="shared" si="108"/>
        <v>7.820597394917325E-12</v>
      </c>
      <c r="R138" s="59">
        <f t="shared" si="109"/>
        <v>293.33333333334116</v>
      </c>
      <c r="S138" s="59">
        <f ca="1">AVERAGE(OFFSET($R$3,0,0,'Données projet'!$E$9+1,1))-AVERAGE(OFFSET($H$3,0,0,'Données projet'!$E$9+1,1))</f>
        <v>287.413090017863</v>
      </c>
      <c r="T138" s="59">
        <f t="shared" si="142"/>
        <v>258.48456031927117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63.691809887153454</v>
      </c>
      <c r="AA138" s="21">
        <f>EXP(-LN(2)/25)*AA137+(1-EXP(-LN(2)/25))/(LN(2)/25)*Calculateur!V138*Calculateur!X138*VLOOKUP('Données projet'!$B$9,Paramètres!$A$1:$I$89,3,0)*0.475*44/12</f>
        <v>12.660240530015377</v>
      </c>
      <c r="AB138" s="21">
        <f>EXP(-LN(2)/2)*AB137+(1-EXP(-LN(2)/2))/(LN(2)/2)*V138*Y138*VLOOKUP('Données projet'!$B$9,Paramètres!$A$1:$I$89,3,0)*0.475*44/12</f>
        <v>1.243093709128717E-8</v>
      </c>
      <c r="AC138" s="22">
        <f t="shared" si="111"/>
        <v>76.352050429599757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9.1440000000000055</v>
      </c>
      <c r="AI138" s="13">
        <f>IF('Données projet'!$A$62&gt;35,AI137+AH138-AQ137,IF(A138&lt;'Données projet'!$A$62,$AF$205^A138,IF(A138='Données projet'!$A$62,'Données projet'!$B$62,AI137+AH138-AQ137)))</f>
        <v>432.64400000000091</v>
      </c>
      <c r="AJ138" s="13">
        <f>AI138*VLOOKUP('Données projet'!$B$10,Paramètres!$A$1:$I$89,3,0)*VLOOKUP('Données projet'!$B$10,Paramètres!$A$1:$I$89,5,0)</f>
        <v>391.45629120000086</v>
      </c>
      <c r="AK138" s="13">
        <f t="shared" si="143"/>
        <v>90.042388870129827</v>
      </c>
      <c r="AL138" s="20">
        <f t="shared" si="112"/>
        <v>838.6102011221443</v>
      </c>
      <c r="AM138" s="59">
        <f t="shared" si="113"/>
        <v>1131.9435344554777</v>
      </c>
      <c r="AN138" s="59">
        <f ca="1">AVERAGE(OFFSET($AM$3,0,0,'Données projet'!$E$10+1,1))-AVERAGE(OFFSET($H$3,0,0,'Données projet'!$E$10+1,1))</f>
        <v>422.10969295064359</v>
      </c>
      <c r="AO138" s="59">
        <f t="shared" si="144"/>
        <v>184.04075143033037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43.868832586864571</v>
      </c>
      <c r="AV138" s="21">
        <f>EXP(-LN(2)/25)*AV137+(1-EXP(-LN(2)/25))/(LN(2)/25)*Calculateur!AQ138*Calculateur!AS138*VLOOKUP('Données projet'!$B$10,Paramètres!$A$1:$I$89,3,0)*0.475*44/12</f>
        <v>23.118801634954256</v>
      </c>
      <c r="AW138" s="21">
        <f>EXP(-LN(2)/2)*AW137+(1-EXP(-LN(2)/2))/(LN(2)/2)*AQ138*AT138*VLOOKUP('Données projet'!$B$10,Paramètres!$A$1:$I$89,3,0)*0.475*44/12</f>
        <v>0.1128272912896514</v>
      </c>
      <c r="AX138" s="21">
        <f t="shared" si="114"/>
        <v>67.100461513108471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-9.1631591203622526E-14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217.61052961346684</v>
      </c>
      <c r="BJ138" s="59">
        <f t="shared" si="146"/>
        <v>180.77145728128608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56.672045998760645</v>
      </c>
      <c r="BQ138" s="21">
        <f>EXP(-LN(2)/25)*BQ137+(1-EXP(-LN(2)/25))/(LN(2)/25)*Calculateur!BL138*Calculateur!BN138*VLOOKUP('Données projet'!$B$11,Paramètres!$A$1:$I$89,3,0)*0.475*44/12</f>
        <v>13.119615121816409</v>
      </c>
      <c r="BR138" s="21">
        <f>EXP(-LN(2)/2)*BR137+(1-EXP(-LN(2)/2))/(LN(2)/2)*BL138*BO138*VLOOKUP('Données projet'!$B$11,Paramètres!$A$1:$I$89,3,0)*0.475*44/12</f>
        <v>3.444684695714914E-7</v>
      </c>
      <c r="BS138" s="22">
        <f t="shared" si="117"/>
        <v>69.791661465045536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projet'!$B$12,Paramètres!$A$1:$I$89,3,0)*VLOOKUP('Données projet'!$B$12,Paramètres!$A$1:$I$89,5,0)</f>
        <v>4.7884896048344674E-14</v>
      </c>
      <c r="CA138" s="13">
        <f t="shared" si="147"/>
        <v>7.8374629847779921E-13</v>
      </c>
      <c r="CB138" s="20">
        <f t="shared" si="118"/>
        <v>1.4484243304663672E-12</v>
      </c>
      <c r="CC138" s="59">
        <f t="shared" si="119"/>
        <v>293.33333333333474</v>
      </c>
      <c r="CD138" s="59">
        <f ca="1">AVERAGE(OFFSET($CC$3,0,0,'Données projet'!$E$12+1,1))-AVERAGE(OFFSET($H$3,0,0,'Données projet'!$E$12+1,1))</f>
        <v>287.72859857368331</v>
      </c>
      <c r="CE138" s="59">
        <f t="shared" si="148"/>
        <v>179.60736986885922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68.888885262439345</v>
      </c>
      <c r="CL138" s="21">
        <f>EXP(-LN(2)/25)*CL137+(1-EXP(-LN(2)/25))/(LN(2)/25)*Calculateur!CG138*Calculateur!CI138*VLOOKUP('Données projet'!$B$12,Paramètres!$A$1:$I$89,3,0)*0.475*44/12</f>
        <v>12.521319861698776</v>
      </c>
      <c r="CM138" s="21">
        <f>EXP(-LN(2)/2)*CM137+(1-EXP(-LN(2)/2))/(LN(2)/2)*CG138*CJ138*VLOOKUP('Données projet'!$B$12,Paramètres!$A$1:$I$89,3,0)*0.475*44/12</f>
        <v>3.2036561715133023E-4</v>
      </c>
      <c r="CN138" s="22">
        <f t="shared" si="120"/>
        <v>81.410525489755273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243.33915530322201</v>
      </c>
      <c r="CZ138" s="59">
        <f t="shared" si="150"/>
        <v>247.73814704672577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17.490675596164799</v>
      </c>
      <c r="DG138" s="21">
        <f>EXP(-LN(2)/25)*DG137+(1-EXP(-LN(2)/25))/(LN(2)/25)*Calculateur!DB138*Calculateur!DD138*VLOOKUP('Données projet'!$B$13,Paramètres!$A$1:$I$89,3,0)*0.475*44/12</f>
        <v>11.169979181338395</v>
      </c>
      <c r="DH138" s="21">
        <f>EXP(-LN(2)/2)*DH137+(1-EXP(-LN(2)/2))/(LN(2)/2)*DB138*DE138*VLOOKUP('Données projet'!$B$13,Paramètres!$A$1:$I$89,3,0)*0.475*44/12</f>
        <v>3.2885774608147014E-7</v>
      </c>
      <c r="DI138" s="22">
        <f t="shared" si="123"/>
        <v>28.660655106360938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3.177547114319168E-13</v>
      </c>
      <c r="P139" s="13">
        <f t="shared" si="141"/>
        <v>4.1725404435445377E-12</v>
      </c>
      <c r="Q139" s="20">
        <f t="shared" si="108"/>
        <v>7.820597394917325E-12</v>
      </c>
      <c r="R139" s="59">
        <f t="shared" si="109"/>
        <v>293.33333333334116</v>
      </c>
      <c r="S139" s="59">
        <f ca="1">AVERAGE(OFFSET($R$3,0,0,'Données projet'!$E$9+1,1))-AVERAGE(OFFSET($H$3,0,0,'Données projet'!$E$9+1,1))</f>
        <v>287.413090017863</v>
      </c>
      <c r="T139" s="59">
        <f t="shared" si="142"/>
        <v>258.48456031927117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62.442852343434467</v>
      </c>
      <c r="AA139" s="21">
        <f>EXP(-LN(2)/25)*AA138+(1-EXP(-LN(2)/25))/(LN(2)/25)*Calculateur!V139*Calculateur!X139*VLOOKUP('Données projet'!$B$9,Paramètres!$A$1:$I$89,3,0)*0.475*44/12</f>
        <v>12.314045586948993</v>
      </c>
      <c r="AB139" s="21">
        <f>EXP(-LN(2)/2)*AB138+(1-EXP(-LN(2)/2))/(LN(2)/2)*V139*Y139*VLOOKUP('Données projet'!$B$9,Paramètres!$A$1:$I$89,3,0)*0.475*44/12</f>
        <v>8.7899999137525341E-9</v>
      </c>
      <c r="AC139" s="22">
        <f t="shared" si="111"/>
        <v>74.756897939173456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9.1440000000000055</v>
      </c>
      <c r="AI139" s="13">
        <f>IF('Données projet'!$A$62&gt;35,AI138+AH139-AQ138,IF(A139&lt;'Données projet'!$A$62,$AF$205^A139,IF(A139='Données projet'!$A$62,'Données projet'!$B$62,AI138+AH139-AQ138)))</f>
        <v>441.78800000000092</v>
      </c>
      <c r="AJ139" s="13">
        <f>AI139*VLOOKUP('Données projet'!$B$10,Paramètres!$A$1:$I$89,3,0)*VLOOKUP('Données projet'!$B$10,Paramètres!$A$1:$I$89,5,0)</f>
        <v>399.72978240000077</v>
      </c>
      <c r="AK139" s="13">
        <f t="shared" si="143"/>
        <v>91.721880595341759</v>
      </c>
      <c r="AL139" s="20">
        <f t="shared" si="112"/>
        <v>855.94497971688827</v>
      </c>
      <c r="AM139" s="59">
        <f t="shared" si="113"/>
        <v>1149.2783130502216</v>
      </c>
      <c r="AN139" s="59">
        <f ca="1">AVERAGE(OFFSET($AM$3,0,0,'Données projet'!$E$10+1,1))-AVERAGE(OFFSET($H$3,0,0,'Données projet'!$E$10+1,1))</f>
        <v>422.10969295064359</v>
      </c>
      <c r="AO139" s="59">
        <f t="shared" si="144"/>
        <v>184.04075143033037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43.008591537181964</v>
      </c>
      <c r="AV139" s="21">
        <f>EXP(-LN(2)/25)*AV138+(1-EXP(-LN(2)/25))/(LN(2)/25)*Calculateur!AQ139*Calculateur!AS139*VLOOKUP('Données projet'!$B$10,Paramètres!$A$1:$I$89,3,0)*0.475*44/12</f>
        <v>22.486616788481491</v>
      </c>
      <c r="AW139" s="21">
        <f>EXP(-LN(2)/2)*AW138+(1-EXP(-LN(2)/2))/(LN(2)/2)*AQ139*AT139*VLOOKUP('Données projet'!$B$10,Paramètres!$A$1:$I$89,3,0)*0.475*44/12</f>
        <v>7.9780942773822389E-2</v>
      </c>
      <c r="AX139" s="21">
        <f t="shared" si="114"/>
        <v>65.574989268437278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-9.1631591203622526E-14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217.61052961346684</v>
      </c>
      <c r="BJ139" s="59">
        <f t="shared" si="146"/>
        <v>180.77145728128608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55.560741743259847</v>
      </c>
      <c r="BQ139" s="21">
        <f>EXP(-LN(2)/25)*BQ138+(1-EXP(-LN(2)/25))/(LN(2)/25)*Calculateur!BL139*Calculateur!BN139*VLOOKUP('Données projet'!$B$11,Paramètres!$A$1:$I$89,3,0)*0.475*44/12</f>
        <v>12.760858556379766</v>
      </c>
      <c r="BR139" s="21">
        <f>EXP(-LN(2)/2)*BR138+(1-EXP(-LN(2)/2))/(LN(2)/2)*BL139*BO139*VLOOKUP('Données projet'!$B$11,Paramètres!$A$1:$I$89,3,0)*0.475*44/12</f>
        <v>2.4357599073895348E-7</v>
      </c>
      <c r="BS139" s="22">
        <f t="shared" si="117"/>
        <v>68.321600543215609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projet'!$B$12,Paramètres!$A$1:$I$89,3,0)*VLOOKUP('Données projet'!$B$12,Paramètres!$A$1:$I$89,5,0)</f>
        <v>4.7884896048344674E-14</v>
      </c>
      <c r="CA139" s="13">
        <f t="shared" si="147"/>
        <v>7.8374629847779921E-13</v>
      </c>
      <c r="CB139" s="20">
        <f t="shared" si="118"/>
        <v>1.4484243304663672E-12</v>
      </c>
      <c r="CC139" s="59">
        <f t="shared" si="119"/>
        <v>293.33333333333474</v>
      </c>
      <c r="CD139" s="59">
        <f ca="1">AVERAGE(OFFSET($CC$3,0,0,'Données projet'!$E$12+1,1))-AVERAGE(OFFSET($H$3,0,0,'Données projet'!$E$12+1,1))</f>
        <v>287.72859857368331</v>
      </c>
      <c r="CE139" s="59">
        <f t="shared" si="148"/>
        <v>179.60736986885922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67.538016240513983</v>
      </c>
      <c r="CL139" s="21">
        <f>EXP(-LN(2)/25)*CL138+(1-EXP(-LN(2)/25))/(LN(2)/25)*Calculateur!CG139*Calculateur!CI139*VLOOKUP('Données projet'!$B$12,Paramètres!$A$1:$I$89,3,0)*0.475*44/12</f>
        <v>12.178923711613029</v>
      </c>
      <c r="CM139" s="21">
        <f>EXP(-LN(2)/2)*CM138+(1-EXP(-LN(2)/2))/(LN(2)/2)*CG139*CJ139*VLOOKUP('Données projet'!$B$12,Paramètres!$A$1:$I$89,3,0)*0.475*44/12</f>
        <v>2.2653270034671892E-4</v>
      </c>
      <c r="CN139" s="22">
        <f t="shared" si="120"/>
        <v>79.717166484827359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243.33915530322201</v>
      </c>
      <c r="CZ139" s="59">
        <f t="shared" si="150"/>
        <v>247.73814704672577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17.147694115982716</v>
      </c>
      <c r="DG139" s="21">
        <f>EXP(-LN(2)/25)*DG138+(1-EXP(-LN(2)/25))/(LN(2)/25)*Calculateur!DB139*Calculateur!DD139*VLOOKUP('Données projet'!$B$13,Paramètres!$A$1:$I$89,3,0)*0.475*44/12</f>
        <v>10.864535513221021</v>
      </c>
      <c r="DH139" s="21">
        <f>EXP(-LN(2)/2)*DH138+(1-EXP(-LN(2)/2))/(LN(2)/2)*DB139*DE139*VLOOKUP('Données projet'!$B$13,Paramètres!$A$1:$I$89,3,0)*0.475*44/12</f>
        <v>2.3253754229993132E-7</v>
      </c>
      <c r="DI139" s="22">
        <f t="shared" si="123"/>
        <v>28.012229861741279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3.177547114319168E-13</v>
      </c>
      <c r="P140" s="13">
        <f t="shared" si="141"/>
        <v>4.1725404435445377E-12</v>
      </c>
      <c r="Q140" s="20">
        <f t="shared" si="108"/>
        <v>7.820597394917325E-12</v>
      </c>
      <c r="R140" s="59">
        <f t="shared" si="109"/>
        <v>293.33333333334116</v>
      </c>
      <c r="S140" s="59">
        <f ca="1">AVERAGE(OFFSET($R$3,0,0,'Données projet'!$E$9+1,1))-AVERAGE(OFFSET($H$3,0,0,'Données projet'!$E$9+1,1))</f>
        <v>287.413090017863</v>
      </c>
      <c r="T140" s="59">
        <f t="shared" si="142"/>
        <v>258.48456031927117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61.21838609535893</v>
      </c>
      <c r="AA140" s="21">
        <f>EXP(-LN(2)/25)*AA139+(1-EXP(-LN(2)/25))/(LN(2)/25)*Calculateur!V140*Calculateur!X140*VLOOKUP('Données projet'!$B$9,Paramètres!$A$1:$I$89,3,0)*0.475*44/12</f>
        <v>11.977317362806359</v>
      </c>
      <c r="AB140" s="21">
        <f>EXP(-LN(2)/2)*AB139+(1-EXP(-LN(2)/2))/(LN(2)/2)*V140*Y140*VLOOKUP('Données projet'!$B$9,Paramètres!$A$1:$I$89,3,0)*0.475*44/12</f>
        <v>6.2154685456435849E-9</v>
      </c>
      <c r="AC140" s="22">
        <f t="shared" si="111"/>
        <v>73.195703464380756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9.1440000000000055</v>
      </c>
      <c r="AI140" s="13">
        <f>IF('Données projet'!$A$62&gt;35,AI139+AH140-AQ139,IF(A140&lt;'Données projet'!$A$62,$AF$205^A140,IF(A140='Données projet'!$A$62,'Données projet'!$B$62,AI139+AH140-AQ139)))</f>
        <v>450.93200000000093</v>
      </c>
      <c r="AJ140" s="13">
        <f>AI140*VLOOKUP('Données projet'!$B$10,Paramètres!$A$1:$I$89,3,0)*VLOOKUP('Données projet'!$B$10,Paramètres!$A$1:$I$89,5,0)</f>
        <v>408.00327360000085</v>
      </c>
      <c r="AK140" s="13">
        <f t="shared" si="143"/>
        <v>93.397330631669121</v>
      </c>
      <c r="AL140" s="20">
        <f t="shared" si="112"/>
        <v>873.27271903682515</v>
      </c>
      <c r="AM140" s="59">
        <f t="shared" si="113"/>
        <v>1166.6060523701585</v>
      </c>
      <c r="AN140" s="59">
        <f ca="1">AVERAGE(OFFSET($AM$3,0,0,'Données projet'!$E$10+1,1))-AVERAGE(OFFSET($H$3,0,0,'Données projet'!$E$10+1,1))</f>
        <v>422.10969295064359</v>
      </c>
      <c r="AO140" s="59">
        <f t="shared" si="144"/>
        <v>184.04075143033037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42.165219289788404</v>
      </c>
      <c r="AV140" s="21">
        <f>EXP(-LN(2)/25)*AV139+(1-EXP(-LN(2)/25))/(LN(2)/25)*Calculateur!AQ140*Calculateur!AS140*VLOOKUP('Données projet'!$B$10,Paramètres!$A$1:$I$89,3,0)*0.475*44/12</f>
        <v>21.871719069880683</v>
      </c>
      <c r="AW140" s="21">
        <f>EXP(-LN(2)/2)*AW139+(1-EXP(-LN(2)/2))/(LN(2)/2)*AQ140*AT140*VLOOKUP('Données projet'!$B$10,Paramètres!$A$1:$I$89,3,0)*0.475*44/12</f>
        <v>5.6413645644825698E-2</v>
      </c>
      <c r="AX140" s="21">
        <f t="shared" si="114"/>
        <v>64.093352005313903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-9.1631591203622526E-14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217.61052961346684</v>
      </c>
      <c r="BJ140" s="59">
        <f t="shared" si="146"/>
        <v>180.77145728128608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54.47122948638075</v>
      </c>
      <c r="BQ140" s="21">
        <f>EXP(-LN(2)/25)*BQ139+(1-EXP(-LN(2)/25))/(LN(2)/25)*Calculateur!BL140*Calculateur!BN140*VLOOKUP('Données projet'!$B$11,Paramètres!$A$1:$I$89,3,0)*0.475*44/12</f>
        <v>12.411912208091175</v>
      </c>
      <c r="BR140" s="21">
        <f>EXP(-LN(2)/2)*BR139+(1-EXP(-LN(2)/2))/(LN(2)/2)*BL140*BO140*VLOOKUP('Données projet'!$B$11,Paramètres!$A$1:$I$89,3,0)*0.475*44/12</f>
        <v>1.722342347857457E-7</v>
      </c>
      <c r="BS140" s="22">
        <f t="shared" si="117"/>
        <v>66.883141866706168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projet'!$B$12,Paramètres!$A$1:$I$89,3,0)*VLOOKUP('Données projet'!$B$12,Paramètres!$A$1:$I$89,5,0)</f>
        <v>4.7884896048344674E-14</v>
      </c>
      <c r="CA140" s="13">
        <f t="shared" si="147"/>
        <v>7.8374629847779921E-13</v>
      </c>
      <c r="CB140" s="20">
        <f t="shared" si="118"/>
        <v>1.4484243304663672E-12</v>
      </c>
      <c r="CC140" s="59">
        <f t="shared" si="119"/>
        <v>293.33333333333474</v>
      </c>
      <c r="CD140" s="59">
        <f ca="1">AVERAGE(OFFSET($CC$3,0,0,'Données projet'!$E$12+1,1))-AVERAGE(OFFSET($H$3,0,0,'Données projet'!$E$12+1,1))</f>
        <v>287.72859857368331</v>
      </c>
      <c r="CE140" s="59">
        <f t="shared" si="148"/>
        <v>179.60736986885922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66.21363693615983</v>
      </c>
      <c r="CL140" s="21">
        <f>EXP(-LN(2)/25)*CL139+(1-EXP(-LN(2)/25))/(LN(2)/25)*Calculateur!CG140*Calculateur!CI140*VLOOKUP('Données projet'!$B$12,Paramètres!$A$1:$I$89,3,0)*0.475*44/12</f>
        <v>11.845890402257208</v>
      </c>
      <c r="CM140" s="21">
        <f>EXP(-LN(2)/2)*CM139+(1-EXP(-LN(2)/2))/(LN(2)/2)*CG140*CJ140*VLOOKUP('Données projet'!$B$12,Paramètres!$A$1:$I$89,3,0)*0.475*44/12</f>
        <v>1.6018280857566511E-4</v>
      </c>
      <c r="CN140" s="22">
        <f t="shared" si="120"/>
        <v>78.059687521225612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243.33915530322201</v>
      </c>
      <c r="CZ140" s="59">
        <f t="shared" si="150"/>
        <v>247.73814704672577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16.81143829342896</v>
      </c>
      <c r="DG140" s="21">
        <f>EXP(-LN(2)/25)*DG139+(1-EXP(-LN(2)/25))/(LN(2)/25)*Calculateur!DB140*Calculateur!DD140*VLOOKUP('Données projet'!$B$13,Paramètres!$A$1:$I$89,3,0)*0.475*44/12</f>
        <v>10.567444218270902</v>
      </c>
      <c r="DH140" s="21">
        <f>EXP(-LN(2)/2)*DH139+(1-EXP(-LN(2)/2))/(LN(2)/2)*DB140*DE140*VLOOKUP('Données projet'!$B$13,Paramètres!$A$1:$I$89,3,0)*0.475*44/12</f>
        <v>1.6442887304073507E-7</v>
      </c>
      <c r="DI140" s="22">
        <f t="shared" si="123"/>
        <v>27.378882676128736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3.177547114319168E-13</v>
      </c>
      <c r="P141" s="13">
        <f t="shared" si="141"/>
        <v>4.1725404435445377E-12</v>
      </c>
      <c r="Q141" s="20">
        <f t="shared" si="108"/>
        <v>7.820597394917325E-12</v>
      </c>
      <c r="R141" s="59">
        <f t="shared" si="109"/>
        <v>293.33333333334116</v>
      </c>
      <c r="S141" s="59">
        <f ca="1">AVERAGE(OFFSET($R$3,0,0,'Données projet'!$E$9+1,1))-AVERAGE(OFFSET($H$3,0,0,'Données projet'!$E$9+1,1))</f>
        <v>287.413090017863</v>
      </c>
      <c r="T141" s="59">
        <f t="shared" si="142"/>
        <v>258.48456031927117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60.01793088355749</v>
      </c>
      <c r="AA141" s="21">
        <f>EXP(-LN(2)/25)*AA140+(1-EXP(-LN(2)/25))/(LN(2)/25)*Calculateur!V141*Calculateur!X141*VLOOKUP('Données projet'!$B$9,Paramètres!$A$1:$I$89,3,0)*0.475*44/12</f>
        <v>11.649796989660674</v>
      </c>
      <c r="AB141" s="21">
        <f>EXP(-LN(2)/2)*AB140+(1-EXP(-LN(2)/2))/(LN(2)/2)*V141*Y141*VLOOKUP('Données projet'!$B$9,Paramètres!$A$1:$I$89,3,0)*0.475*44/12</f>
        <v>4.394999956876267E-9</v>
      </c>
      <c r="AC141" s="22">
        <f t="shared" si="111"/>
        <v>71.667727877613174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9.1440000000000055</v>
      </c>
      <c r="AI141" s="13">
        <f>IF('Données projet'!$A$62&gt;35,AI140+AH141-AQ140,IF(A141&lt;'Données projet'!$A$62,$AF$205^A141,IF(A141='Données projet'!$A$62,'Données projet'!$B$62,AI140+AH141-AQ140)))</f>
        <v>460.07600000000093</v>
      </c>
      <c r="AJ141" s="13">
        <f>AI141*VLOOKUP('Données projet'!$B$10,Paramètres!$A$1:$I$89,3,0)*VLOOKUP('Données projet'!$B$10,Paramètres!$A$1:$I$89,5,0)</f>
        <v>416.27676480000082</v>
      </c>
      <c r="AK141" s="13">
        <f t="shared" si="143"/>
        <v>95.068830381071379</v>
      </c>
      <c r="AL141" s="20">
        <f t="shared" si="112"/>
        <v>890.5935782737007</v>
      </c>
      <c r="AM141" s="59">
        <f t="shared" si="113"/>
        <v>1183.9269116070341</v>
      </c>
      <c r="AN141" s="59">
        <f ca="1">AVERAGE(OFFSET($AM$3,0,0,'Données projet'!$E$10+1,1))-AVERAGE(OFFSET($H$3,0,0,'Données projet'!$E$10+1,1))</f>
        <v>422.10969295064359</v>
      </c>
      <c r="AO141" s="59">
        <f t="shared" si="144"/>
        <v>184.04075143033037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41.338385057759957</v>
      </c>
      <c r="AV141" s="21">
        <f>EXP(-LN(2)/25)*AV140+(1-EXP(-LN(2)/25))/(LN(2)/25)*Calculateur!AQ141*Calculateur!AS141*VLOOKUP('Données projet'!$B$10,Paramètres!$A$1:$I$89,3,0)*0.475*44/12</f>
        <v>21.273635761731079</v>
      </c>
      <c r="AW141" s="21">
        <f>EXP(-LN(2)/2)*AW140+(1-EXP(-LN(2)/2))/(LN(2)/2)*AQ141*AT141*VLOOKUP('Données projet'!$B$10,Paramètres!$A$1:$I$89,3,0)*0.475*44/12</f>
        <v>3.9890471386911194E-2</v>
      </c>
      <c r="AX141" s="21">
        <f t="shared" si="114"/>
        <v>62.651911290877948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-9.1631591203622526E-14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217.61052961346684</v>
      </c>
      <c r="BJ141" s="59">
        <f t="shared" si="146"/>
        <v>180.77145728128608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53.403081900322199</v>
      </c>
      <c r="BQ141" s="21">
        <f>EXP(-LN(2)/25)*BQ140+(1-EXP(-LN(2)/25))/(LN(2)/25)*Calculateur!BL141*Calculateur!BN141*VLOOKUP('Données projet'!$B$11,Paramètres!$A$1:$I$89,3,0)*0.475*44/12</f>
        <v>12.072507816046826</v>
      </c>
      <c r="BR141" s="21">
        <f>EXP(-LN(2)/2)*BR140+(1-EXP(-LN(2)/2))/(LN(2)/2)*BL141*BO141*VLOOKUP('Données projet'!$B$11,Paramètres!$A$1:$I$89,3,0)*0.475*44/12</f>
        <v>1.2178799536947674E-7</v>
      </c>
      <c r="BS141" s="22">
        <f t="shared" si="117"/>
        <v>65.47558983815702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projet'!$B$12,Paramètres!$A$1:$I$89,3,0)*VLOOKUP('Données projet'!$B$12,Paramètres!$A$1:$I$89,5,0)</f>
        <v>4.7884896048344674E-14</v>
      </c>
      <c r="CA141" s="13">
        <f t="shared" si="147"/>
        <v>7.8374629847779921E-13</v>
      </c>
      <c r="CB141" s="20">
        <f t="shared" si="118"/>
        <v>1.4484243304663672E-12</v>
      </c>
      <c r="CC141" s="59">
        <f t="shared" si="119"/>
        <v>293.33333333333474</v>
      </c>
      <c r="CD141" s="59">
        <f ca="1">AVERAGE(OFFSET($CC$3,0,0,'Données projet'!$E$12+1,1))-AVERAGE(OFFSET($H$3,0,0,'Données projet'!$E$12+1,1))</f>
        <v>287.72859857368331</v>
      </c>
      <c r="CE141" s="59">
        <f t="shared" si="148"/>
        <v>179.60736986885922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64.915227902172447</v>
      </c>
      <c r="CL141" s="21">
        <f>EXP(-LN(2)/25)*CL140+(1-EXP(-LN(2)/25))/(LN(2)/25)*Calculateur!CG141*Calculateur!CI141*VLOOKUP('Données projet'!$B$12,Paramètres!$A$1:$I$89,3,0)*0.475*44/12</f>
        <v>11.521963906259183</v>
      </c>
      <c r="CM141" s="21">
        <f>EXP(-LN(2)/2)*CM140+(1-EXP(-LN(2)/2))/(LN(2)/2)*CG141*CJ141*VLOOKUP('Données projet'!$B$12,Paramètres!$A$1:$I$89,3,0)*0.475*44/12</f>
        <v>1.1326635017335946E-4</v>
      </c>
      <c r="CN141" s="22">
        <f t="shared" si="120"/>
        <v>76.437305074781804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243.33915530322201</v>
      </c>
      <c r="CZ141" s="59">
        <f t="shared" si="150"/>
        <v>247.73814704672577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16.481776242459681</v>
      </c>
      <c r="DG141" s="21">
        <f>EXP(-LN(2)/25)*DG140+(1-EXP(-LN(2)/25))/(LN(2)/25)*Calculateur!DB141*Calculateur!DD141*VLOOKUP('Données projet'!$B$13,Paramètres!$A$1:$I$89,3,0)*0.475*44/12</f>
        <v>10.278476900404545</v>
      </c>
      <c r="DH141" s="21">
        <f>EXP(-LN(2)/2)*DH140+(1-EXP(-LN(2)/2))/(LN(2)/2)*DB141*DE141*VLOOKUP('Données projet'!$B$13,Paramètres!$A$1:$I$89,3,0)*0.475*44/12</f>
        <v>1.1626877114996566E-7</v>
      </c>
      <c r="DI141" s="22">
        <f t="shared" si="123"/>
        <v>26.760253259132998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3.177547114319168E-13</v>
      </c>
      <c r="P142" s="13">
        <f t="shared" si="141"/>
        <v>4.1725404435445377E-12</v>
      </c>
      <c r="Q142" s="20">
        <f t="shared" si="108"/>
        <v>7.820597394917325E-12</v>
      </c>
      <c r="R142" s="59">
        <f t="shared" si="109"/>
        <v>293.33333333334116</v>
      </c>
      <c r="S142" s="59">
        <f ca="1">AVERAGE(OFFSET($R$3,0,0,'Données projet'!$E$9+1,1))-AVERAGE(OFFSET($H$3,0,0,'Données projet'!$E$9+1,1))</f>
        <v>287.413090017863</v>
      </c>
      <c r="T142" s="59">
        <f t="shared" si="142"/>
        <v>258.48456031927117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58.841015866254097</v>
      </c>
      <c r="AA142" s="21">
        <f>EXP(-LN(2)/25)*AA141+(1-EXP(-LN(2)/25))/(LN(2)/25)*Calculateur!V142*Calculateur!X142*VLOOKUP('Données projet'!$B$9,Paramètres!$A$1:$I$89,3,0)*0.475*44/12</f>
        <v>11.331232678342205</v>
      </c>
      <c r="AB142" s="21">
        <f>EXP(-LN(2)/2)*AB141+(1-EXP(-LN(2)/2))/(LN(2)/2)*V142*Y142*VLOOKUP('Données projet'!$B$9,Paramètres!$A$1:$I$89,3,0)*0.475*44/12</f>
        <v>3.1077342728217924E-9</v>
      </c>
      <c r="AC142" s="22">
        <f t="shared" si="111"/>
        <v>70.172248547704029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9.1440000000000055</v>
      </c>
      <c r="AI142" s="13">
        <f>IF('Données projet'!$A$62&gt;35,AI141+AH142-AQ141,IF(A142&lt;'Données projet'!$A$62,$AF$205^A142,IF(A142='Données projet'!$A$62,'Données projet'!$B$62,AI141+AH142-AQ141)))</f>
        <v>469.22000000000094</v>
      </c>
      <c r="AJ142" s="13">
        <f>AI142*VLOOKUP('Données projet'!$B$10,Paramètres!$A$1:$I$89,3,0)*VLOOKUP('Données projet'!$B$10,Paramètres!$A$1:$I$89,5,0)</f>
        <v>424.55025600000084</v>
      </c>
      <c r="AK142" s="13">
        <f t="shared" si="143"/>
        <v>96.736467404516418</v>
      </c>
      <c r="AL142" s="20">
        <f t="shared" si="112"/>
        <v>907.90770992953412</v>
      </c>
      <c r="AM142" s="59">
        <f t="shared" si="113"/>
        <v>1201.2410432628674</v>
      </c>
      <c r="AN142" s="59">
        <f ca="1">AVERAGE(OFFSET($AM$3,0,0,'Données projet'!$E$10+1,1))-AVERAGE(OFFSET($H$3,0,0,'Données projet'!$E$10+1,1))</f>
        <v>422.10969295064359</v>
      </c>
      <c r="AO142" s="59">
        <f t="shared" si="144"/>
        <v>184.04075143033037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40.527764540702499</v>
      </c>
      <c r="AV142" s="21">
        <f>EXP(-LN(2)/25)*AV141+(1-EXP(-LN(2)/25))/(LN(2)/25)*Calculateur!AQ142*Calculateur!AS142*VLOOKUP('Données projet'!$B$10,Paramètres!$A$1:$I$89,3,0)*0.475*44/12</f>
        <v>20.691907073094658</v>
      </c>
      <c r="AW142" s="21">
        <f>EXP(-LN(2)/2)*AW141+(1-EXP(-LN(2)/2))/(LN(2)/2)*AQ142*AT142*VLOOKUP('Données projet'!$B$10,Paramètres!$A$1:$I$89,3,0)*0.475*44/12</f>
        <v>2.8206822822412849E-2</v>
      </c>
      <c r="AX142" s="21">
        <f t="shared" si="114"/>
        <v>61.247878436619573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-9.1631591203622526E-14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217.61052961346684</v>
      </c>
      <c r="BJ142" s="59">
        <f t="shared" si="146"/>
        <v>180.77145728128608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52.35588003692056</v>
      </c>
      <c r="BQ142" s="21">
        <f>EXP(-LN(2)/25)*BQ141+(1-EXP(-LN(2)/25))/(LN(2)/25)*Calculateur!BL142*Calculateur!BN142*VLOOKUP('Données projet'!$B$11,Paramètres!$A$1:$I$89,3,0)*0.475*44/12</f>
        <v>11.742384454951432</v>
      </c>
      <c r="BR142" s="21">
        <f>EXP(-LN(2)/2)*BR141+(1-EXP(-LN(2)/2))/(LN(2)/2)*BL142*BO142*VLOOKUP('Données projet'!$B$11,Paramètres!$A$1:$I$89,3,0)*0.475*44/12</f>
        <v>8.611711739287285E-8</v>
      </c>
      <c r="BS142" s="22">
        <f t="shared" si="117"/>
        <v>64.098264577989099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projet'!$B$12,Paramètres!$A$1:$I$89,3,0)*VLOOKUP('Données projet'!$B$12,Paramètres!$A$1:$I$89,5,0)</f>
        <v>4.7884896048344674E-14</v>
      </c>
      <c r="CA142" s="13">
        <f t="shared" si="147"/>
        <v>7.8374629847779921E-13</v>
      </c>
      <c r="CB142" s="20">
        <f t="shared" si="118"/>
        <v>1.4484243304663672E-12</v>
      </c>
      <c r="CC142" s="59">
        <f t="shared" si="119"/>
        <v>293.33333333333474</v>
      </c>
      <c r="CD142" s="59">
        <f ca="1">AVERAGE(OFFSET($CC$3,0,0,'Données projet'!$E$12+1,1))-AVERAGE(OFFSET($H$3,0,0,'Données projet'!$E$12+1,1))</f>
        <v>287.72859857368331</v>
      </c>
      <c r="CE142" s="59">
        <f t="shared" si="148"/>
        <v>179.60736986885922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63.642279877390244</v>
      </c>
      <c r="CL142" s="21">
        <f>EXP(-LN(2)/25)*CL141+(1-EXP(-LN(2)/25))/(LN(2)/25)*Calculateur!CG142*Calculateur!CI142*VLOOKUP('Données projet'!$B$12,Paramètres!$A$1:$I$89,3,0)*0.475*44/12</f>
        <v>11.206895197328777</v>
      </c>
      <c r="CM142" s="21">
        <f>EXP(-LN(2)/2)*CM141+(1-EXP(-LN(2)/2))/(LN(2)/2)*CG142*CJ142*VLOOKUP('Données projet'!$B$12,Paramètres!$A$1:$I$89,3,0)*0.475*44/12</f>
        <v>8.0091404287832557E-5</v>
      </c>
      <c r="CN142" s="22">
        <f t="shared" si="120"/>
        <v>74.849255166123314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243.33915530322201</v>
      </c>
      <c r="CZ142" s="59">
        <f t="shared" si="150"/>
        <v>247.73814704672577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16.158578663235915</v>
      </c>
      <c r="DG142" s="21">
        <f>EXP(-LN(2)/25)*DG141+(1-EXP(-LN(2)/25))/(LN(2)/25)*Calculateur!DB142*Calculateur!DD142*VLOOKUP('Données projet'!$B$13,Paramètres!$A$1:$I$89,3,0)*0.475*44/12</f>
        <v>9.9974114090413746</v>
      </c>
      <c r="DH142" s="21">
        <f>EXP(-LN(2)/2)*DH141+(1-EXP(-LN(2)/2))/(LN(2)/2)*DB142*DE142*VLOOKUP('Données projet'!$B$13,Paramètres!$A$1:$I$89,3,0)*0.475*44/12</f>
        <v>8.2214436520367535E-8</v>
      </c>
      <c r="DI142" s="22">
        <f t="shared" si="123"/>
        <v>26.155990154491729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3.177547114319168E-13</v>
      </c>
      <c r="P143" s="13">
        <f t="shared" si="141"/>
        <v>4.1725404435445377E-12</v>
      </c>
      <c r="Q143" s="20">
        <f t="shared" si="108"/>
        <v>7.820597394917325E-12</v>
      </c>
      <c r="R143" s="59">
        <f t="shared" si="109"/>
        <v>293.33333333334116</v>
      </c>
      <c r="S143" s="59">
        <f ca="1">AVERAGE(OFFSET($R$3,0,0,'Données projet'!$E$9+1,1))-AVERAGE(OFFSET($H$3,0,0,'Données projet'!$E$9+1,1))</f>
        <v>287.413090017863</v>
      </c>
      <c r="T143" s="59">
        <f t="shared" si="142"/>
        <v>258.48456031927117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57.687179434592743</v>
      </c>
      <c r="AA143" s="21">
        <f>EXP(-LN(2)/25)*AA142+(1-EXP(-LN(2)/25))/(LN(2)/25)*Calculateur!V143*Calculateur!X143*VLOOKUP('Données projet'!$B$9,Paramètres!$A$1:$I$89,3,0)*0.475*44/12</f>
        <v>11.021379524869308</v>
      </c>
      <c r="AB143" s="21">
        <f>EXP(-LN(2)/2)*AB142+(1-EXP(-LN(2)/2))/(LN(2)/2)*V143*Y143*VLOOKUP('Données projet'!$B$9,Paramètres!$A$1:$I$89,3,0)*0.475*44/12</f>
        <v>2.1974999784381335E-9</v>
      </c>
      <c r="AC143" s="22">
        <f t="shared" si="111"/>
        <v>68.708558961659548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9.1440000000000055</v>
      </c>
      <c r="AI143" s="13">
        <f>IF('Données projet'!$A$62&gt;35,AI142+AH143-AQ142,IF(A143&lt;'Données projet'!$A$62,$AF$205^A143,IF(A143='Données projet'!$A$62,'Données projet'!$B$62,AI142+AH143-AQ142)))</f>
        <v>478.36400000000094</v>
      </c>
      <c r="AJ143" s="13">
        <f>AI143*VLOOKUP('Données projet'!$B$10,Paramètres!$A$1:$I$89,3,0)*VLOOKUP('Données projet'!$B$10,Paramètres!$A$1:$I$89,5,0)</f>
        <v>432.82374720000081</v>
      </c>
      <c r="AK143" s="13">
        <f t="shared" si="143"/>
        <v>98.400325655042849</v>
      </c>
      <c r="AL143" s="20">
        <f t="shared" si="112"/>
        <v>925.21526022253431</v>
      </c>
      <c r="AM143" s="59">
        <f t="shared" si="113"/>
        <v>1218.5485935558677</v>
      </c>
      <c r="AN143" s="59">
        <f ca="1">AVERAGE(OFFSET($AM$3,0,0,'Données projet'!$E$10+1,1))-AVERAGE(OFFSET($H$3,0,0,'Données projet'!$E$10+1,1))</f>
        <v>422.10969295064359</v>
      </c>
      <c r="AO143" s="59">
        <f t="shared" si="144"/>
        <v>184.04075143033037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39.733039797554845</v>
      </c>
      <c r="AV143" s="21">
        <f>EXP(-LN(2)/25)*AV142+(1-EXP(-LN(2)/25))/(LN(2)/25)*Calculateur!AQ143*Calculateur!AS143*VLOOKUP('Données projet'!$B$10,Paramètres!$A$1:$I$89,3,0)*0.475*44/12</f>
        <v>20.126085786040782</v>
      </c>
      <c r="AW143" s="21">
        <f>EXP(-LN(2)/2)*AW142+(1-EXP(-LN(2)/2))/(LN(2)/2)*AQ143*AT143*VLOOKUP('Données projet'!$B$10,Paramètres!$A$1:$I$89,3,0)*0.475*44/12</f>
        <v>1.9945235693455597E-2</v>
      </c>
      <c r="AX143" s="21">
        <f t="shared" si="114"/>
        <v>59.879070819289083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-9.1631591203622526E-14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217.61052961346684</v>
      </c>
      <c r="BJ143" s="59">
        <f t="shared" si="146"/>
        <v>180.77145728128608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51.329213163330159</v>
      </c>
      <c r="BQ143" s="21">
        <f>EXP(-LN(2)/25)*BQ142+(1-EXP(-LN(2)/25))/(LN(2)/25)*Calculateur!BL143*Calculateur!BN143*VLOOKUP('Données projet'!$B$11,Paramètres!$A$1:$I$89,3,0)*0.475*44/12</f>
        <v>11.421288334525624</v>
      </c>
      <c r="BR143" s="21">
        <f>EXP(-LN(2)/2)*BR142+(1-EXP(-LN(2)/2))/(LN(2)/2)*BL143*BO143*VLOOKUP('Données projet'!$B$11,Paramètres!$A$1:$I$89,3,0)*0.475*44/12</f>
        <v>6.0893997684738369E-8</v>
      </c>
      <c r="BS143" s="22">
        <f t="shared" si="117"/>
        <v>62.750501558749775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projet'!$B$12,Paramètres!$A$1:$I$89,3,0)*VLOOKUP('Données projet'!$B$12,Paramètres!$A$1:$I$89,5,0)</f>
        <v>4.7884896048344674E-14</v>
      </c>
      <c r="CA143" s="13">
        <f t="shared" si="147"/>
        <v>7.8374629847779921E-13</v>
      </c>
      <c r="CB143" s="20">
        <f t="shared" si="118"/>
        <v>1.4484243304663672E-12</v>
      </c>
      <c r="CC143" s="59">
        <f t="shared" si="119"/>
        <v>293.33333333333474</v>
      </c>
      <c r="CD143" s="59">
        <f ca="1">AVERAGE(OFFSET($CC$3,0,0,'Données projet'!$E$12+1,1))-AVERAGE(OFFSET($H$3,0,0,'Données projet'!$E$12+1,1))</f>
        <v>287.72859857368331</v>
      </c>
      <c r="CE143" s="59">
        <f t="shared" si="148"/>
        <v>179.60736986885922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62.394293586952394</v>
      </c>
      <c r="CL143" s="21">
        <f>EXP(-LN(2)/25)*CL142+(1-EXP(-LN(2)/25))/(LN(2)/25)*Calculateur!CG143*Calculateur!CI143*VLOOKUP('Données projet'!$B$12,Paramètres!$A$1:$I$89,3,0)*0.475*44/12</f>
        <v>10.900442058812816</v>
      </c>
      <c r="CM143" s="21">
        <f>EXP(-LN(2)/2)*CM142+(1-EXP(-LN(2)/2))/(LN(2)/2)*CG143*CJ143*VLOOKUP('Données projet'!$B$12,Paramètres!$A$1:$I$89,3,0)*0.475*44/12</f>
        <v>5.6633175086679731E-5</v>
      </c>
      <c r="CN143" s="22">
        <f t="shared" si="120"/>
        <v>73.294792278940307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243.33915530322201</v>
      </c>
      <c r="CZ143" s="59">
        <f t="shared" si="150"/>
        <v>247.73814704672577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15.841718791409667</v>
      </c>
      <c r="DG143" s="21">
        <f>EXP(-LN(2)/25)*DG142+(1-EXP(-LN(2)/25))/(LN(2)/25)*Calculateur!DB143*Calculateur!DD143*VLOOKUP('Données projet'!$B$13,Paramètres!$A$1:$I$89,3,0)*0.475*44/12</f>
        <v>9.7240316683201211</v>
      </c>
      <c r="DH143" s="21">
        <f>EXP(-LN(2)/2)*DH142+(1-EXP(-LN(2)/2))/(LN(2)/2)*DB143*DE143*VLOOKUP('Données projet'!$B$13,Paramètres!$A$1:$I$89,3,0)*0.475*44/12</f>
        <v>5.8134385574982829E-8</v>
      </c>
      <c r="DI143" s="22">
        <f t="shared" si="123"/>
        <v>25.565750517864174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3.177547114319168E-13</v>
      </c>
      <c r="P144" s="13">
        <f t="shared" si="141"/>
        <v>4.1725404435445377E-12</v>
      </c>
      <c r="Q144" s="20">
        <f t="shared" si="108"/>
        <v>7.820597394917325E-12</v>
      </c>
      <c r="R144" s="59">
        <f t="shared" si="109"/>
        <v>293.33333333334116</v>
      </c>
      <c r="S144" s="59">
        <f ca="1">AVERAGE(OFFSET($R$3,0,0,'Données projet'!$E$9+1,1))-AVERAGE(OFFSET($H$3,0,0,'Données projet'!$E$9+1,1))</f>
        <v>287.413090017863</v>
      </c>
      <c r="T144" s="59">
        <f t="shared" si="142"/>
        <v>258.48456031927117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56.555969031585533</v>
      </c>
      <c r="AA144" s="21">
        <f>EXP(-LN(2)/25)*AA143+(1-EXP(-LN(2)/25))/(LN(2)/25)*Calculateur!V144*Calculateur!X144*VLOOKUP('Données projet'!$B$9,Paramètres!$A$1:$I$89,3,0)*0.475*44/12</f>
        <v>10.719999322172598</v>
      </c>
      <c r="AB144" s="21">
        <f>EXP(-LN(2)/2)*AB143+(1-EXP(-LN(2)/2))/(LN(2)/2)*V144*Y144*VLOOKUP('Données projet'!$B$9,Paramètres!$A$1:$I$89,3,0)*0.475*44/12</f>
        <v>1.5538671364108962E-9</v>
      </c>
      <c r="AC144" s="22">
        <f t="shared" si="111"/>
        <v>67.275968355312003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9.1440000000000055</v>
      </c>
      <c r="AI144" s="13">
        <f>IF('Données projet'!$A$62&gt;35,AI143+AH144-AQ143,IF(A144&lt;'Données projet'!$A$62,$AF$205^A144,IF(A144='Données projet'!$A$62,'Données projet'!$B$62,AI143+AH144-AQ143)))</f>
        <v>487.50800000000095</v>
      </c>
      <c r="AJ144" s="13">
        <f>AI144*VLOOKUP('Données projet'!$B$10,Paramètres!$A$1:$I$89,3,0)*VLOOKUP('Données projet'!$B$10,Paramètres!$A$1:$I$89,5,0)</f>
        <v>441.09723840000083</v>
      </c>
      <c r="AK144" s="13">
        <f t="shared" si="143"/>
        <v>100.06048569250036</v>
      </c>
      <c r="AL144" s="20">
        <f t="shared" si="112"/>
        <v>942.51636946110614</v>
      </c>
      <c r="AM144" s="59">
        <f t="shared" si="113"/>
        <v>1235.8497027944395</v>
      </c>
      <c r="AN144" s="59">
        <f ca="1">AVERAGE(OFFSET($AM$3,0,0,'Données projet'!$E$10+1,1))-AVERAGE(OFFSET($H$3,0,0,'Données projet'!$E$10+1,1))</f>
        <v>422.10969295064359</v>
      </c>
      <c r="AO144" s="59">
        <f t="shared" si="144"/>
        <v>184.04075143033037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38.953899121886089</v>
      </c>
      <c r="AV144" s="21">
        <f>EXP(-LN(2)/25)*AV143+(1-EXP(-LN(2)/25))/(LN(2)/25)*Calculateur!AQ144*Calculateur!AS144*VLOOKUP('Données projet'!$B$10,Paramètres!$A$1:$I$89,3,0)*0.475*44/12</f>
        <v>19.575736911836646</v>
      </c>
      <c r="AW144" s="21">
        <f>EXP(-LN(2)/2)*AW143+(1-EXP(-LN(2)/2))/(LN(2)/2)*AQ144*AT144*VLOOKUP('Données projet'!$B$10,Paramètres!$A$1:$I$89,3,0)*0.475*44/12</f>
        <v>1.4103411411206425E-2</v>
      </c>
      <c r="AX144" s="21">
        <f t="shared" si="114"/>
        <v>58.543739445133944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-9.1631591203622526E-14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217.61052961346684</v>
      </c>
      <c r="BJ144" s="59">
        <f t="shared" si="146"/>
        <v>180.77145728128608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50.322678600925904</v>
      </c>
      <c r="BQ144" s="21">
        <f>EXP(-LN(2)/25)*BQ143+(1-EXP(-LN(2)/25))/(LN(2)/25)*Calculateur!BL144*Calculateur!BN144*VLOOKUP('Données projet'!$B$11,Paramètres!$A$1:$I$89,3,0)*0.475*44/12</f>
        <v>11.10897260439857</v>
      </c>
      <c r="BR144" s="21">
        <f>EXP(-LN(2)/2)*BR143+(1-EXP(-LN(2)/2))/(LN(2)/2)*BL144*BO144*VLOOKUP('Données projet'!$B$11,Paramètres!$A$1:$I$89,3,0)*0.475*44/12</f>
        <v>4.3058558696436425E-8</v>
      </c>
      <c r="BS144" s="22">
        <f t="shared" si="117"/>
        <v>61.431651248383027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projet'!$B$12,Paramètres!$A$1:$I$89,3,0)*VLOOKUP('Données projet'!$B$12,Paramètres!$A$1:$I$89,5,0)</f>
        <v>4.7884896048344674E-14</v>
      </c>
      <c r="CA144" s="13">
        <f t="shared" si="147"/>
        <v>7.8374629847779921E-13</v>
      </c>
      <c r="CB144" s="20">
        <f t="shared" si="118"/>
        <v>1.4484243304663672E-12</v>
      </c>
      <c r="CC144" s="59">
        <f t="shared" si="119"/>
        <v>293.33333333333474</v>
      </c>
      <c r="CD144" s="59">
        <f ca="1">AVERAGE(OFFSET($CC$3,0,0,'Données projet'!$E$12+1,1))-AVERAGE(OFFSET($H$3,0,0,'Données projet'!$E$12+1,1))</f>
        <v>287.72859857368331</v>
      </c>
      <c r="CE144" s="59">
        <f t="shared" si="148"/>
        <v>179.60736986885922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61.170779546473554</v>
      </c>
      <c r="CL144" s="21">
        <f>EXP(-LN(2)/25)*CL143+(1-EXP(-LN(2)/25))/(LN(2)/25)*Calculateur!CG144*Calculateur!CI144*VLOOKUP('Données projet'!$B$12,Paramètres!$A$1:$I$89,3,0)*0.475*44/12</f>
        <v>10.602368897485245</v>
      </c>
      <c r="CM144" s="21">
        <f>EXP(-LN(2)/2)*CM143+(1-EXP(-LN(2)/2))/(LN(2)/2)*CG144*CJ144*VLOOKUP('Données projet'!$B$12,Paramètres!$A$1:$I$89,3,0)*0.475*44/12</f>
        <v>4.0045702143916279E-5</v>
      </c>
      <c r="CN144" s="22">
        <f t="shared" si="120"/>
        <v>71.773188489660953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243.33915530322201</v>
      </c>
      <c r="CZ144" s="59">
        <f t="shared" si="150"/>
        <v>247.73814704672577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15.531072348404495</v>
      </c>
      <c r="DG144" s="21">
        <f>EXP(-LN(2)/25)*DG143+(1-EXP(-LN(2)/25))/(LN(2)/25)*Calculateur!DB144*Calculateur!DD144*VLOOKUP('Données projet'!$B$13,Paramètres!$A$1:$I$89,3,0)*0.475*44/12</f>
        <v>9.4581275109853067</v>
      </c>
      <c r="DH144" s="21">
        <f>EXP(-LN(2)/2)*DH143+(1-EXP(-LN(2)/2))/(LN(2)/2)*DB144*DE144*VLOOKUP('Données projet'!$B$13,Paramètres!$A$1:$I$89,3,0)*0.475*44/12</f>
        <v>4.1107218260183768E-8</v>
      </c>
      <c r="DI144" s="22">
        <f t="shared" si="123"/>
        <v>24.989199900497017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3.177547114319168E-13</v>
      </c>
      <c r="P145" s="13">
        <f t="shared" si="141"/>
        <v>4.1725404435445377E-12</v>
      </c>
      <c r="Q145" s="20">
        <f t="shared" si="108"/>
        <v>7.820597394917325E-12</v>
      </c>
      <c r="R145" s="59">
        <f t="shared" si="109"/>
        <v>293.33333333334116</v>
      </c>
      <c r="S145" s="59">
        <f ca="1">AVERAGE(OFFSET($R$3,0,0,'Données projet'!$E$9+1,1))-AVERAGE(OFFSET($H$3,0,0,'Données projet'!$E$9+1,1))</f>
        <v>287.413090017863</v>
      </c>
      <c r="T145" s="59">
        <f t="shared" si="142"/>
        <v>258.48456031927117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55.446940974611081</v>
      </c>
      <c r="AA145" s="21">
        <f>EXP(-LN(2)/25)*AA144+(1-EXP(-LN(2)/25))/(LN(2)/25)*Calculateur!V145*Calculateur!X145*VLOOKUP('Données projet'!$B$9,Paramètres!$A$1:$I$89,3,0)*0.475*44/12</f>
        <v>10.426860376967525</v>
      </c>
      <c r="AB145" s="21">
        <f>EXP(-LN(2)/2)*AB144+(1-EXP(-LN(2)/2))/(LN(2)/2)*V145*Y145*VLOOKUP('Données projet'!$B$9,Paramètres!$A$1:$I$89,3,0)*0.475*44/12</f>
        <v>1.0987499892190668E-9</v>
      </c>
      <c r="AC145" s="22">
        <f t="shared" si="111"/>
        <v>65.873801352677361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9.1440000000000055</v>
      </c>
      <c r="AI145" s="13">
        <f>IF('Données projet'!$A$62&gt;35,AI144+AH145-AQ144,IF(A145&lt;'Données projet'!$A$62,$AF$205^A145,IF(A145='Données projet'!$A$62,'Données projet'!$B$62,AI144+AH145-AQ144)))</f>
        <v>496.65200000000095</v>
      </c>
      <c r="AJ145" s="13">
        <f>AI145*VLOOKUP('Données projet'!$B$10,Paramètres!$A$1:$I$89,3,0)*VLOOKUP('Données projet'!$B$10,Paramètres!$A$1:$I$89,5,0)</f>
        <v>449.37072960000086</v>
      </c>
      <c r="AK145" s="13">
        <f t="shared" si="143"/>
        <v>101.71702488172154</v>
      </c>
      <c r="AL145" s="20">
        <f t="shared" si="112"/>
        <v>959.81117238899981</v>
      </c>
      <c r="AM145" s="59">
        <f t="shared" si="113"/>
        <v>1253.1445057223332</v>
      </c>
      <c r="AN145" s="59">
        <f ca="1">AVERAGE(OFFSET($AM$3,0,0,'Données projet'!$E$10+1,1))-AVERAGE(OFFSET($H$3,0,0,'Données projet'!$E$10+1,1))</f>
        <v>422.10969295064359</v>
      </c>
      <c r="AO145" s="59">
        <f t="shared" si="144"/>
        <v>184.04075143033037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38.19003691963831</v>
      </c>
      <c r="AV145" s="21">
        <f>EXP(-LN(2)/25)*AV144+(1-EXP(-LN(2)/25))/(LN(2)/25)*Calculateur!AQ145*Calculateur!AS145*VLOOKUP('Données projet'!$B$10,Paramètres!$A$1:$I$89,3,0)*0.475*44/12</f>
        <v>19.040437356539211</v>
      </c>
      <c r="AW145" s="21">
        <f>EXP(-LN(2)/2)*AW144+(1-EXP(-LN(2)/2))/(LN(2)/2)*AQ145*AT145*VLOOKUP('Données projet'!$B$10,Paramètres!$A$1:$I$89,3,0)*0.475*44/12</f>
        <v>9.9726178467277986E-3</v>
      </c>
      <c r="AX145" s="21">
        <f t="shared" si="114"/>
        <v>57.240446894024245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-9.1631591203622526E-14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217.61052961346684</v>
      </c>
      <c r="BJ145" s="59">
        <f t="shared" si="146"/>
        <v>180.77145728128608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49.335881567364936</v>
      </c>
      <c r="BQ145" s="21">
        <f>EXP(-LN(2)/25)*BQ144+(1-EXP(-LN(2)/25))/(LN(2)/25)*Calculateur!BL145*Calculateur!BN145*VLOOKUP('Données projet'!$B$11,Paramètres!$A$1:$I$89,3,0)*0.475*44/12</f>
        <v>10.805197164335812</v>
      </c>
      <c r="BR145" s="21">
        <f>EXP(-LN(2)/2)*BR144+(1-EXP(-LN(2)/2))/(LN(2)/2)*BL145*BO145*VLOOKUP('Données projet'!$B$11,Paramètres!$A$1:$I$89,3,0)*0.475*44/12</f>
        <v>3.0446998842369184E-8</v>
      </c>
      <c r="BS145" s="22">
        <f t="shared" si="117"/>
        <v>60.141078762147743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projet'!$B$12,Paramètres!$A$1:$I$89,3,0)*VLOOKUP('Données projet'!$B$12,Paramètres!$A$1:$I$89,5,0)</f>
        <v>4.7884896048344674E-14</v>
      </c>
      <c r="CA145" s="13">
        <f t="shared" si="147"/>
        <v>7.8374629847779921E-13</v>
      </c>
      <c r="CB145" s="20">
        <f t="shared" si="118"/>
        <v>1.4484243304663672E-12</v>
      </c>
      <c r="CC145" s="59">
        <f t="shared" si="119"/>
        <v>293.33333333333474</v>
      </c>
      <c r="CD145" s="59">
        <f ca="1">AVERAGE(OFFSET($CC$3,0,0,'Données projet'!$E$12+1,1))-AVERAGE(OFFSET($H$3,0,0,'Données projet'!$E$12+1,1))</f>
        <v>287.72859857368331</v>
      </c>
      <c r="CE145" s="59">
        <f t="shared" si="148"/>
        <v>179.60736986885922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59.971257870058629</v>
      </c>
      <c r="CL145" s="21">
        <f>EXP(-LN(2)/25)*CL144+(1-EXP(-LN(2)/25))/(LN(2)/25)*Calculateur!CG145*Calculateur!CI145*VLOOKUP('Données projet'!$B$12,Paramètres!$A$1:$I$89,3,0)*0.475*44/12</f>
        <v>10.312446562429162</v>
      </c>
      <c r="CM145" s="21">
        <f>EXP(-LN(2)/2)*CM144+(1-EXP(-LN(2)/2))/(LN(2)/2)*CG145*CJ145*VLOOKUP('Données projet'!$B$12,Paramètres!$A$1:$I$89,3,0)*0.475*44/12</f>
        <v>2.8316587543339866E-5</v>
      </c>
      <c r="CN145" s="22">
        <f t="shared" si="120"/>
        <v>70.283732749075341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243.33915530322201</v>
      </c>
      <c r="CZ145" s="59">
        <f t="shared" si="150"/>
        <v>247.73814704672577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15.226517492671032</v>
      </c>
      <c r="DG145" s="21">
        <f>EXP(-LN(2)/25)*DG144+(1-EXP(-LN(2)/25))/(LN(2)/25)*Calculateur!DB145*Calculateur!DD145*VLOOKUP('Données projet'!$B$13,Paramètres!$A$1:$I$89,3,0)*0.475*44/12</f>
        <v>9.1994945168161042</v>
      </c>
      <c r="DH145" s="21">
        <f>EXP(-LN(2)/2)*DH144+(1-EXP(-LN(2)/2))/(LN(2)/2)*DB145*DE145*VLOOKUP('Données projet'!$B$13,Paramètres!$A$1:$I$89,3,0)*0.475*44/12</f>
        <v>2.9067192787491415E-8</v>
      </c>
      <c r="DI145" s="22">
        <f t="shared" si="123"/>
        <v>24.42601203855433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3.177547114319168E-13</v>
      </c>
      <c r="P146" s="13">
        <f t="shared" si="141"/>
        <v>4.1725404435445377E-12</v>
      </c>
      <c r="Q146" s="20">
        <f t="shared" si="108"/>
        <v>7.820597394917325E-12</v>
      </c>
      <c r="R146" s="59">
        <f t="shared" si="109"/>
        <v>293.33333333334116</v>
      </c>
      <c r="S146" s="59">
        <f ca="1">AVERAGE(OFFSET($R$3,0,0,'Données projet'!$E$9+1,1))-AVERAGE(OFFSET($H$3,0,0,'Données projet'!$E$9+1,1))</f>
        <v>287.413090017863</v>
      </c>
      <c r="T146" s="59">
        <f t="shared" si="142"/>
        <v>258.48456031927117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54.359660281393573</v>
      </c>
      <c r="AA146" s="21">
        <f>EXP(-LN(2)/25)*AA145+(1-EXP(-LN(2)/25))/(LN(2)/25)*Calculateur!V146*Calculateur!X146*VLOOKUP('Données projet'!$B$9,Paramètres!$A$1:$I$89,3,0)*0.475*44/12</f>
        <v>10.141737331634593</v>
      </c>
      <c r="AB146" s="21">
        <f>EXP(-LN(2)/2)*AB145+(1-EXP(-LN(2)/2))/(LN(2)/2)*V146*Y146*VLOOKUP('Données projet'!$B$9,Paramètres!$A$1:$I$89,3,0)*0.475*44/12</f>
        <v>7.7693356820544811E-10</v>
      </c>
      <c r="AC146" s="22">
        <f t="shared" si="111"/>
        <v>64.501397613805096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9.1440000000000055</v>
      </c>
      <c r="AI146" s="13">
        <f>IF('Données projet'!$A$62&gt;35,AI145+AH146-AQ145,IF(A146&lt;'Données projet'!$A$62,$AF$205^A146,IF(A146='Données projet'!$A$62,'Données projet'!$B$62,AI145+AH146-AQ145)))</f>
        <v>505.79600000000096</v>
      </c>
      <c r="AJ146" s="13">
        <f>AI146*VLOOKUP('Données projet'!$B$10,Paramètres!$A$1:$I$89,3,0)*VLOOKUP('Données projet'!$B$10,Paramètres!$A$1:$I$89,5,0)</f>
        <v>457.64422080000088</v>
      </c>
      <c r="AK146" s="13">
        <f t="shared" si="143"/>
        <v>103.37001757568726</v>
      </c>
      <c r="AL146" s="20">
        <f t="shared" si="112"/>
        <v>977.0997985043233</v>
      </c>
      <c r="AM146" s="59">
        <f t="shared" si="113"/>
        <v>1270.4331318376567</v>
      </c>
      <c r="AN146" s="59">
        <f ca="1">AVERAGE(OFFSET($AM$3,0,0,'Données projet'!$E$10+1,1))-AVERAGE(OFFSET($H$3,0,0,'Données projet'!$E$10+1,1))</f>
        <v>422.10969295064359</v>
      </c>
      <c r="AO146" s="59">
        <f t="shared" si="144"/>
        <v>184.04075143033037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37.441153589266669</v>
      </c>
      <c r="AV146" s="21">
        <f>EXP(-LN(2)/25)*AV145+(1-EXP(-LN(2)/25))/(LN(2)/25)*Calculateur!AQ146*Calculateur!AS146*VLOOKUP('Données projet'!$B$10,Paramètres!$A$1:$I$89,3,0)*0.475*44/12</f>
        <v>18.519775595731563</v>
      </c>
      <c r="AW146" s="21">
        <f>EXP(-LN(2)/2)*AW145+(1-EXP(-LN(2)/2))/(LN(2)/2)*AQ146*AT146*VLOOKUP('Données projet'!$B$10,Paramètres!$A$1:$I$89,3,0)*0.475*44/12</f>
        <v>7.0517057056032123E-3</v>
      </c>
      <c r="AX146" s="21">
        <f t="shared" si="114"/>
        <v>55.967980890703842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-9.1631591203622526E-14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217.61052961346684</v>
      </c>
      <c r="BJ146" s="59">
        <f t="shared" si="146"/>
        <v>180.77145728128608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48.368435021745334</v>
      </c>
      <c r="BQ146" s="21">
        <f>EXP(-LN(2)/25)*BQ145+(1-EXP(-LN(2)/25))/(LN(2)/25)*Calculateur!BL146*Calculateur!BN146*VLOOKUP('Données projet'!$B$11,Paramètres!$A$1:$I$89,3,0)*0.475*44/12</f>
        <v>10.509728479656426</v>
      </c>
      <c r="BR146" s="21">
        <f>EXP(-LN(2)/2)*BR145+(1-EXP(-LN(2)/2))/(LN(2)/2)*BL146*BO146*VLOOKUP('Données projet'!$B$11,Paramètres!$A$1:$I$89,3,0)*0.475*44/12</f>
        <v>2.1529279348218213E-8</v>
      </c>
      <c r="BS146" s="22">
        <f t="shared" si="117"/>
        <v>58.87816352293104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projet'!$B$12,Paramètres!$A$1:$I$89,3,0)*VLOOKUP('Données projet'!$B$12,Paramètres!$A$1:$I$89,5,0)</f>
        <v>4.7884896048344674E-14</v>
      </c>
      <c r="CA146" s="13">
        <f t="shared" si="147"/>
        <v>7.8374629847779921E-13</v>
      </c>
      <c r="CB146" s="20">
        <f t="shared" si="118"/>
        <v>1.4484243304663672E-12</v>
      </c>
      <c r="CC146" s="59">
        <f t="shared" si="119"/>
        <v>293.33333333333474</v>
      </c>
      <c r="CD146" s="59">
        <f ca="1">AVERAGE(OFFSET($CC$3,0,0,'Données projet'!$E$12+1,1))-AVERAGE(OFFSET($H$3,0,0,'Données projet'!$E$12+1,1))</f>
        <v>287.72859857368331</v>
      </c>
      <c r="CE146" s="59">
        <f t="shared" si="148"/>
        <v>179.60736986885922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58.795258082082221</v>
      </c>
      <c r="CL146" s="21">
        <f>EXP(-LN(2)/25)*CL145+(1-EXP(-LN(2)/25))/(LN(2)/25)*Calculateur!CG146*Calculateur!CI146*VLOOKUP('Données projet'!$B$12,Paramètres!$A$1:$I$89,3,0)*0.475*44/12</f>
        <v>10.030452168871541</v>
      </c>
      <c r="CM146" s="21">
        <f>EXP(-LN(2)/2)*CM145+(1-EXP(-LN(2)/2))/(LN(2)/2)*CG146*CJ146*VLOOKUP('Données projet'!$B$12,Paramètres!$A$1:$I$89,3,0)*0.475*44/12</f>
        <v>2.0022851071958139E-5</v>
      </c>
      <c r="CN146" s="22">
        <f t="shared" si="120"/>
        <v>68.825730273804837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243.33915530322201</v>
      </c>
      <c r="CZ146" s="59">
        <f t="shared" si="150"/>
        <v>247.73814704672577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14.927934771898384</v>
      </c>
      <c r="DG146" s="21">
        <f>EXP(-LN(2)/25)*DG145+(1-EXP(-LN(2)/25))/(LN(2)/25)*Calculateur!DB146*Calculateur!DD146*VLOOKUP('Données projet'!$B$13,Paramètres!$A$1:$I$89,3,0)*0.475*44/12</f>
        <v>8.9479338554733765</v>
      </c>
      <c r="DH146" s="21">
        <f>EXP(-LN(2)/2)*DH145+(1-EXP(-LN(2)/2))/(LN(2)/2)*DB146*DE146*VLOOKUP('Données projet'!$B$13,Paramètres!$A$1:$I$89,3,0)*0.475*44/12</f>
        <v>2.0553609130091884E-8</v>
      </c>
      <c r="DI146" s="22">
        <f t="shared" si="123"/>
        <v>23.875868647925369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3.177547114319168E-13</v>
      </c>
      <c r="P147" s="13">
        <f t="shared" si="141"/>
        <v>4.1725404435445377E-12</v>
      </c>
      <c r="Q147" s="20">
        <f t="shared" si="108"/>
        <v>7.820597394917325E-12</v>
      </c>
      <c r="R147" s="59">
        <f t="shared" si="109"/>
        <v>293.33333333334116</v>
      </c>
      <c r="S147" s="59">
        <f ca="1">AVERAGE(OFFSET($R$3,0,0,'Données projet'!$E$9+1,1))-AVERAGE(OFFSET($H$3,0,0,'Données projet'!$E$9+1,1))</f>
        <v>287.413090017863</v>
      </c>
      <c r="T147" s="59">
        <f t="shared" si="142"/>
        <v>258.48456031927117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53.293700499394319</v>
      </c>
      <c r="AA147" s="21">
        <f>EXP(-LN(2)/25)*AA146+(1-EXP(-LN(2)/25))/(LN(2)/25)*Calculateur!V147*Calculateur!X147*VLOOKUP('Données projet'!$B$9,Paramètres!$A$1:$I$89,3,0)*0.475*44/12</f>
        <v>9.8644109909702582</v>
      </c>
      <c r="AB147" s="21">
        <f>EXP(-LN(2)/2)*AB146+(1-EXP(-LN(2)/2))/(LN(2)/2)*V147*Y147*VLOOKUP('Données projet'!$B$9,Paramètres!$A$1:$I$89,3,0)*0.475*44/12</f>
        <v>5.4937499460953338E-10</v>
      </c>
      <c r="AC147" s="22">
        <f t="shared" si="111"/>
        <v>63.158111490913953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9.1440000000000055</v>
      </c>
      <c r="AH147" s="12">
        <f t="array" ref="AH147">INDEX(AG:AG,MIN(IF(ISNUMBER(AG147:AG343),ROW(AG147:AG343),"")))</f>
        <v>9.1440000000000055</v>
      </c>
      <c r="AI147" s="13">
        <f>IF('Données projet'!$A$62&gt;35,AI146+AH147-AQ146,IF(A147&lt;'Données projet'!$A$62,$AF$205^A147,IF(A147='Données projet'!$A$62,'Données projet'!$B$62,AI146+AH147-AQ146)))</f>
        <v>514.94000000000096</v>
      </c>
      <c r="AJ147" s="13">
        <f>AI147*VLOOKUP('Données projet'!$B$10,Paramètres!$A$1:$I$89,3,0)*VLOOKUP('Données projet'!$B$10,Paramètres!$A$1:$I$89,5,0)</f>
        <v>465.91771200000085</v>
      </c>
      <c r="AK147" s="13">
        <f t="shared" si="143"/>
        <v>105.01953528507198</v>
      </c>
      <c r="AL147" s="20">
        <f t="shared" si="112"/>
        <v>994.38237235483496</v>
      </c>
      <c r="AM147" s="59">
        <f t="shared" si="113"/>
        <v>1287.7157056881683</v>
      </c>
      <c r="AN147" s="59">
        <f ca="1">AVERAGE(OFFSET($AM$3,0,0,'Données projet'!$E$10+1,1))-AVERAGE(OFFSET($H$3,0,0,'Données projet'!$E$10+1,1))</f>
        <v>422.10969295064359</v>
      </c>
      <c r="AO147" s="59">
        <f t="shared" si="144"/>
        <v>184.04075143033037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61.800000000000068</v>
      </c>
      <c r="AR147" s="16">
        <f>IF(ISNA(VLOOKUP(A147,'Données projet'!$A$61:$I$81,5,0)),0%,VLOOKUP(A147,'Données projet'!$A$61:$I$81,5,0)*VLOOKUP('Données projet'!$B$10,Paramètres!$A$1:$I$89,7,0))</f>
        <v>0.215</v>
      </c>
      <c r="AS147" s="16">
        <f>IF(ISNA(VLOOKUP(A147,'Données projet'!$A$61:$I$81,6,0)),0%,VLOOKUP(A147,'Données projet'!$A$61:$I$81,6,0)*VLOOKUP('Données projet'!$B$10,Paramètres!$A$1:$I$89,7,0))</f>
        <v>8.6000000000000007E-2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49.997006091476479</v>
      </c>
      <c r="AV147" s="21">
        <f>EXP(-LN(2)/25)*AV146+(1-EXP(-LN(2)/25))/(LN(2)/25)*Calculateur!AQ147*Calculateur!AS147*VLOOKUP('Données projet'!$B$10,Paramètres!$A$1:$I$89,3,0)*0.475*44/12</f>
        <v>23.30844043566745</v>
      </c>
      <c r="AW147" s="21">
        <f>EXP(-LN(2)/2)*AW146+(1-EXP(-LN(2)/2))/(LN(2)/2)*AQ147*AT147*VLOOKUP('Données projet'!$B$10,Paramètres!$A$1:$I$89,3,0)*0.475*44/12</f>
        <v>4.9863089233638993E-3</v>
      </c>
      <c r="AX147" s="21">
        <f t="shared" si="114"/>
        <v>73.310432836067292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-9.1631591203622526E-14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217.61052961346684</v>
      </c>
      <c r="BJ147" s="59">
        <f t="shared" si="146"/>
        <v>180.77145728128608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47.419959512801206</v>
      </c>
      <c r="BQ147" s="21">
        <f>EXP(-LN(2)/25)*BQ146+(1-EXP(-LN(2)/25))/(LN(2)/25)*Calculateur!BL147*Calculateur!BN147*VLOOKUP('Données projet'!$B$11,Paramètres!$A$1:$I$89,3,0)*0.475*44/12</f>
        <v>10.222339401697621</v>
      </c>
      <c r="BR147" s="21">
        <f>EXP(-LN(2)/2)*BR146+(1-EXP(-LN(2)/2))/(LN(2)/2)*BL147*BO147*VLOOKUP('Données projet'!$B$11,Paramètres!$A$1:$I$89,3,0)*0.475*44/12</f>
        <v>1.5223499421184592E-8</v>
      </c>
      <c r="BS147" s="22">
        <f t="shared" si="117"/>
        <v>57.642298929722322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projet'!$B$12,Paramètres!$A$1:$I$89,3,0)*VLOOKUP('Données projet'!$B$12,Paramètres!$A$1:$I$89,5,0)</f>
        <v>4.7884896048344674E-14</v>
      </c>
      <c r="CA147" s="13">
        <f t="shared" si="147"/>
        <v>7.8374629847779921E-13</v>
      </c>
      <c r="CB147" s="20">
        <f t="shared" si="118"/>
        <v>1.4484243304663672E-12</v>
      </c>
      <c r="CC147" s="59">
        <f t="shared" si="119"/>
        <v>293.33333333333474</v>
      </c>
      <c r="CD147" s="59">
        <f ca="1">AVERAGE(OFFSET($CC$3,0,0,'Données projet'!$E$12+1,1))-AVERAGE(OFFSET($H$3,0,0,'Données projet'!$E$12+1,1))</f>
        <v>287.72859857368331</v>
      </c>
      <c r="CE147" s="59">
        <f t="shared" si="148"/>
        <v>179.60736986885922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57.642318932658981</v>
      </c>
      <c r="CL147" s="21">
        <f>EXP(-LN(2)/25)*CL146+(1-EXP(-LN(2)/25))/(LN(2)/25)*Calculateur!CG147*Calculateur!CI147*VLOOKUP('Données projet'!$B$12,Paramètres!$A$1:$I$89,3,0)*0.475*44/12</f>
        <v>9.7561689268351941</v>
      </c>
      <c r="CM147" s="21">
        <f>EXP(-LN(2)/2)*CM146+(1-EXP(-LN(2)/2))/(LN(2)/2)*CG147*CJ147*VLOOKUP('Données projet'!$B$12,Paramètres!$A$1:$I$89,3,0)*0.475*44/12</f>
        <v>1.4158293771669933E-5</v>
      </c>
      <c r="CN147" s="22">
        <f t="shared" si="120"/>
        <v>67.398502017787933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243.33915530322201</v>
      </c>
      <c r="CZ147" s="59">
        <f t="shared" si="150"/>
        <v>247.73814704672577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14.63520707616261</v>
      </c>
      <c r="DG147" s="21">
        <f>EXP(-LN(2)/25)*DG146+(1-EXP(-LN(2)/25))/(LN(2)/25)*Calculateur!DB147*Calculateur!DD147*VLOOKUP('Données projet'!$B$13,Paramètres!$A$1:$I$89,3,0)*0.475*44/12</f>
        <v>8.7032521336440656</v>
      </c>
      <c r="DH147" s="21">
        <f>EXP(-LN(2)/2)*DH146+(1-EXP(-LN(2)/2))/(LN(2)/2)*DB147*DE147*VLOOKUP('Données projet'!$B$13,Paramètres!$A$1:$I$89,3,0)*0.475*44/12</f>
        <v>1.4533596393745707E-8</v>
      </c>
      <c r="DI147" s="22">
        <f t="shared" si="123"/>
        <v>23.338459224340273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3.177547114319168E-13</v>
      </c>
      <c r="P148" s="13">
        <f t="shared" si="141"/>
        <v>4.1725404435445377E-12</v>
      </c>
      <c r="Q148" s="20">
        <f t="shared" si="108"/>
        <v>7.820597394917325E-12</v>
      </c>
      <c r="R148" s="59">
        <f t="shared" si="109"/>
        <v>293.33333333334116</v>
      </c>
      <c r="S148" s="59">
        <f ca="1">AVERAGE(OFFSET($R$3,0,0,'Données projet'!$E$9+1,1))-AVERAGE(OFFSET($H$3,0,0,'Données projet'!$E$9+1,1))</f>
        <v>287.413090017863</v>
      </c>
      <c r="T148" s="59">
        <f t="shared" si="142"/>
        <v>258.48456031927117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52.248643538548805</v>
      </c>
      <c r="AA148" s="21">
        <f>EXP(-LN(2)/25)*AA147+(1-EXP(-LN(2)/25))/(LN(2)/25)*Calculateur!V148*Calculateur!X148*VLOOKUP('Données projet'!$B$9,Paramètres!$A$1:$I$89,3,0)*0.475*44/12</f>
        <v>9.5946681536753484</v>
      </c>
      <c r="AB148" s="21">
        <f>EXP(-LN(2)/2)*AB147+(1-EXP(-LN(2)/2))/(LN(2)/2)*V148*Y148*VLOOKUP('Données projet'!$B$9,Paramètres!$A$1:$I$89,3,0)*0.475*44/12</f>
        <v>3.8846678410272405E-10</v>
      </c>
      <c r="AC148" s="22">
        <f t="shared" si="111"/>
        <v>61.843311692612623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9.3350000000000026</v>
      </c>
      <c r="AI148" s="13">
        <f>IF('Données projet'!$A$62&gt;35,AI147+AH148-AQ147,IF(A148&lt;'Données projet'!$A$62,$AF$205^A148,IF(A148='Données projet'!$A$62,'Données projet'!$B$62,AI147+AH148-AQ147)))</f>
        <v>462.47500000000093</v>
      </c>
      <c r="AJ148" s="13">
        <f>AI148*VLOOKUP('Données projet'!$B$10,Paramètres!$A$1:$I$89,3,0)*VLOOKUP('Données projet'!$B$10,Paramètres!$A$1:$I$89,5,0)</f>
        <v>418.44738000000081</v>
      </c>
      <c r="AK148" s="13">
        <f t="shared" si="143"/>
        <v>95.506718301246906</v>
      </c>
      <c r="AL148" s="20">
        <f t="shared" si="112"/>
        <v>895.13672120800663</v>
      </c>
      <c r="AM148" s="59">
        <f t="shared" si="113"/>
        <v>1188.47005454134</v>
      </c>
      <c r="AN148" s="59">
        <f ca="1">AVERAGE(OFFSET($AM$3,0,0,'Données projet'!$E$10+1,1))-AVERAGE(OFFSET($H$3,0,0,'Données projet'!$E$10+1,1))</f>
        <v>422.10969295064359</v>
      </c>
      <c r="AO148" s="59">
        <f t="shared" si="144"/>
        <v>184.04075143033037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49.016595297185191</v>
      </c>
      <c r="AV148" s="21">
        <f>EXP(-LN(2)/25)*AV147+(1-EXP(-LN(2)/25))/(LN(2)/25)*Calculateur!AQ148*Calculateur!AS148*VLOOKUP('Données projet'!$B$10,Paramètres!$A$1:$I$89,3,0)*0.475*44/12</f>
        <v>22.671069906216513</v>
      </c>
      <c r="AW148" s="21">
        <f>EXP(-LN(2)/2)*AW147+(1-EXP(-LN(2)/2))/(LN(2)/2)*AQ148*AT148*VLOOKUP('Données projet'!$B$10,Paramètres!$A$1:$I$89,3,0)*0.475*44/12</f>
        <v>3.5258528528016061E-3</v>
      </c>
      <c r="AX148" s="21">
        <f t="shared" si="114"/>
        <v>71.69119105625451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-9.1631591203622526E-14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217.61052961346684</v>
      </c>
      <c r="BJ148" s="59">
        <f t="shared" si="146"/>
        <v>180.77145728128608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46.490083030074537</v>
      </c>
      <c r="BQ148" s="21">
        <f>EXP(-LN(2)/25)*BQ147+(1-EXP(-LN(2)/25))/(LN(2)/25)*Calculateur!BL148*Calculateur!BN148*VLOOKUP('Données projet'!$B$11,Paramètres!$A$1:$I$89,3,0)*0.475*44/12</f>
        <v>9.9428089931887342</v>
      </c>
      <c r="BR148" s="21">
        <f>EXP(-LN(2)/2)*BR147+(1-EXP(-LN(2)/2))/(LN(2)/2)*BL148*BO148*VLOOKUP('Données projet'!$B$11,Paramètres!$A$1:$I$89,3,0)*0.475*44/12</f>
        <v>1.0764639674109106E-8</v>
      </c>
      <c r="BS148" s="22">
        <f t="shared" si="117"/>
        <v>56.432892034027908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projet'!$B$12,Paramètres!$A$1:$I$89,3,0)*VLOOKUP('Données projet'!$B$12,Paramètres!$A$1:$I$89,5,0)</f>
        <v>4.7884896048344674E-14</v>
      </c>
      <c r="CA148" s="13">
        <f t="shared" si="147"/>
        <v>7.8374629847779921E-13</v>
      </c>
      <c r="CB148" s="20">
        <f t="shared" si="118"/>
        <v>1.4484243304663672E-12</v>
      </c>
      <c r="CC148" s="59">
        <f t="shared" si="119"/>
        <v>293.33333333333474</v>
      </c>
      <c r="CD148" s="59">
        <f ca="1">AVERAGE(OFFSET($CC$3,0,0,'Données projet'!$E$12+1,1))-AVERAGE(OFFSET($H$3,0,0,'Données projet'!$E$12+1,1))</f>
        <v>287.72859857368331</v>
      </c>
      <c r="CE148" s="59">
        <f t="shared" si="148"/>
        <v>179.60736986885922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56.51198821673249</v>
      </c>
      <c r="CL148" s="21">
        <f>EXP(-LN(2)/25)*CL147+(1-EXP(-LN(2)/25))/(LN(2)/25)*Calculateur!CG148*Calculateur!CI148*VLOOKUP('Données projet'!$B$12,Paramètres!$A$1:$I$89,3,0)*0.475*44/12</f>
        <v>9.4893859744762601</v>
      </c>
      <c r="CM148" s="21">
        <f>EXP(-LN(2)/2)*CM147+(1-EXP(-LN(2)/2))/(LN(2)/2)*CG148*CJ148*VLOOKUP('Données projet'!$B$12,Paramètres!$A$1:$I$89,3,0)*0.475*44/12</f>
        <v>1.001142553597907E-5</v>
      </c>
      <c r="CN148" s="22">
        <f t="shared" si="120"/>
        <v>66.001384202634284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243.33915530322201</v>
      </c>
      <c r="CZ148" s="59">
        <f t="shared" si="150"/>
        <v>247.73814704672577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14.348219591993949</v>
      </c>
      <c r="DG148" s="21">
        <f>EXP(-LN(2)/25)*DG147+(1-EXP(-LN(2)/25))/(LN(2)/25)*Calculateur!DB148*Calculateur!DD148*VLOOKUP('Données projet'!$B$13,Paramètres!$A$1:$I$89,3,0)*0.475*44/12</f>
        <v>8.4652612463654311</v>
      </c>
      <c r="DH148" s="21">
        <f>EXP(-LN(2)/2)*DH147+(1-EXP(-LN(2)/2))/(LN(2)/2)*DB148*DE148*VLOOKUP('Données projet'!$B$13,Paramètres!$A$1:$I$89,3,0)*0.475*44/12</f>
        <v>1.0276804565045942E-8</v>
      </c>
      <c r="DI148" s="22">
        <f t="shared" si="123"/>
        <v>22.813480848636186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3.177547114319168E-13</v>
      </c>
      <c r="P149" s="13">
        <f t="shared" si="141"/>
        <v>4.1725404435445377E-12</v>
      </c>
      <c r="Q149" s="20">
        <f t="shared" si="108"/>
        <v>7.820597394917325E-12</v>
      </c>
      <c r="R149" s="59">
        <f t="shared" si="109"/>
        <v>293.33333333334116</v>
      </c>
      <c r="S149" s="59">
        <f ca="1">AVERAGE(OFFSET($R$3,0,0,'Données projet'!$E$9+1,1))-AVERAGE(OFFSET($H$3,0,0,'Données projet'!$E$9+1,1))</f>
        <v>287.413090017863</v>
      </c>
      <c r="T149" s="59">
        <f t="shared" si="142"/>
        <v>258.48456031927117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51.224079507283669</v>
      </c>
      <c r="AA149" s="21">
        <f>EXP(-LN(2)/25)*AA148+(1-EXP(-LN(2)/25))/(LN(2)/25)*Calculateur!V149*Calculateur!X149*VLOOKUP('Données projet'!$B$9,Paramètres!$A$1:$I$89,3,0)*0.475*44/12</f>
        <v>9.3323014484514264</v>
      </c>
      <c r="AB149" s="21">
        <f>EXP(-LN(2)/2)*AB148+(1-EXP(-LN(2)/2))/(LN(2)/2)*V149*Y149*VLOOKUP('Données projet'!$B$9,Paramètres!$A$1:$I$89,3,0)*0.475*44/12</f>
        <v>2.7468749730476669E-10</v>
      </c>
      <c r="AC149" s="22">
        <f t="shared" si="111"/>
        <v>60.556380956009782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9.3350000000000026</v>
      </c>
      <c r="AI149" s="13">
        <f>IF('Données projet'!$A$62&gt;35,AI148+AH149-AQ148,IF(A149&lt;'Données projet'!$A$62,$AF$205^A149,IF(A149='Données projet'!$A$62,'Données projet'!$B$62,AI148+AH149-AQ148)))</f>
        <v>471.81000000000091</v>
      </c>
      <c r="AJ149" s="13">
        <f>AI149*VLOOKUP('Données projet'!$B$10,Paramètres!$A$1:$I$89,3,0)*VLOOKUP('Données projet'!$B$10,Paramètres!$A$1:$I$89,5,0)</f>
        <v>426.89368800000079</v>
      </c>
      <c r="AK149" s="13">
        <f t="shared" si="143"/>
        <v>97.208128358788159</v>
      </c>
      <c r="AL149" s="20">
        <f t="shared" si="112"/>
        <v>912.81066349155742</v>
      </c>
      <c r="AM149" s="59">
        <f t="shared" si="113"/>
        <v>1206.1439968248908</v>
      </c>
      <c r="AN149" s="59">
        <f ca="1">AVERAGE(OFFSET($AM$3,0,0,'Données projet'!$E$10+1,1))-AVERAGE(OFFSET($H$3,0,0,'Données projet'!$E$10+1,1))</f>
        <v>422.10969295064359</v>
      </c>
      <c r="AO149" s="59">
        <f t="shared" si="144"/>
        <v>184.04075143033037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48.055409760578421</v>
      </c>
      <c r="AV149" s="21">
        <f>EXP(-LN(2)/25)*AV148+(1-EXP(-LN(2)/25))/(LN(2)/25)*Calculateur!AQ149*Calculateur!AS149*VLOOKUP('Données projet'!$B$10,Paramètres!$A$1:$I$89,3,0)*0.475*44/12</f>
        <v>22.051128307411272</v>
      </c>
      <c r="AW149" s="21">
        <f>EXP(-LN(2)/2)*AW148+(1-EXP(-LN(2)/2))/(LN(2)/2)*AQ149*AT149*VLOOKUP('Données projet'!$B$10,Paramètres!$A$1:$I$89,3,0)*0.475*44/12</f>
        <v>2.4931544616819496E-3</v>
      </c>
      <c r="AX149" s="21">
        <f t="shared" si="114"/>
        <v>70.109031222451364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-9.1631591203622526E-14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217.61052961346684</v>
      </c>
      <c r="BJ149" s="59">
        <f t="shared" si="146"/>
        <v>180.77145728128608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45.578440858005486</v>
      </c>
      <c r="BQ149" s="21">
        <f>EXP(-LN(2)/25)*BQ148+(1-EXP(-LN(2)/25))/(LN(2)/25)*Calculateur!BL149*Calculateur!BN149*VLOOKUP('Données projet'!$B$11,Paramètres!$A$1:$I$89,3,0)*0.475*44/12</f>
        <v>9.6709223584003876</v>
      </c>
      <c r="BR149" s="21">
        <f>EXP(-LN(2)/2)*BR148+(1-EXP(-LN(2)/2))/(LN(2)/2)*BL149*BO149*VLOOKUP('Données projet'!$B$11,Paramètres!$A$1:$I$89,3,0)*0.475*44/12</f>
        <v>7.6117497105922961E-9</v>
      </c>
      <c r="BS149" s="22">
        <f t="shared" si="117"/>
        <v>55.249363224017628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projet'!$B$12,Paramètres!$A$1:$I$89,3,0)*VLOOKUP('Données projet'!$B$12,Paramètres!$A$1:$I$89,5,0)</f>
        <v>4.7884896048344674E-14</v>
      </c>
      <c r="CA149" s="13">
        <f t="shared" si="147"/>
        <v>7.8374629847779921E-13</v>
      </c>
      <c r="CB149" s="20">
        <f t="shared" si="118"/>
        <v>1.4484243304663672E-12</v>
      </c>
      <c r="CC149" s="59">
        <f t="shared" si="119"/>
        <v>293.33333333333474</v>
      </c>
      <c r="CD149" s="59">
        <f ca="1">AVERAGE(OFFSET($CC$3,0,0,'Données projet'!$E$12+1,1))-AVERAGE(OFFSET($H$3,0,0,'Données projet'!$E$12+1,1))</f>
        <v>287.72859857368331</v>
      </c>
      <c r="CE149" s="59">
        <f t="shared" si="148"/>
        <v>179.60736986885922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55.403822596711656</v>
      </c>
      <c r="CL149" s="21">
        <f>EXP(-LN(2)/25)*CL148+(1-EXP(-LN(2)/25))/(LN(2)/25)*Calculateur!CG149*Calculateur!CI149*VLOOKUP('Données projet'!$B$12,Paramètres!$A$1:$I$89,3,0)*0.475*44/12</f>
        <v>9.2298982159790874</v>
      </c>
      <c r="CM149" s="21">
        <f>EXP(-LN(2)/2)*CM148+(1-EXP(-LN(2)/2))/(LN(2)/2)*CG149*CJ149*VLOOKUP('Données projet'!$B$12,Paramètres!$A$1:$I$89,3,0)*0.475*44/12</f>
        <v>7.0791468858349664E-6</v>
      </c>
      <c r="CN149" s="22">
        <f t="shared" si="120"/>
        <v>64.633727891837623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243.33915530322201</v>
      </c>
      <c r="CZ149" s="59">
        <f t="shared" si="150"/>
        <v>247.73814704672577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14.066859757344755</v>
      </c>
      <c r="DG149" s="21">
        <f>EXP(-LN(2)/25)*DG148+(1-EXP(-LN(2)/25))/(LN(2)/25)*Calculateur!DB149*Calculateur!DD149*VLOOKUP('Données projet'!$B$13,Paramètres!$A$1:$I$89,3,0)*0.475*44/12</f>
        <v>8.2337782324148279</v>
      </c>
      <c r="DH149" s="21">
        <f>EXP(-LN(2)/2)*DH148+(1-EXP(-LN(2)/2))/(LN(2)/2)*DB149*DE149*VLOOKUP('Données projet'!$B$13,Paramètres!$A$1:$I$89,3,0)*0.475*44/12</f>
        <v>7.2667981968728536E-9</v>
      </c>
      <c r="DI149" s="22">
        <f t="shared" si="123"/>
        <v>22.300637997026381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3.177547114319168E-13</v>
      </c>
      <c r="P150" s="13">
        <f t="shared" si="141"/>
        <v>4.1725404435445377E-12</v>
      </c>
      <c r="Q150" s="20">
        <f t="shared" si="108"/>
        <v>7.820597394917325E-12</v>
      </c>
      <c r="R150" s="59">
        <f t="shared" si="109"/>
        <v>293.33333333334116</v>
      </c>
      <c r="S150" s="59">
        <f ca="1">AVERAGE(OFFSET($R$3,0,0,'Données projet'!$E$9+1,1))-AVERAGE(OFFSET($H$3,0,0,'Données projet'!$E$9+1,1))</f>
        <v>287.413090017863</v>
      </c>
      <c r="T150" s="59">
        <f t="shared" si="142"/>
        <v>258.48456031927117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50.219606551749287</v>
      </c>
      <c r="AA150" s="21">
        <f>EXP(-LN(2)/25)*AA149+(1-EXP(-LN(2)/25))/(LN(2)/25)*Calculateur!V150*Calculateur!X150*VLOOKUP('Données projet'!$B$9,Paramètres!$A$1:$I$89,3,0)*0.475*44/12</f>
        <v>9.0771091745791175</v>
      </c>
      <c r="AB150" s="21">
        <f>EXP(-LN(2)/2)*AB149+(1-EXP(-LN(2)/2))/(LN(2)/2)*V150*Y150*VLOOKUP('Données projet'!$B$9,Paramètres!$A$1:$I$89,3,0)*0.475*44/12</f>
        <v>1.9423339205136203E-10</v>
      </c>
      <c r="AC150" s="22">
        <f t="shared" si="111"/>
        <v>59.296715726522635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9.3350000000000026</v>
      </c>
      <c r="AI150" s="13">
        <f>IF('Données projet'!$A$62&gt;35,AI149+AH150-AQ149,IF(A150&lt;'Données projet'!$A$62,$AF$205^A150,IF(A150='Données projet'!$A$62,'Données projet'!$B$62,AI149+AH150-AQ149)))</f>
        <v>481.14500000000089</v>
      </c>
      <c r="AJ150" s="13">
        <f>AI150*VLOOKUP('Données projet'!$B$10,Paramètres!$A$1:$I$89,3,0)*VLOOKUP('Données projet'!$B$10,Paramètres!$A$1:$I$89,5,0)</f>
        <v>435.33999600000078</v>
      </c>
      <c r="AK150" s="13">
        <f t="shared" si="143"/>
        <v>98.905624251508897</v>
      </c>
      <c r="AL150" s="20">
        <f t="shared" si="112"/>
        <v>930.4777886047126</v>
      </c>
      <c r="AM150" s="59">
        <f t="shared" si="113"/>
        <v>1223.811121938046</v>
      </c>
      <c r="AN150" s="59">
        <f ca="1">AVERAGE(OFFSET($AM$3,0,0,'Données projet'!$E$10+1,1))-AVERAGE(OFFSET($H$3,0,0,'Données projet'!$E$10+1,1))</f>
        <v>422.10969295064359</v>
      </c>
      <c r="AO150" s="59">
        <f t="shared" si="144"/>
        <v>184.04075143033037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47.113072486079218</v>
      </c>
      <c r="AV150" s="21">
        <f>EXP(-LN(2)/25)*AV149+(1-EXP(-LN(2)/25))/(LN(2)/25)*Calculateur!AQ150*Calculateur!AS150*VLOOKUP('Données projet'!$B$10,Paramètres!$A$1:$I$89,3,0)*0.475*44/12</f>
        <v>21.448139044226672</v>
      </c>
      <c r="AW150" s="21">
        <f>EXP(-LN(2)/2)*AW149+(1-EXP(-LN(2)/2))/(LN(2)/2)*AQ150*AT150*VLOOKUP('Données projet'!$B$10,Paramètres!$A$1:$I$89,3,0)*0.475*44/12</f>
        <v>1.7629264264008031E-3</v>
      </c>
      <c r="AX150" s="21">
        <f t="shared" si="114"/>
        <v>68.562974456732277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-9.1631591203622526E-14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217.61052961346684</v>
      </c>
      <c r="BJ150" s="59">
        <f t="shared" si="146"/>
        <v>180.77145728128608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44.684675432883893</v>
      </c>
      <c r="BQ150" s="21">
        <f>EXP(-LN(2)/25)*BQ149+(1-EXP(-LN(2)/25))/(LN(2)/25)*Calculateur!BL150*Calculateur!BN150*VLOOKUP('Données projet'!$B$11,Paramètres!$A$1:$I$89,3,0)*0.475*44/12</f>
        <v>9.4064704779382247</v>
      </c>
      <c r="BR150" s="21">
        <f>EXP(-LN(2)/2)*BR149+(1-EXP(-LN(2)/2))/(LN(2)/2)*BL150*BO150*VLOOKUP('Données projet'!$B$11,Paramètres!$A$1:$I$89,3,0)*0.475*44/12</f>
        <v>5.3823198370545531E-9</v>
      </c>
      <c r="BS150" s="22">
        <f t="shared" si="117"/>
        <v>54.091145916204439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projet'!$B$12,Paramètres!$A$1:$I$89,3,0)*VLOOKUP('Données projet'!$B$12,Paramètres!$A$1:$I$89,5,0)</f>
        <v>4.7884896048344674E-14</v>
      </c>
      <c r="CA150" s="13">
        <f t="shared" si="147"/>
        <v>7.8374629847779921E-13</v>
      </c>
      <c r="CB150" s="20">
        <f t="shared" si="118"/>
        <v>1.4484243304663672E-12</v>
      </c>
      <c r="CC150" s="59">
        <f t="shared" si="119"/>
        <v>293.33333333333474</v>
      </c>
      <c r="CD150" s="59">
        <f ca="1">AVERAGE(OFFSET($CC$3,0,0,'Données projet'!$E$12+1,1))-AVERAGE(OFFSET($H$3,0,0,'Données projet'!$E$12+1,1))</f>
        <v>287.72859857368331</v>
      </c>
      <c r="CE150" s="59">
        <f t="shared" si="148"/>
        <v>179.60736986885922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54.317387428585143</v>
      </c>
      <c r="CL150" s="21">
        <f>EXP(-LN(2)/25)*CL149+(1-EXP(-LN(2)/25))/(LN(2)/25)*Calculateur!CG150*Calculateur!CI150*VLOOKUP('Données projet'!$B$12,Paramètres!$A$1:$I$89,3,0)*0.475*44/12</f>
        <v>8.9775061638838878</v>
      </c>
      <c r="CM150" s="21">
        <f>EXP(-LN(2)/2)*CM149+(1-EXP(-LN(2)/2))/(LN(2)/2)*CG150*CJ150*VLOOKUP('Données projet'!$B$12,Paramètres!$A$1:$I$89,3,0)*0.475*44/12</f>
        <v>5.0057127679895348E-6</v>
      </c>
      <c r="CN150" s="22">
        <f t="shared" si="120"/>
        <v>63.294898598181796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243.33915530322201</v>
      </c>
      <c r="CZ150" s="59">
        <f t="shared" si="150"/>
        <v>247.73814704672577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13.791017217440478</v>
      </c>
      <c r="DG150" s="21">
        <f>EXP(-LN(2)/25)*DG149+(1-EXP(-LN(2)/25))/(LN(2)/25)*Calculateur!DB150*Calculateur!DD150*VLOOKUP('Données projet'!$B$13,Paramètres!$A$1:$I$89,3,0)*0.475*44/12</f>
        <v>8.0086251336538652</v>
      </c>
      <c r="DH150" s="21">
        <f>EXP(-LN(2)/2)*DH149+(1-EXP(-LN(2)/2))/(LN(2)/2)*DB150*DE150*VLOOKUP('Données projet'!$B$13,Paramètres!$A$1:$I$89,3,0)*0.475*44/12</f>
        <v>5.138402282522971E-9</v>
      </c>
      <c r="DI150" s="22">
        <f t="shared" si="123"/>
        <v>21.799642356232745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3.177547114319168E-13</v>
      </c>
      <c r="P151" s="13">
        <f t="shared" si="141"/>
        <v>4.1725404435445377E-12</v>
      </c>
      <c r="Q151" s="20">
        <f t="shared" si="108"/>
        <v>7.820597394917325E-12</v>
      </c>
      <c r="R151" s="59">
        <f t="shared" si="109"/>
        <v>293.33333333334116</v>
      </c>
      <c r="S151" s="59">
        <f ca="1">AVERAGE(OFFSET($R$3,0,0,'Données projet'!$E$9+1,1))-AVERAGE(OFFSET($H$3,0,0,'Données projet'!$E$9+1,1))</f>
        <v>287.413090017863</v>
      </c>
      <c r="T151" s="59">
        <f t="shared" si="142"/>
        <v>258.48456031927117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49.234830698204924</v>
      </c>
      <c r="AA151" s="21">
        <f>EXP(-LN(2)/25)*AA150+(1-EXP(-LN(2)/25))/(LN(2)/25)*Calculateur!V151*Calculateur!X151*VLOOKUP('Données projet'!$B$9,Paramètres!$A$1:$I$89,3,0)*0.475*44/12</f>
        <v>8.8288951468558263</v>
      </c>
      <c r="AB151" s="21">
        <f>EXP(-LN(2)/2)*AB150+(1-EXP(-LN(2)/2))/(LN(2)/2)*V151*Y151*VLOOKUP('Données projet'!$B$9,Paramètres!$A$1:$I$89,3,0)*0.475*44/12</f>
        <v>1.3734374865238334E-10</v>
      </c>
      <c r="AC151" s="22">
        <f t="shared" si="111"/>
        <v>58.063725845198093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9.3350000000000026</v>
      </c>
      <c r="AI151" s="13">
        <f>IF('Données projet'!$A$62&gt;35,AI150+AH151-AQ150,IF(A151&lt;'Données projet'!$A$62,$AF$205^A151,IF(A151='Données projet'!$A$62,'Données projet'!$B$62,AI150+AH151-AQ150)))</f>
        <v>490.48000000000087</v>
      </c>
      <c r="AJ151" s="13">
        <f>AI151*VLOOKUP('Données projet'!$B$10,Paramètres!$A$1:$I$89,3,0)*VLOOKUP('Données projet'!$B$10,Paramètres!$A$1:$I$89,5,0)</f>
        <v>443.78630400000077</v>
      </c>
      <c r="AK151" s="13">
        <f t="shared" si="143"/>
        <v>100.59929067522565</v>
      </c>
      <c r="AL151" s="20">
        <f t="shared" si="112"/>
        <v>948.13824405935259</v>
      </c>
      <c r="AM151" s="59">
        <f t="shared" si="113"/>
        <v>1241.471577392686</v>
      </c>
      <c r="AN151" s="59">
        <f ca="1">AVERAGE(OFFSET($AM$3,0,0,'Données projet'!$E$10+1,1))-AVERAGE(OFFSET($H$3,0,0,'Données projet'!$E$10+1,1))</f>
        <v>422.10969295064359</v>
      </c>
      <c r="AO151" s="59">
        <f t="shared" si="144"/>
        <v>184.04075143033037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46.189213870763965</v>
      </c>
      <c r="AV151" s="21">
        <f>EXP(-LN(2)/25)*AV150+(1-EXP(-LN(2)/25))/(LN(2)/25)*Calculateur!AQ151*Calculateur!AS151*VLOOKUP('Données projet'!$B$10,Paramètres!$A$1:$I$89,3,0)*0.475*44/12</f>
        <v>20.861638554153682</v>
      </c>
      <c r="AW151" s="21">
        <f>EXP(-LN(2)/2)*AW150+(1-EXP(-LN(2)/2))/(LN(2)/2)*AQ151*AT151*VLOOKUP('Données projet'!$B$10,Paramètres!$A$1:$I$89,3,0)*0.475*44/12</f>
        <v>1.2465772308409748E-3</v>
      </c>
      <c r="AX151" s="21">
        <f t="shared" si="114"/>
        <v>67.052099002148495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-9.1631591203622526E-14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217.61052961346684</v>
      </c>
      <c r="BJ151" s="59">
        <f t="shared" si="146"/>
        <v>180.77145728128608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43.808436202605847</v>
      </c>
      <c r="BQ151" s="21">
        <f>EXP(-LN(2)/25)*BQ150+(1-EXP(-LN(2)/25))/(LN(2)/25)*Calculateur!BL151*Calculateur!BN151*VLOOKUP('Données projet'!$B$11,Paramètres!$A$1:$I$89,3,0)*0.475*44/12</f>
        <v>9.1492500480542205</v>
      </c>
      <c r="BR151" s="21">
        <f>EXP(-LN(2)/2)*BR150+(1-EXP(-LN(2)/2))/(LN(2)/2)*BL151*BO151*VLOOKUP('Données projet'!$B$11,Paramètres!$A$1:$I$89,3,0)*0.475*44/12</f>
        <v>3.8058748552961481E-9</v>
      </c>
      <c r="BS151" s="22">
        <f t="shared" si="117"/>
        <v>52.957686254465941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projet'!$B$12,Paramètres!$A$1:$I$89,3,0)*VLOOKUP('Données projet'!$B$12,Paramètres!$A$1:$I$89,5,0)</f>
        <v>4.7884896048344674E-14</v>
      </c>
      <c r="CA151" s="13">
        <f t="shared" si="147"/>
        <v>7.8374629847779921E-13</v>
      </c>
      <c r="CB151" s="20">
        <f t="shared" si="118"/>
        <v>1.4484243304663672E-12</v>
      </c>
      <c r="CC151" s="59">
        <f t="shared" si="119"/>
        <v>293.33333333333474</v>
      </c>
      <c r="CD151" s="59">
        <f ca="1">AVERAGE(OFFSET($CC$3,0,0,'Données projet'!$E$12+1,1))-AVERAGE(OFFSET($H$3,0,0,'Données projet'!$E$12+1,1))</f>
        <v>287.72859857368331</v>
      </c>
      <c r="CE151" s="59">
        <f t="shared" si="148"/>
        <v>179.60736986885922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53.252256591445573</v>
      </c>
      <c r="CL151" s="21">
        <f>EXP(-LN(2)/25)*CL150+(1-EXP(-LN(2)/25))/(LN(2)/25)*Calculateur!CG151*Calculateur!CI151*VLOOKUP('Données projet'!$B$12,Paramètres!$A$1:$I$89,3,0)*0.475*44/12</f>
        <v>8.7320157857259524</v>
      </c>
      <c r="CM151" s="21">
        <f>EXP(-LN(2)/2)*CM150+(1-EXP(-LN(2)/2))/(LN(2)/2)*CG151*CJ151*VLOOKUP('Données projet'!$B$12,Paramètres!$A$1:$I$89,3,0)*0.475*44/12</f>
        <v>3.5395734429174832E-6</v>
      </c>
      <c r="CN151" s="22">
        <f t="shared" si="120"/>
        <v>61.984275916744963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243.33915530322201</v>
      </c>
      <c r="CZ151" s="59">
        <f t="shared" si="150"/>
        <v>247.73814704672577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13.520583781496388</v>
      </c>
      <c r="DG151" s="21">
        <f>EXP(-LN(2)/25)*DG150+(1-EXP(-LN(2)/25))/(LN(2)/25)*Calculateur!DB151*Calculateur!DD151*VLOOKUP('Données projet'!$B$13,Paramètres!$A$1:$I$89,3,0)*0.475*44/12</f>
        <v>7.7896288582188085</v>
      </c>
      <c r="DH151" s="21">
        <f>EXP(-LN(2)/2)*DH150+(1-EXP(-LN(2)/2))/(LN(2)/2)*DB151*DE151*VLOOKUP('Données projet'!$B$13,Paramètres!$A$1:$I$89,3,0)*0.475*44/12</f>
        <v>3.6333990984364268E-9</v>
      </c>
      <c r="DI151" s="22">
        <f t="shared" si="123"/>
        <v>21.310212643348596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3.177547114319168E-13</v>
      </c>
      <c r="P152" s="13">
        <f t="shared" si="141"/>
        <v>4.1725404435445377E-12</v>
      </c>
      <c r="Q152" s="20">
        <f t="shared" si="108"/>
        <v>7.820597394917325E-12</v>
      </c>
      <c r="R152" s="59">
        <f t="shared" si="109"/>
        <v>293.33333333334116</v>
      </c>
      <c r="S152" s="59">
        <f ca="1">AVERAGE(OFFSET($R$3,0,0,'Données projet'!$E$9+1,1))-AVERAGE(OFFSET($H$3,0,0,'Données projet'!$E$9+1,1))</f>
        <v>287.413090017863</v>
      </c>
      <c r="T152" s="59">
        <f t="shared" si="142"/>
        <v>258.48456031927117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48.26936569849461</v>
      </c>
      <c r="AA152" s="21">
        <f>EXP(-LN(2)/25)*AA151+(1-EXP(-LN(2)/25))/(LN(2)/25)*Calculateur!V152*Calculateur!X152*VLOOKUP('Données projet'!$B$9,Paramètres!$A$1:$I$89,3,0)*0.475*44/12</f>
        <v>8.5874685447736372</v>
      </c>
      <c r="AB152" s="21">
        <f>EXP(-LN(2)/2)*AB151+(1-EXP(-LN(2)/2))/(LN(2)/2)*V152*Y152*VLOOKUP('Données projet'!$B$9,Paramètres!$A$1:$I$89,3,0)*0.475*44/12</f>
        <v>9.7116696025681013E-11</v>
      </c>
      <c r="AC152" s="22">
        <f t="shared" si="111"/>
        <v>56.856834243365363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9.3350000000000026</v>
      </c>
      <c r="AI152" s="13">
        <f>IF('Données projet'!$A$62&gt;35,AI151+AH152-AQ151,IF(A152&lt;'Données projet'!$A$62,$AF$205^A152,IF(A152='Données projet'!$A$62,'Données projet'!$B$62,AI151+AH152-AQ151)))</f>
        <v>499.81500000000085</v>
      </c>
      <c r="AJ152" s="13">
        <f>AI152*VLOOKUP('Données projet'!$B$10,Paramètres!$A$1:$I$89,3,0)*VLOOKUP('Données projet'!$B$10,Paramètres!$A$1:$I$89,5,0)</f>
        <v>452.2326120000007</v>
      </c>
      <c r="AK152" s="13">
        <f t="shared" si="143"/>
        <v>102.28920891735658</v>
      </c>
      <c r="AL152" s="20">
        <f t="shared" si="112"/>
        <v>965.79217143106382</v>
      </c>
      <c r="AM152" s="59">
        <f t="shared" si="113"/>
        <v>1259.1255047643972</v>
      </c>
      <c r="AN152" s="59">
        <f ca="1">AVERAGE(OFFSET($AM$3,0,0,'Données projet'!$E$10+1,1))-AVERAGE(OFFSET($H$3,0,0,'Données projet'!$E$10+1,1))</f>
        <v>422.10969295064359</v>
      </c>
      <c r="AO152" s="59">
        <f t="shared" si="144"/>
        <v>184.04075143033037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45.283471559396929</v>
      </c>
      <c r="AV152" s="21">
        <f>EXP(-LN(2)/25)*AV151+(1-EXP(-LN(2)/25))/(LN(2)/25)*Calculateur!AQ152*Calculateur!AS152*VLOOKUP('Données projet'!$B$10,Paramètres!$A$1:$I$89,3,0)*0.475*44/12</f>
        <v>20.291175950824456</v>
      </c>
      <c r="AW152" s="21">
        <f>EXP(-LN(2)/2)*AW151+(1-EXP(-LN(2)/2))/(LN(2)/2)*AQ152*AT152*VLOOKUP('Données projet'!$B$10,Paramètres!$A$1:$I$89,3,0)*0.475*44/12</f>
        <v>8.8146321320040153E-4</v>
      </c>
      <c r="AX152" s="21">
        <f t="shared" si="114"/>
        <v>65.575528973434587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-9.1631591203622526E-14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217.61052961346684</v>
      </c>
      <c r="BJ152" s="59">
        <f t="shared" si="146"/>
        <v>180.77145728128608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42.949379489180401</v>
      </c>
      <c r="BQ152" s="21">
        <f>EXP(-LN(2)/25)*BQ151+(1-EXP(-LN(2)/25))/(LN(2)/25)*Calculateur!BL152*Calculateur!BN152*VLOOKUP('Données projet'!$B$11,Paramètres!$A$1:$I$89,3,0)*0.475*44/12</f>
        <v>8.8990633243520278</v>
      </c>
      <c r="BR152" s="21">
        <f>EXP(-LN(2)/2)*BR151+(1-EXP(-LN(2)/2))/(LN(2)/2)*BL152*BO152*VLOOKUP('Données projet'!$B$11,Paramètres!$A$1:$I$89,3,0)*0.475*44/12</f>
        <v>2.6911599185272766E-9</v>
      </c>
      <c r="BS152" s="22">
        <f t="shared" si="117"/>
        <v>51.848442816223589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projet'!$B$12,Paramètres!$A$1:$I$89,3,0)*VLOOKUP('Données projet'!$B$12,Paramètres!$A$1:$I$89,5,0)</f>
        <v>4.7884896048344674E-14</v>
      </c>
      <c r="CA152" s="13">
        <f t="shared" si="147"/>
        <v>7.8374629847779921E-13</v>
      </c>
      <c r="CB152" s="20">
        <f t="shared" si="118"/>
        <v>1.4484243304663672E-12</v>
      </c>
      <c r="CC152" s="59">
        <f t="shared" si="119"/>
        <v>293.33333333333474</v>
      </c>
      <c r="CD152" s="59">
        <f ca="1">AVERAGE(OFFSET($CC$3,0,0,'Données projet'!$E$12+1,1))-AVERAGE(OFFSET($H$3,0,0,'Données projet'!$E$12+1,1))</f>
        <v>287.72859857368331</v>
      </c>
      <c r="CE152" s="59">
        <f t="shared" si="148"/>
        <v>179.60736986885922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52.208012320356644</v>
      </c>
      <c r="CL152" s="21">
        <f>EXP(-LN(2)/25)*CL151+(1-EXP(-LN(2)/25))/(LN(2)/25)*Calculateur!CG152*Calculateur!CI152*VLOOKUP('Données projet'!$B$12,Paramètres!$A$1:$I$89,3,0)*0.475*44/12</f>
        <v>8.4932383548685237</v>
      </c>
      <c r="CM152" s="21">
        <f>EXP(-LN(2)/2)*CM151+(1-EXP(-LN(2)/2))/(LN(2)/2)*CG152*CJ152*VLOOKUP('Données projet'!$B$12,Paramètres!$A$1:$I$89,3,0)*0.475*44/12</f>
        <v>2.5028563839947674E-6</v>
      </c>
      <c r="CN152" s="22">
        <f t="shared" si="120"/>
        <v>60.701253178081551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243.33915530322201</v>
      </c>
      <c r="CZ152" s="59">
        <f t="shared" si="150"/>
        <v>247.73814704672577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13.255453380283052</v>
      </c>
      <c r="DG152" s="21">
        <f>EXP(-LN(2)/25)*DG151+(1-EXP(-LN(2)/25))/(LN(2)/25)*Calculateur!DB152*Calculateur!DD152*VLOOKUP('Données projet'!$B$13,Paramètres!$A$1:$I$89,3,0)*0.475*44/12</f>
        <v>7.5766210474520372</v>
      </c>
      <c r="DH152" s="21">
        <f>EXP(-LN(2)/2)*DH151+(1-EXP(-LN(2)/2))/(LN(2)/2)*DB152*DE152*VLOOKUP('Données projet'!$B$13,Paramètres!$A$1:$I$89,3,0)*0.475*44/12</f>
        <v>2.5692011412614855E-9</v>
      </c>
      <c r="DI152" s="22">
        <f t="shared" si="123"/>
        <v>20.832074430304292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3.177547114319168E-13</v>
      </c>
      <c r="P153" s="13">
        <f t="shared" si="141"/>
        <v>4.1725404435445377E-12</v>
      </c>
      <c r="Q153" s="20">
        <f t="shared" si="108"/>
        <v>7.820597394917325E-12</v>
      </c>
      <c r="R153" s="59">
        <f t="shared" si="109"/>
        <v>293.33333333334116</v>
      </c>
      <c r="S153" s="59">
        <f ca="1">AVERAGE(OFFSET($R$3,0,0,'Données projet'!$E$9+1,1))-AVERAGE(OFFSET($H$3,0,0,'Données projet'!$E$9+1,1))</f>
        <v>287.413090017863</v>
      </c>
      <c r="T153" s="59">
        <f t="shared" si="142"/>
        <v>258.48456031927117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47.322832878553108</v>
      </c>
      <c r="AA153" s="21">
        <f>EXP(-LN(2)/25)*AA152+(1-EXP(-LN(2)/25))/(LN(2)/25)*Calculateur!V153*Calculateur!X153*VLOOKUP('Données projet'!$B$9,Paramètres!$A$1:$I$89,3,0)*0.475*44/12</f>
        <v>8.3526437658214583</v>
      </c>
      <c r="AB153" s="21">
        <f>EXP(-LN(2)/2)*AB152+(1-EXP(-LN(2)/2))/(LN(2)/2)*V153*Y153*VLOOKUP('Données projet'!$B$9,Paramètres!$A$1:$I$89,3,0)*0.475*44/12</f>
        <v>6.8671874326191672E-11</v>
      </c>
      <c r="AC153" s="22">
        <f t="shared" si="111"/>
        <v>55.675476644443243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9.3350000000000026</v>
      </c>
      <c r="AI153" s="13">
        <f>IF('Données projet'!$A$62&gt;35,AI152+AH153-AQ152,IF(A153&lt;'Données projet'!$A$62,$AF$205^A153,IF(A153='Données projet'!$A$62,'Données projet'!$B$62,AI152+AH153-AQ152)))</f>
        <v>509.15000000000083</v>
      </c>
      <c r="AJ153" s="13">
        <f>AI153*VLOOKUP('Données projet'!$B$10,Paramètres!$A$1:$I$89,3,0)*VLOOKUP('Données projet'!$B$10,Paramètres!$A$1:$I$89,5,0)</f>
        <v>460.67892000000074</v>
      </c>
      <c r="AK153" s="13">
        <f t="shared" si="143"/>
        <v>103.97545705513664</v>
      </c>
      <c r="AL153" s="20">
        <f t="shared" si="112"/>
        <v>983.43970670436431</v>
      </c>
      <c r="AM153" s="59">
        <f t="shared" si="113"/>
        <v>1276.7730400376977</v>
      </c>
      <c r="AN153" s="59">
        <f ca="1">AVERAGE(OFFSET($AM$3,0,0,'Données projet'!$E$10+1,1))-AVERAGE(OFFSET($H$3,0,0,'Données projet'!$E$10+1,1))</f>
        <v>422.10969295064359</v>
      </c>
      <c r="AO153" s="59">
        <f t="shared" si="144"/>
        <v>184.04075143033037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44.395490302307536</v>
      </c>
      <c r="AV153" s="21">
        <f>EXP(-LN(2)/25)*AV152+(1-EXP(-LN(2)/25))/(LN(2)/25)*Calculateur!AQ153*Calculateur!AS153*VLOOKUP('Données projet'!$B$10,Paramètres!$A$1:$I$89,3,0)*0.475*44/12</f>
        <v>19.736312677382596</v>
      </c>
      <c r="AW153" s="21">
        <f>EXP(-LN(2)/2)*AW152+(1-EXP(-LN(2)/2))/(LN(2)/2)*AQ153*AT153*VLOOKUP('Données projet'!$B$10,Paramètres!$A$1:$I$89,3,0)*0.475*44/12</f>
        <v>6.2328861542048741E-4</v>
      </c>
      <c r="AX153" s="21">
        <f t="shared" si="114"/>
        <v>64.132426268305551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-9.1631591203622526E-14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217.61052961346684</v>
      </c>
      <c r="BJ153" s="59">
        <f t="shared" si="146"/>
        <v>180.77145728128608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42.107168353932366</v>
      </c>
      <c r="BQ153" s="21">
        <f>EXP(-LN(2)/25)*BQ152+(1-EXP(-LN(2)/25))/(LN(2)/25)*Calculateur!BL153*Calculateur!BN153*VLOOKUP('Données projet'!$B$11,Paramètres!$A$1:$I$89,3,0)*0.475*44/12</f>
        <v>8.6557179697662203</v>
      </c>
      <c r="BR153" s="21">
        <f>EXP(-LN(2)/2)*BR152+(1-EXP(-LN(2)/2))/(LN(2)/2)*BL153*BO153*VLOOKUP('Données projet'!$B$11,Paramètres!$A$1:$I$89,3,0)*0.475*44/12</f>
        <v>1.902937427648074E-9</v>
      </c>
      <c r="BS153" s="22">
        <f t="shared" si="117"/>
        <v>50.762886325601528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projet'!$B$12,Paramètres!$A$1:$I$89,3,0)*VLOOKUP('Données projet'!$B$12,Paramètres!$A$1:$I$89,5,0)</f>
        <v>4.7884896048344674E-14</v>
      </c>
      <c r="CA153" s="13">
        <f t="shared" si="147"/>
        <v>7.8374629847779921E-13</v>
      </c>
      <c r="CB153" s="20">
        <f t="shared" si="118"/>
        <v>1.4484243304663672E-12</v>
      </c>
      <c r="CC153" s="59">
        <f t="shared" si="119"/>
        <v>293.33333333333474</v>
      </c>
      <c r="CD153" s="59">
        <f ca="1">AVERAGE(OFFSET($CC$3,0,0,'Données projet'!$E$12+1,1))-AVERAGE(OFFSET($H$3,0,0,'Données projet'!$E$12+1,1))</f>
        <v>287.72859857368331</v>
      </c>
      <c r="CE153" s="59">
        <f t="shared" si="148"/>
        <v>179.60736986885922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51.184245042497658</v>
      </c>
      <c r="CL153" s="21">
        <f>EXP(-LN(2)/25)*CL152+(1-EXP(-LN(2)/25))/(LN(2)/25)*Calculateur!CG153*Calculateur!CI153*VLOOKUP('Données projet'!$B$12,Paramètres!$A$1:$I$89,3,0)*0.475*44/12</f>
        <v>8.2609903054146496</v>
      </c>
      <c r="CM153" s="21">
        <f>EXP(-LN(2)/2)*CM152+(1-EXP(-LN(2)/2))/(LN(2)/2)*CG153*CJ153*VLOOKUP('Données projet'!$B$12,Paramètres!$A$1:$I$89,3,0)*0.475*44/12</f>
        <v>1.7697867214587416E-6</v>
      </c>
      <c r="CN153" s="22">
        <f t="shared" si="120"/>
        <v>59.44523711769903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243.33915530322201</v>
      </c>
      <c r="CZ153" s="59">
        <f t="shared" si="150"/>
        <v>247.73814704672577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12.995522024523934</v>
      </c>
      <c r="DG153" s="21">
        <f>EXP(-LN(2)/25)*DG152+(1-EXP(-LN(2)/25))/(LN(2)/25)*Calculateur!DB153*Calculateur!DD153*VLOOKUP('Données projet'!$B$13,Paramètres!$A$1:$I$89,3,0)*0.475*44/12</f>
        <v>7.369437946472277</v>
      </c>
      <c r="DH153" s="21">
        <f>EXP(-LN(2)/2)*DH152+(1-EXP(-LN(2)/2))/(LN(2)/2)*DB153*DE153*VLOOKUP('Données projet'!$B$13,Paramètres!$A$1:$I$89,3,0)*0.475*44/12</f>
        <v>1.8166995492182134E-9</v>
      </c>
      <c r="DI153" s="22">
        <f t="shared" si="123"/>
        <v>20.364959972812908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3.177547114319168E-13</v>
      </c>
      <c r="P154" s="13">
        <f t="shared" si="141"/>
        <v>4.1725404435445377E-12</v>
      </c>
      <c r="Q154" s="20">
        <f t="shared" ref="Q154:Q203" si="162">(O154+P154)*0.475*44/12</f>
        <v>7.820597394917325E-12</v>
      </c>
      <c r="R154" s="59">
        <f t="shared" si="109"/>
        <v>293.33333333334116</v>
      </c>
      <c r="S154" s="59">
        <f ca="1">AVERAGE(OFFSET($R$3,0,0,'Données projet'!$E$9+1,1))-AVERAGE(OFFSET($H$3,0,0,'Données projet'!$E$9+1,1))</f>
        <v>287.413090017863</v>
      </c>
      <c r="T154" s="59">
        <f t="shared" si="142"/>
        <v>258.48456031927117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46.394860989882645</v>
      </c>
      <c r="AA154" s="21">
        <f>EXP(-LN(2)/25)*AA153+(1-EXP(-LN(2)/25))/(LN(2)/25)*Calculateur!V154*Calculateur!X154*VLOOKUP('Données projet'!$B$9,Paramètres!$A$1:$I$89,3,0)*0.475*44/12</f>
        <v>8.1242402827986258</v>
      </c>
      <c r="AB154" s="21">
        <f>EXP(-LN(2)/2)*AB153+(1-EXP(-LN(2)/2))/(LN(2)/2)*V154*Y154*VLOOKUP('Données projet'!$B$9,Paramètres!$A$1:$I$89,3,0)*0.475*44/12</f>
        <v>4.8558348012840507E-11</v>
      </c>
      <c r="AC154" s="22">
        <f t="shared" ref="AC154:AC203" si="163">SUM(Z154:AB154)</f>
        <v>54.519101272729827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9.3350000000000026</v>
      </c>
      <c r="AI154" s="13">
        <f>IF('Données projet'!$A$62&gt;35,AI153+AH154-AQ153,IF(A154&lt;'Données projet'!$A$62,$AF$205^A154,IF(A154='Données projet'!$A$62,'Données projet'!$B$62,AI153+AH154-AQ153)))</f>
        <v>518.48500000000081</v>
      </c>
      <c r="AJ154" s="13">
        <f>AI154*VLOOKUP('Données projet'!$B$10,Paramètres!$A$1:$I$89,3,0)*VLOOKUP('Données projet'!$B$10,Paramètres!$A$1:$I$89,5,0)</f>
        <v>469.12522800000067</v>
      </c>
      <c r="AK154" s="13">
        <f t="shared" ref="AK154:AK203" si="164">EXP(-1.0587+0.8836*LN(AJ154)+0.284)</f>
        <v>105.65811013888603</v>
      </c>
      <c r="AL154" s="20">
        <f t="shared" ref="AL154:AL203" si="165">(AJ154+AK154)*0.475*44/12</f>
        <v>1001.0809805918944</v>
      </c>
      <c r="AM154" s="59">
        <f t="shared" si="113"/>
        <v>1294.4143139252278</v>
      </c>
      <c r="AN154" s="59">
        <f ca="1">AVERAGE(OFFSET($AM$3,0,0,'Données projet'!$E$10+1,1))-AVERAGE(OFFSET($H$3,0,0,'Données projet'!$E$10+1,1))</f>
        <v>422.10969295064359</v>
      </c>
      <c r="AO154" s="59">
        <f t="shared" si="144"/>
        <v>184.04075143033037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43.524921816054579</v>
      </c>
      <c r="AV154" s="21">
        <f>EXP(-LN(2)/25)*AV153+(1-EXP(-LN(2)/25))/(LN(2)/25)*Calculateur!AQ154*Calculateur!AS154*VLOOKUP('Données projet'!$B$10,Paramètres!$A$1:$I$89,3,0)*0.475*44/12</f>
        <v>19.196622169331992</v>
      </c>
      <c r="AW154" s="21">
        <f>EXP(-LN(2)/2)*AW153+(1-EXP(-LN(2)/2))/(LN(2)/2)*AQ154*AT154*VLOOKUP('Données projet'!$B$10,Paramètres!$A$1:$I$89,3,0)*0.475*44/12</f>
        <v>4.4073160660020077E-4</v>
      </c>
      <c r="AX154" s="21">
        <f t="shared" ref="AX154:AX203" si="166">SUM(AU154:AW154)</f>
        <v>62.721984716993177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-9.1631591203622526E-14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217.61052961346684</v>
      </c>
      <c r="BJ154" s="59">
        <f t="shared" si="146"/>
        <v>180.77145728128608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41.281472465348479</v>
      </c>
      <c r="BQ154" s="21">
        <f>EXP(-LN(2)/25)*BQ153+(1-EXP(-LN(2)/25))/(LN(2)/25)*Calculateur!BL154*Calculateur!BN154*VLOOKUP('Données projet'!$B$11,Paramètres!$A$1:$I$89,3,0)*0.475*44/12</f>
        <v>8.4190269066985373</v>
      </c>
      <c r="BR154" s="21">
        <f>EXP(-LN(2)/2)*BR153+(1-EXP(-LN(2)/2))/(LN(2)/2)*BL154*BO154*VLOOKUP('Données projet'!$B$11,Paramètres!$A$1:$I$89,3,0)*0.475*44/12</f>
        <v>1.3455799592636383E-9</v>
      </c>
      <c r="BS154" s="22">
        <f t="shared" ref="BS154:BS203" si="169">SUM(BP154:BR154)</f>
        <v>49.700499373392603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4.7884896048344674E-14</v>
      </c>
      <c r="CA154" s="13">
        <f t="shared" ref="CA154:CA203" si="170">EXP(-1.0587+0.8836*LN(BZ154)+0.284)</f>
        <v>7.8374629847779921E-13</v>
      </c>
      <c r="CB154" s="20">
        <f t="shared" ref="CB154:CB203" si="171">(BZ154+CA154)*0.475*44/12</f>
        <v>1.4484243304663672E-12</v>
      </c>
      <c r="CC154" s="59">
        <f t="shared" si="119"/>
        <v>293.33333333333474</v>
      </c>
      <c r="CD154" s="59">
        <f ca="1">AVERAGE(OFFSET($CC$3,0,0,'Données projet'!$E$12+1,1))-AVERAGE(OFFSET($H$3,0,0,'Données projet'!$E$12+1,1))</f>
        <v>287.72859857368331</v>
      </c>
      <c r="CE154" s="59">
        <f t="shared" si="148"/>
        <v>179.60736986885922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50.180553216521105</v>
      </c>
      <c r="CL154" s="21">
        <f>EXP(-LN(2)/25)*CL153+(1-EXP(-LN(2)/25))/(LN(2)/25)*Calculateur!CG154*Calculateur!CI154*VLOOKUP('Données projet'!$B$12,Paramètres!$A$1:$I$89,3,0)*0.475*44/12</f>
        <v>8.0350930910864875</v>
      </c>
      <c r="CM154" s="21">
        <f>EXP(-LN(2)/2)*CM153+(1-EXP(-LN(2)/2))/(LN(2)/2)*CG154*CJ154*VLOOKUP('Données projet'!$B$12,Paramètres!$A$1:$I$89,3,0)*0.475*44/12</f>
        <v>1.2514281919973837E-6</v>
      </c>
      <c r="CN154" s="22">
        <f t="shared" ref="CN154:CN203" si="172">SUM(CK154:CM154)</f>
        <v>58.215647559035787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243.33915530322201</v>
      </c>
      <c r="CZ154" s="59">
        <f t="shared" si="150"/>
        <v>247.73814704672577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12.740687764108779</v>
      </c>
      <c r="DG154" s="21">
        <f>EXP(-LN(2)/25)*DG153+(1-EXP(-LN(2)/25))/(LN(2)/25)*Calculateur!DB154*Calculateur!DD154*VLOOKUP('Données projet'!$B$13,Paramètres!$A$1:$I$89,3,0)*0.475*44/12</f>
        <v>7.1679202782840941</v>
      </c>
      <c r="DH154" s="21">
        <f>EXP(-LN(2)/2)*DH153+(1-EXP(-LN(2)/2))/(LN(2)/2)*DB154*DE154*VLOOKUP('Données projet'!$B$13,Paramètres!$A$1:$I$89,3,0)*0.475*44/12</f>
        <v>1.2846005706307427E-9</v>
      </c>
      <c r="DI154" s="22">
        <f t="shared" ref="DI154:DI203" si="175">SUM(DF154:DH154)</f>
        <v>19.908608043677475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3.177547114319168E-13</v>
      </c>
      <c r="P155" s="13">
        <f t="shared" si="141"/>
        <v>4.1725404435445377E-12</v>
      </c>
      <c r="Q155" s="20">
        <f t="shared" si="162"/>
        <v>7.820597394917325E-12</v>
      </c>
      <c r="R155" s="59">
        <f t="shared" si="109"/>
        <v>293.33333333334116</v>
      </c>
      <c r="S155" s="59">
        <f ca="1">AVERAGE(OFFSET($R$3,0,0,'Données projet'!$E$9+1,1))-AVERAGE(OFFSET($H$3,0,0,'Données projet'!$E$9+1,1))</f>
        <v>287.413090017863</v>
      </c>
      <c r="T155" s="59">
        <f t="shared" si="142"/>
        <v>258.48456031927117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45.485086063942049</v>
      </c>
      <c r="AA155" s="21">
        <f>EXP(-LN(2)/25)*AA154+(1-EXP(-LN(2)/25))/(LN(2)/25)*Calculateur!V155*Calculateur!X155*VLOOKUP('Données projet'!$B$9,Paramètres!$A$1:$I$89,3,0)*0.475*44/12</f>
        <v>7.9020825050302692</v>
      </c>
      <c r="AB155" s="21">
        <f>EXP(-LN(2)/2)*AB154+(1-EXP(-LN(2)/2))/(LN(2)/2)*V155*Y155*VLOOKUP('Données projet'!$B$9,Paramètres!$A$1:$I$89,3,0)*0.475*44/12</f>
        <v>3.4335937163095836E-11</v>
      </c>
      <c r="AC155" s="22">
        <f t="shared" si="163"/>
        <v>53.387168569006654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9.3350000000000026</v>
      </c>
      <c r="AI155" s="13">
        <f>IF('Données projet'!$A$62&gt;35,AI154+AH155-AQ154,IF(A155&lt;'Données projet'!$A$62,$AF$205^A155,IF(A155='Données projet'!$A$62,'Données projet'!$B$62,AI154+AH155-AQ154)))</f>
        <v>527.82000000000085</v>
      </c>
      <c r="AJ155" s="13">
        <f>AI155*VLOOKUP('Données projet'!$B$10,Paramètres!$A$1:$I$89,3,0)*VLOOKUP('Données projet'!$B$10,Paramètres!$A$1:$I$89,5,0)</f>
        <v>477.57153600000072</v>
      </c>
      <c r="AK155" s="13">
        <f t="shared" si="164"/>
        <v>107.3372403617045</v>
      </c>
      <c r="AL155" s="20">
        <f t="shared" si="165"/>
        <v>1018.71611882997</v>
      </c>
      <c r="AM155" s="59">
        <f t="shared" si="113"/>
        <v>1312.0494521633034</v>
      </c>
      <c r="AN155" s="59">
        <f ca="1">AVERAGE(OFFSET($AM$3,0,0,'Données projet'!$E$10+1,1))-AVERAGE(OFFSET($H$3,0,0,'Données projet'!$E$10+1,1))</f>
        <v>422.10969295064359</v>
      </c>
      <c r="AO155" s="59">
        <f t="shared" si="144"/>
        <v>184.04075143033037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42.6714246468227</v>
      </c>
      <c r="AV155" s="21">
        <f>EXP(-LN(2)/25)*AV154+(1-EXP(-LN(2)/25))/(LN(2)/25)*Calculateur!AQ155*Calculateur!AS155*VLOOKUP('Données projet'!$B$10,Paramètres!$A$1:$I$89,3,0)*0.475*44/12</f>
        <v>18.671689526605125</v>
      </c>
      <c r="AW155" s="21">
        <f>EXP(-LN(2)/2)*AW154+(1-EXP(-LN(2)/2))/(LN(2)/2)*AQ155*AT155*VLOOKUP('Données projet'!$B$10,Paramètres!$A$1:$I$89,3,0)*0.475*44/12</f>
        <v>3.1164430771024371E-4</v>
      </c>
      <c r="AX155" s="21">
        <f t="shared" si="166"/>
        <v>61.343425817735529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-9.1631591203622526E-14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217.61052961346684</v>
      </c>
      <c r="BJ155" s="59">
        <f t="shared" si="146"/>
        <v>180.77145728128608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40.471967969514957</v>
      </c>
      <c r="BQ155" s="21">
        <f>EXP(-LN(2)/25)*BQ154+(1-EXP(-LN(2)/25))/(LN(2)/25)*Calculateur!BL155*Calculateur!BN155*VLOOKUP('Données projet'!$B$11,Paramètres!$A$1:$I$89,3,0)*0.475*44/12</f>
        <v>8.1888081731974829</v>
      </c>
      <c r="BR155" s="21">
        <f>EXP(-LN(2)/2)*BR154+(1-EXP(-LN(2)/2))/(LN(2)/2)*BL155*BO155*VLOOKUP('Données projet'!$B$11,Paramètres!$A$1:$I$89,3,0)*0.475*44/12</f>
        <v>9.5146871382403701E-10</v>
      </c>
      <c r="BS155" s="22">
        <f t="shared" si="169"/>
        <v>48.660776143663902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4.7884896048344674E-14</v>
      </c>
      <c r="CA155" s="13">
        <f t="shared" si="170"/>
        <v>7.8374629847779921E-13</v>
      </c>
      <c r="CB155" s="20">
        <f t="shared" si="171"/>
        <v>1.4484243304663672E-12</v>
      </c>
      <c r="CC155" s="59">
        <f t="shared" si="119"/>
        <v>293.33333333333474</v>
      </c>
      <c r="CD155" s="59">
        <f ca="1">AVERAGE(OFFSET($CC$3,0,0,'Données projet'!$E$12+1,1))-AVERAGE(OFFSET($H$3,0,0,'Données projet'!$E$12+1,1))</f>
        <v>287.72859857368331</v>
      </c>
      <c r="CE155" s="59">
        <f t="shared" si="148"/>
        <v>179.60736986885922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49.196543175060384</v>
      </c>
      <c r="CL155" s="21">
        <f>EXP(-LN(2)/25)*CL154+(1-EXP(-LN(2)/25))/(LN(2)/25)*Calculateur!CG155*Calculateur!CI155*VLOOKUP('Données projet'!$B$12,Paramètres!$A$1:$I$89,3,0)*0.475*44/12</f>
        <v>7.8153730479635461</v>
      </c>
      <c r="CM155" s="21">
        <f>EXP(-LN(2)/2)*CM154+(1-EXP(-LN(2)/2))/(LN(2)/2)*CG155*CJ155*VLOOKUP('Données projet'!$B$12,Paramètres!$A$1:$I$89,3,0)*0.475*44/12</f>
        <v>8.848933607293708E-7</v>
      </c>
      <c r="CN155" s="22">
        <f t="shared" si="172"/>
        <v>57.011917107917292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243.33915530322201</v>
      </c>
      <c r="CZ155" s="59">
        <f t="shared" si="150"/>
        <v>247.73814704672577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12.490850648106814</v>
      </c>
      <c r="DG155" s="21">
        <f>EXP(-LN(2)/25)*DG154+(1-EXP(-LN(2)/25))/(LN(2)/25)*Calculateur!DB155*Calculateur!DD155*VLOOKUP('Données projet'!$B$13,Paramètres!$A$1:$I$89,3,0)*0.475*44/12</f>
        <v>6.9719131213298704</v>
      </c>
      <c r="DH155" s="21">
        <f>EXP(-LN(2)/2)*DH154+(1-EXP(-LN(2)/2))/(LN(2)/2)*DB155*DE155*VLOOKUP('Données projet'!$B$13,Paramètres!$A$1:$I$89,3,0)*0.475*44/12</f>
        <v>9.083497746091067E-10</v>
      </c>
      <c r="DI155" s="22">
        <f t="shared" si="175"/>
        <v>19.462763770345035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3.177547114319168E-13</v>
      </c>
      <c r="P156" s="13">
        <f t="shared" si="141"/>
        <v>4.1725404435445377E-12</v>
      </c>
      <c r="Q156" s="20">
        <f t="shared" si="162"/>
        <v>7.820597394917325E-12</v>
      </c>
      <c r="R156" s="59">
        <f t="shared" si="109"/>
        <v>293.33333333334116</v>
      </c>
      <c r="S156" s="59">
        <f ca="1">AVERAGE(OFFSET($R$3,0,0,'Données projet'!$E$9+1,1))-AVERAGE(OFFSET($H$3,0,0,'Données projet'!$E$9+1,1))</f>
        <v>287.413090017863</v>
      </c>
      <c r="T156" s="59">
        <f t="shared" si="142"/>
        <v>258.48456031927117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44.593151269391235</v>
      </c>
      <c r="AA156" s="21">
        <f>EXP(-LN(2)/25)*AA155+(1-EXP(-LN(2)/25))/(LN(2)/25)*Calculateur!V156*Calculateur!X156*VLOOKUP('Données projet'!$B$9,Paramètres!$A$1:$I$89,3,0)*0.475*44/12</f>
        <v>7.685999643377758</v>
      </c>
      <c r="AB156" s="21">
        <f>EXP(-LN(2)/2)*AB155+(1-EXP(-LN(2)/2))/(LN(2)/2)*V156*Y156*VLOOKUP('Données projet'!$B$9,Paramètres!$A$1:$I$89,3,0)*0.475*44/12</f>
        <v>2.4279174006420253E-11</v>
      </c>
      <c r="AC156" s="22">
        <f t="shared" si="163"/>
        <v>52.27915091279327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9.3350000000000026</v>
      </c>
      <c r="AI156" s="13">
        <f>IF('Données projet'!$A$62&gt;35,AI155+AH156-AQ155,IF(A156&lt;'Données projet'!$A$62,$AF$205^A156,IF(A156='Données projet'!$A$62,'Données projet'!$B$62,AI155+AH156-AQ155)))</f>
        <v>537.15500000000088</v>
      </c>
      <c r="AJ156" s="13">
        <f>AI156*VLOOKUP('Données projet'!$B$10,Paramètres!$A$1:$I$89,3,0)*VLOOKUP('Données projet'!$B$10,Paramètres!$A$1:$I$89,5,0)</f>
        <v>486.01784400000076</v>
      </c>
      <c r="AK156" s="13">
        <f t="shared" si="164"/>
        <v>109.01291721682281</v>
      </c>
      <c r="AL156" s="20">
        <f t="shared" si="165"/>
        <v>1036.3452424526342</v>
      </c>
      <c r="AM156" s="59">
        <f t="shared" si="113"/>
        <v>1329.6785757859675</v>
      </c>
      <c r="AN156" s="59">
        <f ca="1">AVERAGE(OFFSET($AM$3,0,0,'Données projet'!$E$10+1,1))-AVERAGE(OFFSET($H$3,0,0,'Données projet'!$E$10+1,1))</f>
        <v>422.10969295064359</v>
      </c>
      <c r="AO156" s="59">
        <f t="shared" si="144"/>
        <v>184.04075143033037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41.834664036497585</v>
      </c>
      <c r="AV156" s="21">
        <f>EXP(-LN(2)/25)*AV155+(1-EXP(-LN(2)/25))/(LN(2)/25)*Calculateur!AQ156*Calculateur!AS156*VLOOKUP('Données projet'!$B$10,Paramètres!$A$1:$I$89,3,0)*0.475*44/12</f>
        <v>18.161111194598629</v>
      </c>
      <c r="AW156" s="21">
        <f>EXP(-LN(2)/2)*AW155+(1-EXP(-LN(2)/2))/(LN(2)/2)*AQ156*AT156*VLOOKUP('Données projet'!$B$10,Paramètres!$A$1:$I$89,3,0)*0.475*44/12</f>
        <v>2.2036580330010038E-4</v>
      </c>
      <c r="AX156" s="21">
        <f t="shared" si="166"/>
        <v>59.995995596899519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-9.1631591203622526E-14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217.61052961346684</v>
      </c>
      <c r="BJ156" s="59">
        <f t="shared" si="146"/>
        <v>180.77145728128608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39.678337363095743</v>
      </c>
      <c r="BQ156" s="21">
        <f>EXP(-LN(2)/25)*BQ155+(1-EXP(-LN(2)/25))/(LN(2)/25)*Calculateur!BL156*Calculateur!BN156*VLOOKUP('Données projet'!$B$11,Paramètres!$A$1:$I$89,3,0)*0.475*44/12</f>
        <v>7.9648847830706915</v>
      </c>
      <c r="BR156" s="21">
        <f>EXP(-LN(2)/2)*BR155+(1-EXP(-LN(2)/2))/(LN(2)/2)*BL156*BO156*VLOOKUP('Données projet'!$B$11,Paramètres!$A$1:$I$89,3,0)*0.475*44/12</f>
        <v>6.7278997963181914E-10</v>
      </c>
      <c r="BS156" s="22">
        <f t="shared" si="169"/>
        <v>47.643222146839229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4.7884896048344674E-14</v>
      </c>
      <c r="CA156" s="13">
        <f t="shared" si="170"/>
        <v>7.8374629847779921E-13</v>
      </c>
      <c r="CB156" s="20">
        <f t="shared" si="171"/>
        <v>1.4484243304663672E-12</v>
      </c>
      <c r="CC156" s="59">
        <f t="shared" si="119"/>
        <v>293.33333333333474</v>
      </c>
      <c r="CD156" s="59">
        <f ca="1">AVERAGE(OFFSET($CC$3,0,0,'Données projet'!$E$12+1,1))-AVERAGE(OFFSET($H$3,0,0,'Données projet'!$E$12+1,1))</f>
        <v>287.72859857368331</v>
      </c>
      <c r="CE156" s="59">
        <f t="shared" si="148"/>
        <v>179.60736986885922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48.23182897032585</v>
      </c>
      <c r="CL156" s="21">
        <f>EXP(-LN(2)/25)*CL155+(1-EXP(-LN(2)/25))/(LN(2)/25)*Calculateur!CG156*Calculateur!CI156*VLOOKUP('Données projet'!$B$12,Paramètres!$A$1:$I$89,3,0)*0.475*44/12</f>
        <v>7.6016612609743763</v>
      </c>
      <c r="CM156" s="21">
        <f>EXP(-LN(2)/2)*CM155+(1-EXP(-LN(2)/2))/(LN(2)/2)*CG156*CJ156*VLOOKUP('Données projet'!$B$12,Paramètres!$A$1:$I$89,3,0)*0.475*44/12</f>
        <v>6.2571409599869185E-7</v>
      </c>
      <c r="CN156" s="22">
        <f t="shared" si="172"/>
        <v>55.833490857014318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243.33915530322201</v>
      </c>
      <c r="CZ156" s="59">
        <f t="shared" si="150"/>
        <v>247.73814704672577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12.245912685564054</v>
      </c>
      <c r="DG156" s="21">
        <f>EXP(-LN(2)/25)*DG155+(1-EXP(-LN(2)/25))/(LN(2)/25)*Calculateur!DB156*Calculateur!DD156*VLOOKUP('Données projet'!$B$13,Paramètres!$A$1:$I$89,3,0)*0.475*44/12</f>
        <v>6.7812657903901288</v>
      </c>
      <c r="DH156" s="21">
        <f>EXP(-LN(2)/2)*DH155+(1-EXP(-LN(2)/2))/(LN(2)/2)*DB156*DE156*VLOOKUP('Données projet'!$B$13,Paramètres!$A$1:$I$89,3,0)*0.475*44/12</f>
        <v>6.4230028531537137E-10</v>
      </c>
      <c r="DI156" s="22">
        <f t="shared" si="175"/>
        <v>19.027178476596482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3.177547114319168E-13</v>
      </c>
      <c r="P157" s="13">
        <f t="shared" si="141"/>
        <v>4.1725404435445377E-12</v>
      </c>
      <c r="Q157" s="20">
        <f t="shared" si="162"/>
        <v>7.820597394917325E-12</v>
      </c>
      <c r="R157" s="59">
        <f t="shared" si="109"/>
        <v>293.33333333334116</v>
      </c>
      <c r="S157" s="59">
        <f ca="1">AVERAGE(OFFSET($R$3,0,0,'Données projet'!$E$9+1,1))-AVERAGE(OFFSET($H$3,0,0,'Données projet'!$E$9+1,1))</f>
        <v>287.413090017863</v>
      </c>
      <c r="T157" s="59">
        <f t="shared" si="142"/>
        <v>258.48456031927117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43.718706772135057</v>
      </c>
      <c r="AA157" s="21">
        <f>EXP(-LN(2)/25)*AA156+(1-EXP(-LN(2)/25))/(LN(2)/25)*Calculateur!V157*Calculateur!X157*VLOOKUP('Données projet'!$B$9,Paramètres!$A$1:$I$89,3,0)*0.475*44/12</f>
        <v>7.4758255789404382</v>
      </c>
      <c r="AB157" s="21">
        <f>EXP(-LN(2)/2)*AB156+(1-EXP(-LN(2)/2))/(LN(2)/2)*V157*Y157*VLOOKUP('Données projet'!$B$9,Paramètres!$A$1:$I$89,3,0)*0.475*44/12</f>
        <v>1.7167968581547918E-11</v>
      </c>
      <c r="AC157" s="22">
        <f t="shared" si="163"/>
        <v>51.194532351092661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9.3350000000000026</v>
      </c>
      <c r="AH157" s="12">
        <f t="array" ref="AH157">INDEX(AG:AG,MIN(IF(ISNUMBER(AG157:AG353),ROW(AG157:AG353),"")))</f>
        <v>9.3350000000000026</v>
      </c>
      <c r="AI157" s="13">
        <f>IF('Données projet'!$A$62&gt;35,AI156+AH157-AQ156,IF(A157&lt;'Données projet'!$A$62,$AF$205^A157,IF(A157='Données projet'!$A$62,'Données projet'!$B$62,AI156+AH157-AQ156)))</f>
        <v>546.49000000000092</v>
      </c>
      <c r="AJ157" s="13">
        <f>AI157*VLOOKUP('Données projet'!$B$10,Paramètres!$A$1:$I$89,3,0)*VLOOKUP('Données projet'!$B$10,Paramètres!$A$1:$I$89,5,0)</f>
        <v>494.46415200000081</v>
      </c>
      <c r="AK157" s="13">
        <f t="shared" si="164"/>
        <v>110.68520764370523</v>
      </c>
      <c r="AL157" s="20">
        <f t="shared" si="165"/>
        <v>1053.9684680461214</v>
      </c>
      <c r="AM157" s="59">
        <f t="shared" si="113"/>
        <v>1347.3018013794547</v>
      </c>
      <c r="AN157" s="59">
        <f ca="1">AVERAGE(OFFSET($AM$3,0,0,'Données projet'!$E$10+1,1))-AVERAGE(OFFSET($H$3,0,0,'Données projet'!$E$10+1,1))</f>
        <v>422.10969295064359</v>
      </c>
      <c r="AO157" s="59">
        <f t="shared" si="144"/>
        <v>184.04075143033037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61.050000000000011</v>
      </c>
      <c r="AR157" s="16">
        <f>IF(ISNA(VLOOKUP(A157,'Données projet'!$A$61:$I$81,5,0)),0%,VLOOKUP(A157,'Données projet'!$A$61:$I$81,5,0)*VLOOKUP('Données projet'!$B$10,Paramètres!$A$1:$I$89,7,0))</f>
        <v>0.215</v>
      </c>
      <c r="AS157" s="16">
        <f>IF(ISNA(VLOOKUP(A157,'Données projet'!$A$61:$I$81,6,0)),0%,VLOOKUP(A157,'Données projet'!$A$61:$I$81,6,0)*VLOOKUP('Données projet'!$B$10,Paramètres!$A$1:$I$89,7,0))</f>
        <v>8.6000000000000007E-2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54.143075455710473</v>
      </c>
      <c r="AV157" s="21">
        <f>EXP(-LN(2)/25)*AV156+(1-EXP(-LN(2)/25))/(LN(2)/25)*Calculateur!AQ157*Calculateur!AS157*VLOOKUP('Données projet'!$B$10,Paramètres!$A$1:$I$89,3,0)*0.475*44/12</f>
        <v>22.895322941669175</v>
      </c>
      <c r="AW157" s="21">
        <f>EXP(-LN(2)/2)*AW156+(1-EXP(-LN(2)/2))/(LN(2)/2)*AQ157*AT157*VLOOKUP('Données projet'!$B$10,Paramètres!$A$1:$I$89,3,0)*0.475*44/12</f>
        <v>1.5582215385512185E-4</v>
      </c>
      <c r="AX157" s="21">
        <f t="shared" si="166"/>
        <v>77.038554219533509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-9.1631591203622526E-14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217.61052961346684</v>
      </c>
      <c r="BJ157" s="59">
        <f t="shared" si="146"/>
        <v>180.77145728128608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38.900269368801538</v>
      </c>
      <c r="BQ157" s="21">
        <f>EXP(-LN(2)/25)*BQ156+(1-EXP(-LN(2)/25))/(LN(2)/25)*Calculateur!BL157*Calculateur!BN157*VLOOKUP('Données projet'!$B$11,Paramètres!$A$1:$I$89,3,0)*0.475*44/12</f>
        <v>7.7470845898225367</v>
      </c>
      <c r="BR157" s="21">
        <f>EXP(-LN(2)/2)*BR156+(1-EXP(-LN(2)/2))/(LN(2)/2)*BL157*BO157*VLOOKUP('Données projet'!$B$11,Paramètres!$A$1:$I$89,3,0)*0.475*44/12</f>
        <v>4.7573435691201851E-10</v>
      </c>
      <c r="BS157" s="22">
        <f t="shared" si="169"/>
        <v>46.64735395909981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4.7884896048344674E-14</v>
      </c>
      <c r="CA157" s="13">
        <f t="shared" si="170"/>
        <v>7.8374629847779921E-13</v>
      </c>
      <c r="CB157" s="20">
        <f t="shared" si="171"/>
        <v>1.4484243304663672E-12</v>
      </c>
      <c r="CC157" s="59">
        <f t="shared" si="119"/>
        <v>293.33333333333474</v>
      </c>
      <c r="CD157" s="59">
        <f ca="1">AVERAGE(OFFSET($CC$3,0,0,'Données projet'!$E$12+1,1))-AVERAGE(OFFSET($H$3,0,0,'Données projet'!$E$12+1,1))</f>
        <v>287.72859857368331</v>
      </c>
      <c r="CE157" s="59">
        <f t="shared" si="148"/>
        <v>179.60736986885922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47.286032222728593</v>
      </c>
      <c r="CL157" s="21">
        <f>EXP(-LN(2)/25)*CL156+(1-EXP(-LN(2)/25))/(LN(2)/25)*Calculateur!CG157*Calculateur!CI157*VLOOKUP('Données projet'!$B$12,Paramètres!$A$1:$I$89,3,0)*0.475*44/12</f>
        <v>7.3937934340390399</v>
      </c>
      <c r="CM157" s="21">
        <f>EXP(-LN(2)/2)*CM156+(1-EXP(-LN(2)/2))/(LN(2)/2)*CG157*CJ157*VLOOKUP('Données projet'!$B$12,Paramètres!$A$1:$I$89,3,0)*0.475*44/12</f>
        <v>4.424466803646854E-7</v>
      </c>
      <c r="CN157" s="22">
        <f t="shared" si="172"/>
        <v>54.679826099214317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243.33915530322201</v>
      </c>
      <c r="CZ157" s="59">
        <f t="shared" si="150"/>
        <v>247.73814704672577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12.005777807069352</v>
      </c>
      <c r="DG157" s="21">
        <f>EXP(-LN(2)/25)*DG156+(1-EXP(-LN(2)/25))/(LN(2)/25)*Calculateur!DB157*Calculateur!DD157*VLOOKUP('Données projet'!$B$13,Paramètres!$A$1:$I$89,3,0)*0.475*44/12</f>
        <v>6.5958317207406418</v>
      </c>
      <c r="DH157" s="21">
        <f>EXP(-LN(2)/2)*DH156+(1-EXP(-LN(2)/2))/(LN(2)/2)*DB157*DE157*VLOOKUP('Données projet'!$B$13,Paramètres!$A$1:$I$89,3,0)*0.475*44/12</f>
        <v>4.5417488730455335E-10</v>
      </c>
      <c r="DI157" s="22">
        <f t="shared" si="175"/>
        <v>18.60160952826417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3.177547114319168E-13</v>
      </c>
      <c r="P158" s="13">
        <f t="shared" si="141"/>
        <v>4.1725404435445377E-12</v>
      </c>
      <c r="Q158" s="20">
        <f t="shared" si="162"/>
        <v>7.820597394917325E-12</v>
      </c>
      <c r="R158" s="59">
        <f t="shared" si="109"/>
        <v>293.33333333334116</v>
      </c>
      <c r="S158" s="59">
        <f ca="1">AVERAGE(OFFSET($R$3,0,0,'Données projet'!$E$9+1,1))-AVERAGE(OFFSET($H$3,0,0,'Données projet'!$E$9+1,1))</f>
        <v>287.413090017863</v>
      </c>
      <c r="T158" s="59">
        <f t="shared" si="142"/>
        <v>258.48456031927117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42.861409598111592</v>
      </c>
      <c r="AA158" s="21">
        <f>EXP(-LN(2)/25)*AA157+(1-EXP(-LN(2)/25))/(LN(2)/25)*Calculateur!V158*Calculateur!X158*VLOOKUP('Données projet'!$B$9,Paramètres!$A$1:$I$89,3,0)*0.475*44/12</f>
        <v>7.2713987353477307</v>
      </c>
      <c r="AB158" s="21">
        <f>EXP(-LN(2)/2)*AB157+(1-EXP(-LN(2)/2))/(LN(2)/2)*V158*Y158*VLOOKUP('Données projet'!$B$9,Paramètres!$A$1:$I$89,3,0)*0.475*44/12</f>
        <v>1.2139587003210127E-11</v>
      </c>
      <c r="AC158" s="22">
        <f t="shared" si="163"/>
        <v>50.132808333471459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9.4880000000000049</v>
      </c>
      <c r="AI158" s="13">
        <f>IF('Données projet'!$A$62&gt;35,AI157+AH158-AQ157,IF(A158&lt;'Données projet'!$A$62,$AF$205^A158,IF(A158='Données projet'!$A$62,'Données projet'!$B$62,AI157+AH158-AQ157)))</f>
        <v>494.92800000000096</v>
      </c>
      <c r="AJ158" s="13">
        <f>AI158*VLOOKUP('Données projet'!$B$10,Paramètres!$A$1:$I$89,3,0)*VLOOKUP('Données projet'!$B$10,Paramètres!$A$1:$I$89,5,0)</f>
        <v>447.81085440000084</v>
      </c>
      <c r="AK158" s="13">
        <f t="shared" si="164"/>
        <v>101.40497625718913</v>
      </c>
      <c r="AL158" s="20">
        <f t="shared" si="165"/>
        <v>956.55090506127237</v>
      </c>
      <c r="AM158" s="59">
        <f t="shared" si="113"/>
        <v>1249.8842383946057</v>
      </c>
      <c r="AN158" s="59">
        <f ca="1">AVERAGE(OFFSET($AM$3,0,0,'Données projet'!$E$10+1,1))-AVERAGE(OFFSET($H$3,0,0,'Données projet'!$E$10+1,1))</f>
        <v>422.10969295064359</v>
      </c>
      <c r="AO158" s="59">
        <f t="shared" si="144"/>
        <v>184.04075143033037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53.081362770039171</v>
      </c>
      <c r="AV158" s="21">
        <f>EXP(-LN(2)/25)*AV157+(1-EXP(-LN(2)/25))/(LN(2)/25)*Calculateur!AQ158*Calculateur!AS158*VLOOKUP('Données projet'!$B$10,Paramètres!$A$1:$I$89,3,0)*0.475*44/12</f>
        <v>22.269249131816526</v>
      </c>
      <c r="AW158" s="21">
        <f>EXP(-LN(2)/2)*AW157+(1-EXP(-LN(2)/2))/(LN(2)/2)*AQ158*AT158*VLOOKUP('Données projet'!$B$10,Paramètres!$A$1:$I$89,3,0)*0.475*44/12</f>
        <v>1.1018290165005019E-4</v>
      </c>
      <c r="AX158" s="21">
        <f t="shared" si="166"/>
        <v>75.350722084757351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-9.1631591203622526E-14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217.61052961346684</v>
      </c>
      <c r="BJ158" s="59">
        <f t="shared" si="146"/>
        <v>180.77145728128608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38.137458813300825</v>
      </c>
      <c r="BQ158" s="21">
        <f>EXP(-LN(2)/25)*BQ157+(1-EXP(-LN(2)/25))/(LN(2)/25)*Calculateur!BL158*Calculateur!BN158*VLOOKUP('Données projet'!$B$11,Paramètres!$A$1:$I$89,3,0)*0.475*44/12</f>
        <v>7.5352401543123673</v>
      </c>
      <c r="BR158" s="21">
        <f>EXP(-LN(2)/2)*BR157+(1-EXP(-LN(2)/2))/(LN(2)/2)*BL158*BO158*VLOOKUP('Données projet'!$B$11,Paramètres!$A$1:$I$89,3,0)*0.475*44/12</f>
        <v>3.3639498981590957E-10</v>
      </c>
      <c r="BS158" s="22">
        <f t="shared" si="169"/>
        <v>45.672698967949586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4.7884896048344674E-14</v>
      </c>
      <c r="CA158" s="13">
        <f t="shared" si="170"/>
        <v>7.8374629847779921E-13</v>
      </c>
      <c r="CB158" s="20">
        <f t="shared" si="171"/>
        <v>1.4484243304663672E-12</v>
      </c>
      <c r="CC158" s="59">
        <f t="shared" si="119"/>
        <v>293.33333333333474</v>
      </c>
      <c r="CD158" s="59">
        <f ca="1">AVERAGE(OFFSET($CC$3,0,0,'Données projet'!$E$12+1,1))-AVERAGE(OFFSET($H$3,0,0,'Données projet'!$E$12+1,1))</f>
        <v>287.72859857368331</v>
      </c>
      <c r="CE158" s="59">
        <f t="shared" si="148"/>
        <v>179.60736986885922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46.35878197247267</v>
      </c>
      <c r="CL158" s="21">
        <f>EXP(-LN(2)/25)*CL157+(1-EXP(-LN(2)/25))/(LN(2)/25)*Calculateur!CG158*Calculateur!CI158*VLOOKUP('Données projet'!$B$12,Paramètres!$A$1:$I$89,3,0)*0.475*44/12</f>
        <v>7.1916097637625445</v>
      </c>
      <c r="CM158" s="21">
        <f>EXP(-LN(2)/2)*CM157+(1-EXP(-LN(2)/2))/(LN(2)/2)*CG158*CJ158*VLOOKUP('Données projet'!$B$12,Paramètres!$A$1:$I$89,3,0)*0.475*44/12</f>
        <v>3.1285704799934593E-7</v>
      </c>
      <c r="CN158" s="22">
        <f t="shared" si="172"/>
        <v>53.55039204909226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243.33915530322201</v>
      </c>
      <c r="CZ158" s="59">
        <f t="shared" si="150"/>
        <v>247.73814704672577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11.770351827074117</v>
      </c>
      <c r="DG158" s="21">
        <f>EXP(-LN(2)/25)*DG157+(1-EXP(-LN(2)/25))/(LN(2)/25)*Calculateur!DB158*Calculateur!DD158*VLOOKUP('Données projet'!$B$13,Paramètres!$A$1:$I$89,3,0)*0.475*44/12</f>
        <v>6.415468355477274</v>
      </c>
      <c r="DH158" s="21">
        <f>EXP(-LN(2)/2)*DH157+(1-EXP(-LN(2)/2))/(LN(2)/2)*DB158*DE158*VLOOKUP('Données projet'!$B$13,Paramètres!$A$1:$I$89,3,0)*0.475*44/12</f>
        <v>3.2115014265768568E-10</v>
      </c>
      <c r="DI158" s="22">
        <f t="shared" si="175"/>
        <v>18.185820182872543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3.177547114319168E-13</v>
      </c>
      <c r="P159" s="13">
        <f t="shared" si="141"/>
        <v>4.1725404435445377E-12</v>
      </c>
      <c r="Q159" s="20">
        <f t="shared" si="162"/>
        <v>7.820597394917325E-12</v>
      </c>
      <c r="R159" s="59">
        <f t="shared" si="109"/>
        <v>293.33333333334116</v>
      </c>
      <c r="S159" s="59">
        <f ca="1">AVERAGE(OFFSET($R$3,0,0,'Données projet'!$E$9+1,1))-AVERAGE(OFFSET($H$3,0,0,'Données projet'!$E$9+1,1))</f>
        <v>287.413090017863</v>
      </c>
      <c r="T159" s="59">
        <f t="shared" si="142"/>
        <v>258.48456031927117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42.020923498771083</v>
      </c>
      <c r="AA159" s="21">
        <f>EXP(-LN(2)/25)*AA158+(1-EXP(-LN(2)/25))/(LN(2)/25)*Calculateur!V159*Calculateur!X159*VLOOKUP('Données projet'!$B$9,Paramètres!$A$1:$I$89,3,0)*0.475*44/12</f>
        <v>7.0725619545434064</v>
      </c>
      <c r="AB159" s="21">
        <f>EXP(-LN(2)/2)*AB158+(1-EXP(-LN(2)/2))/(LN(2)/2)*V159*Y159*VLOOKUP('Données projet'!$B$9,Paramètres!$A$1:$I$89,3,0)*0.475*44/12</f>
        <v>8.583984290773959E-12</v>
      </c>
      <c r="AC159" s="22">
        <f t="shared" si="163"/>
        <v>49.093485453323069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9.4880000000000049</v>
      </c>
      <c r="AI159" s="13">
        <f>IF('Données projet'!$A$62&gt;35,AI158+AH159-AQ158,IF(A159&lt;'Données projet'!$A$62,$AF$205^A159,IF(A159='Données projet'!$A$62,'Données projet'!$B$62,AI158+AH159-AQ158)))</f>
        <v>504.41600000000096</v>
      </c>
      <c r="AJ159" s="13">
        <f>AI159*VLOOKUP('Données projet'!$B$10,Paramètres!$A$1:$I$89,3,0)*VLOOKUP('Données projet'!$B$10,Paramètres!$A$1:$I$89,5,0)</f>
        <v>456.39559680000082</v>
      </c>
      <c r="AK159" s="13">
        <f t="shared" si="164"/>
        <v>103.12077454694855</v>
      </c>
      <c r="AL159" s="20">
        <f t="shared" si="165"/>
        <v>974.49101342927031</v>
      </c>
      <c r="AM159" s="59">
        <f t="shared" si="113"/>
        <v>1267.8243467626037</v>
      </c>
      <c r="AN159" s="59">
        <f ca="1">AVERAGE(OFFSET($AM$3,0,0,'Données projet'!$E$10+1,1))-AVERAGE(OFFSET($H$3,0,0,'Données projet'!$E$10+1,1))</f>
        <v>422.10969295064359</v>
      </c>
      <c r="AO159" s="59">
        <f t="shared" si="144"/>
        <v>184.04075143033037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52.040469622553083</v>
      </c>
      <c r="AV159" s="21">
        <f>EXP(-LN(2)/25)*AV158+(1-EXP(-LN(2)/25))/(LN(2)/25)*Calculateur!AQ159*Calculateur!AS159*VLOOKUP('Données projet'!$B$10,Paramètres!$A$1:$I$89,3,0)*0.475*44/12</f>
        <v>21.660295343218088</v>
      </c>
      <c r="AW159" s="21">
        <f>EXP(-LN(2)/2)*AW158+(1-EXP(-LN(2)/2))/(LN(2)/2)*AQ159*AT159*VLOOKUP('Données projet'!$B$10,Paramètres!$A$1:$I$89,3,0)*0.475*44/12</f>
        <v>7.7911076927560926E-5</v>
      </c>
      <c r="AX159" s="21">
        <f t="shared" si="166"/>
        <v>73.7008428768481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-9.1631591203622526E-14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217.61052961346684</v>
      </c>
      <c r="BJ159" s="59">
        <f t="shared" si="146"/>
        <v>180.77145728128608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37.389606507524981</v>
      </c>
      <c r="BQ159" s="21">
        <f>EXP(-LN(2)/25)*BQ158+(1-EXP(-LN(2)/25))/(LN(2)/25)*Calculateur!BL159*Calculateur!BN159*VLOOKUP('Données projet'!$B$11,Paramètres!$A$1:$I$89,3,0)*0.475*44/12</f>
        <v>7.3291886160316375</v>
      </c>
      <c r="BR159" s="21">
        <f>EXP(-LN(2)/2)*BR158+(1-EXP(-LN(2)/2))/(LN(2)/2)*BL159*BO159*VLOOKUP('Données projet'!$B$11,Paramètres!$A$1:$I$89,3,0)*0.475*44/12</f>
        <v>2.3786717845600925E-10</v>
      </c>
      <c r="BS159" s="22">
        <f t="shared" si="169"/>
        <v>44.718795123794486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4.7884896048344674E-14</v>
      </c>
      <c r="CA159" s="13">
        <f t="shared" si="170"/>
        <v>7.8374629847779921E-13</v>
      </c>
      <c r="CB159" s="20">
        <f t="shared" si="171"/>
        <v>1.4484243304663672E-12</v>
      </c>
      <c r="CC159" s="59">
        <f t="shared" si="119"/>
        <v>293.33333333333474</v>
      </c>
      <c r="CD159" s="59">
        <f ca="1">AVERAGE(OFFSET($CC$3,0,0,'Données projet'!$E$12+1,1))-AVERAGE(OFFSET($H$3,0,0,'Données projet'!$E$12+1,1))</f>
        <v>287.72859857368331</v>
      </c>
      <c r="CE159" s="59">
        <f t="shared" si="148"/>
        <v>179.60736986885922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45.449714534057456</v>
      </c>
      <c r="CL159" s="21">
        <f>EXP(-LN(2)/25)*CL158+(1-EXP(-LN(2)/25))/(LN(2)/25)*Calculateur!CG159*Calculateur!CI159*VLOOKUP('Données projet'!$B$12,Paramètres!$A$1:$I$89,3,0)*0.475*44/12</f>
        <v>6.9949548165821369</v>
      </c>
      <c r="CM159" s="21">
        <f>EXP(-LN(2)/2)*CM158+(1-EXP(-LN(2)/2))/(LN(2)/2)*CG159*CJ159*VLOOKUP('Données projet'!$B$12,Paramètres!$A$1:$I$89,3,0)*0.475*44/12</f>
        <v>2.212233401823427E-7</v>
      </c>
      <c r="CN159" s="22">
        <f t="shared" si="172"/>
        <v>52.444669571862931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243.33915530322201</v>
      </c>
      <c r="CZ159" s="59">
        <f t="shared" si="150"/>
        <v>247.73814704672577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11.53954240695092</v>
      </c>
      <c r="DG159" s="21">
        <f>EXP(-LN(2)/25)*DG158+(1-EXP(-LN(2)/25))/(LN(2)/25)*Calculateur!DB159*Calculateur!DD159*VLOOKUP('Données projet'!$B$13,Paramètres!$A$1:$I$89,3,0)*0.475*44/12</f>
        <v>6.2400370359219295</v>
      </c>
      <c r="DH159" s="21">
        <f>EXP(-LN(2)/2)*DH158+(1-EXP(-LN(2)/2))/(LN(2)/2)*DB159*DE159*VLOOKUP('Données projet'!$B$13,Paramètres!$A$1:$I$89,3,0)*0.475*44/12</f>
        <v>2.2708744365227668E-10</v>
      </c>
      <c r="DI159" s="22">
        <f t="shared" si="175"/>
        <v>17.779579443099937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3.177547114319168E-13</v>
      </c>
      <c r="P160" s="13">
        <f t="shared" si="141"/>
        <v>4.1725404435445377E-12</v>
      </c>
      <c r="Q160" s="20">
        <f t="shared" si="162"/>
        <v>7.820597394917325E-12</v>
      </c>
      <c r="R160" s="59">
        <f t="shared" si="109"/>
        <v>293.33333333334116</v>
      </c>
      <c r="S160" s="59">
        <f ca="1">AVERAGE(OFFSET($R$3,0,0,'Données projet'!$E$9+1,1))-AVERAGE(OFFSET($H$3,0,0,'Données projet'!$E$9+1,1))</f>
        <v>287.413090017863</v>
      </c>
      <c r="T160" s="59">
        <f t="shared" si="142"/>
        <v>258.48456031927117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41.196918819192739</v>
      </c>
      <c r="AA160" s="21">
        <f>EXP(-LN(2)/25)*AA159+(1-EXP(-LN(2)/25))/(LN(2)/25)*Calculateur!V160*Calculateur!X160*VLOOKUP('Données projet'!$B$9,Paramètres!$A$1:$I$89,3,0)*0.475*44/12</f>
        <v>6.8791623759665486</v>
      </c>
      <c r="AB160" s="21">
        <f>EXP(-LN(2)/2)*AB159+(1-EXP(-LN(2)/2))/(LN(2)/2)*V160*Y160*VLOOKUP('Données projet'!$B$9,Paramètres!$A$1:$I$89,3,0)*0.475*44/12</f>
        <v>6.0697935016050633E-12</v>
      </c>
      <c r="AC160" s="22">
        <f t="shared" si="163"/>
        <v>48.076081195165358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9.4880000000000049</v>
      </c>
      <c r="AI160" s="13">
        <f>IF('Données projet'!$A$62&gt;35,AI159+AH160-AQ159,IF(A160&lt;'Données projet'!$A$62,$AF$205^A160,IF(A160='Données projet'!$A$62,'Données projet'!$B$62,AI159+AH160-AQ159)))</f>
        <v>513.90400000000102</v>
      </c>
      <c r="AJ160" s="13">
        <f>AI160*VLOOKUP('Données projet'!$B$10,Paramètres!$A$1:$I$89,3,0)*VLOOKUP('Données projet'!$B$10,Paramètres!$A$1:$I$89,5,0)</f>
        <v>464.98033920000091</v>
      </c>
      <c r="AK160" s="13">
        <f t="shared" si="164"/>
        <v>104.83282002515982</v>
      </c>
      <c r="AL160" s="20">
        <f t="shared" si="165"/>
        <v>992.4245856504881</v>
      </c>
      <c r="AM160" s="59">
        <f t="shared" si="113"/>
        <v>1285.7579189838214</v>
      </c>
      <c r="AN160" s="59">
        <f ca="1">AVERAGE(OFFSET($AM$3,0,0,'Données projet'!$E$10+1,1))-AVERAGE(OFFSET($H$3,0,0,'Données projet'!$E$10+1,1))</f>
        <v>422.10969295064359</v>
      </c>
      <c r="AO160" s="59">
        <f t="shared" si="144"/>
        <v>184.04075143033037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51.019987754807069</v>
      </c>
      <c r="AV160" s="21">
        <f>EXP(-LN(2)/25)*AV159+(1-EXP(-LN(2)/25))/(LN(2)/25)*Calculateur!AQ160*Calculateur!AS160*VLOOKUP('Données projet'!$B$10,Paramètres!$A$1:$I$89,3,0)*0.475*44/12</f>
        <v>21.067993427992363</v>
      </c>
      <c r="AW160" s="21">
        <f>EXP(-LN(2)/2)*AW159+(1-EXP(-LN(2)/2))/(LN(2)/2)*AQ160*AT160*VLOOKUP('Données projet'!$B$10,Paramètres!$A$1:$I$89,3,0)*0.475*44/12</f>
        <v>5.5091450825025096E-5</v>
      </c>
      <c r="AX160" s="21">
        <f t="shared" si="166"/>
        <v>72.088036274250257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-9.1631591203622526E-14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217.61052961346684</v>
      </c>
      <c r="BJ160" s="59">
        <f t="shared" si="146"/>
        <v>180.77145728128608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36.65641912932054</v>
      </c>
      <c r="BQ160" s="21">
        <f>EXP(-LN(2)/25)*BQ159+(1-EXP(-LN(2)/25))/(LN(2)/25)*Calculateur!BL160*Calculateur!BN160*VLOOKUP('Données projet'!$B$11,Paramètres!$A$1:$I$89,3,0)*0.475*44/12</f>
        <v>7.1287715679009738</v>
      </c>
      <c r="BR160" s="21">
        <f>EXP(-LN(2)/2)*BR159+(1-EXP(-LN(2)/2))/(LN(2)/2)*BL160*BO160*VLOOKUP('Données projet'!$B$11,Paramètres!$A$1:$I$89,3,0)*0.475*44/12</f>
        <v>1.6819749490795479E-10</v>
      </c>
      <c r="BS160" s="22">
        <f t="shared" si="169"/>
        <v>43.785190697389716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4.7884896048344674E-14</v>
      </c>
      <c r="CA160" s="13">
        <f t="shared" si="170"/>
        <v>7.8374629847779921E-13</v>
      </c>
      <c r="CB160" s="20">
        <f t="shared" si="171"/>
        <v>1.4484243304663672E-12</v>
      </c>
      <c r="CC160" s="59">
        <f t="shared" si="119"/>
        <v>293.33333333333474</v>
      </c>
      <c r="CD160" s="59">
        <f ca="1">AVERAGE(OFFSET($CC$3,0,0,'Données projet'!$E$12+1,1))-AVERAGE(OFFSET($H$3,0,0,'Données projet'!$E$12+1,1))</f>
        <v>287.72859857368331</v>
      </c>
      <c r="CE160" s="59">
        <f t="shared" si="148"/>
        <v>179.60736986885922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44.558473353633175</v>
      </c>
      <c r="CL160" s="21">
        <f>EXP(-LN(2)/25)*CL159+(1-EXP(-LN(2)/25))/(LN(2)/25)*Calculateur!CG160*Calculateur!CI160*VLOOKUP('Données projet'!$B$12,Paramètres!$A$1:$I$89,3,0)*0.475*44/12</f>
        <v>6.8036774092740115</v>
      </c>
      <c r="CM160" s="21">
        <f>EXP(-LN(2)/2)*CM159+(1-EXP(-LN(2)/2))/(LN(2)/2)*CG160*CJ160*VLOOKUP('Données projet'!$B$12,Paramètres!$A$1:$I$89,3,0)*0.475*44/12</f>
        <v>1.5642852399967296E-7</v>
      </c>
      <c r="CN160" s="22">
        <f t="shared" si="172"/>
        <v>51.362150919335711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243.33915530322201</v>
      </c>
      <c r="CZ160" s="59">
        <f t="shared" si="150"/>
        <v>247.73814704672577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11.313259018776494</v>
      </c>
      <c r="DG160" s="21">
        <f>EXP(-LN(2)/25)*DG159+(1-EXP(-LN(2)/25))/(LN(2)/25)*Calculateur!DB160*Calculateur!DD160*VLOOKUP('Données projet'!$B$13,Paramètres!$A$1:$I$89,3,0)*0.475*44/12</f>
        <v>6.069402895025358</v>
      </c>
      <c r="DH160" s="21">
        <f>EXP(-LN(2)/2)*DH159+(1-EXP(-LN(2)/2))/(LN(2)/2)*DB160*DE160*VLOOKUP('Données projet'!$B$13,Paramètres!$A$1:$I$89,3,0)*0.475*44/12</f>
        <v>1.6057507132884284E-10</v>
      </c>
      <c r="DI160" s="22">
        <f t="shared" si="175"/>
        <v>17.382661913962426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3.177547114319168E-13</v>
      </c>
      <c r="P161" s="13">
        <f t="shared" si="141"/>
        <v>4.1725404435445377E-12</v>
      </c>
      <c r="Q161" s="20">
        <f t="shared" si="162"/>
        <v>7.820597394917325E-12</v>
      </c>
      <c r="R161" s="59">
        <f t="shared" si="109"/>
        <v>293.33333333334116</v>
      </c>
      <c r="S161" s="59">
        <f ca="1">AVERAGE(OFFSET($R$3,0,0,'Données projet'!$E$9+1,1))-AVERAGE(OFFSET($H$3,0,0,'Données projet'!$E$9+1,1))</f>
        <v>287.413090017863</v>
      </c>
      <c r="T161" s="59">
        <f t="shared" si="142"/>
        <v>258.48456031927117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40.389072368787701</v>
      </c>
      <c r="AA161" s="21">
        <f>EXP(-LN(2)/25)*AA160+(1-EXP(-LN(2)/25))/(LN(2)/25)*Calculateur!V161*Calculateur!X161*VLOOKUP('Données projet'!$B$9,Paramètres!$A$1:$I$89,3,0)*0.475*44/12</f>
        <v>6.6910513190363163</v>
      </c>
      <c r="AB161" s="21">
        <f>EXP(-LN(2)/2)*AB160+(1-EXP(-LN(2)/2))/(LN(2)/2)*V161*Y161*VLOOKUP('Données projet'!$B$9,Paramètres!$A$1:$I$89,3,0)*0.475*44/12</f>
        <v>4.2919921453869795E-12</v>
      </c>
      <c r="AC161" s="22">
        <f t="shared" si="163"/>
        <v>47.080123687828312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9.4880000000000049</v>
      </c>
      <c r="AI161" s="13">
        <f>IF('Données projet'!$A$62&gt;35,AI160+AH161-AQ160,IF(A161&lt;'Données projet'!$A$62,$AF$205^A161,IF(A161='Données projet'!$A$62,'Données projet'!$B$62,AI160+AH161-AQ160)))</f>
        <v>523.39200000000108</v>
      </c>
      <c r="AJ161" s="13">
        <f>AI161*VLOOKUP('Données projet'!$B$10,Paramètres!$A$1:$I$89,3,0)*VLOOKUP('Données projet'!$B$10,Paramètres!$A$1:$I$89,5,0)</f>
        <v>473.56508160000089</v>
      </c>
      <c r="AK161" s="13">
        <f t="shared" si="164"/>
        <v>106.54118996921356</v>
      </c>
      <c r="AL161" s="20">
        <f t="shared" si="165"/>
        <v>1010.3517563163817</v>
      </c>
      <c r="AM161" s="59">
        <f t="shared" si="113"/>
        <v>1303.6850896497151</v>
      </c>
      <c r="AN161" s="59">
        <f ca="1">AVERAGE(OFFSET($AM$3,0,0,'Données projet'!$E$10+1,1))-AVERAGE(OFFSET($H$3,0,0,'Données projet'!$E$10+1,1))</f>
        <v>422.10969295064359</v>
      </c>
      <c r="AO161" s="59">
        <f t="shared" si="144"/>
        <v>184.04075143033037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50.019516914055075</v>
      </c>
      <c r="AV161" s="21">
        <f>EXP(-LN(2)/25)*AV160+(1-EXP(-LN(2)/25))/(LN(2)/25)*Calculateur!AQ161*Calculateur!AS161*VLOOKUP('Données projet'!$B$10,Paramètres!$A$1:$I$89,3,0)*0.475*44/12</f>
        <v>20.491888039786289</v>
      </c>
      <c r="AW161" s="21">
        <f>EXP(-LN(2)/2)*AW160+(1-EXP(-LN(2)/2))/(LN(2)/2)*AQ161*AT161*VLOOKUP('Données projet'!$B$10,Paramètres!$A$1:$I$89,3,0)*0.475*44/12</f>
        <v>3.8955538463780463E-5</v>
      </c>
      <c r="AX161" s="21">
        <f t="shared" si="166"/>
        <v>70.511443909379821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-9.1631591203622526E-14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217.61052961346684</v>
      </c>
      <c r="BJ161" s="59">
        <f t="shared" si="146"/>
        <v>180.77145728128608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35.93760910840254</v>
      </c>
      <c r="BQ161" s="21">
        <f>EXP(-LN(2)/25)*BQ160+(1-EXP(-LN(2)/25))/(LN(2)/25)*Calculateur!BL161*Calculateur!BN161*VLOOKUP('Données projet'!$B$11,Paramètres!$A$1:$I$89,3,0)*0.475*44/12</f>
        <v>6.9338349344909176</v>
      </c>
      <c r="BR161" s="21">
        <f>EXP(-LN(2)/2)*BR160+(1-EXP(-LN(2)/2))/(LN(2)/2)*BL161*BO161*VLOOKUP('Données projet'!$B$11,Paramètres!$A$1:$I$89,3,0)*0.475*44/12</f>
        <v>1.1893358922800463E-10</v>
      </c>
      <c r="BS161" s="22">
        <f t="shared" si="169"/>
        <v>42.871444043012389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4.7884896048344674E-14</v>
      </c>
      <c r="CA161" s="13">
        <f t="shared" si="170"/>
        <v>7.8374629847779921E-13</v>
      </c>
      <c r="CB161" s="20">
        <f t="shared" si="171"/>
        <v>1.4484243304663672E-12</v>
      </c>
      <c r="CC161" s="59">
        <f t="shared" si="119"/>
        <v>293.33333333333474</v>
      </c>
      <c r="CD161" s="59">
        <f ca="1">AVERAGE(OFFSET($CC$3,0,0,'Données projet'!$E$12+1,1))-AVERAGE(OFFSET($H$3,0,0,'Données projet'!$E$12+1,1))</f>
        <v>287.72859857368331</v>
      </c>
      <c r="CE161" s="59">
        <f t="shared" si="148"/>
        <v>179.60736986885922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43.684708869153575</v>
      </c>
      <c r="CL161" s="21">
        <f>EXP(-LN(2)/25)*CL160+(1-EXP(-LN(2)/25))/(LN(2)/25)*Calculateur!CG161*Calculateur!CI161*VLOOKUP('Données projet'!$B$12,Paramètres!$A$1:$I$89,3,0)*0.475*44/12</f>
        <v>6.6176304927275691</v>
      </c>
      <c r="CM161" s="21">
        <f>EXP(-LN(2)/2)*CM160+(1-EXP(-LN(2)/2))/(LN(2)/2)*CG161*CJ161*VLOOKUP('Données projet'!$B$12,Paramètres!$A$1:$I$89,3,0)*0.475*44/12</f>
        <v>1.1061167009117135E-7</v>
      </c>
      <c r="CN161" s="22">
        <f t="shared" si="172"/>
        <v>50.302339472492818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243.33915530322201</v>
      </c>
      <c r="CZ161" s="59">
        <f t="shared" si="150"/>
        <v>247.73814704672577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11.09141290982493</v>
      </c>
      <c r="DG161" s="21">
        <f>EXP(-LN(2)/25)*DG160+(1-EXP(-LN(2)/25))/(LN(2)/25)*Calculateur!DB161*Calculateur!DD161*VLOOKUP('Données projet'!$B$13,Paramètres!$A$1:$I$89,3,0)*0.475*44/12</f>
        <v>5.9034347536848628</v>
      </c>
      <c r="DH161" s="21">
        <f>EXP(-LN(2)/2)*DH160+(1-EXP(-LN(2)/2))/(LN(2)/2)*DB161*DE161*VLOOKUP('Données projet'!$B$13,Paramètres!$A$1:$I$89,3,0)*0.475*44/12</f>
        <v>1.1354372182613834E-10</v>
      </c>
      <c r="DI161" s="22">
        <f t="shared" si="175"/>
        <v>16.994847663623339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3.177547114319168E-13</v>
      </c>
      <c r="P162" s="13">
        <f t="shared" si="141"/>
        <v>4.1725404435445377E-12</v>
      </c>
      <c r="Q162" s="20">
        <f t="shared" si="162"/>
        <v>7.820597394917325E-12</v>
      </c>
      <c r="R162" s="59">
        <f t="shared" si="109"/>
        <v>293.33333333334116</v>
      </c>
      <c r="S162" s="59">
        <f ca="1">AVERAGE(OFFSET($R$3,0,0,'Données projet'!$E$9+1,1))-AVERAGE(OFFSET($H$3,0,0,'Données projet'!$E$9+1,1))</f>
        <v>287.413090017863</v>
      </c>
      <c r="T162" s="59">
        <f t="shared" si="142"/>
        <v>258.48456031927117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39.597067294537425</v>
      </c>
      <c r="AA162" s="21">
        <f>EXP(-LN(2)/25)*AA161+(1-EXP(-LN(2)/25))/(LN(2)/25)*Calculateur!V162*Calculateur!X162*VLOOKUP('Données projet'!$B$9,Paramètres!$A$1:$I$89,3,0)*0.475*44/12</f>
        <v>6.5080841688501723</v>
      </c>
      <c r="AB162" s="21">
        <f>EXP(-LN(2)/2)*AB161+(1-EXP(-LN(2)/2))/(LN(2)/2)*V162*Y162*VLOOKUP('Données projet'!$B$9,Paramètres!$A$1:$I$89,3,0)*0.475*44/12</f>
        <v>3.0348967508025317E-12</v>
      </c>
      <c r="AC162" s="22">
        <f t="shared" si="163"/>
        <v>46.105151463390634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9.4880000000000049</v>
      </c>
      <c r="AI162" s="13">
        <f>IF('Données projet'!$A$62&gt;35,AI161+AH162-AQ161,IF(A162&lt;'Données projet'!$A$62,$AF$205^A162,IF(A162='Données projet'!$A$62,'Données projet'!$B$62,AI161+AH162-AQ161)))</f>
        <v>532.88000000000113</v>
      </c>
      <c r="AJ162" s="13">
        <f>AI162*VLOOKUP('Données projet'!$B$10,Paramètres!$A$1:$I$89,3,0)*VLOOKUP('Données projet'!$B$10,Paramètres!$A$1:$I$89,5,0)</f>
        <v>482.14982400000099</v>
      </c>
      <c r="AK162" s="13">
        <f t="shared" si="164"/>
        <v>108.24595869432409</v>
      </c>
      <c r="AL162" s="20">
        <f t="shared" si="165"/>
        <v>1028.272654859283</v>
      </c>
      <c r="AM162" s="59">
        <f t="shared" si="113"/>
        <v>1321.6059881926162</v>
      </c>
      <c r="AN162" s="59">
        <f ca="1">AVERAGE(OFFSET($AM$3,0,0,'Données projet'!$E$10+1,1))-AVERAGE(OFFSET($H$3,0,0,'Données projet'!$E$10+1,1))</f>
        <v>422.10969295064359</v>
      </c>
      <c r="AO162" s="59">
        <f t="shared" si="144"/>
        <v>184.04075143033037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49.038664696263268</v>
      </c>
      <c r="AV162" s="21">
        <f>EXP(-LN(2)/25)*AV161+(1-EXP(-LN(2)/25))/(LN(2)/25)*Calculateur!AQ162*Calculateur!AS162*VLOOKUP('Données projet'!$B$10,Paramètres!$A$1:$I$89,3,0)*0.475*44/12</f>
        <v>19.931536283716778</v>
      </c>
      <c r="AW162" s="21">
        <f>EXP(-LN(2)/2)*AW161+(1-EXP(-LN(2)/2))/(LN(2)/2)*AQ162*AT162*VLOOKUP('Données projet'!$B$10,Paramètres!$A$1:$I$89,3,0)*0.475*44/12</f>
        <v>2.7545725412512548E-5</v>
      </c>
      <c r="AX162" s="21">
        <f t="shared" si="166"/>
        <v>68.970228525705465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-9.1631591203622526E-14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217.61052961346684</v>
      </c>
      <c r="BJ162" s="59">
        <f t="shared" si="146"/>
        <v>180.77145728128608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35.232894513563927</v>
      </c>
      <c r="BQ162" s="21">
        <f>EXP(-LN(2)/25)*BQ161+(1-EXP(-LN(2)/25))/(LN(2)/25)*Calculateur!BL162*Calculateur!BN162*VLOOKUP('Données projet'!$B$11,Paramètres!$A$1:$I$89,3,0)*0.475*44/12</f>
        <v>6.7442288535727322</v>
      </c>
      <c r="BR162" s="21">
        <f>EXP(-LN(2)/2)*BR161+(1-EXP(-LN(2)/2))/(LN(2)/2)*BL162*BO162*VLOOKUP('Données projet'!$B$11,Paramètres!$A$1:$I$89,3,0)*0.475*44/12</f>
        <v>8.4098747453977393E-11</v>
      </c>
      <c r="BS162" s="22">
        <f t="shared" si="169"/>
        <v>41.977123367220756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4.7884896048344674E-14</v>
      </c>
      <c r="CA162" s="13">
        <f t="shared" si="170"/>
        <v>7.8374629847779921E-13</v>
      </c>
      <c r="CB162" s="20">
        <f t="shared" si="171"/>
        <v>1.4484243304663672E-12</v>
      </c>
      <c r="CC162" s="59">
        <f t="shared" si="119"/>
        <v>293.33333333333474</v>
      </c>
      <c r="CD162" s="59">
        <f ca="1">AVERAGE(OFFSET($CC$3,0,0,'Données projet'!$E$12+1,1))-AVERAGE(OFFSET($H$3,0,0,'Données projet'!$E$12+1,1))</f>
        <v>287.72859857368331</v>
      </c>
      <c r="CE162" s="59">
        <f t="shared" si="148"/>
        <v>179.60736986885922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42.828078373270905</v>
      </c>
      <c r="CL162" s="21">
        <f>EXP(-LN(2)/25)*CL161+(1-EXP(-LN(2)/25))/(LN(2)/25)*Calculateur!CG162*Calculateur!CI162*VLOOKUP('Données projet'!$B$12,Paramètres!$A$1:$I$89,3,0)*0.475*44/12</f>
        <v>6.4366710388978712</v>
      </c>
      <c r="CM162" s="21">
        <f>EXP(-LN(2)/2)*CM161+(1-EXP(-LN(2)/2))/(LN(2)/2)*CG162*CJ162*VLOOKUP('Données projet'!$B$12,Paramètres!$A$1:$I$89,3,0)*0.475*44/12</f>
        <v>7.8214261999836482E-8</v>
      </c>
      <c r="CN162" s="22">
        <f t="shared" si="172"/>
        <v>49.264749490383039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243.33915530322201</v>
      </c>
      <c r="CZ162" s="59">
        <f t="shared" si="150"/>
        <v>247.73814704672577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10.873917067757141</v>
      </c>
      <c r="DG162" s="21">
        <f>EXP(-LN(2)/25)*DG161+(1-EXP(-LN(2)/25))/(LN(2)/25)*Calculateur!DB162*Calculateur!DD162*VLOOKUP('Données projet'!$B$13,Paramètres!$A$1:$I$89,3,0)*0.475*44/12</f>
        <v>5.742005019897209</v>
      </c>
      <c r="DH162" s="21">
        <f>EXP(-LN(2)/2)*DH161+(1-EXP(-LN(2)/2))/(LN(2)/2)*DB162*DE162*VLOOKUP('Données projet'!$B$13,Paramètres!$A$1:$I$89,3,0)*0.475*44/12</f>
        <v>8.0287535664421421E-11</v>
      </c>
      <c r="DI162" s="22">
        <f t="shared" si="175"/>
        <v>16.615922087734639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3.177547114319168E-13</v>
      </c>
      <c r="P163" s="13">
        <f t="shared" si="141"/>
        <v>4.1725404435445377E-12</v>
      </c>
      <c r="Q163" s="20">
        <f t="shared" si="162"/>
        <v>7.820597394917325E-12</v>
      </c>
      <c r="R163" s="59">
        <f t="shared" si="109"/>
        <v>293.33333333334116</v>
      </c>
      <c r="S163" s="59">
        <f ca="1">AVERAGE(OFFSET($R$3,0,0,'Données projet'!$E$9+1,1))-AVERAGE(OFFSET($H$3,0,0,'Données projet'!$E$9+1,1))</f>
        <v>287.413090017863</v>
      </c>
      <c r="T163" s="59">
        <f t="shared" si="142"/>
        <v>258.48456031927117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38.820592956717803</v>
      </c>
      <c r="AA163" s="21">
        <f>EXP(-LN(2)/25)*AA162+(1-EXP(-LN(2)/25))/(LN(2)/25)*Calculateur!V163*Calculateur!X163*VLOOKUP('Données projet'!$B$9,Paramètres!$A$1:$I$89,3,0)*0.475*44/12</f>
        <v>6.3301202650076922</v>
      </c>
      <c r="AB163" s="21">
        <f>EXP(-LN(2)/2)*AB162+(1-EXP(-LN(2)/2))/(LN(2)/2)*V163*Y163*VLOOKUP('Données projet'!$B$9,Paramètres!$A$1:$I$89,3,0)*0.475*44/12</f>
        <v>2.1459960726934898E-12</v>
      </c>
      <c r="AC163" s="22">
        <f t="shared" si="163"/>
        <v>45.150713221727642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9.4880000000000049</v>
      </c>
      <c r="AI163" s="13">
        <f>IF('Données projet'!$A$62&gt;35,AI162+AH163-AQ162,IF(A163&lt;'Données projet'!$A$62,$AF$205^A163,IF(A163='Données projet'!$A$62,'Données projet'!$B$62,AI162+AH163-AQ162)))</f>
        <v>542.36800000000119</v>
      </c>
      <c r="AJ163" s="13">
        <f>AI163*VLOOKUP('Données projet'!$B$10,Paramètres!$A$1:$I$89,3,0)*VLOOKUP('Données projet'!$B$10,Paramètres!$A$1:$I$89,5,0)</f>
        <v>490.73456640000109</v>
      </c>
      <c r="AK163" s="13">
        <f t="shared" si="164"/>
        <v>109.94719771775897</v>
      </c>
      <c r="AL163" s="20">
        <f t="shared" si="165"/>
        <v>1046.1874058384321</v>
      </c>
      <c r="AM163" s="59">
        <f t="shared" si="113"/>
        <v>1339.5207391717654</v>
      </c>
      <c r="AN163" s="59">
        <f ca="1">AVERAGE(OFFSET($AM$3,0,0,'Données projet'!$E$10+1,1))-AVERAGE(OFFSET($H$3,0,0,'Données projet'!$E$10+1,1))</f>
        <v>422.10969295064359</v>
      </c>
      <c r="AO163" s="59">
        <f t="shared" si="144"/>
        <v>184.04075143033037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48.077046392201581</v>
      </c>
      <c r="AV163" s="21">
        <f>EXP(-LN(2)/25)*AV162+(1-EXP(-LN(2)/25))/(LN(2)/25)*Calculateur!AQ163*Calculateur!AS163*VLOOKUP('Données projet'!$B$10,Paramètres!$A$1:$I$89,3,0)*0.475*44/12</f>
        <v>19.386507375884602</v>
      </c>
      <c r="AW163" s="21">
        <f>EXP(-LN(2)/2)*AW162+(1-EXP(-LN(2)/2))/(LN(2)/2)*AQ163*AT163*VLOOKUP('Données projet'!$B$10,Paramètres!$A$1:$I$89,3,0)*0.475*44/12</f>
        <v>1.9477769231890232E-5</v>
      </c>
      <c r="AX163" s="21">
        <f t="shared" si="166"/>
        <v>67.463573245855414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-9.1631591203622526E-14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217.61052961346684</v>
      </c>
      <c r="BJ163" s="59">
        <f t="shared" si="146"/>
        <v>180.77145728128608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34.541998942096633</v>
      </c>
      <c r="BQ163" s="21">
        <f>EXP(-LN(2)/25)*BQ162+(1-EXP(-LN(2)/25))/(LN(2)/25)*Calculateur!BL163*Calculateur!BN163*VLOOKUP('Données projet'!$B$11,Paramètres!$A$1:$I$89,3,0)*0.475*44/12</f>
        <v>6.5598075609082045</v>
      </c>
      <c r="BR163" s="21">
        <f>EXP(-LN(2)/2)*BR162+(1-EXP(-LN(2)/2))/(LN(2)/2)*BL163*BO163*VLOOKUP('Données projet'!$B$11,Paramètres!$A$1:$I$89,3,0)*0.475*44/12</f>
        <v>5.9466794614002313E-11</v>
      </c>
      <c r="BS163" s="22">
        <f t="shared" si="169"/>
        <v>41.101806503064303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4.7884896048344674E-14</v>
      </c>
      <c r="CA163" s="13">
        <f t="shared" si="170"/>
        <v>7.8374629847779921E-13</v>
      </c>
      <c r="CB163" s="20">
        <f t="shared" si="171"/>
        <v>1.4484243304663672E-12</v>
      </c>
      <c r="CC163" s="59">
        <f t="shared" si="119"/>
        <v>293.33333333333474</v>
      </c>
      <c r="CD163" s="59">
        <f ca="1">AVERAGE(OFFSET($CC$3,0,0,'Données projet'!$E$12+1,1))-AVERAGE(OFFSET($H$3,0,0,'Données projet'!$E$12+1,1))</f>
        <v>287.72859857368331</v>
      </c>
      <c r="CE163" s="59">
        <f t="shared" si="148"/>
        <v>179.60736986885922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41.988245878919486</v>
      </c>
      <c r="CL163" s="21">
        <f>EXP(-LN(2)/25)*CL162+(1-EXP(-LN(2)/25))/(LN(2)/25)*Calculateur!CG163*Calculateur!CI163*VLOOKUP('Données projet'!$B$12,Paramètres!$A$1:$I$89,3,0)*0.475*44/12</f>
        <v>6.26065993084939</v>
      </c>
      <c r="CM163" s="21">
        <f>EXP(-LN(2)/2)*CM162+(1-EXP(-LN(2)/2))/(LN(2)/2)*CG163*CJ163*VLOOKUP('Données projet'!$B$12,Paramètres!$A$1:$I$89,3,0)*0.475*44/12</f>
        <v>5.5305835045585675E-8</v>
      </c>
      <c r="CN163" s="22">
        <f t="shared" si="172"/>
        <v>48.248905865074711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243.33915530322201</v>
      </c>
      <c r="CZ163" s="59">
        <f t="shared" si="150"/>
        <v>247.73814704672577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10.660686186492937</v>
      </c>
      <c r="DG163" s="21">
        <f>EXP(-LN(2)/25)*DG162+(1-EXP(-LN(2)/25))/(LN(2)/25)*Calculateur!DB163*Calculateur!DD163*VLOOKUP('Données projet'!$B$13,Paramètres!$A$1:$I$89,3,0)*0.475*44/12</f>
        <v>5.5849895906691991</v>
      </c>
      <c r="DH163" s="21">
        <f>EXP(-LN(2)/2)*DH162+(1-EXP(-LN(2)/2))/(LN(2)/2)*DB163*DE163*VLOOKUP('Données projet'!$B$13,Paramètres!$A$1:$I$89,3,0)*0.475*44/12</f>
        <v>5.6771860913069169E-11</v>
      </c>
      <c r="DI163" s="22">
        <f t="shared" si="175"/>
        <v>16.245675777218906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3.177547114319168E-13</v>
      </c>
      <c r="P164" s="13">
        <f t="shared" si="141"/>
        <v>4.1725404435445377E-12</v>
      </c>
      <c r="Q164" s="20">
        <f t="shared" si="162"/>
        <v>7.820597394917325E-12</v>
      </c>
      <c r="R164" s="59">
        <f t="shared" si="109"/>
        <v>293.33333333334116</v>
      </c>
      <c r="S164" s="59">
        <f ca="1">AVERAGE(OFFSET($R$3,0,0,'Données projet'!$E$9+1,1))-AVERAGE(OFFSET($H$3,0,0,'Données projet'!$E$9+1,1))</f>
        <v>287.413090017863</v>
      </c>
      <c r="T164" s="59">
        <f t="shared" si="142"/>
        <v>258.48456031927117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38.059344807060242</v>
      </c>
      <c r="AA164" s="21">
        <f>EXP(-LN(2)/25)*AA163+(1-EXP(-LN(2)/25))/(LN(2)/25)*Calculateur!V164*Calculateur!X164*VLOOKUP('Données projet'!$B$9,Paramètres!$A$1:$I$89,3,0)*0.475*44/12</f>
        <v>6.1570227934744999</v>
      </c>
      <c r="AB164" s="21">
        <f>EXP(-LN(2)/2)*AB163+(1-EXP(-LN(2)/2))/(LN(2)/2)*V164*Y164*VLOOKUP('Données projet'!$B$9,Paramètres!$A$1:$I$89,3,0)*0.475*44/12</f>
        <v>1.5174483754012658E-12</v>
      </c>
      <c r="AC164" s="22">
        <f t="shared" si="163"/>
        <v>44.216367600536259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9.4880000000000049</v>
      </c>
      <c r="AI164" s="13">
        <f>IF('Données projet'!$A$62&gt;35,AI163+AH164-AQ163,IF(A164&lt;'Données projet'!$A$62,$AF$205^A164,IF(A164='Données projet'!$A$62,'Données projet'!$B$62,AI163+AH164-AQ163)))</f>
        <v>551.85600000000125</v>
      </c>
      <c r="AJ164" s="13">
        <f>AI164*VLOOKUP('Données projet'!$B$10,Paramètres!$A$1:$I$89,3,0)*VLOOKUP('Données projet'!$B$10,Paramètres!$A$1:$I$89,5,0)</f>
        <v>499.31930880000107</v>
      </c>
      <c r="AK164" s="13">
        <f t="shared" si="164"/>
        <v>111.64497591125094</v>
      </c>
      <c r="AL164" s="20">
        <f t="shared" si="165"/>
        <v>1064.0961292054305</v>
      </c>
      <c r="AM164" s="59">
        <f t="shared" si="113"/>
        <v>1357.4294625387638</v>
      </c>
      <c r="AN164" s="59">
        <f ca="1">AVERAGE(OFFSET($AM$3,0,0,'Données projet'!$E$10+1,1))-AVERAGE(OFFSET($H$3,0,0,'Données projet'!$E$10+1,1))</f>
        <v>422.10969295064359</v>
      </c>
      <c r="AO164" s="59">
        <f t="shared" si="144"/>
        <v>184.04075143033037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47.134284836553292</v>
      </c>
      <c r="AV164" s="21">
        <f>EXP(-LN(2)/25)*AV163+(1-EXP(-LN(2)/25))/(LN(2)/25)*Calculateur!AQ164*Calculateur!AS164*VLOOKUP('Données projet'!$B$10,Paramètres!$A$1:$I$89,3,0)*0.475*44/12</f>
        <v>18.856382312198924</v>
      </c>
      <c r="AW164" s="21">
        <f>EXP(-LN(2)/2)*AW163+(1-EXP(-LN(2)/2))/(LN(2)/2)*AQ164*AT164*VLOOKUP('Données projet'!$B$10,Paramètres!$A$1:$I$89,3,0)*0.475*44/12</f>
        <v>1.3772862706256274E-5</v>
      </c>
      <c r="AX164" s="21">
        <f t="shared" si="166"/>
        <v>65.99068092161491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-9.1631591203622526E-14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217.61052961346684</v>
      </c>
      <c r="BJ164" s="59">
        <f t="shared" si="146"/>
        <v>180.77145728128608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33.864651411381125</v>
      </c>
      <c r="BQ164" s="21">
        <f>EXP(-LN(2)/25)*BQ163+(1-EXP(-LN(2)/25))/(LN(2)/25)*Calculateur!BL164*Calculateur!BN164*VLOOKUP('Données projet'!$B$11,Paramètres!$A$1:$I$89,3,0)*0.475*44/12</f>
        <v>6.380429278189883</v>
      </c>
      <c r="BR164" s="21">
        <f>EXP(-LN(2)/2)*BR163+(1-EXP(-LN(2)/2))/(LN(2)/2)*BL164*BO164*VLOOKUP('Données projet'!$B$11,Paramètres!$A$1:$I$89,3,0)*0.475*44/12</f>
        <v>4.2049373726988696E-11</v>
      </c>
      <c r="BS164" s="22">
        <f t="shared" si="169"/>
        <v>40.245080689613062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4.7884896048344674E-14</v>
      </c>
      <c r="CA164" s="13">
        <f t="shared" si="170"/>
        <v>7.8374629847779921E-13</v>
      </c>
      <c r="CB164" s="20">
        <f t="shared" si="171"/>
        <v>1.4484243304663672E-12</v>
      </c>
      <c r="CC164" s="59">
        <f t="shared" si="119"/>
        <v>293.33333333333474</v>
      </c>
      <c r="CD164" s="59">
        <f ca="1">AVERAGE(OFFSET($CC$3,0,0,'Données projet'!$E$12+1,1))-AVERAGE(OFFSET($H$3,0,0,'Données projet'!$E$12+1,1))</f>
        <v>287.72859857368331</v>
      </c>
      <c r="CE164" s="59">
        <f t="shared" si="148"/>
        <v>179.60736986885922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41.164881987535054</v>
      </c>
      <c r="CL164" s="21">
        <f>EXP(-LN(2)/25)*CL163+(1-EXP(-LN(2)/25))/(LN(2)/25)*Calculateur!CG164*Calculateur!CI164*VLOOKUP('Données projet'!$B$12,Paramètres!$A$1:$I$89,3,0)*0.475*44/12</f>
        <v>6.0894618558065163</v>
      </c>
      <c r="CM164" s="21">
        <f>EXP(-LN(2)/2)*CM163+(1-EXP(-LN(2)/2))/(LN(2)/2)*CG164*CJ164*VLOOKUP('Données projet'!$B$12,Paramètres!$A$1:$I$89,3,0)*0.475*44/12</f>
        <v>3.9107130999918241E-8</v>
      </c>
      <c r="CN164" s="22">
        <f t="shared" si="172"/>
        <v>47.254343882448701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243.33915530322201</v>
      </c>
      <c r="CZ164" s="59">
        <f t="shared" si="150"/>
        <v>247.73814704672577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10.451636632752328</v>
      </c>
      <c r="DG164" s="21">
        <f>EXP(-LN(2)/25)*DG163+(1-EXP(-LN(2)/25))/(LN(2)/25)*Calculateur!DB164*Calculateur!DD164*VLOOKUP('Données projet'!$B$13,Paramètres!$A$1:$I$89,3,0)*0.475*44/12</f>
        <v>5.4322677566105115</v>
      </c>
      <c r="DH164" s="21">
        <f>EXP(-LN(2)/2)*DH163+(1-EXP(-LN(2)/2))/(LN(2)/2)*DB164*DE164*VLOOKUP('Données projet'!$B$13,Paramètres!$A$1:$I$89,3,0)*0.475*44/12</f>
        <v>4.0143767832210711E-11</v>
      </c>
      <c r="DI164" s="22">
        <f t="shared" si="175"/>
        <v>15.883904389402984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3.177547114319168E-13</v>
      </c>
      <c r="P165" s="13">
        <f t="shared" si="141"/>
        <v>4.1725404435445377E-12</v>
      </c>
      <c r="Q165" s="20">
        <f t="shared" si="162"/>
        <v>7.820597394917325E-12</v>
      </c>
      <c r="R165" s="59">
        <f t="shared" si="109"/>
        <v>293.33333333334116</v>
      </c>
      <c r="S165" s="59">
        <f ca="1">AVERAGE(OFFSET($R$3,0,0,'Données projet'!$E$9+1,1))-AVERAGE(OFFSET($H$3,0,0,'Données projet'!$E$9+1,1))</f>
        <v>287.413090017863</v>
      </c>
      <c r="T165" s="59">
        <f t="shared" si="142"/>
        <v>258.48456031927117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37.313024269301941</v>
      </c>
      <c r="AA165" s="21">
        <f>EXP(-LN(2)/25)*AA164+(1-EXP(-LN(2)/25))/(LN(2)/25)*Calculateur!V165*Calculateur!X165*VLOOKUP('Données projet'!$B$9,Paramètres!$A$1:$I$89,3,0)*0.475*44/12</f>
        <v>5.9886586814031828</v>
      </c>
      <c r="AB165" s="21">
        <f>EXP(-LN(2)/2)*AB164+(1-EXP(-LN(2)/2))/(LN(2)/2)*V165*Y165*VLOOKUP('Données projet'!$B$9,Paramètres!$A$1:$I$89,3,0)*0.475*44/12</f>
        <v>1.0729980363467449E-12</v>
      </c>
      <c r="AC165" s="22">
        <f t="shared" si="163"/>
        <v>43.301682950706194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9.4880000000000049</v>
      </c>
      <c r="AI165" s="13">
        <f>IF('Données projet'!$A$62&gt;35,AI164+AH165-AQ164,IF(A165&lt;'Données projet'!$A$62,$AF$205^A165,IF(A165='Données projet'!$A$62,'Données projet'!$B$62,AI164+AH165-AQ164)))</f>
        <v>561.3440000000013</v>
      </c>
      <c r="AJ165" s="13">
        <f>AI165*VLOOKUP('Données projet'!$B$10,Paramètres!$A$1:$I$89,3,0)*VLOOKUP('Données projet'!$B$10,Paramètres!$A$1:$I$89,5,0)</f>
        <v>507.90405120000116</v>
      </c>
      <c r="AK165" s="13">
        <f t="shared" si="164"/>
        <v>113.33935964263163</v>
      </c>
      <c r="AL165" s="20">
        <f t="shared" si="165"/>
        <v>1081.9989405509189</v>
      </c>
      <c r="AM165" s="59">
        <f t="shared" si="113"/>
        <v>1375.3322738842521</v>
      </c>
      <c r="AN165" s="59">
        <f ca="1">AVERAGE(OFFSET($AM$3,0,0,'Données projet'!$E$10+1,1))-AVERAGE(OFFSET($H$3,0,0,'Données projet'!$E$10+1,1))</f>
        <v>422.10969295064359</v>
      </c>
      <c r="AO165" s="59">
        <f t="shared" si="144"/>
        <v>184.04075143033037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46.210010259983498</v>
      </c>
      <c r="AV165" s="21">
        <f>EXP(-LN(2)/25)*AV164+(1-EXP(-LN(2)/25))/(LN(2)/25)*Calculateur!AQ165*Calculateur!AS165*VLOOKUP('Données projet'!$B$10,Paramètres!$A$1:$I$89,3,0)*0.475*44/12</f>
        <v>18.340753546257798</v>
      </c>
      <c r="AW165" s="21">
        <f>EXP(-LN(2)/2)*AW164+(1-EXP(-LN(2)/2))/(LN(2)/2)*AQ165*AT165*VLOOKUP('Données projet'!$B$10,Paramètres!$A$1:$I$89,3,0)*0.475*44/12</f>
        <v>9.7388846159451158E-6</v>
      </c>
      <c r="AX165" s="21">
        <f t="shared" si="166"/>
        <v>64.550773545125907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-9.1631591203622526E-14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217.61052961346684</v>
      </c>
      <c r="BJ165" s="59">
        <f t="shared" si="146"/>
        <v>180.77145728128608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33.200586252601752</v>
      </c>
      <c r="BQ165" s="21">
        <f>EXP(-LN(2)/25)*BQ164+(1-EXP(-LN(2)/25))/(LN(2)/25)*Calculateur!BL165*Calculateur!BN165*VLOOKUP('Données projet'!$B$11,Paramètres!$A$1:$I$89,3,0)*0.475*44/12</f>
        <v>6.2059561040455877</v>
      </c>
      <c r="BR165" s="21">
        <f>EXP(-LN(2)/2)*BR164+(1-EXP(-LN(2)/2))/(LN(2)/2)*BL165*BO165*VLOOKUP('Données projet'!$B$11,Paramètres!$A$1:$I$89,3,0)*0.475*44/12</f>
        <v>2.9733397307001157E-11</v>
      </c>
      <c r="BS165" s="22">
        <f t="shared" si="169"/>
        <v>39.406542356677079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4.7884896048344674E-14</v>
      </c>
      <c r="CA165" s="13">
        <f t="shared" si="170"/>
        <v>7.8374629847779921E-13</v>
      </c>
      <c r="CB165" s="20">
        <f t="shared" si="171"/>
        <v>1.4484243304663672E-12</v>
      </c>
      <c r="CC165" s="59">
        <f t="shared" si="119"/>
        <v>293.33333333333474</v>
      </c>
      <c r="CD165" s="59">
        <f ca="1">AVERAGE(OFFSET($CC$3,0,0,'Données projet'!$E$12+1,1))-AVERAGE(OFFSET($H$3,0,0,'Données projet'!$E$12+1,1))</f>
        <v>287.72859857368331</v>
      </c>
      <c r="CE165" s="59">
        <f t="shared" si="148"/>
        <v>179.60736986885922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40.357663759858283</v>
      </c>
      <c r="CL165" s="21">
        <f>EXP(-LN(2)/25)*CL164+(1-EXP(-LN(2)/25))/(LN(2)/25)*Calculateur!CG165*Calculateur!CI165*VLOOKUP('Données projet'!$B$12,Paramètres!$A$1:$I$89,3,0)*0.475*44/12</f>
        <v>5.9229452011286057</v>
      </c>
      <c r="CM165" s="21">
        <f>EXP(-LN(2)/2)*CM164+(1-EXP(-LN(2)/2))/(LN(2)/2)*CG165*CJ165*VLOOKUP('Données projet'!$B$12,Paramètres!$A$1:$I$89,3,0)*0.475*44/12</f>
        <v>2.7652917522792837E-8</v>
      </c>
      <c r="CN165" s="22">
        <f t="shared" si="172"/>
        <v>46.280608988639806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243.33915530322201</v>
      </c>
      <c r="CZ165" s="59">
        <f t="shared" si="150"/>
        <v>247.73814704672577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10.246686413252934</v>
      </c>
      <c r="DG165" s="21">
        <f>EXP(-LN(2)/25)*DG164+(1-EXP(-LN(2)/25))/(LN(2)/25)*Calculateur!DB165*Calculateur!DD165*VLOOKUP('Données projet'!$B$13,Paramètres!$A$1:$I$89,3,0)*0.475*44/12</f>
        <v>5.2837221091354518</v>
      </c>
      <c r="DH165" s="21">
        <f>EXP(-LN(2)/2)*DH164+(1-EXP(-LN(2)/2))/(LN(2)/2)*DB165*DE165*VLOOKUP('Données projet'!$B$13,Paramètres!$A$1:$I$89,3,0)*0.475*44/12</f>
        <v>2.8385930456534585E-11</v>
      </c>
      <c r="DI165" s="22">
        <f t="shared" si="175"/>
        <v>15.530408522416772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3.177547114319168E-13</v>
      </c>
      <c r="P166" s="13">
        <f t="shared" si="141"/>
        <v>4.1725404435445377E-12</v>
      </c>
      <c r="Q166" s="20">
        <f t="shared" si="162"/>
        <v>7.820597394917325E-12</v>
      </c>
      <c r="R166" s="59">
        <f t="shared" si="109"/>
        <v>293.33333333334116</v>
      </c>
      <c r="S166" s="59">
        <f ca="1">AVERAGE(OFFSET($R$3,0,0,'Données projet'!$E$9+1,1))-AVERAGE(OFFSET($H$3,0,0,'Données projet'!$E$9+1,1))</f>
        <v>287.413090017863</v>
      </c>
      <c r="T166" s="59">
        <f t="shared" si="142"/>
        <v>258.48456031927117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36.581338622078498</v>
      </c>
      <c r="AA166" s="21">
        <f>EXP(-LN(2)/25)*AA165+(1-EXP(-LN(2)/25))/(LN(2)/25)*Calculateur!V166*Calculateur!X166*VLOOKUP('Données projet'!$B$9,Paramètres!$A$1:$I$89,3,0)*0.475*44/12</f>
        <v>5.8248984948303404</v>
      </c>
      <c r="AB166" s="21">
        <f>EXP(-LN(2)/2)*AB165+(1-EXP(-LN(2)/2))/(LN(2)/2)*V166*Y166*VLOOKUP('Données projet'!$B$9,Paramètres!$A$1:$I$89,3,0)*0.475*44/12</f>
        <v>7.5872418770063292E-13</v>
      </c>
      <c r="AC166" s="22">
        <f t="shared" si="163"/>
        <v>42.406237116909601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9.4880000000000049</v>
      </c>
      <c r="AI166" s="13">
        <f>IF('Données projet'!$A$62&gt;35,AI165+AH166-AQ165,IF(A166&lt;'Données projet'!$A$62,$AF$205^A166,IF(A166='Données projet'!$A$62,'Données projet'!$B$62,AI165+AH166-AQ165)))</f>
        <v>570.83200000000136</v>
      </c>
      <c r="AJ166" s="13">
        <f>AI166*VLOOKUP('Données projet'!$B$10,Paramètres!$A$1:$I$89,3,0)*VLOOKUP('Données projet'!$B$10,Paramètres!$A$1:$I$89,5,0)</f>
        <v>516.48879360000115</v>
      </c>
      <c r="AK166" s="13">
        <f t="shared" si="164"/>
        <v>115.03041290761819</v>
      </c>
      <c r="AL166" s="20">
        <f t="shared" si="165"/>
        <v>1099.8959513341035</v>
      </c>
      <c r="AM166" s="59">
        <f t="shared" si="113"/>
        <v>1393.2292846674368</v>
      </c>
      <c r="AN166" s="59">
        <f ca="1">AVERAGE(OFFSET($AM$3,0,0,'Données projet'!$E$10+1,1))-AVERAGE(OFFSET($H$3,0,0,'Données projet'!$E$10+1,1))</f>
        <v>422.10969295064359</v>
      </c>
      <c r="AO166" s="59">
        <f t="shared" si="144"/>
        <v>184.04075143033037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45.303860144108413</v>
      </c>
      <c r="AV166" s="21">
        <f>EXP(-LN(2)/25)*AV165+(1-EXP(-LN(2)/25))/(LN(2)/25)*Calculateur!AQ166*Calculateur!AS166*VLOOKUP('Données projet'!$B$10,Paramètres!$A$1:$I$89,3,0)*0.475*44/12</f>
        <v>17.839224676037066</v>
      </c>
      <c r="AW166" s="21">
        <f>EXP(-LN(2)/2)*AW165+(1-EXP(-LN(2)/2))/(LN(2)/2)*AQ166*AT166*VLOOKUP('Données projet'!$B$10,Paramètres!$A$1:$I$89,3,0)*0.475*44/12</f>
        <v>6.886431353128137E-6</v>
      </c>
      <c r="AX166" s="21">
        <f t="shared" si="166"/>
        <v>63.143091706576826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-9.1631591203622526E-14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217.61052961346684</v>
      </c>
      <c r="BJ166" s="59">
        <f t="shared" si="146"/>
        <v>180.77145728128608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32.549543006546287</v>
      </c>
      <c r="BQ166" s="21">
        <f>EXP(-LN(2)/25)*BQ165+(1-EXP(-LN(2)/25))/(LN(2)/25)*Calculateur!BL166*Calculateur!BN166*VLOOKUP('Données projet'!$B$11,Paramètres!$A$1:$I$89,3,0)*0.475*44/12</f>
        <v>6.0362539080234132</v>
      </c>
      <c r="BR166" s="21">
        <f>EXP(-LN(2)/2)*BR165+(1-EXP(-LN(2)/2))/(LN(2)/2)*BL166*BO166*VLOOKUP('Données projet'!$B$11,Paramètres!$A$1:$I$89,3,0)*0.475*44/12</f>
        <v>2.1024686863494348E-11</v>
      </c>
      <c r="BS166" s="22">
        <f t="shared" si="169"/>
        <v>38.585796914590723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4.7884896048344674E-14</v>
      </c>
      <c r="CA166" s="13">
        <f t="shared" si="170"/>
        <v>7.8374629847779921E-13</v>
      </c>
      <c r="CB166" s="20">
        <f t="shared" si="171"/>
        <v>1.4484243304663672E-12</v>
      </c>
      <c r="CC166" s="59">
        <f t="shared" si="119"/>
        <v>293.33333333333474</v>
      </c>
      <c r="CD166" s="59">
        <f ca="1">AVERAGE(OFFSET($CC$3,0,0,'Données projet'!$E$12+1,1))-AVERAGE(OFFSET($H$3,0,0,'Données projet'!$E$12+1,1))</f>
        <v>287.72859857368331</v>
      </c>
      <c r="CE166" s="59">
        <f t="shared" si="148"/>
        <v>179.60736986885922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39.566274589271757</v>
      </c>
      <c r="CL166" s="21">
        <f>EXP(-LN(2)/25)*CL165+(1-EXP(-LN(2)/25))/(LN(2)/25)*Calculateur!CG166*Calculateur!CI166*VLOOKUP('Données projet'!$B$12,Paramètres!$A$1:$I$89,3,0)*0.475*44/12</f>
        <v>5.7609819531295932</v>
      </c>
      <c r="CM166" s="21">
        <f>EXP(-LN(2)/2)*CM165+(1-EXP(-LN(2)/2))/(LN(2)/2)*CG166*CJ166*VLOOKUP('Données projet'!$B$12,Paramètres!$A$1:$I$89,3,0)*0.475*44/12</f>
        <v>1.955356549995912E-8</v>
      </c>
      <c r="CN166" s="22">
        <f t="shared" si="172"/>
        <v>45.327256561954918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243.33915530322201</v>
      </c>
      <c r="CZ166" s="59">
        <f t="shared" si="150"/>
        <v>247.73814704672577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10.045755142550634</v>
      </c>
      <c r="DG166" s="21">
        <f>EXP(-LN(2)/25)*DG165+(1-EXP(-LN(2)/25))/(LN(2)/25)*Calculateur!DB166*Calculateur!DD166*VLOOKUP('Données projet'!$B$13,Paramètres!$A$1:$I$89,3,0)*0.475*44/12</f>
        <v>5.1392384502022734</v>
      </c>
      <c r="DH166" s="21">
        <f>EXP(-LN(2)/2)*DH165+(1-EXP(-LN(2)/2))/(LN(2)/2)*DB166*DE166*VLOOKUP('Données projet'!$B$13,Paramètres!$A$1:$I$89,3,0)*0.475*44/12</f>
        <v>2.0071883916105355E-11</v>
      </c>
      <c r="DI166" s="22">
        <f t="shared" si="175"/>
        <v>15.184993592772978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3.177547114319168E-13</v>
      </c>
      <c r="P167" s="13">
        <f t="shared" si="141"/>
        <v>4.1725404435445377E-12</v>
      </c>
      <c r="Q167" s="20">
        <f t="shared" si="162"/>
        <v>7.820597394917325E-12</v>
      </c>
      <c r="R167" s="59">
        <f t="shared" si="109"/>
        <v>293.33333333334116</v>
      </c>
      <c r="S167" s="59">
        <f ca="1">AVERAGE(OFFSET($R$3,0,0,'Données projet'!$E$9+1,1))-AVERAGE(OFFSET($H$3,0,0,'Données projet'!$E$9+1,1))</f>
        <v>287.413090017863</v>
      </c>
      <c r="T167" s="59">
        <f t="shared" si="142"/>
        <v>258.48456031927117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35.864000884112933</v>
      </c>
      <c r="AA167" s="21">
        <f>EXP(-LN(2)/25)*AA166+(1-EXP(-LN(2)/25))/(LN(2)/25)*Calculateur!V167*Calculateur!X167*VLOOKUP('Données projet'!$B$9,Paramètres!$A$1:$I$89,3,0)*0.475*44/12</f>
        <v>5.6656163391711063</v>
      </c>
      <c r="AB167" s="21">
        <f>EXP(-LN(2)/2)*AB166+(1-EXP(-LN(2)/2))/(LN(2)/2)*V167*Y167*VLOOKUP('Données projet'!$B$9,Paramètres!$A$1:$I$89,3,0)*0.475*44/12</f>
        <v>5.3649901817337244E-13</v>
      </c>
      <c r="AC167" s="22">
        <f t="shared" si="163"/>
        <v>41.529617223284582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9.4880000000000049</v>
      </c>
      <c r="AH167" s="12">
        <f t="array" ref="AH167">INDEX(AG:AG,MIN(IF(ISNUMBER(AG167:AG363),ROW(AG167:AG363),"")))</f>
        <v>9.4880000000000049</v>
      </c>
      <c r="AI167" s="13">
        <f>IF('Données projet'!$A$62&gt;35,AI166+AH167-AQ166,IF(A167&lt;'Données projet'!$A$62,$AF$205^A167,IF(A167='Données projet'!$A$62,'Données projet'!$B$62,AI166+AH167-AQ166)))</f>
        <v>580.32000000000141</v>
      </c>
      <c r="AJ167" s="13">
        <f>AI167*VLOOKUP('Données projet'!$B$10,Paramètres!$A$1:$I$89,3,0)*VLOOKUP('Données projet'!$B$10,Paramètres!$A$1:$I$89,5,0)</f>
        <v>525.07353600000124</v>
      </c>
      <c r="AK167" s="13">
        <f t="shared" si="164"/>
        <v>116.71819745258949</v>
      </c>
      <c r="AL167" s="20">
        <f t="shared" si="165"/>
        <v>1117.7872690965953</v>
      </c>
      <c r="AM167" s="59">
        <f t="shared" si="113"/>
        <v>1411.1206024299286</v>
      </c>
      <c r="AN167" s="59">
        <f ca="1">AVERAGE(OFFSET($AM$3,0,0,'Données projet'!$E$10+1,1))-AVERAGE(OFFSET($H$3,0,0,'Données projet'!$E$10+1,1))</f>
        <v>422.10969295064359</v>
      </c>
      <c r="AO167" s="59">
        <f t="shared" si="144"/>
        <v>184.04075143033037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66.020000000000095</v>
      </c>
      <c r="AR167" s="16">
        <f>IF(ISNA(VLOOKUP(A167,'Données projet'!$A$61:$I$81,5,0)),0%,VLOOKUP(A167,'Données projet'!$A$61:$I$81,5,0)*VLOOKUP('Données projet'!$B$10,Paramètres!$A$1:$I$89,7,0))</f>
        <v>0.215</v>
      </c>
      <c r="AS167" s="16">
        <f>IF(ISNA(VLOOKUP(A167,'Données projet'!$A$61:$I$81,6,0)),0%,VLOOKUP(A167,'Données projet'!$A$61:$I$81,6,0)*VLOOKUP('Données projet'!$B$10,Paramètres!$A$1:$I$89,7,0))</f>
        <v>8.6000000000000007E-2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58.613038082092139</v>
      </c>
      <c r="AV167" s="21">
        <f>EXP(-LN(2)/25)*AV166+(1-EXP(-LN(2)/25))/(LN(2)/25)*Calculateur!AQ167*Calculateur!AS167*VLOOKUP('Données projet'!$B$10,Paramètres!$A$1:$I$89,3,0)*0.475*44/12</f>
        <v>23.008073260464958</v>
      </c>
      <c r="AW167" s="21">
        <f>EXP(-LN(2)/2)*AW166+(1-EXP(-LN(2)/2))/(LN(2)/2)*AQ167*AT167*VLOOKUP('Données projet'!$B$10,Paramètres!$A$1:$I$89,3,0)*0.475*44/12</f>
        <v>4.8694423079725579E-6</v>
      </c>
      <c r="AX167" s="21">
        <f t="shared" si="166"/>
        <v>81.621116211999407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-9.1631591203622526E-14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217.61052961346684</v>
      </c>
      <c r="BJ167" s="59">
        <f t="shared" si="146"/>
        <v>180.77145728128608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31.911266321448803</v>
      </c>
      <c r="BQ167" s="21">
        <f>EXP(-LN(2)/25)*BQ166+(1-EXP(-LN(2)/25))/(LN(2)/25)*Calculateur!BL167*Calculateur!BN167*VLOOKUP('Données projet'!$B$11,Paramètres!$A$1:$I$89,3,0)*0.475*44/12</f>
        <v>5.8711922274757162</v>
      </c>
      <c r="BR167" s="21">
        <f>EXP(-LN(2)/2)*BR166+(1-EXP(-LN(2)/2))/(LN(2)/2)*BL167*BO167*VLOOKUP('Données projet'!$B$11,Paramètres!$A$1:$I$89,3,0)*0.475*44/12</f>
        <v>1.4866698653500578E-11</v>
      </c>
      <c r="BS167" s="22">
        <f t="shared" si="169"/>
        <v>37.782458548939381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4.7884896048344674E-14</v>
      </c>
      <c r="CA167" s="13">
        <f t="shared" si="170"/>
        <v>7.8374629847779921E-13</v>
      </c>
      <c r="CB167" s="20">
        <f t="shared" si="171"/>
        <v>1.4484243304663672E-12</v>
      </c>
      <c r="CC167" s="59">
        <f t="shared" si="119"/>
        <v>293.33333333333474</v>
      </c>
      <c r="CD167" s="59">
        <f ca="1">AVERAGE(OFFSET($CC$3,0,0,'Données projet'!$E$12+1,1))-AVERAGE(OFFSET($H$3,0,0,'Données projet'!$E$12+1,1))</f>
        <v>287.72859857368331</v>
      </c>
      <c r="CE167" s="59">
        <f t="shared" si="148"/>
        <v>179.60736986885922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38.7904040776207</v>
      </c>
      <c r="CL167" s="21">
        <f>EXP(-LN(2)/25)*CL166+(1-EXP(-LN(2)/25))/(LN(2)/25)*Calculateur!CG167*Calculateur!CI167*VLOOKUP('Données projet'!$B$12,Paramètres!$A$1:$I$89,3,0)*0.475*44/12</f>
        <v>5.6034475986643901</v>
      </c>
      <c r="CM167" s="21">
        <f>EXP(-LN(2)/2)*CM166+(1-EXP(-LN(2)/2))/(LN(2)/2)*CG167*CJ167*VLOOKUP('Données projet'!$B$12,Paramètres!$A$1:$I$89,3,0)*0.475*44/12</f>
        <v>1.3826458761396419E-8</v>
      </c>
      <c r="CN167" s="22">
        <f t="shared" si="172"/>
        <v>44.393851690111546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243.33915530322201</v>
      </c>
      <c r="CZ167" s="59">
        <f t="shared" si="150"/>
        <v>247.73814704672577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9.8487640115108324</v>
      </c>
      <c r="DG167" s="21">
        <f>EXP(-LN(2)/25)*DG166+(1-EXP(-LN(2)/25))/(LN(2)/25)*Calculateur!DB167*Calculateur!DD167*VLOOKUP('Données projet'!$B$13,Paramètres!$A$1:$I$89,3,0)*0.475*44/12</f>
        <v>4.9987057045206882</v>
      </c>
      <c r="DH167" s="21">
        <f>EXP(-LN(2)/2)*DH166+(1-EXP(-LN(2)/2))/(LN(2)/2)*DB167*DE167*VLOOKUP('Données projet'!$B$13,Paramètres!$A$1:$I$89,3,0)*0.475*44/12</f>
        <v>1.4192965228267292E-11</v>
      </c>
      <c r="DI167" s="22">
        <f t="shared" si="175"/>
        <v>14.847469716045714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3.177547114319168E-13</v>
      </c>
      <c r="P168" s="13">
        <f t="shared" si="141"/>
        <v>4.1725404435445377E-12</v>
      </c>
      <c r="Q168" s="20">
        <f t="shared" si="162"/>
        <v>7.820597394917325E-12</v>
      </c>
      <c r="R168" s="59">
        <f t="shared" si="109"/>
        <v>293.33333333334116</v>
      </c>
      <c r="S168" s="59">
        <f ca="1">AVERAGE(OFFSET($R$3,0,0,'Données projet'!$E$9+1,1))-AVERAGE(OFFSET($H$3,0,0,'Données projet'!$E$9+1,1))</f>
        <v>287.413090017863</v>
      </c>
      <c r="T168" s="59">
        <f t="shared" si="142"/>
        <v>258.48456031927117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35.160729701656052</v>
      </c>
      <c r="AA168" s="21">
        <f>EXP(-LN(2)/25)*AA167+(1-EXP(-LN(2)/25))/(LN(2)/25)*Calculateur!V168*Calculateur!X168*VLOOKUP('Données projet'!$B$9,Paramètres!$A$1:$I$89,3,0)*0.475*44/12</f>
        <v>5.5106897624346578</v>
      </c>
      <c r="AB168" s="21">
        <f>EXP(-LN(2)/2)*AB167+(1-EXP(-LN(2)/2))/(LN(2)/2)*V168*Y168*VLOOKUP('Données projet'!$B$9,Paramètres!$A$1:$I$89,3,0)*0.475*44/12</f>
        <v>3.7936209385031646E-13</v>
      </c>
      <c r="AC168" s="22">
        <f t="shared" si="163"/>
        <v>40.671419464091088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9.6220000000000034</v>
      </c>
      <c r="AI168" s="13">
        <f>IF('Données projet'!$A$62&gt;35,AI167+AH168-AQ167,IF(A168&lt;'Données projet'!$A$62,$AF$205^A168,IF(A168='Données projet'!$A$62,'Données projet'!$B$62,AI167+AH168-AQ167)))</f>
        <v>523.92200000000128</v>
      </c>
      <c r="AJ168" s="13">
        <f>AI168*VLOOKUP('Données projet'!$B$10,Paramètres!$A$1:$I$89,3,0)*VLOOKUP('Données projet'!$B$10,Paramètres!$A$1:$I$89,5,0)</f>
        <v>474.04462560000115</v>
      </c>
      <c r="AK168" s="13">
        <f t="shared" si="164"/>
        <v>106.63651269520395</v>
      </c>
      <c r="AL168" s="20">
        <f t="shared" si="165"/>
        <v>1011.3529825308154</v>
      </c>
      <c r="AM168" s="59">
        <f t="shared" si="113"/>
        <v>1304.6863158641488</v>
      </c>
      <c r="AN168" s="59">
        <f ca="1">AVERAGE(OFFSET($AM$3,0,0,'Données projet'!$E$10+1,1))-AVERAGE(OFFSET($H$3,0,0,'Données projet'!$E$10+1,1))</f>
        <v>422.10969295064359</v>
      </c>
      <c r="AO168" s="59">
        <f t="shared" si="144"/>
        <v>184.04075143033037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57.463672155725483</v>
      </c>
      <c r="AV168" s="21">
        <f>EXP(-LN(2)/25)*AV167+(1-EXP(-LN(2)/25))/(LN(2)/25)*Calculateur!AQ168*Calculateur!AS168*VLOOKUP('Données projet'!$B$10,Paramètres!$A$1:$I$89,3,0)*0.475*44/12</f>
        <v>22.378916287215556</v>
      </c>
      <c r="AW168" s="21">
        <f>EXP(-LN(2)/2)*AW167+(1-EXP(-LN(2)/2))/(LN(2)/2)*AQ168*AT168*VLOOKUP('Données projet'!$B$10,Paramètres!$A$1:$I$89,3,0)*0.475*44/12</f>
        <v>3.4432156765640685E-6</v>
      </c>
      <c r="AX168" s="21">
        <f t="shared" si="166"/>
        <v>79.842591886156711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-9.1631591203622526E-14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217.61052961346684</v>
      </c>
      <c r="BJ168" s="59">
        <f t="shared" si="146"/>
        <v>180.77145728128608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31.285505852835744</v>
      </c>
      <c r="BQ168" s="21">
        <f>EXP(-LN(2)/25)*BQ167+(1-EXP(-LN(2)/25))/(LN(2)/25)*Calculateur!BL168*Calculateur!BN168*VLOOKUP('Données projet'!$B$11,Paramètres!$A$1:$I$89,3,0)*0.475*44/12</f>
        <v>5.7106441672628119</v>
      </c>
      <c r="BR168" s="21">
        <f>EXP(-LN(2)/2)*BR167+(1-EXP(-LN(2)/2))/(LN(2)/2)*BL168*BO168*VLOOKUP('Données projet'!$B$11,Paramètres!$A$1:$I$89,3,0)*0.475*44/12</f>
        <v>1.0512343431747174E-11</v>
      </c>
      <c r="BS168" s="22">
        <f t="shared" si="169"/>
        <v>36.996150020109063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4.7884896048344674E-14</v>
      </c>
      <c r="CA168" s="13">
        <f t="shared" si="170"/>
        <v>7.8374629847779921E-13</v>
      </c>
      <c r="CB168" s="20">
        <f t="shared" si="171"/>
        <v>1.4484243304663672E-12</v>
      </c>
      <c r="CC168" s="59">
        <f t="shared" si="119"/>
        <v>293.33333333333474</v>
      </c>
      <c r="CD168" s="59">
        <f ca="1">AVERAGE(OFFSET($CC$3,0,0,'Données projet'!$E$12+1,1))-AVERAGE(OFFSET($H$3,0,0,'Données projet'!$E$12+1,1))</f>
        <v>287.72859857368331</v>
      </c>
      <c r="CE168" s="59">
        <f t="shared" si="148"/>
        <v>179.60736986885922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38.029747913468832</v>
      </c>
      <c r="CL168" s="21">
        <f>EXP(-LN(2)/25)*CL167+(1-EXP(-LN(2)/25))/(LN(2)/25)*Calculateur!CG168*Calculateur!CI168*VLOOKUP('Données projet'!$B$12,Paramètres!$A$1:$I$89,3,0)*0.475*44/12</f>
        <v>5.4502210294064097</v>
      </c>
      <c r="CM168" s="21">
        <f>EXP(-LN(2)/2)*CM167+(1-EXP(-LN(2)/2))/(LN(2)/2)*CG168*CJ168*VLOOKUP('Données projet'!$B$12,Paramètres!$A$1:$I$89,3,0)*0.475*44/12</f>
        <v>9.7767827499795602E-9</v>
      </c>
      <c r="CN168" s="22">
        <f t="shared" si="172"/>
        <v>43.479968952652023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243.33915530322201</v>
      </c>
      <c r="CZ168" s="59">
        <f t="shared" si="150"/>
        <v>247.73814704672577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9.6556357563979951</v>
      </c>
      <c r="DG168" s="21">
        <f>EXP(-LN(2)/25)*DG167+(1-EXP(-LN(2)/25))/(LN(2)/25)*Calculateur!DB168*Calculateur!DD168*VLOOKUP('Données projet'!$B$13,Paramètres!$A$1:$I$89,3,0)*0.475*44/12</f>
        <v>4.8620158341600614</v>
      </c>
      <c r="DH168" s="21">
        <f>EXP(-LN(2)/2)*DH167+(1-EXP(-LN(2)/2))/(LN(2)/2)*DB168*DE168*VLOOKUP('Données projet'!$B$13,Paramètres!$A$1:$I$89,3,0)*0.475*44/12</f>
        <v>1.0035941958052678E-11</v>
      </c>
      <c r="DI168" s="22">
        <f t="shared" si="175"/>
        <v>14.517651590568093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3.177547114319168E-13</v>
      </c>
      <c r="P169" s="13">
        <f t="shared" si="141"/>
        <v>4.1725404435445377E-12</v>
      </c>
      <c r="Q169" s="20">
        <f t="shared" si="162"/>
        <v>7.820597394917325E-12</v>
      </c>
      <c r="R169" s="59">
        <f t="shared" si="109"/>
        <v>293.33333333334116</v>
      </c>
      <c r="S169" s="59">
        <f ca="1">AVERAGE(OFFSET($R$3,0,0,'Données projet'!$E$9+1,1))-AVERAGE(OFFSET($H$3,0,0,'Données projet'!$E$9+1,1))</f>
        <v>287.413090017863</v>
      </c>
      <c r="T169" s="59">
        <f t="shared" si="142"/>
        <v>258.48456031927117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34.471249238134085</v>
      </c>
      <c r="AA169" s="21">
        <f>EXP(-LN(2)/25)*AA168+(1-EXP(-LN(2)/25))/(LN(2)/25)*Calculateur!V169*Calculateur!X169*VLOOKUP('Données projet'!$B$9,Paramètres!$A$1:$I$89,3,0)*0.475*44/12</f>
        <v>5.3599996610863023</v>
      </c>
      <c r="AB169" s="21">
        <f>EXP(-LN(2)/2)*AB168+(1-EXP(-LN(2)/2))/(LN(2)/2)*V169*Y169*VLOOKUP('Données projet'!$B$9,Paramètres!$A$1:$I$89,3,0)*0.475*44/12</f>
        <v>2.6824950908668622E-13</v>
      </c>
      <c r="AC169" s="22">
        <f t="shared" si="163"/>
        <v>39.831248899220654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9.6220000000000034</v>
      </c>
      <c r="AI169" s="13">
        <f>IF('Données projet'!$A$62&gt;35,AI168+AH169-AQ168,IF(A169&lt;'Données projet'!$A$62,$AF$205^A169,IF(A169='Données projet'!$A$62,'Données projet'!$B$62,AI168+AH169-AQ168)))</f>
        <v>533.54400000000123</v>
      </c>
      <c r="AJ169" s="13">
        <f>AI169*VLOOKUP('Données projet'!$B$10,Paramètres!$A$1:$I$89,3,0)*VLOOKUP('Données projet'!$B$10,Paramètres!$A$1:$I$89,5,0)</f>
        <v>482.75061120000112</v>
      </c>
      <c r="AK169" s="13">
        <f t="shared" si="164"/>
        <v>108.36513078962237</v>
      </c>
      <c r="AL169" s="20">
        <f t="shared" si="165"/>
        <v>1029.5265839652609</v>
      </c>
      <c r="AM169" s="59">
        <f t="shared" si="113"/>
        <v>1322.8599172985942</v>
      </c>
      <c r="AN169" s="59">
        <f ca="1">AVERAGE(OFFSET($AM$3,0,0,'Données projet'!$E$10+1,1))-AVERAGE(OFFSET($H$3,0,0,'Données projet'!$E$10+1,1))</f>
        <v>422.10969295064359</v>
      </c>
      <c r="AO169" s="59">
        <f t="shared" si="144"/>
        <v>184.04075143033037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56.336844594130881</v>
      </c>
      <c r="AV169" s="21">
        <f>EXP(-LN(2)/25)*AV168+(1-EXP(-LN(2)/25))/(LN(2)/25)*Calculateur!AQ169*Calculateur!AS169*VLOOKUP('Données projet'!$B$10,Paramètres!$A$1:$I$89,3,0)*0.475*44/12</f>
        <v>21.766963644485589</v>
      </c>
      <c r="AW169" s="21">
        <f>EXP(-LN(2)/2)*AW168+(1-EXP(-LN(2)/2))/(LN(2)/2)*AQ169*AT169*VLOOKUP('Données projet'!$B$10,Paramètres!$A$1:$I$89,3,0)*0.475*44/12</f>
        <v>2.434721153986279E-6</v>
      </c>
      <c r="AX169" s="21">
        <f t="shared" si="166"/>
        <v>78.10381067333762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-9.1631591203622526E-14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217.61052961346684</v>
      </c>
      <c r="BJ169" s="59">
        <f t="shared" si="146"/>
        <v>180.77145728128608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30.672016165335986</v>
      </c>
      <c r="BQ169" s="21">
        <f>EXP(-LN(2)/25)*BQ168+(1-EXP(-LN(2)/25))/(LN(2)/25)*Calculateur!BL169*Calculateur!BN169*VLOOKUP('Données projet'!$B$11,Paramètres!$A$1:$I$89,3,0)*0.475*44/12</f>
        <v>5.554486302199285</v>
      </c>
      <c r="BR169" s="21">
        <f>EXP(-LN(2)/2)*BR168+(1-EXP(-LN(2)/2))/(LN(2)/2)*BL169*BO169*VLOOKUP('Données projet'!$B$11,Paramètres!$A$1:$I$89,3,0)*0.475*44/12</f>
        <v>7.4333493267502892E-12</v>
      </c>
      <c r="BS169" s="22">
        <f t="shared" si="169"/>
        <v>36.226502467542701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4.7884896048344674E-14</v>
      </c>
      <c r="CA169" s="13">
        <f t="shared" si="170"/>
        <v>7.8374629847779921E-13</v>
      </c>
      <c r="CB169" s="20">
        <f t="shared" si="171"/>
        <v>1.4484243304663672E-12</v>
      </c>
      <c r="CC169" s="59">
        <f t="shared" si="119"/>
        <v>293.33333333333474</v>
      </c>
      <c r="CD169" s="59">
        <f ca="1">AVERAGE(OFFSET($CC$3,0,0,'Données projet'!$E$12+1,1))-AVERAGE(OFFSET($H$3,0,0,'Données projet'!$E$12+1,1))</f>
        <v>287.72859857368331</v>
      </c>
      <c r="CE169" s="59">
        <f t="shared" si="148"/>
        <v>179.60736986885922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37.284007752741537</v>
      </c>
      <c r="CL169" s="21">
        <f>EXP(-LN(2)/25)*CL168+(1-EXP(-LN(2)/25))/(LN(2)/25)*Calculateur!CG169*Calculateur!CI169*VLOOKUP('Données projet'!$B$12,Paramètres!$A$1:$I$89,3,0)*0.475*44/12</f>
        <v>5.3011844487426245</v>
      </c>
      <c r="CM169" s="21">
        <f>EXP(-LN(2)/2)*CM168+(1-EXP(-LN(2)/2))/(LN(2)/2)*CG169*CJ169*VLOOKUP('Données projet'!$B$12,Paramètres!$A$1:$I$89,3,0)*0.475*44/12</f>
        <v>6.9132293806982094E-9</v>
      </c>
      <c r="CN169" s="22">
        <f t="shared" si="172"/>
        <v>42.585192208397395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243.33915530322201</v>
      </c>
      <c r="CZ169" s="59">
        <f t="shared" si="150"/>
        <v>247.73814704672577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9.4662946285713154</v>
      </c>
      <c r="DG169" s="21">
        <f>EXP(-LN(2)/25)*DG168+(1-EXP(-LN(2)/25))/(LN(2)/25)*Calculateur!DB169*Calculateur!DD169*VLOOKUP('Données projet'!$B$13,Paramètres!$A$1:$I$89,3,0)*0.475*44/12</f>
        <v>4.7290637554926542</v>
      </c>
      <c r="DH169" s="21">
        <f>EXP(-LN(2)/2)*DH168+(1-EXP(-LN(2)/2))/(LN(2)/2)*DB169*DE169*VLOOKUP('Données projet'!$B$13,Paramètres!$A$1:$I$89,3,0)*0.475*44/12</f>
        <v>7.0964826141336461E-12</v>
      </c>
      <c r="DI169" s="22">
        <f t="shared" si="175"/>
        <v>14.195358384071065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3.177547114319168E-13</v>
      </c>
      <c r="P170" s="13">
        <f t="shared" si="141"/>
        <v>4.1725404435445377E-12</v>
      </c>
      <c r="Q170" s="20">
        <f t="shared" si="162"/>
        <v>7.820597394917325E-12</v>
      </c>
      <c r="R170" s="59">
        <f t="shared" si="109"/>
        <v>293.33333333334116</v>
      </c>
      <c r="S170" s="59">
        <f ca="1">AVERAGE(OFFSET($R$3,0,0,'Données projet'!$E$9+1,1))-AVERAGE(OFFSET($H$3,0,0,'Données projet'!$E$9+1,1))</f>
        <v>287.413090017863</v>
      </c>
      <c r="T170" s="59">
        <f t="shared" si="142"/>
        <v>258.48456031927117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33.795289065960226</v>
      </c>
      <c r="AA170" s="21">
        <f>EXP(-LN(2)/25)*AA169+(1-EXP(-LN(2)/25))/(LN(2)/25)*Calculateur!V170*Calculateur!X170*VLOOKUP('Données projet'!$B$9,Paramètres!$A$1:$I$89,3,0)*0.475*44/12</f>
        <v>5.2134301884837653</v>
      </c>
      <c r="AB170" s="21">
        <f>EXP(-LN(2)/2)*AB169+(1-EXP(-LN(2)/2))/(LN(2)/2)*V170*Y170*VLOOKUP('Données projet'!$B$9,Paramètres!$A$1:$I$89,3,0)*0.475*44/12</f>
        <v>1.8968104692515823E-13</v>
      </c>
      <c r="AC170" s="22">
        <f t="shared" si="163"/>
        <v>39.008719254444181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9.6220000000000034</v>
      </c>
      <c r="AI170" s="13">
        <f>IF('Données projet'!$A$62&gt;35,AI169+AH170-AQ169,IF(A170&lt;'Données projet'!$A$62,$AF$205^A170,IF(A170='Données projet'!$A$62,'Données projet'!$B$62,AI169+AH170-AQ169)))</f>
        <v>543.16600000000119</v>
      </c>
      <c r="AJ170" s="13">
        <f>AI170*VLOOKUP('Données projet'!$B$10,Paramètres!$A$1:$I$89,3,0)*VLOOKUP('Données projet'!$B$10,Paramètres!$A$1:$I$89,5,0)</f>
        <v>491.45659680000102</v>
      </c>
      <c r="AK170" s="13">
        <f t="shared" si="164"/>
        <v>110.09012381497753</v>
      </c>
      <c r="AL170" s="20">
        <f t="shared" si="165"/>
        <v>1047.6938717377543</v>
      </c>
      <c r="AM170" s="59">
        <f t="shared" si="113"/>
        <v>1341.0272050710876</v>
      </c>
      <c r="AN170" s="59">
        <f ca="1">AVERAGE(OFFSET($AM$3,0,0,'Données projet'!$E$10+1,1))-AVERAGE(OFFSET($H$3,0,0,'Données projet'!$E$10+1,1))</f>
        <v>422.10969295064359</v>
      </c>
      <c r="AO170" s="59">
        <f t="shared" si="144"/>
        <v>184.04075143033037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55.232113433722205</v>
      </c>
      <c r="AV170" s="21">
        <f>EXP(-LN(2)/25)*AV169+(1-EXP(-LN(2)/25))/(LN(2)/25)*Calculateur!AQ170*Calculateur!AS170*VLOOKUP('Données projet'!$B$10,Paramètres!$A$1:$I$89,3,0)*0.475*44/12</f>
        <v>21.171744878952261</v>
      </c>
      <c r="AW170" s="21">
        <f>EXP(-LN(2)/2)*AW169+(1-EXP(-LN(2)/2))/(LN(2)/2)*AQ170*AT170*VLOOKUP('Données projet'!$B$10,Paramètres!$A$1:$I$89,3,0)*0.475*44/12</f>
        <v>1.7216078382820342E-6</v>
      </c>
      <c r="AX170" s="21">
        <f t="shared" si="166"/>
        <v>76.403860034282303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-9.1631591203622526E-14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217.61052961346684</v>
      </c>
      <c r="BJ170" s="59">
        <f t="shared" si="146"/>
        <v>180.77145728128608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30.070556636416338</v>
      </c>
      <c r="BQ170" s="21">
        <f>EXP(-LN(2)/25)*BQ169+(1-EXP(-LN(2)/25))/(LN(2)/25)*Calculateur!BL170*Calculateur!BN170*VLOOKUP('Données projet'!$B$11,Paramètres!$A$1:$I$89,3,0)*0.475*44/12</f>
        <v>5.4025985821679061</v>
      </c>
      <c r="BR170" s="21">
        <f>EXP(-LN(2)/2)*BR169+(1-EXP(-LN(2)/2))/(LN(2)/2)*BL170*BO170*VLOOKUP('Données projet'!$B$11,Paramètres!$A$1:$I$89,3,0)*0.475*44/12</f>
        <v>5.256171715873587E-12</v>
      </c>
      <c r="BS170" s="22">
        <f t="shared" si="169"/>
        <v>35.473155218589504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4.7884896048344674E-14</v>
      </c>
      <c r="CA170" s="13">
        <f t="shared" si="170"/>
        <v>7.8374629847779921E-13</v>
      </c>
      <c r="CB170" s="20">
        <f t="shared" si="171"/>
        <v>1.4484243304663672E-12</v>
      </c>
      <c r="CC170" s="59">
        <f t="shared" si="119"/>
        <v>293.33333333333474</v>
      </c>
      <c r="CD170" s="59">
        <f ca="1">AVERAGE(OFFSET($CC$3,0,0,'Données projet'!$E$12+1,1))-AVERAGE(OFFSET($H$3,0,0,'Données projet'!$E$12+1,1))</f>
        <v>287.72859857368331</v>
      </c>
      <c r="CE170" s="59">
        <f t="shared" si="148"/>
        <v>179.60736986885922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36.55289110170952</v>
      </c>
      <c r="CL170" s="21">
        <f>EXP(-LN(2)/25)*CL169+(1-EXP(-LN(2)/25))/(LN(2)/25)*Calculateur!CG170*Calculateur!CI170*VLOOKUP('Données projet'!$B$12,Paramètres!$A$1:$I$89,3,0)*0.475*44/12</f>
        <v>5.156223281214583</v>
      </c>
      <c r="CM170" s="21">
        <f>EXP(-LN(2)/2)*CM169+(1-EXP(-LN(2)/2))/(LN(2)/2)*CG170*CJ170*VLOOKUP('Données projet'!$B$12,Paramètres!$A$1:$I$89,3,0)*0.475*44/12</f>
        <v>4.8883913749897801E-9</v>
      </c>
      <c r="CN170" s="22">
        <f t="shared" si="172"/>
        <v>41.709114387812491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243.33915530322201</v>
      </c>
      <c r="CZ170" s="59">
        <f t="shared" si="150"/>
        <v>247.73814704672577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9.2806663647746337</v>
      </c>
      <c r="DG170" s="21">
        <f>EXP(-LN(2)/25)*DG169+(1-EXP(-LN(2)/25))/(LN(2)/25)*Calculateur!DB170*Calculateur!DD170*VLOOKUP('Données projet'!$B$13,Paramètres!$A$1:$I$89,3,0)*0.475*44/12</f>
        <v>4.599747258408053</v>
      </c>
      <c r="DH170" s="21">
        <f>EXP(-LN(2)/2)*DH169+(1-EXP(-LN(2)/2))/(LN(2)/2)*DB170*DE170*VLOOKUP('Données projet'!$B$13,Paramètres!$A$1:$I$89,3,0)*0.475*44/12</f>
        <v>5.0179709790263388E-12</v>
      </c>
      <c r="DI170" s="22">
        <f t="shared" si="175"/>
        <v>13.880413623187705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3.177547114319168E-13</v>
      </c>
      <c r="P171" s="13">
        <f t="shared" si="141"/>
        <v>4.1725404435445377E-12</v>
      </c>
      <c r="Q171" s="20">
        <f t="shared" si="162"/>
        <v>7.820597394917325E-12</v>
      </c>
      <c r="R171" s="59">
        <f t="shared" si="109"/>
        <v>293.33333333334116</v>
      </c>
      <c r="S171" s="59">
        <f ca="1">AVERAGE(OFFSET($R$3,0,0,'Données projet'!$E$9+1,1))-AVERAGE(OFFSET($H$3,0,0,'Données projet'!$E$9+1,1))</f>
        <v>287.413090017863</v>
      </c>
      <c r="T171" s="59">
        <f t="shared" si="142"/>
        <v>258.48456031927117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33.1325840604677</v>
      </c>
      <c r="AA171" s="21">
        <f>EXP(-LN(2)/25)*AA170+(1-EXP(-LN(2)/25))/(LN(2)/25)*Calculateur!V171*Calculateur!X171*VLOOKUP('Données projet'!$B$9,Paramètres!$A$1:$I$89,3,0)*0.475*44/12</f>
        <v>5.0708686658172981</v>
      </c>
      <c r="AB171" s="21">
        <f>EXP(-LN(2)/2)*AB170+(1-EXP(-LN(2)/2))/(LN(2)/2)*V171*Y171*VLOOKUP('Données projet'!$B$9,Paramètres!$A$1:$I$89,3,0)*0.475*44/12</f>
        <v>1.3412475454334311E-13</v>
      </c>
      <c r="AC171" s="22">
        <f t="shared" si="163"/>
        <v>38.203452726285136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9.6220000000000034</v>
      </c>
      <c r="AI171" s="13">
        <f>IF('Données projet'!$A$62&gt;35,AI170+AH171-AQ170,IF(A171&lt;'Données projet'!$A$62,$AF$205^A171,IF(A171='Données projet'!$A$62,'Données projet'!$B$62,AI170+AH171-AQ170)))</f>
        <v>552.78800000000115</v>
      </c>
      <c r="AJ171" s="13">
        <f>AI171*VLOOKUP('Données projet'!$B$10,Paramètres!$A$1:$I$89,3,0)*VLOOKUP('Données projet'!$B$10,Paramètres!$A$1:$I$89,5,0)</f>
        <v>500.16258240000104</v>
      </c>
      <c r="AK171" s="13">
        <f t="shared" si="164"/>
        <v>111.81156339666074</v>
      </c>
      <c r="AL171" s="20">
        <f t="shared" si="165"/>
        <v>1065.8549705958526</v>
      </c>
      <c r="AM171" s="59">
        <f t="shared" si="113"/>
        <v>1359.1883039291858</v>
      </c>
      <c r="AN171" s="59">
        <f ca="1">AVERAGE(OFFSET($AM$3,0,0,'Données projet'!$E$10+1,1))-AVERAGE(OFFSET($H$3,0,0,'Données projet'!$E$10+1,1))</f>
        <v>422.10969295064359</v>
      </c>
      <c r="AO171" s="59">
        <f t="shared" si="144"/>
        <v>184.04075143033037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54.149045377549669</v>
      </c>
      <c r="AV171" s="21">
        <f>EXP(-LN(2)/25)*AV170+(1-EXP(-LN(2)/25))/(LN(2)/25)*Calculateur!AQ171*Calculateur!AS171*VLOOKUP('Données projet'!$B$10,Paramètres!$A$1:$I$89,3,0)*0.475*44/12</f>
        <v>20.592802401863636</v>
      </c>
      <c r="AW171" s="21">
        <f>EXP(-LN(2)/2)*AW170+(1-EXP(-LN(2)/2))/(LN(2)/2)*AQ171*AT171*VLOOKUP('Données projet'!$B$10,Paramètres!$A$1:$I$89,3,0)*0.475*44/12</f>
        <v>1.2173605769931395E-6</v>
      </c>
      <c r="AX171" s="21">
        <f t="shared" si="166"/>
        <v>74.741848996773882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-9.1631591203622526E-14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217.61052961346684</v>
      </c>
      <c r="BJ171" s="59">
        <f t="shared" si="146"/>
        <v>180.77145728128608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29.480891362004716</v>
      </c>
      <c r="BQ171" s="21">
        <f>EXP(-LN(2)/25)*BQ170+(1-EXP(-LN(2)/25))/(LN(2)/25)*Calculateur!BL171*Calculateur!BN171*VLOOKUP('Données projet'!$B$11,Paramètres!$A$1:$I$89,3,0)*0.475*44/12</f>
        <v>5.2548642398282128</v>
      </c>
      <c r="BR171" s="21">
        <f>EXP(-LN(2)/2)*BR170+(1-EXP(-LN(2)/2))/(LN(2)/2)*BL171*BO171*VLOOKUP('Données projet'!$B$11,Paramètres!$A$1:$I$89,3,0)*0.475*44/12</f>
        <v>3.7166746633751446E-12</v>
      </c>
      <c r="BS171" s="22">
        <f t="shared" si="169"/>
        <v>34.735755601836644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4.7884896048344674E-14</v>
      </c>
      <c r="CA171" s="13">
        <f t="shared" si="170"/>
        <v>7.8374629847779921E-13</v>
      </c>
      <c r="CB171" s="20">
        <f t="shared" si="171"/>
        <v>1.4484243304663672E-12</v>
      </c>
      <c r="CC171" s="59">
        <f t="shared" si="119"/>
        <v>293.33333333333474</v>
      </c>
      <c r="CD171" s="59">
        <f ca="1">AVERAGE(OFFSET($CC$3,0,0,'Données projet'!$E$12+1,1))-AVERAGE(OFFSET($H$3,0,0,'Données projet'!$E$12+1,1))</f>
        <v>287.72859857368331</v>
      </c>
      <c r="CE171" s="59">
        <f t="shared" si="148"/>
        <v>179.60736986885922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35.836111202267112</v>
      </c>
      <c r="CL171" s="21">
        <f>EXP(-LN(2)/25)*CL170+(1-EXP(-LN(2)/25))/(LN(2)/25)*Calculateur!CG171*Calculateur!CI171*VLOOKUP('Données projet'!$B$12,Paramètres!$A$1:$I$89,3,0)*0.475*44/12</f>
        <v>5.0152260844357723</v>
      </c>
      <c r="CM171" s="21">
        <f>EXP(-LN(2)/2)*CM170+(1-EXP(-LN(2)/2))/(LN(2)/2)*CG171*CJ171*VLOOKUP('Données projet'!$B$12,Paramètres!$A$1:$I$89,3,0)*0.475*44/12</f>
        <v>3.4566146903491047E-9</v>
      </c>
      <c r="CN171" s="22">
        <f t="shared" si="172"/>
        <v>40.851337290159499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243.33915530322201</v>
      </c>
      <c r="CZ171" s="59">
        <f t="shared" si="150"/>
        <v>247.73814704672577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9.0986781580089424</v>
      </c>
      <c r="DG171" s="21">
        <f>EXP(-LN(2)/25)*DG170+(1-EXP(-LN(2)/25))/(LN(2)/25)*Calculateur!DB171*Calculateur!DD171*VLOOKUP('Données projet'!$B$13,Paramètres!$A$1:$I$89,3,0)*0.475*44/12</f>
        <v>4.4739669277366891</v>
      </c>
      <c r="DH171" s="21">
        <f>EXP(-LN(2)/2)*DH170+(1-EXP(-LN(2)/2))/(LN(2)/2)*DB171*DE171*VLOOKUP('Données projet'!$B$13,Paramètres!$A$1:$I$89,3,0)*0.475*44/12</f>
        <v>3.5482413070668231E-12</v>
      </c>
      <c r="DI171" s="22">
        <f t="shared" si="175"/>
        <v>13.572645085749178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3.177547114319168E-13</v>
      </c>
      <c r="P172" s="13">
        <f t="shared" si="141"/>
        <v>4.1725404435445377E-12</v>
      </c>
      <c r="Q172" s="20">
        <f t="shared" si="162"/>
        <v>7.820597394917325E-12</v>
      </c>
      <c r="R172" s="59">
        <f t="shared" si="109"/>
        <v>293.33333333334116</v>
      </c>
      <c r="S172" s="59">
        <f ca="1">AVERAGE(OFFSET($R$3,0,0,'Données projet'!$E$9+1,1))-AVERAGE(OFFSET($H$3,0,0,'Données projet'!$E$9+1,1))</f>
        <v>287.413090017863</v>
      </c>
      <c r="T172" s="59">
        <f t="shared" si="142"/>
        <v>258.48456031927117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32.482874295922741</v>
      </c>
      <c r="AA172" s="21">
        <f>EXP(-LN(2)/25)*AA171+(1-EXP(-LN(2)/25))/(LN(2)/25)*Calculateur!V172*Calculateur!X172*VLOOKUP('Données projet'!$B$9,Paramètres!$A$1:$I$89,3,0)*0.475*44/12</f>
        <v>4.9322054954851309</v>
      </c>
      <c r="AB172" s="21">
        <f>EXP(-LN(2)/2)*AB171+(1-EXP(-LN(2)/2))/(LN(2)/2)*V172*Y172*VLOOKUP('Données projet'!$B$9,Paramètres!$A$1:$I$89,3,0)*0.475*44/12</f>
        <v>9.4840523462579115E-14</v>
      </c>
      <c r="AC172" s="22">
        <f t="shared" si="163"/>
        <v>37.415079791407962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9.6220000000000034</v>
      </c>
      <c r="AI172" s="13">
        <f>IF('Données projet'!$A$62&gt;35,AI171+AH172-AQ171,IF(A172&lt;'Données projet'!$A$62,$AF$205^A172,IF(A172='Données projet'!$A$62,'Données projet'!$B$62,AI171+AH172-AQ171)))</f>
        <v>562.41000000000111</v>
      </c>
      <c r="AJ172" s="13">
        <f>AI172*VLOOKUP('Données projet'!$B$10,Paramètres!$A$1:$I$89,3,0)*VLOOKUP('Données projet'!$B$10,Paramètres!$A$1:$I$89,5,0)</f>
        <v>508.86856800000095</v>
      </c>
      <c r="AK172" s="13">
        <f t="shared" si="164"/>
        <v>113.52951852374844</v>
      </c>
      <c r="AL172" s="20">
        <f t="shared" si="165"/>
        <v>1084.0100006955302</v>
      </c>
      <c r="AM172" s="59">
        <f t="shared" si="113"/>
        <v>1377.3433340288634</v>
      </c>
      <c r="AN172" s="59">
        <f ca="1">AVERAGE(OFFSET($AM$3,0,0,'Données projet'!$E$10+1,1))-AVERAGE(OFFSET($H$3,0,0,'Données projet'!$E$10+1,1))</f>
        <v>422.10969295064359</v>
      </c>
      <c r="AO172" s="59">
        <f t="shared" si="144"/>
        <v>184.04075143033037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53.087215625352393</v>
      </c>
      <c r="AV172" s="21">
        <f>EXP(-LN(2)/25)*AV171+(1-EXP(-LN(2)/25))/(LN(2)/25)*Calculateur!AQ172*Calculateur!AS172*VLOOKUP('Données projet'!$B$10,Paramètres!$A$1:$I$89,3,0)*0.475*44/12</f>
        <v>20.029691137256261</v>
      </c>
      <c r="AW172" s="21">
        <f>EXP(-LN(2)/2)*AW171+(1-EXP(-LN(2)/2))/(LN(2)/2)*AQ172*AT172*VLOOKUP('Données projet'!$B$10,Paramètres!$A$1:$I$89,3,0)*0.475*44/12</f>
        <v>8.6080391914101712E-7</v>
      </c>
      <c r="AX172" s="21">
        <f t="shared" si="166"/>
        <v>73.116907623412573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-9.1631591203622526E-14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217.61052961346684</v>
      </c>
      <c r="BJ172" s="59">
        <f t="shared" si="146"/>
        <v>180.77145728128608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28.902789063964001</v>
      </c>
      <c r="BQ172" s="21">
        <f>EXP(-LN(2)/25)*BQ171+(1-EXP(-LN(2)/25))/(LN(2)/25)*Calculateur!BL172*Calculateur!BN172*VLOOKUP('Données projet'!$B$11,Paramètres!$A$1:$I$89,3,0)*0.475*44/12</f>
        <v>5.1111697008488104</v>
      </c>
      <c r="BR172" s="21">
        <f>EXP(-LN(2)/2)*BR171+(1-EXP(-LN(2)/2))/(LN(2)/2)*BL172*BO172*VLOOKUP('Données projet'!$B$11,Paramètres!$A$1:$I$89,3,0)*0.475*44/12</f>
        <v>2.6280858579367935E-12</v>
      </c>
      <c r="BS172" s="22">
        <f t="shared" si="169"/>
        <v>34.013958764815442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4.7884896048344674E-14</v>
      </c>
      <c r="CA172" s="13">
        <f t="shared" si="170"/>
        <v>7.8374629847779921E-13</v>
      </c>
      <c r="CB172" s="20">
        <f t="shared" si="171"/>
        <v>1.4484243304663672E-12</v>
      </c>
      <c r="CC172" s="59">
        <f t="shared" si="119"/>
        <v>293.33333333333474</v>
      </c>
      <c r="CD172" s="59">
        <f ca="1">AVERAGE(OFFSET($CC$3,0,0,'Données projet'!$E$12+1,1))-AVERAGE(OFFSET($H$3,0,0,'Données projet'!$E$12+1,1))</f>
        <v>287.72859857368331</v>
      </c>
      <c r="CE172" s="59">
        <f t="shared" si="148"/>
        <v>179.60736986885922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35.1333869194602</v>
      </c>
      <c r="CL172" s="21">
        <f>EXP(-LN(2)/25)*CL171+(1-EXP(-LN(2)/25))/(LN(2)/25)*Calculateur!CG172*Calculateur!CI172*VLOOKUP('Données projet'!$B$12,Paramètres!$A$1:$I$89,3,0)*0.475*44/12</f>
        <v>4.8780844634175988</v>
      </c>
      <c r="CM172" s="21">
        <f>EXP(-LN(2)/2)*CM171+(1-EXP(-LN(2)/2))/(LN(2)/2)*CG172*CJ172*VLOOKUP('Données projet'!$B$12,Paramètres!$A$1:$I$89,3,0)*0.475*44/12</f>
        <v>2.4441956874948901E-9</v>
      </c>
      <c r="CN172" s="22">
        <f t="shared" si="172"/>
        <v>40.011471385321997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243.33915530322201</v>
      </c>
      <c r="CZ172" s="59">
        <f t="shared" si="150"/>
        <v>247.73814704672577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8.9202586289760806</v>
      </c>
      <c r="DG172" s="21">
        <f>EXP(-LN(2)/25)*DG171+(1-EXP(-LN(2)/25))/(LN(2)/25)*Calculateur!DB172*Calculateur!DD172*VLOOKUP('Données projet'!$B$13,Paramètres!$A$1:$I$89,3,0)*0.475*44/12</f>
        <v>4.3516260668220337</v>
      </c>
      <c r="DH172" s="21">
        <f>EXP(-LN(2)/2)*DH171+(1-EXP(-LN(2)/2))/(LN(2)/2)*DB172*DE172*VLOOKUP('Données projet'!$B$13,Paramètres!$A$1:$I$89,3,0)*0.475*44/12</f>
        <v>2.5089854895131694E-12</v>
      </c>
      <c r="DI172" s="22">
        <f t="shared" si="175"/>
        <v>13.271884695800622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3.177547114319168E-13</v>
      </c>
      <c r="P173" s="13">
        <f t="shared" si="141"/>
        <v>4.1725404435445377E-12</v>
      </c>
      <c r="Q173" s="20">
        <f t="shared" si="162"/>
        <v>7.820597394917325E-12</v>
      </c>
      <c r="R173" s="59">
        <f t="shared" si="109"/>
        <v>293.33333333334116</v>
      </c>
      <c r="S173" s="59">
        <f ca="1">AVERAGE(OFFSET($R$3,0,0,'Données projet'!$E$9+1,1))-AVERAGE(OFFSET($H$3,0,0,'Données projet'!$E$9+1,1))</f>
        <v>287.413090017863</v>
      </c>
      <c r="T173" s="59">
        <f t="shared" si="142"/>
        <v>258.48456031927117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31.845904943576684</v>
      </c>
      <c r="AA173" s="21">
        <f>EXP(-LN(2)/25)*AA172+(1-EXP(-LN(2)/25))/(LN(2)/25)*Calculateur!V173*Calculateur!X173*VLOOKUP('Données projet'!$B$9,Paramètres!$A$1:$I$89,3,0)*0.475*44/12</f>
        <v>4.797334076837676</v>
      </c>
      <c r="AB173" s="21">
        <f>EXP(-LN(2)/2)*AB172+(1-EXP(-LN(2)/2))/(LN(2)/2)*V173*Y173*VLOOKUP('Données projet'!$B$9,Paramètres!$A$1:$I$89,3,0)*0.475*44/12</f>
        <v>6.7062377271671555E-14</v>
      </c>
      <c r="AC173" s="22">
        <f t="shared" si="163"/>
        <v>36.643239020414427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9.6220000000000034</v>
      </c>
      <c r="AI173" s="13">
        <f>IF('Données projet'!$A$62&gt;35,AI172+AH173-AQ172,IF(A173&lt;'Données projet'!$A$62,$AF$205^A173,IF(A173='Données projet'!$A$62,'Données projet'!$B$62,AI172+AH173-AQ172)))</f>
        <v>572.03200000000106</v>
      </c>
      <c r="AJ173" s="13">
        <f>AI173*VLOOKUP('Données projet'!$B$10,Paramètres!$A$1:$I$89,3,0)*VLOOKUP('Données projet'!$B$10,Paramètres!$A$1:$I$89,5,0)</f>
        <v>517.57455360000097</v>
      </c>
      <c r="AK173" s="13">
        <f t="shared" si="164"/>
        <v>115.24405568945055</v>
      </c>
      <c r="AL173" s="20">
        <f t="shared" si="165"/>
        <v>1102.1590778457946</v>
      </c>
      <c r="AM173" s="59">
        <f t="shared" si="113"/>
        <v>1395.4924111791279</v>
      </c>
      <c r="AN173" s="59">
        <f ca="1">AVERAGE(OFFSET($AM$3,0,0,'Données projet'!$E$10+1,1))-AVERAGE(OFFSET($H$3,0,0,'Données projet'!$E$10+1,1))</f>
        <v>422.10969295064359</v>
      </c>
      <c r="AO173" s="59">
        <f t="shared" si="144"/>
        <v>184.04075143033037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52.046207706943505</v>
      </c>
      <c r="AV173" s="21">
        <f>EXP(-LN(2)/25)*AV172+(1-EXP(-LN(2)/25))/(LN(2)/25)*Calculateur!AQ173*Calculateur!AS173*VLOOKUP('Données projet'!$B$10,Paramètres!$A$1:$I$89,3,0)*0.475*44/12</f>
        <v>19.481978179792311</v>
      </c>
      <c r="AW173" s="21">
        <f>EXP(-LN(2)/2)*AW172+(1-EXP(-LN(2)/2))/(LN(2)/2)*AQ173*AT173*VLOOKUP('Données projet'!$B$10,Paramètres!$A$1:$I$89,3,0)*0.475*44/12</f>
        <v>6.0868028849656974E-7</v>
      </c>
      <c r="AX173" s="21">
        <f t="shared" si="166"/>
        <v>71.528186495416108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-9.1631591203622526E-14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217.61052961346684</v>
      </c>
      <c r="BJ173" s="59">
        <f t="shared" si="146"/>
        <v>180.77145728128608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28.33602299938028</v>
      </c>
      <c r="BQ173" s="21">
        <f>EXP(-LN(2)/25)*BQ172+(1-EXP(-LN(2)/25))/(LN(2)/25)*Calculateur!BL173*Calculateur!BN173*VLOOKUP('Données projet'!$B$11,Paramètres!$A$1:$I$89,3,0)*0.475*44/12</f>
        <v>4.9714044965943671</v>
      </c>
      <c r="BR173" s="21">
        <f>EXP(-LN(2)/2)*BR172+(1-EXP(-LN(2)/2))/(LN(2)/2)*BL173*BO173*VLOOKUP('Données projet'!$B$11,Paramètres!$A$1:$I$89,3,0)*0.475*44/12</f>
        <v>1.8583373316875723E-12</v>
      </c>
      <c r="BS173" s="22">
        <f t="shared" si="169"/>
        <v>33.307427495976512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4.7884896048344674E-14</v>
      </c>
      <c r="CA173" s="13">
        <f t="shared" si="170"/>
        <v>7.8374629847779921E-13</v>
      </c>
      <c r="CB173" s="20">
        <f t="shared" si="171"/>
        <v>1.4484243304663672E-12</v>
      </c>
      <c r="CC173" s="59">
        <f t="shared" si="119"/>
        <v>293.33333333333474</v>
      </c>
      <c r="CD173" s="59">
        <f ca="1">AVERAGE(OFFSET($CC$3,0,0,'Données projet'!$E$12+1,1))-AVERAGE(OFFSET($H$3,0,0,'Données projet'!$E$12+1,1))</f>
        <v>287.72859857368331</v>
      </c>
      <c r="CE173" s="59">
        <f t="shared" si="148"/>
        <v>179.60736986885922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34.444442631219644</v>
      </c>
      <c r="CL173" s="21">
        <f>EXP(-LN(2)/25)*CL172+(1-EXP(-LN(2)/25))/(LN(2)/25)*Calculateur!CG173*Calculateur!CI173*VLOOKUP('Données projet'!$B$12,Paramètres!$A$1:$I$89,3,0)*0.475*44/12</f>
        <v>4.7446929872381318</v>
      </c>
      <c r="CM173" s="21">
        <f>EXP(-LN(2)/2)*CM172+(1-EXP(-LN(2)/2))/(LN(2)/2)*CG173*CJ173*VLOOKUP('Données projet'!$B$12,Paramètres!$A$1:$I$89,3,0)*0.475*44/12</f>
        <v>1.7283073451745523E-9</v>
      </c>
      <c r="CN173" s="22">
        <f t="shared" si="172"/>
        <v>39.189135620186086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243.33915530322201</v>
      </c>
      <c r="CZ173" s="59">
        <f t="shared" si="150"/>
        <v>247.73814704672577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8.745337798082387</v>
      </c>
      <c r="DG173" s="21">
        <f>EXP(-LN(2)/25)*DG172+(1-EXP(-LN(2)/25))/(LN(2)/25)*Calculateur!DB173*Calculateur!DD173*VLOOKUP('Données projet'!$B$13,Paramètres!$A$1:$I$89,3,0)*0.475*44/12</f>
        <v>4.2326306231827164</v>
      </c>
      <c r="DH173" s="21">
        <f>EXP(-LN(2)/2)*DH172+(1-EXP(-LN(2)/2))/(LN(2)/2)*DB173*DE173*VLOOKUP('Données projet'!$B$13,Paramètres!$A$1:$I$89,3,0)*0.475*44/12</f>
        <v>1.7741206535334115E-12</v>
      </c>
      <c r="DI173" s="22">
        <f t="shared" si="175"/>
        <v>12.977968421266878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3.177547114319168E-13</v>
      </c>
      <c r="P174" s="13">
        <f t="shared" si="141"/>
        <v>4.1725404435445377E-12</v>
      </c>
      <c r="Q174" s="20">
        <f t="shared" si="162"/>
        <v>7.820597394917325E-12</v>
      </c>
      <c r="R174" s="59">
        <f t="shared" si="109"/>
        <v>293.33333333334116</v>
      </c>
      <c r="S174" s="59">
        <f ca="1">AVERAGE(OFFSET($R$3,0,0,'Données projet'!$E$9+1,1))-AVERAGE(OFFSET($H$3,0,0,'Données projet'!$E$9+1,1))</f>
        <v>287.413090017863</v>
      </c>
      <c r="T174" s="59">
        <f t="shared" si="142"/>
        <v>258.48456031927117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31.221426171717191</v>
      </c>
      <c r="AA174" s="21">
        <f>EXP(-LN(2)/25)*AA173+(1-EXP(-LN(2)/25))/(LN(2)/25)*Calculateur!V174*Calculateur!X174*VLOOKUP('Données projet'!$B$9,Paramètres!$A$1:$I$89,3,0)*0.475*44/12</f>
        <v>4.666150724225715</v>
      </c>
      <c r="AB174" s="21">
        <f>EXP(-LN(2)/2)*AB173+(1-EXP(-LN(2)/2))/(LN(2)/2)*V174*Y174*VLOOKUP('Données projet'!$B$9,Paramètres!$A$1:$I$89,3,0)*0.475*44/12</f>
        <v>4.7420261731289557E-14</v>
      </c>
      <c r="AC174" s="22">
        <f t="shared" si="163"/>
        <v>35.887576895942956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9.6220000000000034</v>
      </c>
      <c r="AI174" s="13">
        <f>IF('Données projet'!$A$62&gt;35,AI173+AH174-AQ173,IF(A174&lt;'Données projet'!$A$62,$AF$205^A174,IF(A174='Données projet'!$A$62,'Données projet'!$B$62,AI173+AH174-AQ173)))</f>
        <v>581.65400000000102</v>
      </c>
      <c r="AJ174" s="13">
        <f>AI174*VLOOKUP('Données projet'!$B$10,Paramètres!$A$1:$I$89,3,0)*VLOOKUP('Données projet'!$B$10,Paramètres!$A$1:$I$89,5,0)</f>
        <v>526.28053920000093</v>
      </c>
      <c r="AK174" s="13">
        <f t="shared" si="164"/>
        <v>116.95523902184036</v>
      </c>
      <c r="AL174" s="20">
        <f t="shared" si="165"/>
        <v>1120.3023137363737</v>
      </c>
      <c r="AM174" s="59">
        <f t="shared" si="113"/>
        <v>1413.6356470697069</v>
      </c>
      <c r="AN174" s="59">
        <f ca="1">AVERAGE(OFFSET($AM$3,0,0,'Données projet'!$E$10+1,1))-AVERAGE(OFFSET($H$3,0,0,'Données projet'!$E$10+1,1))</f>
        <v>422.10969295064359</v>
      </c>
      <c r="AO174" s="59">
        <f t="shared" si="144"/>
        <v>184.04075143033037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51.025613318862483</v>
      </c>
      <c r="AV174" s="21">
        <f>EXP(-LN(2)/25)*AV173+(1-EXP(-LN(2)/25))/(LN(2)/25)*Calculateur!AQ174*Calculateur!AS174*VLOOKUP('Données projet'!$B$10,Paramètres!$A$1:$I$89,3,0)*0.475*44/12</f>
        <v>18.949242461953183</v>
      </c>
      <c r="AW174" s="21">
        <f>EXP(-LN(2)/2)*AW173+(1-EXP(-LN(2)/2))/(LN(2)/2)*AQ174*AT174*VLOOKUP('Données projet'!$B$10,Paramètres!$A$1:$I$89,3,0)*0.475*44/12</f>
        <v>4.3040195957050856E-7</v>
      </c>
      <c r="AX174" s="21">
        <f t="shared" si="166"/>
        <v>69.974856211217613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-9.1631591203622526E-14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217.61052961346684</v>
      </c>
      <c r="BJ174" s="59">
        <f t="shared" si="146"/>
        <v>180.77145728128608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27.780370871629881</v>
      </c>
      <c r="BQ174" s="21">
        <f>EXP(-LN(2)/25)*BQ173+(1-EXP(-LN(2)/25))/(LN(2)/25)*Calculateur!BL174*Calculateur!BN174*VLOOKUP('Données projet'!$B$11,Paramètres!$A$1:$I$89,3,0)*0.475*44/12</f>
        <v>4.8354611792001938</v>
      </c>
      <c r="BR174" s="21">
        <f>EXP(-LN(2)/2)*BR173+(1-EXP(-LN(2)/2))/(LN(2)/2)*BL174*BO174*VLOOKUP('Données projet'!$B$11,Paramètres!$A$1:$I$89,3,0)*0.475*44/12</f>
        <v>1.3140429289683968E-12</v>
      </c>
      <c r="BS174" s="22">
        <f t="shared" si="169"/>
        <v>32.615832050831386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4.7884896048344674E-14</v>
      </c>
      <c r="CA174" s="13">
        <f t="shared" si="170"/>
        <v>7.8374629847779921E-13</v>
      </c>
      <c r="CB174" s="20">
        <f t="shared" si="171"/>
        <v>1.4484243304663672E-12</v>
      </c>
      <c r="CC174" s="59">
        <f t="shared" si="119"/>
        <v>293.33333333333474</v>
      </c>
      <c r="CD174" s="59">
        <f ca="1">AVERAGE(OFFSET($CC$3,0,0,'Données projet'!$E$12+1,1))-AVERAGE(OFFSET($H$3,0,0,'Données projet'!$E$12+1,1))</f>
        <v>287.72859857368331</v>
      </c>
      <c r="CE174" s="59">
        <f t="shared" si="148"/>
        <v>179.60736986885922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33.769008120256963</v>
      </c>
      <c r="CL174" s="21">
        <f>EXP(-LN(2)/25)*CL173+(1-EXP(-LN(2)/25))/(LN(2)/25)*Calculateur!CG174*Calculateur!CI174*VLOOKUP('Données projet'!$B$12,Paramètres!$A$1:$I$89,3,0)*0.475*44/12</f>
        <v>4.6149491079895446</v>
      </c>
      <c r="CM174" s="21">
        <f>EXP(-LN(2)/2)*CM173+(1-EXP(-LN(2)/2))/(LN(2)/2)*CG174*CJ174*VLOOKUP('Données projet'!$B$12,Paramètres!$A$1:$I$89,3,0)*0.475*44/12</f>
        <v>1.222097843747445E-9</v>
      </c>
      <c r="CN174" s="22">
        <f t="shared" si="172"/>
        <v>38.383957229468606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243.33915530322201</v>
      </c>
      <c r="CZ174" s="59">
        <f t="shared" si="150"/>
        <v>247.73814704672577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8.5738470579913475</v>
      </c>
      <c r="DG174" s="21">
        <f>EXP(-LN(2)/25)*DG173+(1-EXP(-LN(2)/25))/(LN(2)/25)*Calculateur!DB174*Calculateur!DD174*VLOOKUP('Données projet'!$B$13,Paramètres!$A$1:$I$89,3,0)*0.475*44/12</f>
        <v>4.1168891162074148</v>
      </c>
      <c r="DH174" s="21">
        <f>EXP(-LN(2)/2)*DH173+(1-EXP(-LN(2)/2))/(LN(2)/2)*DB174*DE174*VLOOKUP('Données projet'!$B$13,Paramètres!$A$1:$I$89,3,0)*0.475*44/12</f>
        <v>1.2544927447565847E-12</v>
      </c>
      <c r="DI174" s="22">
        <f t="shared" si="175"/>
        <v>12.690736174200016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3.177547114319168E-13</v>
      </c>
      <c r="P175" s="13">
        <f t="shared" si="141"/>
        <v>4.1725404435445377E-12</v>
      </c>
      <c r="Q175" s="20">
        <f t="shared" si="162"/>
        <v>7.820597394917325E-12</v>
      </c>
      <c r="R175" s="59">
        <f t="shared" si="109"/>
        <v>293.33333333334116</v>
      </c>
      <c r="S175" s="59">
        <f ca="1">AVERAGE(OFFSET($R$3,0,0,'Données projet'!$E$9+1,1))-AVERAGE(OFFSET($H$3,0,0,'Données projet'!$E$9+1,1))</f>
        <v>287.413090017863</v>
      </c>
      <c r="T175" s="59">
        <f t="shared" si="142"/>
        <v>258.48456031927117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30.609193047679423</v>
      </c>
      <c r="AA175" s="21">
        <f>EXP(-LN(2)/25)*AA174+(1-EXP(-LN(2)/25))/(LN(2)/25)*Calculateur!V175*Calculateur!X175*VLOOKUP('Données projet'!$B$9,Paramètres!$A$1:$I$89,3,0)*0.475*44/12</f>
        <v>4.5385545872895605</v>
      </c>
      <c r="AB175" s="21">
        <f>EXP(-LN(2)/2)*AB174+(1-EXP(-LN(2)/2))/(LN(2)/2)*V175*Y175*VLOOKUP('Données projet'!$B$9,Paramètres!$A$1:$I$89,3,0)*0.475*44/12</f>
        <v>3.3531188635835778E-14</v>
      </c>
      <c r="AC175" s="22">
        <f t="shared" si="163"/>
        <v>35.147747634969015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9.6220000000000034</v>
      </c>
      <c r="AI175" s="13">
        <f>IF('Données projet'!$A$62&gt;35,AI174+AH175-AQ174,IF(A175&lt;'Données projet'!$A$62,$AF$205^A175,IF(A175='Données projet'!$A$62,'Données projet'!$B$62,AI174+AH175-AQ174)))</f>
        <v>591.27600000000098</v>
      </c>
      <c r="AJ175" s="13">
        <f>AI175*VLOOKUP('Données projet'!$B$10,Paramètres!$A$1:$I$89,3,0)*VLOOKUP('Données projet'!$B$10,Paramètres!$A$1:$I$89,5,0)</f>
        <v>534.98652480000089</v>
      </c>
      <c r="AK175" s="13">
        <f t="shared" si="164"/>
        <v>118.66313040568902</v>
      </c>
      <c r="AL175" s="20">
        <f t="shared" si="165"/>
        <v>1138.4398161499098</v>
      </c>
      <c r="AM175" s="59">
        <f t="shared" si="113"/>
        <v>1431.7731494832431</v>
      </c>
      <c r="AN175" s="59">
        <f ca="1">AVERAGE(OFFSET($AM$3,0,0,'Données projet'!$E$10+1,1))-AVERAGE(OFFSET($H$3,0,0,'Données projet'!$E$10+1,1))</f>
        <v>422.10969295064359</v>
      </c>
      <c r="AO175" s="59">
        <f t="shared" si="144"/>
        <v>184.04075143033037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50.025032164230616</v>
      </c>
      <c r="AV175" s="21">
        <f>EXP(-LN(2)/25)*AV174+(1-EXP(-LN(2)/25))/(LN(2)/25)*Calculateur!AQ175*Calculateur!AS175*VLOOKUP('Données projet'!$B$10,Paramètres!$A$1:$I$89,3,0)*0.475*44/12</f>
        <v>18.431074430333723</v>
      </c>
      <c r="AW175" s="21">
        <f>EXP(-LN(2)/2)*AW174+(1-EXP(-LN(2)/2))/(LN(2)/2)*AQ175*AT175*VLOOKUP('Données projet'!$B$10,Paramètres!$A$1:$I$89,3,0)*0.475*44/12</f>
        <v>3.0434014424828487E-7</v>
      </c>
      <c r="AX175" s="21">
        <f t="shared" si="166"/>
        <v>68.456106898904494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-9.1631591203622526E-14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217.61052961346684</v>
      </c>
      <c r="BJ175" s="59">
        <f t="shared" si="146"/>
        <v>180.77145728128608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27.235614743190336</v>
      </c>
      <c r="BQ175" s="21">
        <f>EXP(-LN(2)/25)*BQ174+(1-EXP(-LN(2)/25))/(LN(2)/25)*Calculateur!BL175*Calculateur!BN175*VLOOKUP('Données projet'!$B$11,Paramètres!$A$1:$I$89,3,0)*0.475*44/12</f>
        <v>4.7032352389691123</v>
      </c>
      <c r="BR175" s="21">
        <f>EXP(-LN(2)/2)*BR174+(1-EXP(-LN(2)/2))/(LN(2)/2)*BL175*BO175*VLOOKUP('Données projet'!$B$11,Paramètres!$A$1:$I$89,3,0)*0.475*44/12</f>
        <v>9.2916866584378615E-13</v>
      </c>
      <c r="BS175" s="22">
        <f t="shared" si="169"/>
        <v>31.938849982160377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4.7884896048344674E-14</v>
      </c>
      <c r="CA175" s="13">
        <f t="shared" si="170"/>
        <v>7.8374629847779921E-13</v>
      </c>
      <c r="CB175" s="20">
        <f t="shared" si="171"/>
        <v>1.4484243304663672E-12</v>
      </c>
      <c r="CC175" s="59">
        <f t="shared" si="119"/>
        <v>293.33333333333474</v>
      </c>
      <c r="CD175" s="59">
        <f ca="1">AVERAGE(OFFSET($CC$3,0,0,'Données projet'!$E$12+1,1))-AVERAGE(OFFSET($H$3,0,0,'Données projet'!$E$12+1,1))</f>
        <v>287.72859857368331</v>
      </c>
      <c r="CE175" s="59">
        <f t="shared" si="148"/>
        <v>179.60736986885922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33.106818468079886</v>
      </c>
      <c r="CL175" s="21">
        <f>EXP(-LN(2)/25)*CL174+(1-EXP(-LN(2)/25))/(LN(2)/25)*Calculateur!CG175*Calculateur!CI175*VLOOKUP('Données projet'!$B$12,Paramètres!$A$1:$I$89,3,0)*0.475*44/12</f>
        <v>4.4887530819419448</v>
      </c>
      <c r="CM175" s="21">
        <f>EXP(-LN(2)/2)*CM174+(1-EXP(-LN(2)/2))/(LN(2)/2)*CG175*CJ175*VLOOKUP('Données projet'!$B$12,Paramètres!$A$1:$I$89,3,0)*0.475*44/12</f>
        <v>8.6415367258727617E-10</v>
      </c>
      <c r="CN175" s="22">
        <f t="shared" si="172"/>
        <v>37.595571550885985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243.33915530322201</v>
      </c>
      <c r="CZ175" s="59">
        <f t="shared" si="150"/>
        <v>247.73814704672577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8.4057191467144694</v>
      </c>
      <c r="DG175" s="21">
        <f>EXP(-LN(2)/25)*DG174+(1-EXP(-LN(2)/25))/(LN(2)/25)*Calculateur!DB175*Calculateur!DD175*VLOOKUP('Données projet'!$B$13,Paramètres!$A$1:$I$89,3,0)*0.475*44/12</f>
        <v>4.0043125668269335</v>
      </c>
      <c r="DH175" s="21">
        <f>EXP(-LN(2)/2)*DH174+(1-EXP(-LN(2)/2))/(LN(2)/2)*DB175*DE175*VLOOKUP('Données projet'!$B$13,Paramètres!$A$1:$I$89,3,0)*0.475*44/12</f>
        <v>8.8706032676670577E-13</v>
      </c>
      <c r="DI175" s="22">
        <f t="shared" si="175"/>
        <v>12.41003171354229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3.177547114319168E-13</v>
      </c>
      <c r="P176" s="13">
        <f t="shared" si="141"/>
        <v>4.1725404435445377E-12</v>
      </c>
      <c r="Q176" s="20">
        <f t="shared" si="162"/>
        <v>7.820597394917325E-12</v>
      </c>
      <c r="R176" s="59">
        <f t="shared" si="109"/>
        <v>293.33333333334116</v>
      </c>
      <c r="S176" s="59">
        <f ca="1">AVERAGE(OFFSET($R$3,0,0,'Données projet'!$E$9+1,1))-AVERAGE(OFFSET($H$3,0,0,'Données projet'!$E$9+1,1))</f>
        <v>287.413090017863</v>
      </c>
      <c r="T176" s="59">
        <f t="shared" si="142"/>
        <v>258.48456031927117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30.008965441778702</v>
      </c>
      <c r="AA176" s="21">
        <f>EXP(-LN(2)/25)*AA175+(1-EXP(-LN(2)/25))/(LN(2)/25)*Calculateur!V176*Calculateur!X176*VLOOKUP('Données projet'!$B$9,Paramètres!$A$1:$I$89,3,0)*0.475*44/12</f>
        <v>4.4144475734279149</v>
      </c>
      <c r="AB176" s="21">
        <f>EXP(-LN(2)/2)*AB175+(1-EXP(-LN(2)/2))/(LN(2)/2)*V176*Y176*VLOOKUP('Données projet'!$B$9,Paramètres!$A$1:$I$89,3,0)*0.475*44/12</f>
        <v>2.3710130865644779E-14</v>
      </c>
      <c r="AC176" s="22">
        <f t="shared" si="163"/>
        <v>34.423413015206641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9.6220000000000034</v>
      </c>
      <c r="AI176" s="13">
        <f>IF('Données projet'!$A$62&gt;35,AI175+AH176-AQ175,IF(A176&lt;'Données projet'!$A$62,$AF$205^A176,IF(A176='Données projet'!$A$62,'Données projet'!$B$62,AI175+AH176-AQ175)))</f>
        <v>600.89800000000093</v>
      </c>
      <c r="AJ176" s="13">
        <f>AI176*VLOOKUP('Données projet'!$B$10,Paramètres!$A$1:$I$89,3,0)*VLOOKUP('Données projet'!$B$10,Paramètres!$A$1:$I$89,5,0)</f>
        <v>543.69251040000086</v>
      </c>
      <c r="AK176" s="13">
        <f t="shared" si="164"/>
        <v>120.36778959614513</v>
      </c>
      <c r="AL176" s="20">
        <f t="shared" si="165"/>
        <v>1156.5716891599543</v>
      </c>
      <c r="AM176" s="59">
        <f t="shared" si="113"/>
        <v>1449.9050224932876</v>
      </c>
      <c r="AN176" s="59">
        <f ca="1">AVERAGE(OFFSET($AM$3,0,0,'Données projet'!$E$10+1,1))-AVERAGE(OFFSET($H$3,0,0,'Données projet'!$E$10+1,1))</f>
        <v>422.10969295064359</v>
      </c>
      <c r="AO176" s="59">
        <f t="shared" si="144"/>
        <v>184.04075143033037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49.044071795746838</v>
      </c>
      <c r="AV176" s="21">
        <f>EXP(-LN(2)/25)*AV175+(1-EXP(-LN(2)/25))/(LN(2)/25)*Calculateur!AQ176*Calculateur!AS176*VLOOKUP('Données projet'!$B$10,Paramètres!$A$1:$I$89,3,0)*0.475*44/12</f>
        <v>17.927075730788168</v>
      </c>
      <c r="AW176" s="21">
        <f>EXP(-LN(2)/2)*AW175+(1-EXP(-LN(2)/2))/(LN(2)/2)*AQ176*AT176*VLOOKUP('Données projet'!$B$10,Paramètres!$A$1:$I$89,3,0)*0.475*44/12</f>
        <v>2.1520097978525428E-7</v>
      </c>
      <c r="AX176" s="21">
        <f t="shared" si="166"/>
        <v>66.97114774173599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-9.1631591203622526E-14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217.61052961346684</v>
      </c>
      <c r="BJ176" s="59">
        <f t="shared" si="146"/>
        <v>180.77145728128608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26.701540950161061</v>
      </c>
      <c r="BQ176" s="21">
        <f>EXP(-LN(2)/25)*BQ175+(1-EXP(-LN(2)/25))/(LN(2)/25)*Calculateur!BL176*Calculateur!BN176*VLOOKUP('Données projet'!$B$11,Paramètres!$A$1:$I$89,3,0)*0.475*44/12</f>
        <v>4.5746250240271102</v>
      </c>
      <c r="BR176" s="21">
        <f>EXP(-LN(2)/2)*BR175+(1-EXP(-LN(2)/2))/(LN(2)/2)*BL176*BO176*VLOOKUP('Données projet'!$B$11,Paramètres!$A$1:$I$89,3,0)*0.475*44/12</f>
        <v>6.5702146448419838E-13</v>
      </c>
      <c r="BS176" s="22">
        <f t="shared" si="169"/>
        <v>31.276165974188828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4.7884896048344674E-14</v>
      </c>
      <c r="CA176" s="13">
        <f t="shared" si="170"/>
        <v>7.8374629847779921E-13</v>
      </c>
      <c r="CB176" s="20">
        <f t="shared" si="171"/>
        <v>1.4484243304663672E-12</v>
      </c>
      <c r="CC176" s="59">
        <f t="shared" si="119"/>
        <v>293.33333333333474</v>
      </c>
      <c r="CD176" s="59">
        <f ca="1">AVERAGE(OFFSET($CC$3,0,0,'Données projet'!$E$12+1,1))-AVERAGE(OFFSET($H$3,0,0,'Données projet'!$E$12+1,1))</f>
        <v>287.72859857368331</v>
      </c>
      <c r="CE176" s="59">
        <f t="shared" si="148"/>
        <v>179.60736986885922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32.457613951086195</v>
      </c>
      <c r="CL176" s="21">
        <f>EXP(-LN(2)/25)*CL175+(1-EXP(-LN(2)/25))/(LN(2)/25)*Calculateur!CG176*Calculateur!CI176*VLOOKUP('Données projet'!$B$12,Paramètres!$A$1:$I$89,3,0)*0.475*44/12</f>
        <v>4.3660078928629771</v>
      </c>
      <c r="CM176" s="21">
        <f>EXP(-LN(2)/2)*CM175+(1-EXP(-LN(2)/2))/(LN(2)/2)*CG176*CJ176*VLOOKUP('Données projet'!$B$12,Paramètres!$A$1:$I$89,3,0)*0.475*44/12</f>
        <v>6.1104892187372251E-10</v>
      </c>
      <c r="CN176" s="22">
        <f t="shared" si="172"/>
        <v>36.823621844560215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243.33915530322201</v>
      </c>
      <c r="CZ176" s="59">
        <f t="shared" si="150"/>
        <v>247.73814704672577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8.2408881212298315</v>
      </c>
      <c r="DG176" s="21">
        <f>EXP(-LN(2)/25)*DG175+(1-EXP(-LN(2)/25))/(LN(2)/25)*Calculateur!DB176*Calculateur!DD176*VLOOKUP('Données projet'!$B$13,Paramètres!$A$1:$I$89,3,0)*0.475*44/12</f>
        <v>3.8948144291094051</v>
      </c>
      <c r="DH176" s="21">
        <f>EXP(-LN(2)/2)*DH175+(1-EXP(-LN(2)/2))/(LN(2)/2)*DB176*DE176*VLOOKUP('Données projet'!$B$13,Paramètres!$A$1:$I$89,3,0)*0.475*44/12</f>
        <v>6.2724637237829235E-13</v>
      </c>
      <c r="DI176" s="22">
        <f t="shared" si="175"/>
        <v>12.135702550339863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3.177547114319168E-13</v>
      </c>
      <c r="P177" s="13">
        <f t="shared" si="141"/>
        <v>4.1725404435445377E-12</v>
      </c>
      <c r="Q177" s="20">
        <f t="shared" si="162"/>
        <v>7.820597394917325E-12</v>
      </c>
      <c r="R177" s="59">
        <f t="shared" si="109"/>
        <v>293.33333333334116</v>
      </c>
      <c r="S177" s="59">
        <f ca="1">AVERAGE(OFFSET($R$3,0,0,'Données projet'!$E$9+1,1))-AVERAGE(OFFSET($H$3,0,0,'Données projet'!$E$9+1,1))</f>
        <v>287.413090017863</v>
      </c>
      <c r="T177" s="59">
        <f t="shared" si="142"/>
        <v>258.48456031927117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29.420507933127006</v>
      </c>
      <c r="AA177" s="21">
        <f>EXP(-LN(2)/25)*AA176+(1-EXP(-LN(2)/25))/(LN(2)/25)*Calculateur!V177*Calculateur!X177*VLOOKUP('Données projet'!$B$9,Paramètres!$A$1:$I$89,3,0)*0.475*44/12</f>
        <v>4.2937342723868204</v>
      </c>
      <c r="AB177" s="21">
        <f>EXP(-LN(2)/2)*AB176+(1-EXP(-LN(2)/2))/(LN(2)/2)*V177*Y177*VLOOKUP('Données projet'!$B$9,Paramètres!$A$1:$I$89,3,0)*0.475*44/12</f>
        <v>1.6765594317917889E-14</v>
      </c>
      <c r="AC177" s="22">
        <f t="shared" si="163"/>
        <v>33.714242205513841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9.6220000000000034</v>
      </c>
      <c r="AH177" s="12">
        <f t="array" ref="AH177">INDEX(AG:AG,MIN(IF(ISNUMBER(AG177:AG373),ROW(AG177:AG373),"")))</f>
        <v>9.6220000000000034</v>
      </c>
      <c r="AI177" s="13">
        <f>IF('Données projet'!$A$62&gt;35,AI176+AH177-AQ176,IF(A177&lt;'Données projet'!$A$62,$AF$205^A177,IF(A177='Données projet'!$A$62,'Données projet'!$B$62,AI176+AH177-AQ176)))</f>
        <v>610.52000000000089</v>
      </c>
      <c r="AJ177" s="13">
        <f>AI177*VLOOKUP('Données projet'!$B$10,Paramètres!$A$1:$I$89,3,0)*VLOOKUP('Données projet'!$B$10,Paramètres!$A$1:$I$89,5,0)</f>
        <v>552.3984960000007</v>
      </c>
      <c r="AK177" s="13">
        <f t="shared" si="164"/>
        <v>122.06927432492597</v>
      </c>
      <c r="AL177" s="20">
        <f t="shared" si="165"/>
        <v>1174.698033315914</v>
      </c>
      <c r="AM177" s="59">
        <f t="shared" si="113"/>
        <v>1468.0313666492473</v>
      </c>
      <c r="AN177" s="59">
        <f ca="1">AVERAGE(OFFSET($AM$3,0,0,'Données projet'!$E$10+1,1))-AVERAGE(OFFSET($H$3,0,0,'Données projet'!$E$10+1,1))</f>
        <v>422.10969295064359</v>
      </c>
      <c r="AO177" s="59">
        <f t="shared" si="144"/>
        <v>184.04075143033037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240</v>
      </c>
      <c r="AR177" s="16">
        <f>IF(ISNA(VLOOKUP(A177,'Données projet'!$A$61:$I$81,5,0)),0%,VLOOKUP(A177,'Données projet'!$A$61:$I$81,5,0)*VLOOKUP('Données projet'!$B$10,Paramètres!$A$1:$I$89,7,0))</f>
        <v>0.19350000000000001</v>
      </c>
      <c r="AS177" s="16">
        <f>IF(ISNA(VLOOKUP(A177,'Données projet'!$A$61:$I$81,6,0)),0%,VLOOKUP(A177,'Données projet'!$A$61:$I$81,6,0)*VLOOKUP('Données projet'!$B$10,Paramètres!$A$1:$I$89,7,0))</f>
        <v>2.1500000000000002E-2</v>
      </c>
      <c r="AT177" s="16">
        <f>IF(ISNA(VLOOKUP(A177,'Données projet'!$A$61:$I$81,7,0)),0%,VLOOKUP(A177,'Données projet'!$A$61:$I$81,7,0))</f>
        <v>0.05</v>
      </c>
      <c r="AU177" s="21">
        <f>EXP(-LN(2)/35)*AU176+(1-EXP(-LN(2)/35))/(LN(2)/35)*AQ177*AR177*VLOOKUP('Données projet'!$B$10,Paramètres!$A$1:$I$89,3,0)*0.475*44/12</f>
        <v>94.533010057963907</v>
      </c>
      <c r="AV177" s="21">
        <f>EXP(-LN(2)/25)*AV176+(1-EXP(-LN(2)/25))/(LN(2)/25)*Calculateur!AQ177*Calculateur!AS177*VLOOKUP('Données projet'!$B$10,Paramètres!$A$1:$I$89,3,0)*0.475*44/12</f>
        <v>22.577722084238086</v>
      </c>
      <c r="AW177" s="21">
        <f>EXP(-LN(2)/2)*AW176+(1-EXP(-LN(2)/2))/(LN(2)/2)*AQ177*AT177*VLOOKUP('Données projet'!$B$10,Paramètres!$A$1:$I$89,3,0)*0.475*44/12</f>
        <v>10.244437980189536</v>
      </c>
      <c r="AX177" s="21">
        <f t="shared" si="166"/>
        <v>127.35517012239153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-9.1631591203622526E-14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217.61052961346684</v>
      </c>
      <c r="BJ177" s="59">
        <f t="shared" si="146"/>
        <v>180.77145728128608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26.177940018460241</v>
      </c>
      <c r="BQ177" s="21">
        <f>EXP(-LN(2)/25)*BQ176+(1-EXP(-LN(2)/25))/(LN(2)/25)*Calculateur!BL177*Calculateur!BN177*VLOOKUP('Données projet'!$B$11,Paramètres!$A$1:$I$89,3,0)*0.475*44/12</f>
        <v>4.4495316621760139</v>
      </c>
      <c r="BR177" s="21">
        <f>EXP(-LN(2)/2)*BR176+(1-EXP(-LN(2)/2))/(LN(2)/2)*BL177*BO177*VLOOKUP('Données projet'!$B$11,Paramètres!$A$1:$I$89,3,0)*0.475*44/12</f>
        <v>4.6458433292189307E-13</v>
      </c>
      <c r="BS177" s="22">
        <f t="shared" si="169"/>
        <v>30.62747168063672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4.7884896048344674E-14</v>
      </c>
      <c r="CA177" s="13">
        <f t="shared" si="170"/>
        <v>7.8374629847779921E-13</v>
      </c>
      <c r="CB177" s="20">
        <f t="shared" si="171"/>
        <v>1.4484243304663672E-12</v>
      </c>
      <c r="CC177" s="59">
        <f t="shared" si="119"/>
        <v>293.33333333333474</v>
      </c>
      <c r="CD177" s="59">
        <f ca="1">AVERAGE(OFFSET($CC$3,0,0,'Données projet'!$E$12+1,1))-AVERAGE(OFFSET($H$3,0,0,'Données projet'!$E$12+1,1))</f>
        <v>287.72859857368331</v>
      </c>
      <c r="CE177" s="59">
        <f t="shared" si="148"/>
        <v>179.60736986885922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31.821139938695094</v>
      </c>
      <c r="CL177" s="21">
        <f>EXP(-LN(2)/25)*CL176+(1-EXP(-LN(2)/25))/(LN(2)/25)*Calculateur!CG177*Calculateur!CI177*VLOOKUP('Données projet'!$B$12,Paramètres!$A$1:$I$89,3,0)*0.475*44/12</f>
        <v>4.2466191774342628</v>
      </c>
      <c r="CM177" s="21">
        <f>EXP(-LN(2)/2)*CM176+(1-EXP(-LN(2)/2))/(LN(2)/2)*CG177*CJ177*VLOOKUP('Données projet'!$B$12,Paramètres!$A$1:$I$89,3,0)*0.475*44/12</f>
        <v>4.3207683629363808E-10</v>
      </c>
      <c r="CN177" s="22">
        <f t="shared" si="172"/>
        <v>36.067759116561433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243.33915530322201</v>
      </c>
      <c r="CZ177" s="59">
        <f t="shared" si="150"/>
        <v>247.73814704672577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8.0792893316179484</v>
      </c>
      <c r="DG177" s="21">
        <f>EXP(-LN(2)/25)*DG176+(1-EXP(-LN(2)/25))/(LN(2)/25)*Calculateur!DB177*Calculateur!DD177*VLOOKUP('Données projet'!$B$13,Paramètres!$A$1:$I$89,3,0)*0.475*44/12</f>
        <v>3.7883105237260195</v>
      </c>
      <c r="DH177" s="21">
        <f>EXP(-LN(2)/2)*DH176+(1-EXP(-LN(2)/2))/(LN(2)/2)*DB177*DE177*VLOOKUP('Données projet'!$B$13,Paramètres!$A$1:$I$89,3,0)*0.475*44/12</f>
        <v>4.4353016338335288E-13</v>
      </c>
      <c r="DI177" s="22">
        <f t="shared" si="175"/>
        <v>11.867599855344412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3.177547114319168E-13</v>
      </c>
      <c r="P178" s="13">
        <f t="shared" si="141"/>
        <v>4.1725404435445377E-12</v>
      </c>
      <c r="Q178" s="20">
        <f t="shared" si="162"/>
        <v>7.820597394917325E-12</v>
      </c>
      <c r="R178" s="59">
        <f t="shared" si="109"/>
        <v>293.33333333334116</v>
      </c>
      <c r="S178" s="59">
        <f ca="1">AVERAGE(OFFSET($R$3,0,0,'Données projet'!$E$9+1,1))-AVERAGE(OFFSET($H$3,0,0,'Données projet'!$E$9+1,1))</f>
        <v>287.413090017863</v>
      </c>
      <c r="T178" s="59">
        <f t="shared" si="142"/>
        <v>258.48456031927117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28.843589717296329</v>
      </c>
      <c r="AA178" s="21">
        <f>EXP(-LN(2)/25)*AA177+(1-EXP(-LN(2)/25))/(LN(2)/25)*Calculateur!V178*Calculateur!X178*VLOOKUP('Données projet'!$B$9,Paramètres!$A$1:$I$89,3,0)*0.475*44/12</f>
        <v>4.1763218829107309</v>
      </c>
      <c r="AB178" s="21">
        <f>EXP(-LN(2)/2)*AB177+(1-EXP(-LN(2)/2))/(LN(2)/2)*V178*Y178*VLOOKUP('Données projet'!$B$9,Paramètres!$A$1:$I$89,3,0)*0.475*44/12</f>
        <v>1.1855065432822389E-14</v>
      </c>
      <c r="AC178" s="22">
        <f t="shared" si="163"/>
        <v>33.019911600207074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6.140000000000005</v>
      </c>
      <c r="AI178" s="13">
        <f>IF('Données projet'!$A$62&gt;35,AI177+AH178-AQ177,IF(A178&lt;'Données projet'!$A$62,$AF$205^A178,IF(A178='Données projet'!$A$62,'Données projet'!$B$62,AI177+AH178-AQ177)))</f>
        <v>376.66000000000088</v>
      </c>
      <c r="AJ178" s="13">
        <f>AI178*VLOOKUP('Données projet'!$B$10,Paramètres!$A$1:$I$89,3,0)*VLOOKUP('Données projet'!$B$10,Paramètres!$A$1:$I$89,5,0)</f>
        <v>340.80196800000078</v>
      </c>
      <c r="AK178" s="13">
        <f t="shared" si="164"/>
        <v>79.665615362245418</v>
      </c>
      <c r="AL178" s="20">
        <f t="shared" si="165"/>
        <v>732.31437435591215</v>
      </c>
      <c r="AM178" s="59">
        <f t="shared" si="113"/>
        <v>1025.6477076892454</v>
      </c>
      <c r="AN178" s="59">
        <f ca="1">AVERAGE(OFFSET($AM$3,0,0,'Données projet'!$E$10+1,1))-AVERAGE(OFFSET($H$3,0,0,'Données projet'!$E$10+1,1))</f>
        <v>422.10969295064359</v>
      </c>
      <c r="AO178" s="59">
        <f t="shared" si="144"/>
        <v>184.04075143033037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92.679275390169977</v>
      </c>
      <c r="AV178" s="21">
        <f>EXP(-LN(2)/25)*AV177+(1-EXP(-LN(2)/25))/(LN(2)/25)*Calculateur!AQ178*Calculateur!AS178*VLOOKUP('Données projet'!$B$10,Paramètres!$A$1:$I$89,3,0)*0.475*44/12</f>
        <v>21.960333086533794</v>
      </c>
      <c r="AW178" s="21">
        <f>EXP(-LN(2)/2)*AW177+(1-EXP(-LN(2)/2))/(LN(2)/2)*AQ178*AT178*VLOOKUP('Données projet'!$B$10,Paramètres!$A$1:$I$89,3,0)*0.475*44/12</f>
        <v>7.2439115652370401</v>
      </c>
      <c r="AX178" s="21">
        <f t="shared" si="166"/>
        <v>121.88352004194081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-9.1631591203622526E-14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217.61052961346684</v>
      </c>
      <c r="BJ178" s="59">
        <f t="shared" si="146"/>
        <v>180.77145728128608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25.664606581665041</v>
      </c>
      <c r="BQ178" s="21">
        <f>EXP(-LN(2)/25)*BQ177+(1-EXP(-LN(2)/25))/(LN(2)/25)*Calculateur!BL178*Calculateur!BN178*VLOOKUP('Données projet'!$B$11,Paramètres!$A$1:$I$89,3,0)*0.475*44/12</f>
        <v>4.3278589848831102</v>
      </c>
      <c r="BR178" s="21">
        <f>EXP(-LN(2)/2)*BR177+(1-EXP(-LN(2)/2))/(LN(2)/2)*BL178*BO178*VLOOKUP('Données projet'!$B$11,Paramètres!$A$1:$I$89,3,0)*0.475*44/12</f>
        <v>3.2851073224209919E-13</v>
      </c>
      <c r="BS178" s="22">
        <f t="shared" si="169"/>
        <v>29.992465566548479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4.7884896048344674E-14</v>
      </c>
      <c r="CA178" s="13">
        <f t="shared" si="170"/>
        <v>7.8374629847779921E-13</v>
      </c>
      <c r="CB178" s="20">
        <f t="shared" si="171"/>
        <v>1.4484243304663672E-12</v>
      </c>
      <c r="CC178" s="59">
        <f t="shared" si="119"/>
        <v>293.33333333333474</v>
      </c>
      <c r="CD178" s="59">
        <f ca="1">AVERAGE(OFFSET($CC$3,0,0,'Données projet'!$E$12+1,1))-AVERAGE(OFFSET($H$3,0,0,'Données projet'!$E$12+1,1))</f>
        <v>287.72859857368331</v>
      </c>
      <c r="CE178" s="59">
        <f t="shared" si="148"/>
        <v>179.60736986885922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31.197146793476168</v>
      </c>
      <c r="CL178" s="21">
        <f>EXP(-LN(2)/25)*CL177+(1-EXP(-LN(2)/25))/(LN(2)/25)*Calculateur!CG178*Calculateur!CI178*VLOOKUP('Données projet'!$B$12,Paramètres!$A$1:$I$89,3,0)*0.475*44/12</f>
        <v>4.1304951527073257</v>
      </c>
      <c r="CM178" s="21">
        <f>EXP(-LN(2)/2)*CM177+(1-EXP(-LN(2)/2))/(LN(2)/2)*CG178*CJ178*VLOOKUP('Données projet'!$B$12,Paramètres!$A$1:$I$89,3,0)*0.475*44/12</f>
        <v>3.0552446093686126E-10</v>
      </c>
      <c r="CN178" s="22">
        <f t="shared" si="172"/>
        <v>35.327641946489017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243.33915530322201</v>
      </c>
      <c r="CZ178" s="59">
        <f t="shared" si="150"/>
        <v>247.73814704672577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7.9208593957048246</v>
      </c>
      <c r="DG178" s="21">
        <f>EXP(-LN(2)/25)*DG177+(1-EXP(-LN(2)/25))/(LN(2)/25)*Calculateur!DB178*Calculateur!DD178*VLOOKUP('Données projet'!$B$13,Paramètres!$A$1:$I$89,3,0)*0.475*44/12</f>
        <v>3.6847189732361394</v>
      </c>
      <c r="DH178" s="21">
        <f>EXP(-LN(2)/2)*DH177+(1-EXP(-LN(2)/2))/(LN(2)/2)*DB178*DE178*VLOOKUP('Données projet'!$B$13,Paramètres!$A$1:$I$89,3,0)*0.475*44/12</f>
        <v>3.1362318618914618E-13</v>
      </c>
      <c r="DI178" s="22">
        <f t="shared" si="175"/>
        <v>11.605578368941279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3.177547114319168E-13</v>
      </c>
      <c r="P179" s="13">
        <f t="shared" si="141"/>
        <v>4.1725404435445377E-12</v>
      </c>
      <c r="Q179" s="20">
        <f t="shared" si="162"/>
        <v>7.820597394917325E-12</v>
      </c>
      <c r="R179" s="59">
        <f t="shared" si="109"/>
        <v>293.33333333334116</v>
      </c>
      <c r="S179" s="59">
        <f ca="1">AVERAGE(OFFSET($R$3,0,0,'Données projet'!$E$9+1,1))-AVERAGE(OFFSET($H$3,0,0,'Données projet'!$E$9+1,1))</f>
        <v>287.413090017863</v>
      </c>
      <c r="T179" s="59">
        <f t="shared" si="142"/>
        <v>258.48456031927117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28.277984515792724</v>
      </c>
      <c r="AA179" s="21">
        <f>EXP(-LN(2)/25)*AA178+(1-EXP(-LN(2)/25))/(LN(2)/25)*Calculateur!V179*Calculateur!X179*VLOOKUP('Données projet'!$B$9,Paramètres!$A$1:$I$89,3,0)*0.475*44/12</f>
        <v>4.0621201413993147</v>
      </c>
      <c r="AB179" s="21">
        <f>EXP(-LN(2)/2)*AB178+(1-EXP(-LN(2)/2))/(LN(2)/2)*V179*Y179*VLOOKUP('Données projet'!$B$9,Paramètres!$A$1:$I$89,3,0)*0.475*44/12</f>
        <v>8.3827971589589444E-15</v>
      </c>
      <c r="AC179" s="22">
        <f t="shared" si="163"/>
        <v>32.340104657192043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6.140000000000005</v>
      </c>
      <c r="AI179" s="13">
        <f>IF('Données projet'!$A$62&gt;35,AI178+AH179-AQ178,IF(A179&lt;'Données projet'!$A$62,$AF$205^A179,IF(A179='Données projet'!$A$62,'Données projet'!$B$62,AI178+AH179-AQ178)))</f>
        <v>382.80000000000086</v>
      </c>
      <c r="AJ179" s="13">
        <f>AI179*VLOOKUP('Données projet'!$B$10,Paramètres!$A$1:$I$89,3,0)*VLOOKUP('Données projet'!$B$10,Paramètres!$A$1:$I$89,5,0)</f>
        <v>346.35744000000079</v>
      </c>
      <c r="AK179" s="13">
        <f t="shared" si="164"/>
        <v>80.812014230904367</v>
      </c>
      <c r="AL179" s="20">
        <f t="shared" si="165"/>
        <v>743.98679945215974</v>
      </c>
      <c r="AM179" s="59">
        <f t="shared" si="113"/>
        <v>1037.3201327854931</v>
      </c>
      <c r="AN179" s="59">
        <f ca="1">AVERAGE(OFFSET($AM$3,0,0,'Données projet'!$E$10+1,1))-AVERAGE(OFFSET($H$3,0,0,'Données projet'!$E$10+1,1))</f>
        <v>422.10969295064359</v>
      </c>
      <c r="AO179" s="59">
        <f t="shared" si="144"/>
        <v>184.04075143033037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90.861891328544985</v>
      </c>
      <c r="AV179" s="21">
        <f>EXP(-LN(2)/25)*AV178+(1-EXP(-LN(2)/25))/(LN(2)/25)*Calculateur!AQ179*Calculateur!AS179*VLOOKUP('Données projet'!$B$10,Paramètres!$A$1:$I$89,3,0)*0.475*44/12</f>
        <v>21.359826623438803</v>
      </c>
      <c r="AW179" s="21">
        <f>EXP(-LN(2)/2)*AW178+(1-EXP(-LN(2)/2))/(LN(2)/2)*AQ179*AT179*VLOOKUP('Données projet'!$B$10,Paramètres!$A$1:$I$89,3,0)*0.475*44/12</f>
        <v>5.122218990094769</v>
      </c>
      <c r="AX179" s="21">
        <f t="shared" si="166"/>
        <v>117.34393694207856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-9.1631591203622526E-14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217.61052961346684</v>
      </c>
      <c r="BJ179" s="59">
        <f t="shared" si="146"/>
        <v>180.77145728128608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25.161339300462913</v>
      </c>
      <c r="BQ179" s="21">
        <f>EXP(-LN(2)/25)*BQ178+(1-EXP(-LN(2)/25))/(LN(2)/25)*Calculateur!BL179*Calculateur!BN179*VLOOKUP('Données projet'!$B$11,Paramètres!$A$1:$I$89,3,0)*0.475*44/12</f>
        <v>4.2095134533492686</v>
      </c>
      <c r="BR179" s="21">
        <f>EXP(-LN(2)/2)*BR178+(1-EXP(-LN(2)/2))/(LN(2)/2)*BL179*BO179*VLOOKUP('Données projet'!$B$11,Paramètres!$A$1:$I$89,3,0)*0.475*44/12</f>
        <v>2.3229216646094654E-13</v>
      </c>
      <c r="BS179" s="22">
        <f t="shared" si="169"/>
        <v>29.370852753812411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4.7884896048344674E-14</v>
      </c>
      <c r="CA179" s="13">
        <f t="shared" si="170"/>
        <v>7.8374629847779921E-13</v>
      </c>
      <c r="CB179" s="20">
        <f t="shared" si="171"/>
        <v>1.4484243304663672E-12</v>
      </c>
      <c r="CC179" s="59">
        <f t="shared" si="119"/>
        <v>293.33333333333474</v>
      </c>
      <c r="CD179" s="59">
        <f ca="1">AVERAGE(OFFSET($CC$3,0,0,'Données projet'!$E$12+1,1))-AVERAGE(OFFSET($H$3,0,0,'Données projet'!$E$12+1,1))</f>
        <v>287.72859857368331</v>
      </c>
      <c r="CE179" s="59">
        <f t="shared" si="148"/>
        <v>179.60736986885922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30.585389773236749</v>
      </c>
      <c r="CL179" s="21">
        <f>EXP(-LN(2)/25)*CL178+(1-EXP(-LN(2)/25))/(LN(2)/25)*Calculateur!CG179*Calculateur!CI179*VLOOKUP('Données projet'!$B$12,Paramètres!$A$1:$I$89,3,0)*0.475*44/12</f>
        <v>4.0175465455432438</v>
      </c>
      <c r="CM179" s="21">
        <f>EXP(-LN(2)/2)*CM178+(1-EXP(-LN(2)/2))/(LN(2)/2)*CG179*CJ179*VLOOKUP('Données projet'!$B$12,Paramètres!$A$1:$I$89,3,0)*0.475*44/12</f>
        <v>2.1603841814681904E-10</v>
      </c>
      <c r="CN179" s="22">
        <f t="shared" si="172"/>
        <v>34.602936318996036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243.33915530322201</v>
      </c>
      <c r="CZ179" s="59">
        <f t="shared" si="150"/>
        <v>247.73814704672577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7.7655361742022384</v>
      </c>
      <c r="DG179" s="21">
        <f>EXP(-LN(2)/25)*DG178+(1-EXP(-LN(2)/25))/(LN(2)/25)*Calculateur!DB179*Calculateur!DD179*VLOOKUP('Données projet'!$B$13,Paramètres!$A$1:$I$89,3,0)*0.475*44/12</f>
        <v>3.5839601391420479</v>
      </c>
      <c r="DH179" s="21">
        <f>EXP(-LN(2)/2)*DH178+(1-EXP(-LN(2)/2))/(LN(2)/2)*DB179*DE179*VLOOKUP('Données projet'!$B$13,Paramètres!$A$1:$I$89,3,0)*0.475*44/12</f>
        <v>2.2176508169167644E-13</v>
      </c>
      <c r="DI179" s="22">
        <f t="shared" si="175"/>
        <v>11.349496313344508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3.177547114319168E-13</v>
      </c>
      <c r="P180" s="13">
        <f t="shared" si="141"/>
        <v>4.1725404435445377E-12</v>
      </c>
      <c r="Q180" s="20">
        <f t="shared" si="162"/>
        <v>7.820597394917325E-12</v>
      </c>
      <c r="R180" s="59">
        <f t="shared" si="109"/>
        <v>293.33333333334116</v>
      </c>
      <c r="S180" s="59">
        <f ca="1">AVERAGE(OFFSET($R$3,0,0,'Données projet'!$E$9+1,1))-AVERAGE(OFFSET($H$3,0,0,'Données projet'!$E$9+1,1))</f>
        <v>287.413090017863</v>
      </c>
      <c r="T180" s="59">
        <f t="shared" si="142"/>
        <v>258.48456031927117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27.723470487305498</v>
      </c>
      <c r="AA180" s="21">
        <f>EXP(-LN(2)/25)*AA179+(1-EXP(-LN(2)/25))/(LN(2)/25)*Calculateur!V180*Calculateur!X180*VLOOKUP('Données projet'!$B$9,Paramètres!$A$1:$I$89,3,0)*0.475*44/12</f>
        <v>3.9510412525151364</v>
      </c>
      <c r="AB180" s="21">
        <f>EXP(-LN(2)/2)*AB179+(1-EXP(-LN(2)/2))/(LN(2)/2)*V180*Y180*VLOOKUP('Données projet'!$B$9,Paramètres!$A$1:$I$89,3,0)*0.475*44/12</f>
        <v>5.9275327164111947E-15</v>
      </c>
      <c r="AC180" s="22">
        <f t="shared" si="163"/>
        <v>31.674511739820641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6.140000000000005</v>
      </c>
      <c r="AH180" s="12">
        <f t="array" ref="AH180">INDEX(AG:AG,MIN(IF(ISNUMBER(AG180:AG376),ROW(AG180:AG376),"")))</f>
        <v>6.140000000000005</v>
      </c>
      <c r="AI180" s="13">
        <f>IF('Données projet'!$A$62&gt;35,AI179+AH180-AQ179,IF(A180&lt;'Données projet'!$A$62,$AF$205^A180,IF(A180='Données projet'!$A$62,'Données projet'!$B$62,AI179+AH180-AQ179)))</f>
        <v>388.94000000000085</v>
      </c>
      <c r="AJ180" s="13">
        <f>AI180*VLOOKUP('Données projet'!$B$10,Paramètres!$A$1:$I$89,3,0)*VLOOKUP('Données projet'!$B$10,Paramètres!$A$1:$I$89,5,0)</f>
        <v>351.91291200000074</v>
      </c>
      <c r="AK180" s="13">
        <f t="shared" si="164"/>
        <v>81.956274647572329</v>
      </c>
      <c r="AL180" s="20">
        <f t="shared" si="165"/>
        <v>755.65550007785635</v>
      </c>
      <c r="AM180" s="59">
        <f t="shared" si="113"/>
        <v>1048.9888334111897</v>
      </c>
      <c r="AN180" s="59">
        <f ca="1">AVERAGE(OFFSET($AM$3,0,0,'Données projet'!$E$10+1,1))-AVERAGE(OFFSET($H$3,0,0,'Données projet'!$E$10+1,1))</f>
        <v>422.10969295064359</v>
      </c>
      <c r="AO180" s="59">
        <f t="shared" si="144"/>
        <v>184.04075143033037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128.66000000000003</v>
      </c>
      <c r="AR180" s="16">
        <f>IF(ISNA(VLOOKUP(A180,'Données projet'!$A$61:$I$81,5,0)),0%,VLOOKUP(A180,'Données projet'!$A$61:$I$81,5,0)*VLOOKUP('Données projet'!$B$10,Paramètres!$A$1:$I$89,7,0))</f>
        <v>0.19350000000000001</v>
      </c>
      <c r="AS180" s="16">
        <f>IF(ISNA(VLOOKUP(A180,'Données projet'!$A$61:$I$81,6,0)),0%,VLOOKUP(A180,'Données projet'!$A$61:$I$81,6,0)*VLOOKUP('Données projet'!$B$10,Paramètres!$A$1:$I$89,7,0))</f>
        <v>2.1500000000000002E-2</v>
      </c>
      <c r="AT180" s="16">
        <f>IF(ISNA(VLOOKUP(A180,'Données projet'!$A$61:$I$81,7,0)),0%,VLOOKUP(A180,'Données projet'!$A$61:$I$81,7,0))</f>
        <v>0.05</v>
      </c>
      <c r="AU180" s="21">
        <f>EXP(-LN(2)/35)*AU179+(1-EXP(-LN(2)/35))/(LN(2)/35)*AQ180*AR180*VLOOKUP('Données projet'!$B$10,Paramètres!$A$1:$I$89,3,0)*0.475*44/12</f>
        <v>113.98157109998739</v>
      </c>
      <c r="AV180" s="21">
        <f>EXP(-LN(2)/25)*AV179+(1-EXP(-LN(2)/25))/(LN(2)/25)*Calculateur!AQ180*Calculateur!AS180*VLOOKUP('Données projet'!$B$10,Paramètres!$A$1:$I$89,3,0)*0.475*44/12</f>
        <v>23.531672112001587</v>
      </c>
      <c r="AW180" s="21">
        <f>EXP(-LN(2)/2)*AW179+(1-EXP(-LN(2)/2))/(LN(2)/2)*AQ180*AT180*VLOOKUP('Données projet'!$B$10,Paramètres!$A$1:$I$89,3,0)*0.475*44/12</f>
        <v>9.1138281615892875</v>
      </c>
      <c r="AX180" s="21">
        <f t="shared" si="166"/>
        <v>146.62707137357827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-9.1631591203622526E-14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217.61052961346684</v>
      </c>
      <c r="BJ180" s="59">
        <f t="shared" si="146"/>
        <v>180.77145728128608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24.667940783682429</v>
      </c>
      <c r="BQ180" s="21">
        <f>EXP(-LN(2)/25)*BQ179+(1-EXP(-LN(2)/25))/(LN(2)/25)*Calculateur!BL180*Calculateur!BN180*VLOOKUP('Données projet'!$B$11,Paramètres!$A$1:$I$89,3,0)*0.475*44/12</f>
        <v>4.0944040865987414</v>
      </c>
      <c r="BR180" s="21">
        <f>EXP(-LN(2)/2)*BR179+(1-EXP(-LN(2)/2))/(LN(2)/2)*BL180*BO180*VLOOKUP('Données projet'!$B$11,Paramètres!$A$1:$I$89,3,0)*0.475*44/12</f>
        <v>1.642553661210496E-13</v>
      </c>
      <c r="BS180" s="22">
        <f t="shared" si="169"/>
        <v>28.762344870281332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4.7884896048344674E-14</v>
      </c>
      <c r="CA180" s="13">
        <f t="shared" si="170"/>
        <v>7.8374629847779921E-13</v>
      </c>
      <c r="CB180" s="20">
        <f t="shared" si="171"/>
        <v>1.4484243304663672E-12</v>
      </c>
      <c r="CC180" s="59">
        <f t="shared" si="119"/>
        <v>293.33333333333474</v>
      </c>
      <c r="CD180" s="59">
        <f ca="1">AVERAGE(OFFSET($CC$3,0,0,'Données projet'!$E$12+1,1))-AVERAGE(OFFSET($H$3,0,0,'Données projet'!$E$12+1,1))</f>
        <v>287.72859857368331</v>
      </c>
      <c r="CE180" s="59">
        <f t="shared" si="148"/>
        <v>179.60736986885922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29.985628935029286</v>
      </c>
      <c r="CL180" s="21">
        <f>EXP(-LN(2)/25)*CL179+(1-EXP(-LN(2)/25))/(LN(2)/25)*Calculateur!CG180*Calculateur!CI180*VLOOKUP('Données projet'!$B$12,Paramètres!$A$1:$I$89,3,0)*0.475*44/12</f>
        <v>3.9076865239817731</v>
      </c>
      <c r="CM180" s="21">
        <f>EXP(-LN(2)/2)*CM179+(1-EXP(-LN(2)/2))/(LN(2)/2)*CG180*CJ180*VLOOKUP('Données projet'!$B$12,Paramètres!$A$1:$I$89,3,0)*0.475*44/12</f>
        <v>1.5276223046843063E-10</v>
      </c>
      <c r="CN180" s="22">
        <f t="shared" si="172"/>
        <v>33.893315459163816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243.33915530322201</v>
      </c>
      <c r="CZ180" s="59">
        <f t="shared" si="150"/>
        <v>247.73814704672577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7.6132587463355073</v>
      </c>
      <c r="DG180" s="21">
        <f>EXP(-LN(2)/25)*DG179+(1-EXP(-LN(2)/25))/(LN(2)/25)*Calculateur!DB180*Calculateur!DD180*VLOOKUP('Données projet'!$B$13,Paramètres!$A$1:$I$89,3,0)*0.475*44/12</f>
        <v>3.4859565606649361</v>
      </c>
      <c r="DH180" s="21">
        <f>EXP(-LN(2)/2)*DH179+(1-EXP(-LN(2)/2))/(LN(2)/2)*DB180*DE180*VLOOKUP('Données projet'!$B$13,Paramètres!$A$1:$I$89,3,0)*0.475*44/12</f>
        <v>1.5681159309457309E-13</v>
      </c>
      <c r="DI180" s="22">
        <f t="shared" si="175"/>
        <v>11.0992153070006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3.177547114319168E-13</v>
      </c>
      <c r="P181" s="13">
        <f t="shared" si="141"/>
        <v>4.1725404435445377E-12</v>
      </c>
      <c r="Q181" s="20">
        <f t="shared" si="162"/>
        <v>7.820597394917325E-12</v>
      </c>
      <c r="R181" s="59">
        <f t="shared" si="109"/>
        <v>293.33333333334116</v>
      </c>
      <c r="S181" s="59">
        <f ca="1">AVERAGE(OFFSET($R$3,0,0,'Données projet'!$E$9+1,1))-AVERAGE(OFFSET($H$3,0,0,'Données projet'!$E$9+1,1))</f>
        <v>287.413090017863</v>
      </c>
      <c r="T181" s="59">
        <f t="shared" si="142"/>
        <v>258.48456031927117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27.179830140696744</v>
      </c>
      <c r="AA181" s="21">
        <f>EXP(-LN(2)/25)*AA180+(1-EXP(-LN(2)/25))/(LN(2)/25)*Calculateur!V181*Calculateur!X181*VLOOKUP('Données projet'!$B$9,Paramètres!$A$1:$I$89,3,0)*0.475*44/12</f>
        <v>3.8429998216888808</v>
      </c>
      <c r="AB181" s="21">
        <f>EXP(-LN(2)/2)*AB180+(1-EXP(-LN(2)/2))/(LN(2)/2)*V181*Y181*VLOOKUP('Données projet'!$B$9,Paramètres!$A$1:$I$89,3,0)*0.475*44/12</f>
        <v>4.1913985794794722E-15</v>
      </c>
      <c r="AC181" s="22">
        <f t="shared" si="163"/>
        <v>31.022829962385629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3.76000000000001</v>
      </c>
      <c r="AI181" s="13">
        <f>IF('Données projet'!$A$62&gt;35,AI180+AH181-AQ180,IF(A181&lt;'Données projet'!$A$62,$AF$205^A181,IF(A181='Données projet'!$A$62,'Données projet'!$B$62,AI180+AH181-AQ180)))</f>
        <v>264.04000000000082</v>
      </c>
      <c r="AJ181" s="13">
        <f>AI181*VLOOKUP('Données projet'!$B$10,Paramètres!$A$1:$I$89,3,0)*VLOOKUP('Données projet'!$B$10,Paramètres!$A$1:$I$89,5,0)</f>
        <v>238.90339200000074</v>
      </c>
      <c r="AK181" s="13">
        <f t="shared" si="164"/>
        <v>58.203527078995975</v>
      </c>
      <c r="AL181" s="20">
        <f t="shared" si="165"/>
        <v>517.46121739591933</v>
      </c>
      <c r="AM181" s="59">
        <f t="shared" si="113"/>
        <v>810.79455072925271</v>
      </c>
      <c r="AN181" s="59">
        <f ca="1">AVERAGE(OFFSET($AM$3,0,0,'Données projet'!$E$10+1,1))-AVERAGE(OFFSET($H$3,0,0,'Données projet'!$E$10+1,1))</f>
        <v>422.10969295064359</v>
      </c>
      <c r="AO181" s="59">
        <f t="shared" si="144"/>
        <v>184.04075143033037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111.74646201261029</v>
      </c>
      <c r="AV181" s="21">
        <f>EXP(-LN(2)/25)*AV180+(1-EXP(-LN(2)/25))/(LN(2)/25)*Calculateur!AQ181*Calculateur!AS181*VLOOKUP('Données projet'!$B$10,Paramètres!$A$1:$I$89,3,0)*0.475*44/12</f>
        <v>22.88819730062205</v>
      </c>
      <c r="AW181" s="21">
        <f>EXP(-LN(2)/2)*AW180+(1-EXP(-LN(2)/2))/(LN(2)/2)*AQ181*AT181*VLOOKUP('Données projet'!$B$10,Paramètres!$A$1:$I$89,3,0)*0.475*44/12</f>
        <v>6.4444496956287116</v>
      </c>
      <c r="AX181" s="21">
        <f t="shared" si="166"/>
        <v>141.07910900886105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-9.1631591203622526E-14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217.61052961346684</v>
      </c>
      <c r="BJ181" s="59">
        <f t="shared" si="146"/>
        <v>180.77145728128608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24.184217510872628</v>
      </c>
      <c r="BQ181" s="21">
        <f>EXP(-LN(2)/25)*BQ180+(1-EXP(-LN(2)/25))/(LN(2)/25)*Calculateur!BL181*Calculateur!BN181*VLOOKUP('Données projet'!$B$11,Paramètres!$A$1:$I$89,3,0)*0.475*44/12</f>
        <v>3.9824423915353457</v>
      </c>
      <c r="BR181" s="21">
        <f>EXP(-LN(2)/2)*BR180+(1-EXP(-LN(2)/2))/(LN(2)/2)*BL181*BO181*VLOOKUP('Données projet'!$B$11,Paramètres!$A$1:$I$89,3,0)*0.475*44/12</f>
        <v>1.1614608323047327E-13</v>
      </c>
      <c r="BS181" s="22">
        <f t="shared" si="169"/>
        <v>28.166659902408092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4.7884896048344674E-14</v>
      </c>
      <c r="CA181" s="13">
        <f t="shared" si="170"/>
        <v>7.8374629847779921E-13</v>
      </c>
      <c r="CB181" s="20">
        <f t="shared" si="171"/>
        <v>1.4484243304663672E-12</v>
      </c>
      <c r="CC181" s="59">
        <f t="shared" si="119"/>
        <v>293.33333333333474</v>
      </c>
      <c r="CD181" s="59">
        <f ca="1">AVERAGE(OFFSET($CC$3,0,0,'Données projet'!$E$12+1,1))-AVERAGE(OFFSET($H$3,0,0,'Données projet'!$E$12+1,1))</f>
        <v>287.72859857368331</v>
      </c>
      <c r="CE181" s="59">
        <f t="shared" si="148"/>
        <v>179.60736986885922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29.397629041041082</v>
      </c>
      <c r="CL181" s="21">
        <f>EXP(-LN(2)/25)*CL180+(1-EXP(-LN(2)/25))/(LN(2)/25)*Calculateur!CG181*Calculateur!CI181*VLOOKUP('Données projet'!$B$12,Paramètres!$A$1:$I$89,3,0)*0.475*44/12</f>
        <v>3.8008306304871882</v>
      </c>
      <c r="CM181" s="21">
        <f>EXP(-LN(2)/2)*CM180+(1-EXP(-LN(2)/2))/(LN(2)/2)*CG181*CJ181*VLOOKUP('Données projet'!$B$12,Paramètres!$A$1:$I$89,3,0)*0.475*44/12</f>
        <v>1.0801920907340952E-10</v>
      </c>
      <c r="CN181" s="22">
        <f t="shared" si="172"/>
        <v>33.198459671636286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243.33915530322201</v>
      </c>
      <c r="CZ181" s="59">
        <f t="shared" si="150"/>
        <v>247.73814704672577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7.4639673859491831</v>
      </c>
      <c r="DG181" s="21">
        <f>EXP(-LN(2)/25)*DG180+(1-EXP(-LN(2)/25))/(LN(2)/25)*Calculateur!DB181*Calculateur!DD181*VLOOKUP('Données projet'!$B$13,Paramètres!$A$1:$I$89,3,0)*0.475*44/12</f>
        <v>3.3906328951950653</v>
      </c>
      <c r="DH181" s="21">
        <f>EXP(-LN(2)/2)*DH180+(1-EXP(-LN(2)/2))/(LN(2)/2)*DB181*DE181*VLOOKUP('Données projet'!$B$13,Paramètres!$A$1:$I$89,3,0)*0.475*44/12</f>
        <v>1.1088254084583822E-13</v>
      </c>
      <c r="DI181" s="22">
        <f t="shared" si="175"/>
        <v>10.854600281144359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3.177547114319168E-13</v>
      </c>
      <c r="P182" s="13">
        <f t="shared" si="141"/>
        <v>4.1725404435445377E-12</v>
      </c>
      <c r="Q182" s="20">
        <f t="shared" si="162"/>
        <v>7.820597394917325E-12</v>
      </c>
      <c r="R182" s="59">
        <f t="shared" si="109"/>
        <v>293.33333333334116</v>
      </c>
      <c r="S182" s="59">
        <f ca="1">AVERAGE(OFFSET($R$3,0,0,'Données projet'!$E$9+1,1))-AVERAGE(OFFSET($H$3,0,0,'Données projet'!$E$9+1,1))</f>
        <v>287.413090017863</v>
      </c>
      <c r="T182" s="59">
        <f t="shared" si="142"/>
        <v>258.48456031927117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26.64685024969712</v>
      </c>
      <c r="AA182" s="21">
        <f>EXP(-LN(2)/25)*AA181+(1-EXP(-LN(2)/25))/(LN(2)/25)*Calculateur!V182*Calculateur!X182*VLOOKUP('Données projet'!$B$9,Paramètres!$A$1:$I$89,3,0)*0.475*44/12</f>
        <v>3.7379127894702209</v>
      </c>
      <c r="AB182" s="21">
        <f>EXP(-LN(2)/2)*AB181+(1-EXP(-LN(2)/2))/(LN(2)/2)*V182*Y182*VLOOKUP('Données projet'!$B$9,Paramètres!$A$1:$I$89,3,0)*0.475*44/12</f>
        <v>2.9637663582055973E-15</v>
      </c>
      <c r="AC182" s="22">
        <f t="shared" si="163"/>
        <v>30.384763039167346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3.76000000000001</v>
      </c>
      <c r="AI182" s="13">
        <f>IF('Données projet'!$A$62&gt;35,AI181+AH182-AQ181,IF(A182&lt;'Données projet'!$A$62,$AF$205^A182,IF(A182='Données projet'!$A$62,'Données projet'!$B$62,AI181+AH182-AQ181)))</f>
        <v>267.80000000000081</v>
      </c>
      <c r="AJ182" s="13">
        <f>AI182*VLOOKUP('Données projet'!$B$10,Paramètres!$A$1:$I$89,3,0)*VLOOKUP('Données projet'!$B$10,Paramètres!$A$1:$I$89,5,0)</f>
        <v>242.30544000000074</v>
      </c>
      <c r="AK182" s="13">
        <f t="shared" si="164"/>
        <v>58.935280802002858</v>
      </c>
      <c r="AL182" s="20">
        <f t="shared" si="165"/>
        <v>524.66092206348958</v>
      </c>
      <c r="AM182" s="59">
        <f t="shared" si="113"/>
        <v>817.99425539682284</v>
      </c>
      <c r="AN182" s="59">
        <f ca="1">AVERAGE(OFFSET($AM$3,0,0,'Données projet'!$E$10+1,1))-AVERAGE(OFFSET($H$3,0,0,'Données projet'!$E$10+1,1))</f>
        <v>422.10969295064359</v>
      </c>
      <c r="AO182" s="59">
        <f t="shared" si="144"/>
        <v>184.04075143033037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109.55518205115473</v>
      </c>
      <c r="AV182" s="21">
        <f>EXP(-LN(2)/25)*AV181+(1-EXP(-LN(2)/25))/(LN(2)/25)*Calculateur!AQ182*Calculateur!AS182*VLOOKUP('Données projet'!$B$10,Paramètres!$A$1:$I$89,3,0)*0.475*44/12</f>
        <v>22.262318341798554</v>
      </c>
      <c r="AW182" s="21">
        <f>EXP(-LN(2)/2)*AW181+(1-EXP(-LN(2)/2))/(LN(2)/2)*AQ182*AT182*VLOOKUP('Données projet'!$B$10,Paramètres!$A$1:$I$89,3,0)*0.475*44/12</f>
        <v>4.5569140807946447</v>
      </c>
      <c r="AX182" s="21">
        <f t="shared" si="166"/>
        <v>136.37441447374795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-9.1631591203622526E-14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217.61052961346684</v>
      </c>
      <c r="BJ182" s="59">
        <f t="shared" si="146"/>
        <v>180.77145728128608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23.709979756400564</v>
      </c>
      <c r="BQ182" s="21">
        <f>EXP(-LN(2)/25)*BQ181+(1-EXP(-LN(2)/25))/(LN(2)/25)*Calculateur!BL182*Calculateur!BN182*VLOOKUP('Données projet'!$B$11,Paramètres!$A$1:$I$89,3,0)*0.475*44/12</f>
        <v>3.8735422949112683</v>
      </c>
      <c r="BR182" s="21">
        <f>EXP(-LN(2)/2)*BR181+(1-EXP(-LN(2)/2))/(LN(2)/2)*BL182*BO182*VLOOKUP('Données projet'!$B$11,Paramètres!$A$1:$I$89,3,0)*0.475*44/12</f>
        <v>8.2127683060524798E-14</v>
      </c>
      <c r="BS182" s="22">
        <f t="shared" si="169"/>
        <v>27.583522051311913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4.7884896048344674E-14</v>
      </c>
      <c r="CA182" s="13">
        <f t="shared" si="170"/>
        <v>7.8374629847779921E-13</v>
      </c>
      <c r="CB182" s="20">
        <f t="shared" si="171"/>
        <v>1.4484243304663672E-12</v>
      </c>
      <c r="CC182" s="59">
        <f t="shared" si="119"/>
        <v>293.33333333333474</v>
      </c>
      <c r="CD182" s="59">
        <f ca="1">AVERAGE(OFFSET($CC$3,0,0,'Données projet'!$E$12+1,1))-AVERAGE(OFFSET($H$3,0,0,'Données projet'!$E$12+1,1))</f>
        <v>287.72859857368331</v>
      </c>
      <c r="CE182" s="59">
        <f t="shared" si="148"/>
        <v>179.60736986885922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28.821159466329462</v>
      </c>
      <c r="CL182" s="21">
        <f>EXP(-LN(2)/25)*CL181+(1-EXP(-LN(2)/25))/(LN(2)/25)*Calculateur!CG182*Calculateur!CI182*VLOOKUP('Données projet'!$B$12,Paramètres!$A$1:$I$89,3,0)*0.475*44/12</f>
        <v>3.6968967170195199</v>
      </c>
      <c r="CM182" s="21">
        <f>EXP(-LN(2)/2)*CM181+(1-EXP(-LN(2)/2))/(LN(2)/2)*CG182*CJ182*VLOOKUP('Données projet'!$B$12,Paramètres!$A$1:$I$89,3,0)*0.475*44/12</f>
        <v>7.6381115234215314E-11</v>
      </c>
      <c r="CN182" s="22">
        <f t="shared" si="172"/>
        <v>32.518056183425365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243.33915530322201</v>
      </c>
      <c r="CZ182" s="59">
        <f t="shared" si="150"/>
        <v>247.73814704672577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7.317603538081296</v>
      </c>
      <c r="DG182" s="21">
        <f>EXP(-LN(2)/25)*DG181+(1-EXP(-LN(2)/25))/(LN(2)/25)*Calculateur!DB182*Calculateur!DD182*VLOOKUP('Données projet'!$B$13,Paramètres!$A$1:$I$89,3,0)*0.475*44/12</f>
        <v>3.2979158603703218</v>
      </c>
      <c r="DH182" s="21">
        <f>EXP(-LN(2)/2)*DH181+(1-EXP(-LN(2)/2))/(LN(2)/2)*DB182*DE182*VLOOKUP('Données projet'!$B$13,Paramètres!$A$1:$I$89,3,0)*0.475*44/12</f>
        <v>7.8405796547286544E-14</v>
      </c>
      <c r="DI182" s="22">
        <f t="shared" si="175"/>
        <v>10.615519398451696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3.177547114319168E-13</v>
      </c>
      <c r="P183" s="13">
        <f t="shared" si="141"/>
        <v>4.1725404435445377E-12</v>
      </c>
      <c r="Q183" s="20">
        <f t="shared" si="162"/>
        <v>7.820597394917325E-12</v>
      </c>
      <c r="R183" s="59">
        <f t="shared" si="109"/>
        <v>293.33333333334116</v>
      </c>
      <c r="S183" s="59">
        <f ca="1">AVERAGE(OFFSET($R$3,0,0,'Données projet'!$E$9+1,1))-AVERAGE(OFFSET($H$3,0,0,'Données projet'!$E$9+1,1))</f>
        <v>287.413090017863</v>
      </c>
      <c r="T183" s="59">
        <f t="shared" si="142"/>
        <v>258.48456031927117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26.124321769274363</v>
      </c>
      <c r="AA183" s="21">
        <f>EXP(-LN(2)/25)*AA182+(1-EXP(-LN(2)/25))/(LN(2)/25)*Calculateur!V183*Calculateur!X183*VLOOKUP('Données projet'!$B$9,Paramètres!$A$1:$I$89,3,0)*0.475*44/12</f>
        <v>3.6356993676738671</v>
      </c>
      <c r="AB183" s="21">
        <f>EXP(-LN(2)/2)*AB182+(1-EXP(-LN(2)/2))/(LN(2)/2)*V183*Y183*VLOOKUP('Données projet'!$B$9,Paramètres!$A$1:$I$89,3,0)*0.475*44/12</f>
        <v>2.0956992897397361E-15</v>
      </c>
      <c r="AC183" s="22">
        <f t="shared" si="163"/>
        <v>29.760021136948236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3.76000000000001</v>
      </c>
      <c r="AH183" s="12">
        <f t="array" ref="AH183">INDEX(AG:AG,MIN(IF(ISNUMBER(AG183:AG379),ROW(AG183:AG379),"")))</f>
        <v>3.76000000000001</v>
      </c>
      <c r="AI183" s="13">
        <f>IF('Données projet'!$A$62&gt;35,AI182+AH183-AQ182,IF(A183&lt;'Données projet'!$A$62,$AF$205^A183,IF(A183='Données projet'!$A$62,'Données projet'!$B$62,AI182+AH183-AQ182)))</f>
        <v>271.5600000000008</v>
      </c>
      <c r="AJ183" s="13">
        <f>AI183*VLOOKUP('Données projet'!$B$10,Paramètres!$A$1:$I$89,3,0)*VLOOKUP('Données projet'!$B$10,Paramètres!$A$1:$I$89,5,0)</f>
        <v>245.70748800000069</v>
      </c>
      <c r="AK183" s="13">
        <f t="shared" si="164"/>
        <v>59.665839559289225</v>
      </c>
      <c r="AL183" s="20">
        <f t="shared" si="165"/>
        <v>531.85854549909652</v>
      </c>
      <c r="AM183" s="59">
        <f t="shared" si="113"/>
        <v>825.19187883242989</v>
      </c>
      <c r="AN183" s="59">
        <f ca="1">AVERAGE(OFFSET($AM$3,0,0,'Données projet'!$E$10+1,1))-AVERAGE(OFFSET($H$3,0,0,'Données projet'!$E$10+1,1))</f>
        <v>422.10969295064359</v>
      </c>
      <c r="AO183" s="59">
        <f t="shared" si="144"/>
        <v>184.04075143033037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86.97</v>
      </c>
      <c r="AR183" s="16">
        <f>IF(ISNA(VLOOKUP(A183,'Données projet'!$A$61:$I$81,5,0)),0%,VLOOKUP(A183,'Données projet'!$A$61:$I$81,5,0)*VLOOKUP('Données projet'!$B$10,Paramètres!$A$1:$I$89,7,0))</f>
        <v>0.19350000000000001</v>
      </c>
      <c r="AS183" s="16">
        <f>IF(ISNA(VLOOKUP(A183,'Données projet'!$A$61:$I$81,6,0)),0%,VLOOKUP(A183,'Données projet'!$A$61:$I$81,6,0)*VLOOKUP('Données projet'!$B$10,Paramètres!$A$1:$I$89,7,0))</f>
        <v>2.1500000000000002E-2</v>
      </c>
      <c r="AT183" s="16">
        <f>IF(ISNA(VLOOKUP(A183,'Données projet'!$A$61:$I$81,7,0)),0%,VLOOKUP(A183,'Données projet'!$A$61:$I$81,7,0))</f>
        <v>0.05</v>
      </c>
      <c r="AU183" s="21">
        <f>EXP(-LN(2)/35)*AU182+(1-EXP(-LN(2)/35))/(LN(2)/35)*AQ183*AR183*VLOOKUP('Données projet'!$B$10,Paramètres!$A$1:$I$89,3,0)*0.475*44/12</f>
        <v>124.23943061149308</v>
      </c>
      <c r="AV183" s="21">
        <f>EXP(-LN(2)/25)*AV182+(1-EXP(-LN(2)/25))/(LN(2)/25)*Calculateur!AQ183*Calculateur!AS183*VLOOKUP('Données projet'!$B$10,Paramètres!$A$1:$I$89,3,0)*0.475*44/12</f>
        <v>23.516474371613818</v>
      </c>
      <c r="AW183" s="21">
        <f>EXP(-LN(2)/2)*AW182+(1-EXP(-LN(2)/2))/(LN(2)/2)*AQ183*AT183*VLOOKUP('Données projet'!$B$10,Paramètres!$A$1:$I$89,3,0)*0.475*44/12</f>
        <v>6.9345530057429094</v>
      </c>
      <c r="AX183" s="21">
        <f t="shared" si="166"/>
        <v>154.6904579888498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-9.1631591203622526E-14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217.61052961346684</v>
      </c>
      <c r="BJ183" s="59">
        <f t="shared" si="146"/>
        <v>180.77145728128608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23.245041515037229</v>
      </c>
      <c r="BQ183" s="21">
        <f>EXP(-LN(2)/25)*BQ182+(1-EXP(-LN(2)/25))/(LN(2)/25)*Calculateur!BL183*Calculateur!BN183*VLOOKUP('Données projet'!$B$11,Paramètres!$A$1:$I$89,3,0)*0.475*44/12</f>
        <v>3.7676200771561836</v>
      </c>
      <c r="BR183" s="21">
        <f>EXP(-LN(2)/2)*BR182+(1-EXP(-LN(2)/2))/(LN(2)/2)*BL183*BO183*VLOOKUP('Données projet'!$B$11,Paramètres!$A$1:$I$89,3,0)*0.475*44/12</f>
        <v>5.8073041615236634E-14</v>
      </c>
      <c r="BS183" s="22">
        <f t="shared" si="169"/>
        <v>27.012661592193471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4.7884896048344674E-14</v>
      </c>
      <c r="CA183" s="13">
        <f t="shared" si="170"/>
        <v>7.8374629847779921E-13</v>
      </c>
      <c r="CB183" s="20">
        <f t="shared" si="171"/>
        <v>1.4484243304663672E-12</v>
      </c>
      <c r="CC183" s="59">
        <f t="shared" si="119"/>
        <v>293.33333333333474</v>
      </c>
      <c r="CD183" s="59">
        <f ca="1">AVERAGE(OFFSET($CC$3,0,0,'Données projet'!$E$12+1,1))-AVERAGE(OFFSET($H$3,0,0,'Données projet'!$E$12+1,1))</f>
        <v>287.72859857368331</v>
      </c>
      <c r="CE183" s="59">
        <f t="shared" si="148"/>
        <v>179.60736986885922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28.255994108366217</v>
      </c>
      <c r="CL183" s="21">
        <f>EXP(-LN(2)/25)*CL182+(1-EXP(-LN(2)/25))/(LN(2)/25)*Calculateur!CG183*Calculateur!CI183*VLOOKUP('Données projet'!$B$12,Paramètres!$A$1:$I$89,3,0)*0.475*44/12</f>
        <v>3.5958048818812722</v>
      </c>
      <c r="CM183" s="21">
        <f>EXP(-LN(2)/2)*CM182+(1-EXP(-LN(2)/2))/(LN(2)/2)*CG183*CJ183*VLOOKUP('Données projet'!$B$12,Paramètres!$A$1:$I$89,3,0)*0.475*44/12</f>
        <v>5.4009604536704761E-11</v>
      </c>
      <c r="CN183" s="22">
        <f t="shared" si="172"/>
        <v>31.851798990301496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243.33915530322201</v>
      </c>
      <c r="CZ183" s="59">
        <f t="shared" si="150"/>
        <v>247.73814704672577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7.1741097959969657</v>
      </c>
      <c r="DG183" s="21">
        <f>EXP(-LN(2)/25)*DG182+(1-EXP(-LN(2)/25))/(LN(2)/25)*Calculateur!DB183*Calculateur!DD183*VLOOKUP('Données projet'!$B$13,Paramètres!$A$1:$I$89,3,0)*0.475*44/12</f>
        <v>3.2077341777386379</v>
      </c>
      <c r="DH183" s="21">
        <f>EXP(-LN(2)/2)*DH182+(1-EXP(-LN(2)/2))/(LN(2)/2)*DB183*DE183*VLOOKUP('Données projet'!$B$13,Paramètres!$A$1:$I$89,3,0)*0.475*44/12</f>
        <v>5.544127042291911E-14</v>
      </c>
      <c r="DI183" s="22">
        <f t="shared" si="175"/>
        <v>10.381843973735659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3.177547114319168E-13</v>
      </c>
      <c r="P184" s="13">
        <f t="shared" si="141"/>
        <v>4.1725404435445377E-12</v>
      </c>
      <c r="Q184" s="20">
        <f t="shared" si="162"/>
        <v>7.820597394917325E-12</v>
      </c>
      <c r="R184" s="59">
        <f t="shared" si="109"/>
        <v>293.33333333334116</v>
      </c>
      <c r="S184" s="59">
        <f ca="1">AVERAGE(OFFSET($R$3,0,0,'Données projet'!$E$9+1,1))-AVERAGE(OFFSET($H$3,0,0,'Données projet'!$E$9+1,1))</f>
        <v>287.413090017863</v>
      </c>
      <c r="T184" s="59">
        <f t="shared" si="142"/>
        <v>258.48456031927117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25.612039753641795</v>
      </c>
      <c r="AA184" s="21">
        <f>EXP(-LN(2)/25)*AA183+(1-EXP(-LN(2)/25))/(LN(2)/25)*Calculateur!V184*Calculateur!X184*VLOOKUP('Données projet'!$B$9,Paramètres!$A$1:$I$89,3,0)*0.475*44/12</f>
        <v>3.536280977271705</v>
      </c>
      <c r="AB184" s="21">
        <f>EXP(-LN(2)/2)*AB183+(1-EXP(-LN(2)/2))/(LN(2)/2)*V184*Y184*VLOOKUP('Données projet'!$B$9,Paramètres!$A$1:$I$89,3,0)*0.475*44/12</f>
        <v>1.4818831791027987E-15</v>
      </c>
      <c r="AC184" s="22">
        <f t="shared" si="163"/>
        <v>29.1483207309135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2.2933333333333317</v>
      </c>
      <c r="AI184" s="13">
        <f>IF('Données projet'!$A$62&gt;35,AI183+AH184-AQ183,IF(A184&lt;'Données projet'!$A$62,$AF$205^A184,IF(A184='Données projet'!$A$62,'Données projet'!$B$62,AI183+AH184-AQ183)))</f>
        <v>186.88333333333415</v>
      </c>
      <c r="AJ184" s="13">
        <f>AI184*VLOOKUP('Données projet'!$B$10,Paramètres!$A$1:$I$89,3,0)*VLOOKUP('Données projet'!$B$10,Paramètres!$A$1:$I$89,5,0)</f>
        <v>169.09204000000074</v>
      </c>
      <c r="AK184" s="13">
        <f t="shared" si="164"/>
        <v>42.886607412438856</v>
      </c>
      <c r="AL184" s="20">
        <f t="shared" si="165"/>
        <v>369.1961442433323</v>
      </c>
      <c r="AM184" s="59">
        <f t="shared" si="113"/>
        <v>662.52947757666561</v>
      </c>
      <c r="AN184" s="59">
        <f ca="1">AVERAGE(OFFSET($AM$3,0,0,'Données projet'!$E$10+1,1))-AVERAGE(OFFSET($H$3,0,0,'Données projet'!$E$10+1,1))</f>
        <v>422.10969295064359</v>
      </c>
      <c r="AO184" s="59">
        <f t="shared" si="144"/>
        <v>184.04075143033037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121.80317115577186</v>
      </c>
      <c r="AV184" s="21">
        <f>EXP(-LN(2)/25)*AV183+(1-EXP(-LN(2)/25))/(LN(2)/25)*Calculateur!AQ184*Calculateur!AS184*VLOOKUP('Données projet'!$B$10,Paramètres!$A$1:$I$89,3,0)*0.475*44/12</f>
        <v>22.873415143244397</v>
      </c>
      <c r="AW184" s="21">
        <f>EXP(-LN(2)/2)*AW183+(1-EXP(-LN(2)/2))/(LN(2)/2)*AQ184*AT184*VLOOKUP('Données projet'!$B$10,Paramètres!$A$1:$I$89,3,0)*0.475*44/12</f>
        <v>4.9034694548583673</v>
      </c>
      <c r="AX184" s="21">
        <f t="shared" si="166"/>
        <v>149.58005575387463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-9.1631591203622526E-14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217.61052961346684</v>
      </c>
      <c r="BJ184" s="59">
        <f t="shared" si="146"/>
        <v>180.77145728128608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22.789220429002704</v>
      </c>
      <c r="BQ184" s="21">
        <f>EXP(-LN(2)/25)*BQ183+(1-EXP(-LN(2)/25))/(LN(2)/25)*Calculateur!BL184*Calculateur!BN184*VLOOKUP('Données projet'!$B$11,Paramètres!$A$1:$I$89,3,0)*0.475*44/12</f>
        <v>3.6645943080158188</v>
      </c>
      <c r="BR184" s="21">
        <f>EXP(-LN(2)/2)*BR183+(1-EXP(-LN(2)/2))/(LN(2)/2)*BL184*BO184*VLOOKUP('Données projet'!$B$11,Paramètres!$A$1:$I$89,3,0)*0.475*44/12</f>
        <v>4.1063841530262399E-14</v>
      </c>
      <c r="BS184" s="22">
        <f t="shared" si="169"/>
        <v>26.453814737018565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4.7884896048344674E-14</v>
      </c>
      <c r="CA184" s="13">
        <f t="shared" si="170"/>
        <v>7.8374629847779921E-13</v>
      </c>
      <c r="CB184" s="20">
        <f t="shared" si="171"/>
        <v>1.4484243304663672E-12</v>
      </c>
      <c r="CC184" s="59">
        <f t="shared" si="119"/>
        <v>293.33333333333474</v>
      </c>
      <c r="CD184" s="59">
        <f ca="1">AVERAGE(OFFSET($CC$3,0,0,'Données projet'!$E$12+1,1))-AVERAGE(OFFSET($H$3,0,0,'Données projet'!$E$12+1,1))</f>
        <v>287.72859857368331</v>
      </c>
      <c r="CE184" s="59">
        <f t="shared" si="148"/>
        <v>179.60736986885922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27.7019112983558</v>
      </c>
      <c r="CL184" s="21">
        <f>EXP(-LN(2)/25)*CL183+(1-EXP(-LN(2)/25))/(LN(2)/25)*Calculateur!CG184*Calculateur!CI184*VLOOKUP('Données projet'!$B$12,Paramètres!$A$1:$I$89,3,0)*0.475*44/12</f>
        <v>3.4974774082910685</v>
      </c>
      <c r="CM184" s="21">
        <f>EXP(-LN(2)/2)*CM183+(1-EXP(-LN(2)/2))/(LN(2)/2)*CG184*CJ184*VLOOKUP('Données projet'!$B$12,Paramètres!$A$1:$I$89,3,0)*0.475*44/12</f>
        <v>3.8190557617107657E-11</v>
      </c>
      <c r="CN184" s="22">
        <f t="shared" si="172"/>
        <v>31.19938870668506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243.33915530322201</v>
      </c>
      <c r="CZ184" s="59">
        <f t="shared" si="150"/>
        <v>247.73814704672577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7.0334298786723686</v>
      </c>
      <c r="DG184" s="21">
        <f>EXP(-LN(2)/25)*DG183+(1-EXP(-LN(2)/25))/(LN(2)/25)*Calculateur!DB184*Calculateur!DD184*VLOOKUP('Données projet'!$B$13,Paramètres!$A$1:$I$89,3,0)*0.475*44/12</f>
        <v>3.1200185179609656</v>
      </c>
      <c r="DH184" s="21">
        <f>EXP(-LN(2)/2)*DH183+(1-EXP(-LN(2)/2))/(LN(2)/2)*DB184*DE184*VLOOKUP('Données projet'!$B$13,Paramètres!$A$1:$I$89,3,0)*0.475*44/12</f>
        <v>3.9202898273643272E-14</v>
      </c>
      <c r="DI184" s="22">
        <f t="shared" si="175"/>
        <v>10.153448396633372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3.177547114319168E-13</v>
      </c>
      <c r="P185" s="13">
        <f t="shared" si="141"/>
        <v>4.1725404435445377E-12</v>
      </c>
      <c r="Q185" s="20">
        <f t="shared" si="162"/>
        <v>7.820597394917325E-12</v>
      </c>
      <c r="R185" s="59">
        <f t="shared" si="109"/>
        <v>293.33333333334116</v>
      </c>
      <c r="S185" s="59">
        <f ca="1">AVERAGE(OFFSET($R$3,0,0,'Données projet'!$E$9+1,1))-AVERAGE(OFFSET($H$3,0,0,'Données projet'!$E$9+1,1))</f>
        <v>287.413090017863</v>
      </c>
      <c r="T185" s="59">
        <f t="shared" si="142"/>
        <v>258.48456031927117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25.109803275874604</v>
      </c>
      <c r="AA185" s="21">
        <f>EXP(-LN(2)/25)*AA184+(1-EXP(-LN(2)/25))/(LN(2)/25)*Calculateur!V185*Calculateur!X185*VLOOKUP('Données projet'!$B$9,Paramètres!$A$1:$I$89,3,0)*0.475*44/12</f>
        <v>3.4395811879832761</v>
      </c>
      <c r="AB185" s="21">
        <f>EXP(-LN(2)/2)*AB184+(1-EXP(-LN(2)/2))/(LN(2)/2)*V185*Y185*VLOOKUP('Données projet'!$B$9,Paramètres!$A$1:$I$89,3,0)*0.475*44/12</f>
        <v>1.047849644869868E-15</v>
      </c>
      <c r="AC185" s="22">
        <f t="shared" si="163"/>
        <v>28.54938446385788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2.2933333333333317</v>
      </c>
      <c r="AI185" s="13">
        <f>IF('Données projet'!$A$62&gt;35,AI184+AH185-AQ184,IF(A185&lt;'Données projet'!$A$62,$AF$205^A185,IF(A185='Données projet'!$A$62,'Données projet'!$B$62,AI184+AH185-AQ184)))</f>
        <v>189.17666666666747</v>
      </c>
      <c r="AJ185" s="13">
        <f>AI185*VLOOKUP('Données projet'!$B$10,Paramètres!$A$1:$I$89,3,0)*VLOOKUP('Données projet'!$B$10,Paramètres!$A$1:$I$89,5,0)</f>
        <v>171.16704800000073</v>
      </c>
      <c r="AK185" s="13">
        <f t="shared" si="164"/>
        <v>43.351299348190551</v>
      </c>
      <c r="AL185" s="20">
        <f t="shared" si="165"/>
        <v>373.61945496476648</v>
      </c>
      <c r="AM185" s="59">
        <f t="shared" si="113"/>
        <v>666.95278829809979</v>
      </c>
      <c r="AN185" s="59">
        <f ca="1">AVERAGE(OFFSET($AM$3,0,0,'Données projet'!$E$10+1,1))-AVERAGE(OFFSET($H$3,0,0,'Données projet'!$E$10+1,1))</f>
        <v>422.10969295064359</v>
      </c>
      <c r="AO185" s="59">
        <f t="shared" si="144"/>
        <v>184.04075143033037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119.4146852620058</v>
      </c>
      <c r="AV185" s="21">
        <f>EXP(-LN(2)/25)*AV184+(1-EXP(-LN(2)/25))/(LN(2)/25)*Calculateur!AQ185*Calculateur!AS185*VLOOKUP('Données projet'!$B$10,Paramètres!$A$1:$I$89,3,0)*0.475*44/12</f>
        <v>22.247940403291754</v>
      </c>
      <c r="AW185" s="21">
        <f>EXP(-LN(2)/2)*AW184+(1-EXP(-LN(2)/2))/(LN(2)/2)*AQ185*AT185*VLOOKUP('Données projet'!$B$10,Paramètres!$A$1:$I$89,3,0)*0.475*44/12</f>
        <v>3.4672765028714552</v>
      </c>
      <c r="AX185" s="21">
        <f t="shared" si="166"/>
        <v>145.129902168169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-9.1631591203622526E-14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217.61052961346684</v>
      </c>
      <c r="BJ185" s="59">
        <f t="shared" si="146"/>
        <v>180.77145728128608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22.342337716441907</v>
      </c>
      <c r="BQ185" s="21">
        <f>EXP(-LN(2)/25)*BQ184+(1-EXP(-LN(2)/25))/(LN(2)/25)*Calculateur!BL185*Calculateur!BN185*VLOOKUP('Données projet'!$B$11,Paramètres!$A$1:$I$89,3,0)*0.475*44/12</f>
        <v>3.5643857839504869</v>
      </c>
      <c r="BR185" s="21">
        <f>EXP(-LN(2)/2)*BR184+(1-EXP(-LN(2)/2))/(LN(2)/2)*BL185*BO185*VLOOKUP('Données projet'!$B$11,Paramètres!$A$1:$I$89,3,0)*0.475*44/12</f>
        <v>2.9036520807618317E-14</v>
      </c>
      <c r="BS185" s="22">
        <f t="shared" si="169"/>
        <v>25.906723500392424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4.7884896048344674E-14</v>
      </c>
      <c r="CA185" s="13">
        <f t="shared" si="170"/>
        <v>7.8374629847779921E-13</v>
      </c>
      <c r="CB185" s="20">
        <f t="shared" si="171"/>
        <v>1.4484243304663672E-12</v>
      </c>
      <c r="CC185" s="59">
        <f t="shared" si="119"/>
        <v>293.33333333333474</v>
      </c>
      <c r="CD185" s="59">
        <f ca="1">AVERAGE(OFFSET($CC$3,0,0,'Données projet'!$E$12+1,1))-AVERAGE(OFFSET($H$3,0,0,'Données projet'!$E$12+1,1))</f>
        <v>287.72859857368331</v>
      </c>
      <c r="CE185" s="59">
        <f t="shared" si="148"/>
        <v>179.60736986885922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27.158693714292543</v>
      </c>
      <c r="CL185" s="21">
        <f>EXP(-LN(2)/25)*CL184+(1-EXP(-LN(2)/25))/(LN(2)/25)*Calculateur!CG185*Calculateur!CI185*VLOOKUP('Données projet'!$B$12,Paramètres!$A$1:$I$89,3,0)*0.475*44/12</f>
        <v>3.4018387046370058</v>
      </c>
      <c r="CM185" s="21">
        <f>EXP(-LN(2)/2)*CM184+(1-EXP(-LN(2)/2))/(LN(2)/2)*CG185*CJ185*VLOOKUP('Données projet'!$B$12,Paramètres!$A$1:$I$89,3,0)*0.475*44/12</f>
        <v>2.700480226835238E-11</v>
      </c>
      <c r="CN185" s="22">
        <f t="shared" si="172"/>
        <v>30.560532418956551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243.33915530322201</v>
      </c>
      <c r="CZ185" s="59">
        <f t="shared" si="150"/>
        <v>247.73814704672577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6.8955086087202302</v>
      </c>
      <c r="DG185" s="21">
        <f>EXP(-LN(2)/25)*DG184+(1-EXP(-LN(2)/25))/(LN(2)/25)*Calculateur!DB185*Calculateur!DD185*VLOOKUP('Données projet'!$B$13,Paramètres!$A$1:$I$89,3,0)*0.475*44/12</f>
        <v>3.0347014475126799</v>
      </c>
      <c r="DH185" s="21">
        <f>EXP(-LN(2)/2)*DH184+(1-EXP(-LN(2)/2))/(LN(2)/2)*DB185*DE185*VLOOKUP('Données projet'!$B$13,Paramètres!$A$1:$I$89,3,0)*0.475*44/12</f>
        <v>2.7720635211459555E-14</v>
      </c>
      <c r="DI185" s="22">
        <f t="shared" si="175"/>
        <v>9.930210056232939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3.177547114319168E-13</v>
      </c>
      <c r="P186" s="13">
        <f t="shared" si="141"/>
        <v>4.1725404435445377E-12</v>
      </c>
      <c r="Q186" s="20">
        <f t="shared" si="162"/>
        <v>7.820597394917325E-12</v>
      </c>
      <c r="R186" s="59">
        <f t="shared" si="109"/>
        <v>293.33333333334116</v>
      </c>
      <c r="S186" s="59">
        <f ca="1">AVERAGE(OFFSET($R$3,0,0,'Données projet'!$E$9+1,1))-AVERAGE(OFFSET($H$3,0,0,'Données projet'!$E$9+1,1))</f>
        <v>287.413090017863</v>
      </c>
      <c r="T186" s="59">
        <f t="shared" si="142"/>
        <v>258.48456031927117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24.617415349102426</v>
      </c>
      <c r="AA186" s="21">
        <f>EXP(-LN(2)/25)*AA185+(1-EXP(-LN(2)/25))/(LN(2)/25)*Calculateur!V186*Calculateur!X186*VLOOKUP('Données projet'!$B$9,Paramètres!$A$1:$I$89,3,0)*0.475*44/12</f>
        <v>3.3455256595181599</v>
      </c>
      <c r="AB186" s="21">
        <f>EXP(-LN(2)/2)*AB185+(1-EXP(-LN(2)/2))/(LN(2)/2)*V186*Y186*VLOOKUP('Données projet'!$B$9,Paramètres!$A$1:$I$89,3,0)*0.475*44/12</f>
        <v>7.4094158955139933E-16</v>
      </c>
      <c r="AC186" s="22">
        <f t="shared" si="163"/>
        <v>27.962941008620586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2.2933333333333317</v>
      </c>
      <c r="AH186" s="12">
        <f t="array" ref="AH186">INDEX(AG:AG,MIN(IF(ISNUMBER(AG186:AG382),ROW(AG186:AG382),"")))</f>
        <v>2.2933333333333317</v>
      </c>
      <c r="AI186" s="13">
        <f>IF('Données projet'!$A$62&gt;35,AI185+AH186-AQ185,IF(A186&lt;'Données projet'!$A$62,$AF$205^A186,IF(A186='Données projet'!$A$62,'Données projet'!$B$62,AI185+AH186-AQ185)))</f>
        <v>191.47000000000079</v>
      </c>
      <c r="AJ186" s="13">
        <f>AI186*VLOOKUP('Données projet'!$B$10,Paramètres!$A$1:$I$89,3,0)*VLOOKUP('Données projet'!$B$10,Paramètres!$A$1:$I$89,5,0)</f>
        <v>173.2420560000007</v>
      </c>
      <c r="AK186" s="13">
        <f t="shared" si="164"/>
        <v>43.815336010445158</v>
      </c>
      <c r="AL186" s="20">
        <f t="shared" si="165"/>
        <v>378.04162441819318</v>
      </c>
      <c r="AM186" s="59">
        <f t="shared" si="113"/>
        <v>671.37495775152649</v>
      </c>
      <c r="AN186" s="59">
        <f ca="1">AVERAGE(OFFSET($AM$3,0,0,'Données projet'!$E$10+1,1))-AVERAGE(OFFSET($H$3,0,0,'Données projet'!$E$10+1,1))</f>
        <v>422.10969295064359</v>
      </c>
      <c r="AO186" s="59">
        <f t="shared" si="144"/>
        <v>184.04075143033037</v>
      </c>
      <c r="AP186" s="15" t="str">
        <f>IF(ISNA(VLOOKUP(A186,'Données projet'!$A$61:$I$81,3,0)),0,VLOOKUP(A186,'Données projet'!$A$61:$I$81,3,0))</f>
        <v>CR</v>
      </c>
      <c r="AQ186" s="15">
        <f>IF(ISNA(VLOOKUP(A186,'Données projet'!$A$61:$I$81,4,0)),0,VLOOKUP(A186,'Données projet'!$A$61:$I$81,4,0))</f>
        <v>191.47</v>
      </c>
      <c r="AR186" s="16">
        <f>IF(ISNA(VLOOKUP(A186,'Données projet'!$A$61:$I$81,5,0)),0%,VLOOKUP(A186,'Données projet'!$A$61:$I$81,5,0)*VLOOKUP('Données projet'!$B$10,Paramètres!$A$1:$I$89,7,0))</f>
        <v>0.19350000000000001</v>
      </c>
      <c r="AS186" s="16">
        <f>IF(ISNA(VLOOKUP(A186,'Données projet'!$A$61:$I$81,6,0)),0%,VLOOKUP(A186,'Données projet'!$A$61:$I$81,6,0)*VLOOKUP('Données projet'!$B$10,Paramètres!$A$1:$I$89,7,0))</f>
        <v>2.1500000000000002E-2</v>
      </c>
      <c r="AT186" s="16">
        <f>IF(ISNA(VLOOKUP(A186,'Données projet'!$A$61:$I$81,7,0)),0%,VLOOKUP(A186,'Données projet'!$A$61:$I$81,7,0))</f>
        <v>0.05</v>
      </c>
      <c r="AU186" s="21">
        <f>EXP(-LN(2)/35)*AU185+(1-EXP(-LN(2)/35))/(LN(2)/35)*AQ186*AR186*VLOOKUP('Données projet'!$B$10,Paramètres!$A$1:$I$89,3,0)*0.475*44/12</f>
        <v>154.13098765017864</v>
      </c>
      <c r="AV186" s="21">
        <f>EXP(-LN(2)/25)*AV185+(1-EXP(-LN(2)/25))/(LN(2)/25)*Calculateur!AQ186*Calculateur!AS186*VLOOKUP('Données projet'!$B$10,Paramètres!$A$1:$I$89,3,0)*0.475*44/12</f>
        <v>25.740907109110182</v>
      </c>
      <c r="AW186" s="21">
        <f>EXP(-LN(2)/2)*AW185+(1-EXP(-LN(2)/2))/(LN(2)/2)*AQ186*AT186*VLOOKUP('Données projet'!$B$10,Paramètres!$A$1:$I$89,3,0)*0.475*44/12</f>
        <v>10.624661856307879</v>
      </c>
      <c r="AX186" s="21">
        <f t="shared" si="166"/>
        <v>190.49655661559669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-9.1631591203622526E-14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217.61052961346684</v>
      </c>
      <c r="BJ186" s="59">
        <f t="shared" si="146"/>
        <v>180.77145728128608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21.904218101302888</v>
      </c>
      <c r="BQ186" s="21">
        <f>EXP(-LN(2)/25)*BQ185+(1-EXP(-LN(2)/25))/(LN(2)/25)*Calculateur!BL186*Calculateur!BN186*VLOOKUP('Données projet'!$B$11,Paramètres!$A$1:$I$89,3,0)*0.475*44/12</f>
        <v>3.4669174672454588</v>
      </c>
      <c r="BR186" s="21">
        <f>EXP(-LN(2)/2)*BR185+(1-EXP(-LN(2)/2))/(LN(2)/2)*BL186*BO186*VLOOKUP('Données projet'!$B$11,Paramètres!$A$1:$I$89,3,0)*0.475*44/12</f>
        <v>2.0531920765131199E-14</v>
      </c>
      <c r="BS186" s="22">
        <f t="shared" si="169"/>
        <v>25.371135568548368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4.7884896048344674E-14</v>
      </c>
      <c r="CA186" s="13">
        <f t="shared" si="170"/>
        <v>7.8374629847779921E-13</v>
      </c>
      <c r="CB186" s="20">
        <f t="shared" si="171"/>
        <v>1.4484243304663672E-12</v>
      </c>
      <c r="CC186" s="59">
        <f t="shared" si="119"/>
        <v>293.33333333333474</v>
      </c>
      <c r="CD186" s="59">
        <f ca="1">AVERAGE(OFFSET($CC$3,0,0,'Données projet'!$E$12+1,1))-AVERAGE(OFFSET($H$3,0,0,'Données projet'!$E$12+1,1))</f>
        <v>287.72859857368331</v>
      </c>
      <c r="CE186" s="59">
        <f t="shared" si="148"/>
        <v>179.60736986885922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26.626128295722758</v>
      </c>
      <c r="CL186" s="21">
        <f>EXP(-LN(2)/25)*CL185+(1-EXP(-LN(2)/25))/(LN(2)/25)*Calculateur!CG186*Calculateur!CI186*VLOOKUP('Données projet'!$B$12,Paramètres!$A$1:$I$89,3,0)*0.475*44/12</f>
        <v>3.3088152463637845</v>
      </c>
      <c r="CM186" s="21">
        <f>EXP(-LN(2)/2)*CM185+(1-EXP(-LN(2)/2))/(LN(2)/2)*CG186*CJ186*VLOOKUP('Données projet'!$B$12,Paramètres!$A$1:$I$89,3,0)*0.475*44/12</f>
        <v>1.9095278808553829E-11</v>
      </c>
      <c r="CN186" s="22">
        <f t="shared" si="172"/>
        <v>29.934943542105639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243.33915530322201</v>
      </c>
      <c r="CZ186" s="59">
        <f t="shared" si="150"/>
        <v>247.73814704672577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6.760291890748185</v>
      </c>
      <c r="DG186" s="21">
        <f>EXP(-LN(2)/25)*DG185+(1-EXP(-LN(2)/25))/(LN(2)/25)*Calculateur!DB186*Calculateur!DD186*VLOOKUP('Données projet'!$B$13,Paramètres!$A$1:$I$89,3,0)*0.475*44/12</f>
        <v>2.9517173768424323</v>
      </c>
      <c r="DH186" s="21">
        <f>EXP(-LN(2)/2)*DH185+(1-EXP(-LN(2)/2))/(LN(2)/2)*DB186*DE186*VLOOKUP('Données projet'!$B$13,Paramètres!$A$1:$I$89,3,0)*0.475*44/12</f>
        <v>1.9601449136821636E-14</v>
      </c>
      <c r="DI186" s="22">
        <f t="shared" si="175"/>
        <v>9.712009267590636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3.177547114319168E-13</v>
      </c>
      <c r="P187" s="13">
        <f t="shared" si="141"/>
        <v>4.1725404435445377E-12</v>
      </c>
      <c r="Q187" s="20">
        <f t="shared" si="162"/>
        <v>7.820597394917325E-12</v>
      </c>
      <c r="R187" s="59">
        <f t="shared" si="109"/>
        <v>293.33333333334116</v>
      </c>
      <c r="S187" s="59">
        <f ca="1">AVERAGE(OFFSET($R$3,0,0,'Données projet'!$E$9+1,1))-AVERAGE(OFFSET($H$3,0,0,'Données projet'!$E$9+1,1))</f>
        <v>287.413090017863</v>
      </c>
      <c r="T187" s="59">
        <f t="shared" si="142"/>
        <v>258.48456031927117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24.13468284924727</v>
      </c>
      <c r="AA187" s="21">
        <f>EXP(-LN(2)/25)*AA186+(1-EXP(-LN(2)/25))/(LN(2)/25)*Calculateur!V187*Calculateur!X187*VLOOKUP('Données projet'!$B$9,Paramètres!$A$1:$I$89,3,0)*0.475*44/12</f>
        <v>3.2540420844250879</v>
      </c>
      <c r="AB187" s="21">
        <f>EXP(-LN(2)/2)*AB186+(1-EXP(-LN(2)/2))/(LN(2)/2)*V187*Y187*VLOOKUP('Données projet'!$B$9,Paramètres!$A$1:$I$89,3,0)*0.475*44/12</f>
        <v>5.2392482243493402E-16</v>
      </c>
      <c r="AC187" s="22">
        <f t="shared" si="163"/>
        <v>27.388724933672357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7.9580786405131221E-13</v>
      </c>
      <c r="AJ187" s="13">
        <f>AI187*VLOOKUP('Données projet'!$B$10,Paramètres!$A$1:$I$89,3,0)*VLOOKUP('Données projet'!$B$10,Paramètres!$A$1:$I$89,5,0)</f>
        <v>7.2004695539362725E-13</v>
      </c>
      <c r="AK187" s="13">
        <f t="shared" si="164"/>
        <v>8.5963894794935589E-12</v>
      </c>
      <c r="AL187" s="20">
        <f t="shared" si="165"/>
        <v>1.6226126790761848E-11</v>
      </c>
      <c r="AM187" s="59">
        <f t="shared" si="113"/>
        <v>293.33333333334951</v>
      </c>
      <c r="AN187" s="59">
        <f ca="1">AVERAGE(OFFSET($AM$3,0,0,'Données projet'!$E$10+1,1))-AVERAGE(OFFSET($H$3,0,0,'Données projet'!$E$10+1,1))</f>
        <v>422.10969295064359</v>
      </c>
      <c r="AO187" s="59">
        <f t="shared" si="144"/>
        <v>184.04075143033037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151.10857299297834</v>
      </c>
      <c r="AV187" s="21">
        <f>EXP(-LN(2)/25)*AV186+(1-EXP(-LN(2)/25))/(LN(2)/25)*Calculateur!AQ187*Calculateur!AS187*VLOOKUP('Données projet'!$B$10,Paramètres!$A$1:$I$89,3,0)*0.475*44/12</f>
        <v>25.037020650556091</v>
      </c>
      <c r="AW187" s="21">
        <f>EXP(-LN(2)/2)*AW186+(1-EXP(-LN(2)/2))/(LN(2)/2)*AQ187*AT187*VLOOKUP('Données projet'!$B$10,Paramètres!$A$1:$I$89,3,0)*0.475*44/12</f>
        <v>7.5127704464093537</v>
      </c>
      <c r="AX187" s="21">
        <f t="shared" si="166"/>
        <v>183.65836408994377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-9.1631591203622526E-14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217.61052961346684</v>
      </c>
      <c r="BJ187" s="59">
        <f t="shared" si="146"/>
        <v>180.77145728128608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21.474689744590165</v>
      </c>
      <c r="BQ187" s="21">
        <f>EXP(-LN(2)/25)*BQ186+(1-EXP(-LN(2)/25))/(LN(2)/25)*Calculateur!BL187*Calculateur!BN187*VLOOKUP('Données projet'!$B$11,Paramètres!$A$1:$I$89,3,0)*0.475*44/12</f>
        <v>3.3721144267863661</v>
      </c>
      <c r="BR187" s="21">
        <f>EXP(-LN(2)/2)*BR186+(1-EXP(-LN(2)/2))/(LN(2)/2)*BL187*BO187*VLOOKUP('Données projet'!$B$11,Paramètres!$A$1:$I$89,3,0)*0.475*44/12</f>
        <v>1.4518260403809159E-14</v>
      </c>
      <c r="BS187" s="22">
        <f t="shared" si="169"/>
        <v>24.846804171376547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4.7884896048344674E-14</v>
      </c>
      <c r="CA187" s="13">
        <f t="shared" si="170"/>
        <v>7.8374629847779921E-13</v>
      </c>
      <c r="CB187" s="20">
        <f t="shared" si="171"/>
        <v>1.4484243304663672E-12</v>
      </c>
      <c r="CC187" s="59">
        <f t="shared" si="119"/>
        <v>293.33333333333474</v>
      </c>
      <c r="CD187" s="59">
        <f ca="1">AVERAGE(OFFSET($CC$3,0,0,'Données projet'!$E$12+1,1))-AVERAGE(OFFSET($H$3,0,0,'Données projet'!$E$12+1,1))</f>
        <v>287.72859857368331</v>
      </c>
      <c r="CE187" s="59">
        <f t="shared" si="148"/>
        <v>179.60736986885922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26.104006160178294</v>
      </c>
      <c r="CL187" s="21">
        <f>EXP(-LN(2)/25)*CL186+(1-EXP(-LN(2)/25))/(LN(2)/25)*Calculateur!CG187*Calculateur!CI187*VLOOKUP('Données projet'!$B$12,Paramètres!$A$1:$I$89,3,0)*0.475*44/12</f>
        <v>3.2183355194489356</v>
      </c>
      <c r="CM187" s="21">
        <f>EXP(-LN(2)/2)*CM186+(1-EXP(-LN(2)/2))/(LN(2)/2)*CG187*CJ187*VLOOKUP('Données projet'!$B$12,Paramètres!$A$1:$I$89,3,0)*0.475*44/12</f>
        <v>1.350240113417619E-11</v>
      </c>
      <c r="CN187" s="22">
        <f t="shared" si="172"/>
        <v>29.322341679640733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243.33915530322201</v>
      </c>
      <c r="CZ187" s="59">
        <f t="shared" si="150"/>
        <v>247.73814704672577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6.6277266901415173</v>
      </c>
      <c r="DG187" s="21">
        <f>EXP(-LN(2)/25)*DG186+(1-EXP(-LN(2)/25))/(LN(2)/25)*Calculateur!DB187*Calculateur!DD187*VLOOKUP('Données projet'!$B$13,Paramètres!$A$1:$I$89,3,0)*0.475*44/12</f>
        <v>2.8710025099486054</v>
      </c>
      <c r="DH187" s="21">
        <f>EXP(-LN(2)/2)*DH186+(1-EXP(-LN(2)/2))/(LN(2)/2)*DB187*DE187*VLOOKUP('Données projet'!$B$13,Paramètres!$A$1:$I$89,3,0)*0.475*44/12</f>
        <v>1.3860317605729778E-14</v>
      </c>
      <c r="DI187" s="22">
        <f t="shared" si="175"/>
        <v>9.4987292000901373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3.177547114319168E-13</v>
      </c>
      <c r="P188" s="13">
        <f t="shared" si="141"/>
        <v>4.1725404435445377E-12</v>
      </c>
      <c r="Q188" s="20">
        <f t="shared" si="162"/>
        <v>7.820597394917325E-12</v>
      </c>
      <c r="R188" s="59">
        <f t="shared" si="109"/>
        <v>293.33333333334116</v>
      </c>
      <c r="S188" s="59">
        <f ca="1">AVERAGE(OFFSET($R$3,0,0,'Données projet'!$E$9+1,1))-AVERAGE(OFFSET($H$3,0,0,'Données projet'!$E$9+1,1))</f>
        <v>287.413090017863</v>
      </c>
      <c r="T188" s="59">
        <f t="shared" si="142"/>
        <v>258.48456031927117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23.661416439276518</v>
      </c>
      <c r="AA188" s="21">
        <f>EXP(-LN(2)/25)*AA187+(1-EXP(-LN(2)/25))/(LN(2)/25)*Calculateur!V188*Calculateur!X188*VLOOKUP('Données projet'!$B$9,Paramètres!$A$1:$I$89,3,0)*0.475*44/12</f>
        <v>3.1650601325038479</v>
      </c>
      <c r="AB188" s="21">
        <f>EXP(-LN(2)/2)*AB187+(1-EXP(-LN(2)/2))/(LN(2)/2)*V188*Y188*VLOOKUP('Données projet'!$B$9,Paramètres!$A$1:$I$89,3,0)*0.475*44/12</f>
        <v>3.7047079477569967E-16</v>
      </c>
      <c r="AC188" s="22">
        <f t="shared" si="163"/>
        <v>26.826476571780365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7.9580786405131221E-13</v>
      </c>
      <c r="AJ188" s="13">
        <f>AI188*VLOOKUP('Données projet'!$B$10,Paramètres!$A$1:$I$89,3,0)*VLOOKUP('Données projet'!$B$10,Paramètres!$A$1:$I$89,5,0)</f>
        <v>7.2004695539362725E-13</v>
      </c>
      <c r="AK188" s="13">
        <f t="shared" si="164"/>
        <v>8.5963894794935589E-12</v>
      </c>
      <c r="AL188" s="20">
        <f t="shared" si="165"/>
        <v>1.6226126790761848E-11</v>
      </c>
      <c r="AM188" s="59">
        <f t="shared" si="113"/>
        <v>293.33333333334951</v>
      </c>
      <c r="AN188" s="59">
        <f ca="1">AVERAGE(OFFSET($AM$3,0,0,'Données projet'!$E$10+1,1))-AVERAGE(OFFSET($H$3,0,0,'Données projet'!$E$10+1,1))</f>
        <v>422.10969295064359</v>
      </c>
      <c r="AO188" s="59">
        <f t="shared" si="144"/>
        <v>184.04075143033037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148.14542604371482</v>
      </c>
      <c r="AV188" s="21">
        <f>EXP(-LN(2)/25)*AV187+(1-EXP(-LN(2)/25))/(LN(2)/25)*Calculateur!AQ188*Calculateur!AS188*VLOOKUP('Données projet'!$B$10,Paramètres!$A$1:$I$89,3,0)*0.475*44/12</f>
        <v>24.352382004226943</v>
      </c>
      <c r="AW188" s="21">
        <f>EXP(-LN(2)/2)*AW187+(1-EXP(-LN(2)/2))/(LN(2)/2)*AQ188*AT188*VLOOKUP('Données projet'!$B$10,Paramètres!$A$1:$I$89,3,0)*0.475*44/12</f>
        <v>5.3123309281539406</v>
      </c>
      <c r="AX188" s="21">
        <f t="shared" si="166"/>
        <v>177.81013897609569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-9.1631591203622526E-14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217.61052961346684</v>
      </c>
      <c r="BJ188" s="59">
        <f t="shared" si="146"/>
        <v>180.77145728128608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21.053584176966151</v>
      </c>
      <c r="BQ188" s="21">
        <f>EXP(-LN(2)/25)*BQ187+(1-EXP(-LN(2)/25))/(LN(2)/25)*Calculateur!BL188*Calculateur!BN188*VLOOKUP('Données projet'!$B$11,Paramètres!$A$1:$I$89,3,0)*0.475*44/12</f>
        <v>3.2799037804541022</v>
      </c>
      <c r="BR188" s="21">
        <f>EXP(-LN(2)/2)*BR187+(1-EXP(-LN(2)/2))/(LN(2)/2)*BL188*BO188*VLOOKUP('Données projet'!$B$11,Paramètres!$A$1:$I$89,3,0)*0.475*44/12</f>
        <v>1.02659603825656E-14</v>
      </c>
      <c r="BS188" s="22">
        <f t="shared" si="169"/>
        <v>24.333487957420264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4.7884896048344674E-14</v>
      </c>
      <c r="CA188" s="13">
        <f t="shared" si="170"/>
        <v>7.8374629847779921E-13</v>
      </c>
      <c r="CB188" s="20">
        <f t="shared" si="171"/>
        <v>1.4484243304663672E-12</v>
      </c>
      <c r="CC188" s="59">
        <f t="shared" si="119"/>
        <v>293.33333333333474</v>
      </c>
      <c r="CD188" s="59">
        <f ca="1">AVERAGE(OFFSET($CC$3,0,0,'Données projet'!$E$12+1,1))-AVERAGE(OFFSET($H$3,0,0,'Données projet'!$E$12+1,1))</f>
        <v>287.72859857368331</v>
      </c>
      <c r="CE188" s="59">
        <f t="shared" si="148"/>
        <v>179.60736986885922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25.5921225212488</v>
      </c>
      <c r="CL188" s="21">
        <f>EXP(-LN(2)/25)*CL187+(1-EXP(-LN(2)/25))/(LN(2)/25)*Calculateur!CG188*Calculateur!CI188*VLOOKUP('Données projet'!$B$12,Paramètres!$A$1:$I$89,3,0)*0.475*44/12</f>
        <v>3.130329965424695</v>
      </c>
      <c r="CM188" s="21">
        <f>EXP(-LN(2)/2)*CM187+(1-EXP(-LN(2)/2))/(LN(2)/2)*CG188*CJ188*VLOOKUP('Données projet'!$B$12,Paramètres!$A$1:$I$89,3,0)*0.475*44/12</f>
        <v>9.5476394042769143E-12</v>
      </c>
      <c r="CN188" s="22">
        <f t="shared" si="172"/>
        <v>28.722452486683043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243.33915530322201</v>
      </c>
      <c r="CZ188" s="59">
        <f t="shared" si="150"/>
        <v>247.73814704672577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6.4977610122619582</v>
      </c>
      <c r="DG188" s="21">
        <f>EXP(-LN(2)/25)*DG187+(1-EXP(-LN(2)/25))/(LN(2)/25)*Calculateur!DB188*Calculateur!DD188*VLOOKUP('Données projet'!$B$13,Paramètres!$A$1:$I$89,3,0)*0.475*44/12</f>
        <v>2.7924947953346004</v>
      </c>
      <c r="DH188" s="21">
        <f>EXP(-LN(2)/2)*DH187+(1-EXP(-LN(2)/2))/(LN(2)/2)*DB188*DE188*VLOOKUP('Données projet'!$B$13,Paramètres!$A$1:$I$89,3,0)*0.475*44/12</f>
        <v>9.800724568410818E-15</v>
      </c>
      <c r="DI188" s="22">
        <f t="shared" si="175"/>
        <v>9.2902558075965693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3.177547114319168E-13</v>
      </c>
      <c r="P189" s="13">
        <f t="shared" si="141"/>
        <v>4.1725404435445377E-12</v>
      </c>
      <c r="Q189" s="20">
        <f t="shared" si="162"/>
        <v>7.820597394917325E-12</v>
      </c>
      <c r="R189" s="59">
        <f t="shared" si="109"/>
        <v>293.33333333334116</v>
      </c>
      <c r="S189" s="59">
        <f ca="1">AVERAGE(OFFSET($R$3,0,0,'Données projet'!$E$9+1,1))-AVERAGE(OFFSET($H$3,0,0,'Données projet'!$E$9+1,1))</f>
        <v>287.413090017863</v>
      </c>
      <c r="T189" s="59">
        <f t="shared" si="142"/>
        <v>258.48456031927117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23.197430494941287</v>
      </c>
      <c r="AA189" s="21">
        <f>EXP(-LN(2)/25)*AA188+(1-EXP(-LN(2)/25))/(LN(2)/25)*Calculateur!V189*Calculateur!X189*VLOOKUP('Données projet'!$B$9,Paramètres!$A$1:$I$89,3,0)*0.475*44/12</f>
        <v>3.0785113967372517</v>
      </c>
      <c r="AB189" s="21">
        <f>EXP(-LN(2)/2)*AB188+(1-EXP(-LN(2)/2))/(LN(2)/2)*V189*Y189*VLOOKUP('Données projet'!$B$9,Paramètres!$A$1:$I$89,3,0)*0.475*44/12</f>
        <v>2.6196241121746701E-16</v>
      </c>
      <c r="AC189" s="22">
        <f t="shared" si="163"/>
        <v>26.275941891678539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7.9580786405131221E-13</v>
      </c>
      <c r="AJ189" s="13">
        <f>AI189*VLOOKUP('Données projet'!$B$10,Paramètres!$A$1:$I$89,3,0)*VLOOKUP('Données projet'!$B$10,Paramètres!$A$1:$I$89,5,0)</f>
        <v>7.2004695539362725E-13</v>
      </c>
      <c r="AK189" s="13">
        <f t="shared" si="164"/>
        <v>8.5963894794935589E-12</v>
      </c>
      <c r="AL189" s="20">
        <f t="shared" si="165"/>
        <v>1.6226126790761848E-11</v>
      </c>
      <c r="AM189" s="59">
        <f t="shared" si="113"/>
        <v>293.33333333334951</v>
      </c>
      <c r="AN189" s="59">
        <f ca="1">AVERAGE(OFFSET($AM$3,0,0,'Données projet'!$E$10+1,1))-AVERAGE(OFFSET($H$3,0,0,'Données projet'!$E$10+1,1))</f>
        <v>422.10969295064359</v>
      </c>
      <c r="AO189" s="59">
        <f t="shared" si="144"/>
        <v>184.04075143033037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145.24038459878517</v>
      </c>
      <c r="AV189" s="21">
        <f>EXP(-LN(2)/25)*AV188+(1-EXP(-LN(2)/25))/(LN(2)/25)*Calculateur!AQ189*Calculateur!AS189*VLOOKUP('Données projet'!$B$10,Paramètres!$A$1:$I$89,3,0)*0.475*44/12</f>
        <v>23.686464837685246</v>
      </c>
      <c r="AW189" s="21">
        <f>EXP(-LN(2)/2)*AW188+(1-EXP(-LN(2)/2))/(LN(2)/2)*AQ189*AT189*VLOOKUP('Données projet'!$B$10,Paramètres!$A$1:$I$89,3,0)*0.475*44/12</f>
        <v>3.7563852232046777</v>
      </c>
      <c r="AX189" s="21">
        <f t="shared" si="166"/>
        <v>172.68323465967509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-9.1631591203622526E-14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217.61052961346684</v>
      </c>
      <c r="BJ189" s="59">
        <f t="shared" si="146"/>
        <v>180.77145728128608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20.640736232674207</v>
      </c>
      <c r="BQ189" s="21">
        <f>EXP(-LN(2)/25)*BQ188+(1-EXP(-LN(2)/25))/(LN(2)/25)*Calculateur!BL189*Calculateur!BN189*VLOOKUP('Données projet'!$B$11,Paramètres!$A$1:$I$89,3,0)*0.475*44/12</f>
        <v>3.1902146390949415</v>
      </c>
      <c r="BR189" s="21">
        <f>EXP(-LN(2)/2)*BR188+(1-EXP(-LN(2)/2))/(LN(2)/2)*BL189*BO189*VLOOKUP('Données projet'!$B$11,Paramètres!$A$1:$I$89,3,0)*0.475*44/12</f>
        <v>7.2591302019045793E-15</v>
      </c>
      <c r="BS189" s="22">
        <f t="shared" si="169"/>
        <v>23.830950871769154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4.7884896048344674E-14</v>
      </c>
      <c r="CA189" s="13">
        <f t="shared" si="170"/>
        <v>7.8374629847779921E-13</v>
      </c>
      <c r="CB189" s="20">
        <f t="shared" si="171"/>
        <v>1.4484243304663672E-12</v>
      </c>
      <c r="CC189" s="59">
        <f t="shared" si="119"/>
        <v>293.33333333333474</v>
      </c>
      <c r="CD189" s="59">
        <f ca="1">AVERAGE(OFFSET($CC$3,0,0,'Données projet'!$E$12+1,1))-AVERAGE(OFFSET($H$3,0,0,'Données projet'!$E$12+1,1))</f>
        <v>287.72859857368331</v>
      </c>
      <c r="CE189" s="59">
        <f t="shared" si="148"/>
        <v>179.60736986885922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25.090276608260524</v>
      </c>
      <c r="CL189" s="21">
        <f>EXP(-LN(2)/25)*CL188+(1-EXP(-LN(2)/25))/(LN(2)/25)*Calculateur!CG189*Calculateur!CI189*VLOOKUP('Données projet'!$B$12,Paramètres!$A$1:$I$89,3,0)*0.475*44/12</f>
        <v>3.0447309279032582</v>
      </c>
      <c r="CM189" s="21">
        <f>EXP(-LN(2)/2)*CM188+(1-EXP(-LN(2)/2))/(LN(2)/2)*CG189*CJ189*VLOOKUP('Données projet'!$B$12,Paramètres!$A$1:$I$89,3,0)*0.475*44/12</f>
        <v>6.7512005670880951E-12</v>
      </c>
      <c r="CN189" s="22">
        <f t="shared" si="172"/>
        <v>28.135007536170534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243.33915530322201</v>
      </c>
      <c r="CZ189" s="59">
        <f t="shared" si="150"/>
        <v>247.73814704672577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6.3703438820543807</v>
      </c>
      <c r="DG189" s="21">
        <f>EXP(-LN(2)/25)*DG188+(1-EXP(-LN(2)/25))/(LN(2)/25)*Calculateur!DB189*Calculateur!DD189*VLOOKUP('Données projet'!$B$13,Paramètres!$A$1:$I$89,3,0)*0.475*44/12</f>
        <v>2.7161338783052567</v>
      </c>
      <c r="DH189" s="21">
        <f>EXP(-LN(2)/2)*DH188+(1-EXP(-LN(2)/2))/(LN(2)/2)*DB189*DE189*VLOOKUP('Données projet'!$B$13,Paramètres!$A$1:$I$89,3,0)*0.475*44/12</f>
        <v>6.9301588028648888E-15</v>
      </c>
      <c r="DI189" s="22">
        <f t="shared" si="175"/>
        <v>9.0864777603596441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3.177547114319168E-13</v>
      </c>
      <c r="P190" s="13">
        <f t="shared" si="141"/>
        <v>4.1725404435445377E-12</v>
      </c>
      <c r="Q190" s="20">
        <f t="shared" si="162"/>
        <v>7.820597394917325E-12</v>
      </c>
      <c r="R190" s="59">
        <f t="shared" si="109"/>
        <v>293.33333333334116</v>
      </c>
      <c r="S190" s="59">
        <f ca="1">AVERAGE(OFFSET($R$3,0,0,'Données projet'!$E$9+1,1))-AVERAGE(OFFSET($H$3,0,0,'Données projet'!$E$9+1,1))</f>
        <v>287.413090017863</v>
      </c>
      <c r="T190" s="59">
        <f t="shared" si="142"/>
        <v>258.48456031927117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22.742543031970989</v>
      </c>
      <c r="AA190" s="21">
        <f>EXP(-LN(2)/25)*AA189+(1-EXP(-LN(2)/25))/(LN(2)/25)*Calculateur!V190*Calculateur!X190*VLOOKUP('Données projet'!$B$9,Paramètres!$A$1:$I$89,3,0)*0.475*44/12</f>
        <v>2.9943293407015932</v>
      </c>
      <c r="AB190" s="21">
        <f>EXP(-LN(2)/2)*AB189+(1-EXP(-LN(2)/2))/(LN(2)/2)*V190*Y190*VLOOKUP('Données projet'!$B$9,Paramètres!$A$1:$I$89,3,0)*0.475*44/12</f>
        <v>1.8523539738784983E-16</v>
      </c>
      <c r="AC190" s="22">
        <f t="shared" si="163"/>
        <v>25.736872372672583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7.9580786405131221E-13</v>
      </c>
      <c r="AJ190" s="13">
        <f>AI190*VLOOKUP('Données projet'!$B$10,Paramètres!$A$1:$I$89,3,0)*VLOOKUP('Données projet'!$B$10,Paramètres!$A$1:$I$89,5,0)</f>
        <v>7.2004695539362725E-13</v>
      </c>
      <c r="AK190" s="13">
        <f t="shared" si="164"/>
        <v>8.5963894794935589E-12</v>
      </c>
      <c r="AL190" s="20">
        <f t="shared" si="165"/>
        <v>1.6226126790761848E-11</v>
      </c>
      <c r="AM190" s="59">
        <f t="shared" si="113"/>
        <v>293.33333333334951</v>
      </c>
      <c r="AN190" s="59">
        <f ca="1">AVERAGE(OFFSET($AM$3,0,0,'Données projet'!$E$10+1,1))-AVERAGE(OFFSET($H$3,0,0,'Données projet'!$E$10+1,1))</f>
        <v>422.10969295064359</v>
      </c>
      <c r="AO190" s="59">
        <f t="shared" si="144"/>
        <v>184.04075143033037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142.39230924469027</v>
      </c>
      <c r="AV190" s="21">
        <f>EXP(-LN(2)/25)*AV189+(1-EXP(-LN(2)/25))/(LN(2)/25)*Calculateur!AQ190*Calculateur!AS190*VLOOKUP('Données projet'!$B$10,Paramètres!$A$1:$I$89,3,0)*0.475*44/12</f>
        <v>23.038757211081695</v>
      </c>
      <c r="AW190" s="21">
        <f>EXP(-LN(2)/2)*AW189+(1-EXP(-LN(2)/2))/(LN(2)/2)*AQ190*AT190*VLOOKUP('Données projet'!$B$10,Paramètres!$A$1:$I$89,3,0)*0.475*44/12</f>
        <v>2.6561654640769707</v>
      </c>
      <c r="AX190" s="21">
        <f t="shared" si="166"/>
        <v>168.08723191984893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-9.1631591203622526E-14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217.61052961346684</v>
      </c>
      <c r="BJ190" s="59">
        <f t="shared" si="146"/>
        <v>180.77145728128608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20.235983984757446</v>
      </c>
      <c r="BQ190" s="21">
        <f>EXP(-LN(2)/25)*BQ189+(1-EXP(-LN(2)/25))/(LN(2)/25)*Calculateur!BL190*Calculateur!BN190*VLOOKUP('Données projet'!$B$11,Paramètres!$A$1:$I$89,3,0)*0.475*44/12</f>
        <v>3.1029780520227939</v>
      </c>
      <c r="BR190" s="21">
        <f>EXP(-LN(2)/2)*BR189+(1-EXP(-LN(2)/2))/(LN(2)/2)*BL190*BO190*VLOOKUP('Données projet'!$B$11,Paramètres!$A$1:$I$89,3,0)*0.475*44/12</f>
        <v>5.1329801912827999E-15</v>
      </c>
      <c r="BS190" s="22">
        <f t="shared" si="169"/>
        <v>23.338962036780245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4.7884896048344674E-14</v>
      </c>
      <c r="CA190" s="13">
        <f t="shared" si="170"/>
        <v>7.8374629847779921E-13</v>
      </c>
      <c r="CB190" s="20">
        <f t="shared" si="171"/>
        <v>1.4484243304663672E-12</v>
      </c>
      <c r="CC190" s="59">
        <f t="shared" si="119"/>
        <v>293.33333333333474</v>
      </c>
      <c r="CD190" s="59">
        <f ca="1">AVERAGE(OFFSET($CC$3,0,0,'Données projet'!$E$12+1,1))-AVERAGE(OFFSET($H$3,0,0,'Données projet'!$E$12+1,1))</f>
        <v>287.72859857368331</v>
      </c>
      <c r="CE190" s="59">
        <f t="shared" si="148"/>
        <v>179.60736986885922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24.598271587530164</v>
      </c>
      <c r="CL190" s="21">
        <f>EXP(-LN(2)/25)*CL189+(1-EXP(-LN(2)/25))/(LN(2)/25)*Calculateur!CG190*Calculateur!CI190*VLOOKUP('Données projet'!$B$12,Paramètres!$A$1:$I$89,3,0)*0.475*44/12</f>
        <v>2.9614726005643028</v>
      </c>
      <c r="CM190" s="21">
        <f>EXP(-LN(2)/2)*CM189+(1-EXP(-LN(2)/2))/(LN(2)/2)*CG190*CJ190*VLOOKUP('Données projet'!$B$12,Paramètres!$A$1:$I$89,3,0)*0.475*44/12</f>
        <v>4.7738197021384571E-12</v>
      </c>
      <c r="CN190" s="22">
        <f t="shared" si="172"/>
        <v>27.559744188099241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243.33915530322201</v>
      </c>
      <c r="CZ190" s="59">
        <f t="shared" si="150"/>
        <v>247.73814704672577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6.2454253240533983</v>
      </c>
      <c r="DG190" s="21">
        <f>EXP(-LN(2)/25)*DG189+(1-EXP(-LN(2)/25))/(LN(2)/25)*Calculateur!DB190*Calculateur!DD190*VLOOKUP('Données projet'!$B$13,Paramètres!$A$1:$I$89,3,0)*0.475*44/12</f>
        <v>2.6418610545677264</v>
      </c>
      <c r="DH190" s="21">
        <f>EXP(-LN(2)/2)*DH189+(1-EXP(-LN(2)/2))/(LN(2)/2)*DB190*DE190*VLOOKUP('Données projet'!$B$13,Paramètres!$A$1:$I$89,3,0)*0.475*44/12</f>
        <v>4.900362284205409E-15</v>
      </c>
      <c r="DI190" s="22">
        <f t="shared" si="175"/>
        <v>8.8872863786211305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3.177547114319168E-13</v>
      </c>
      <c r="P191" s="13">
        <f t="shared" si="141"/>
        <v>4.1725404435445377E-12</v>
      </c>
      <c r="Q191" s="20">
        <f t="shared" si="162"/>
        <v>7.820597394917325E-12</v>
      </c>
      <c r="R191" s="59">
        <f t="shared" si="109"/>
        <v>293.33333333334116</v>
      </c>
      <c r="S191" s="59">
        <f ca="1">AVERAGE(OFFSET($R$3,0,0,'Données projet'!$E$9+1,1))-AVERAGE(OFFSET($H$3,0,0,'Données projet'!$E$9+1,1))</f>
        <v>287.413090017863</v>
      </c>
      <c r="T191" s="59">
        <f t="shared" si="142"/>
        <v>258.48456031927117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22.296575634695582</v>
      </c>
      <c r="AA191" s="21">
        <f>EXP(-LN(2)/25)*AA190+(1-EXP(-LN(2)/25))/(LN(2)/25)*Calculateur!V191*Calculateur!X191*VLOOKUP('Données projet'!$B$9,Paramètres!$A$1:$I$89,3,0)*0.475*44/12</f>
        <v>2.9124492474151715</v>
      </c>
      <c r="AB191" s="21">
        <f>EXP(-LN(2)/2)*AB190+(1-EXP(-LN(2)/2))/(LN(2)/2)*V191*Y191*VLOOKUP('Données projet'!$B$9,Paramètres!$A$1:$I$89,3,0)*0.475*44/12</f>
        <v>1.3098120560873351E-16</v>
      </c>
      <c r="AC191" s="22">
        <f t="shared" si="163"/>
        <v>25.209024882110754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7.9580786405131221E-13</v>
      </c>
      <c r="AJ191" s="13">
        <f>AI191*VLOOKUP('Données projet'!$B$10,Paramètres!$A$1:$I$89,3,0)*VLOOKUP('Données projet'!$B$10,Paramètres!$A$1:$I$89,5,0)</f>
        <v>7.2004695539362725E-13</v>
      </c>
      <c r="AK191" s="13">
        <f t="shared" si="164"/>
        <v>8.5963894794935589E-12</v>
      </c>
      <c r="AL191" s="20">
        <f t="shared" si="165"/>
        <v>1.6226126790761848E-11</v>
      </c>
      <c r="AM191" s="59">
        <f t="shared" si="113"/>
        <v>293.33333333334951</v>
      </c>
      <c r="AN191" s="59">
        <f ca="1">AVERAGE(OFFSET($AM$3,0,0,'Données projet'!$E$10+1,1))-AVERAGE(OFFSET($H$3,0,0,'Données projet'!$E$10+1,1))</f>
        <v>422.10969295064359</v>
      </c>
      <c r="AO191" s="59">
        <f t="shared" si="144"/>
        <v>184.04075143033037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139.60008291113473</v>
      </c>
      <c r="AV191" s="21">
        <f>EXP(-LN(2)/25)*AV190+(1-EXP(-LN(2)/25))/(LN(2)/25)*Calculateur!AQ191*Calculateur!AS191*VLOOKUP('Données projet'!$B$10,Paramètres!$A$1:$I$89,3,0)*0.475*44/12</f>
        <v>22.408761183589078</v>
      </c>
      <c r="AW191" s="21">
        <f>EXP(-LN(2)/2)*AW190+(1-EXP(-LN(2)/2))/(LN(2)/2)*AQ191*AT191*VLOOKUP('Données projet'!$B$10,Paramètres!$A$1:$I$89,3,0)*0.475*44/12</f>
        <v>1.8781926116023391</v>
      </c>
      <c r="AX191" s="21">
        <f t="shared" si="166"/>
        <v>163.88703670632617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-9.1631591203622526E-14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217.61052961346684</v>
      </c>
      <c r="BJ191" s="59">
        <f t="shared" si="146"/>
        <v>180.77145728128608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19.839168681547839</v>
      </c>
      <c r="BQ191" s="21">
        <f>EXP(-LN(2)/25)*BQ190+(1-EXP(-LN(2)/25))/(LN(2)/25)*Calculateur!BL191*Calculateur!BN191*VLOOKUP('Données projet'!$B$11,Paramètres!$A$1:$I$89,3,0)*0.475*44/12</f>
        <v>3.0181269540117066</v>
      </c>
      <c r="BR191" s="21">
        <f>EXP(-LN(2)/2)*BR190+(1-EXP(-LN(2)/2))/(LN(2)/2)*BL191*BO191*VLOOKUP('Données projet'!$B$11,Paramètres!$A$1:$I$89,3,0)*0.475*44/12</f>
        <v>3.6295651009522896E-15</v>
      </c>
      <c r="BS191" s="22">
        <f t="shared" si="169"/>
        <v>22.857295635559549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4.7884896048344674E-14</v>
      </c>
      <c r="CA191" s="13">
        <f t="shared" si="170"/>
        <v>7.8374629847779921E-13</v>
      </c>
      <c r="CB191" s="20">
        <f t="shared" si="171"/>
        <v>1.4484243304663672E-12</v>
      </c>
      <c r="CC191" s="59">
        <f t="shared" si="119"/>
        <v>293.33333333333474</v>
      </c>
      <c r="CD191" s="59">
        <f ca="1">AVERAGE(OFFSET($CC$3,0,0,'Données projet'!$E$12+1,1))-AVERAGE(OFFSET($H$3,0,0,'Données projet'!$E$12+1,1))</f>
        <v>287.72859857368331</v>
      </c>
      <c r="CE191" s="59">
        <f t="shared" si="148"/>
        <v>179.60736986885922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24.115914485162897</v>
      </c>
      <c r="CL191" s="21">
        <f>EXP(-LN(2)/25)*CL190+(1-EXP(-LN(2)/25))/(LN(2)/25)*Calculateur!CG191*Calculateur!CI191*VLOOKUP('Données projet'!$B$12,Paramètres!$A$1:$I$89,3,0)*0.475*44/12</f>
        <v>2.8804909765647966</v>
      </c>
      <c r="CM191" s="21">
        <f>EXP(-LN(2)/2)*CM190+(1-EXP(-LN(2)/2))/(LN(2)/2)*CG191*CJ191*VLOOKUP('Données projet'!$B$12,Paramètres!$A$1:$I$89,3,0)*0.475*44/12</f>
        <v>3.3756002835440475E-12</v>
      </c>
      <c r="CN191" s="22">
        <f t="shared" si="172"/>
        <v>26.996405461731069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243.33915530322201</v>
      </c>
      <c r="CZ191" s="59">
        <f t="shared" si="150"/>
        <v>247.73814704672577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6.1229563427820182</v>
      </c>
      <c r="DG191" s="21">
        <f>EXP(-LN(2)/25)*DG190+(1-EXP(-LN(2)/25))/(LN(2)/25)*Calculateur!DB191*Calculateur!DD191*VLOOKUP('Données projet'!$B$13,Paramètres!$A$1:$I$89,3,0)*0.475*44/12</f>
        <v>2.5696192251011372</v>
      </c>
      <c r="DH191" s="21">
        <f>EXP(-LN(2)/2)*DH190+(1-EXP(-LN(2)/2))/(LN(2)/2)*DB191*DE191*VLOOKUP('Données projet'!$B$13,Paramètres!$A$1:$I$89,3,0)*0.475*44/12</f>
        <v>3.4650794014324444E-15</v>
      </c>
      <c r="DI191" s="22">
        <f t="shared" si="175"/>
        <v>8.6925755678831589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3.177547114319168E-13</v>
      </c>
      <c r="P192" s="13">
        <f t="shared" si="141"/>
        <v>4.1725404435445377E-12</v>
      </c>
      <c r="Q192" s="20">
        <f t="shared" si="162"/>
        <v>7.820597394917325E-12</v>
      </c>
      <c r="R192" s="59">
        <f t="shared" si="109"/>
        <v>293.33333333334116</v>
      </c>
      <c r="S192" s="59">
        <f ca="1">AVERAGE(OFFSET($R$3,0,0,'Données projet'!$E$9+1,1))-AVERAGE(OFFSET($H$3,0,0,'Données projet'!$E$9+1,1))</f>
        <v>287.413090017863</v>
      </c>
      <c r="T192" s="59">
        <f t="shared" si="142"/>
        <v>258.48456031927117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21.859353386067493</v>
      </c>
      <c r="AA192" s="21">
        <f>EXP(-LN(2)/25)*AA191+(1-EXP(-LN(2)/25))/(LN(2)/25)*Calculateur!V192*Calculateur!X192*VLOOKUP('Données projet'!$B$9,Paramètres!$A$1:$I$89,3,0)*0.475*44/12</f>
        <v>2.832808169585554</v>
      </c>
      <c r="AB192" s="21">
        <f>EXP(-LN(2)/2)*AB191+(1-EXP(-LN(2)/2))/(LN(2)/2)*V192*Y192*VLOOKUP('Données projet'!$B$9,Paramètres!$A$1:$I$89,3,0)*0.475*44/12</f>
        <v>9.2617698693924917E-17</v>
      </c>
      <c r="AC192" s="22">
        <f t="shared" si="163"/>
        <v>24.692161555653048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7.9580786405131221E-13</v>
      </c>
      <c r="AJ192" s="13">
        <f>AI192*VLOOKUP('Données projet'!$B$10,Paramètres!$A$1:$I$89,3,0)*VLOOKUP('Données projet'!$B$10,Paramètres!$A$1:$I$89,5,0)</f>
        <v>7.2004695539362725E-13</v>
      </c>
      <c r="AK192" s="13">
        <f t="shared" si="164"/>
        <v>8.5963894794935589E-12</v>
      </c>
      <c r="AL192" s="20">
        <f t="shared" si="165"/>
        <v>1.6226126790761848E-11</v>
      </c>
      <c r="AM192" s="59">
        <f t="shared" si="113"/>
        <v>293.33333333334951</v>
      </c>
      <c r="AN192" s="59">
        <f ca="1">AVERAGE(OFFSET($AM$3,0,0,'Données projet'!$E$10+1,1))-AVERAGE(OFFSET($H$3,0,0,'Données projet'!$E$10+1,1))</f>
        <v>422.10969295064359</v>
      </c>
      <c r="AO192" s="59">
        <f t="shared" si="144"/>
        <v>184.04075143033037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136.86261043289034</v>
      </c>
      <c r="AV192" s="21">
        <f>EXP(-LN(2)/25)*AV191+(1-EXP(-LN(2)/25))/(LN(2)/25)*Calculateur!AQ192*Calculateur!AS192*VLOOKUP('Données projet'!$B$10,Paramètres!$A$1:$I$89,3,0)*0.475*44/12</f>
        <v>21.7959924305983</v>
      </c>
      <c r="AW192" s="21">
        <f>EXP(-LN(2)/2)*AW191+(1-EXP(-LN(2)/2))/(LN(2)/2)*AQ192*AT192*VLOOKUP('Données projet'!$B$10,Paramètres!$A$1:$I$89,3,0)*0.475*44/12</f>
        <v>1.3280827320384856</v>
      </c>
      <c r="AX192" s="21">
        <f t="shared" si="166"/>
        <v>159.98668559552712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-9.1631591203622526E-14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217.61052961346684</v>
      </c>
      <c r="BJ192" s="59">
        <f t="shared" si="146"/>
        <v>180.77145728128608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19.450134684400737</v>
      </c>
      <c r="BQ192" s="21">
        <f>EXP(-LN(2)/25)*BQ191+(1-EXP(-LN(2)/25))/(LN(2)/25)*Calculateur!BL192*Calculateur!BN192*VLOOKUP('Données projet'!$B$11,Paramètres!$A$1:$I$89,3,0)*0.475*44/12</f>
        <v>2.9355961137378581</v>
      </c>
      <c r="BR192" s="21">
        <f>EXP(-LN(2)/2)*BR191+(1-EXP(-LN(2)/2))/(LN(2)/2)*BL192*BO192*VLOOKUP('Données projet'!$B$11,Paramètres!$A$1:$I$89,3,0)*0.475*44/12</f>
        <v>2.5664900956413999E-15</v>
      </c>
      <c r="BS192" s="22">
        <f t="shared" si="169"/>
        <v>22.385730798138599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4.7884896048344674E-14</v>
      </c>
      <c r="CA192" s="13">
        <f t="shared" si="170"/>
        <v>7.8374629847779921E-13</v>
      </c>
      <c r="CB192" s="20">
        <f t="shared" si="171"/>
        <v>1.4484243304663672E-12</v>
      </c>
      <c r="CC192" s="59">
        <f t="shared" si="119"/>
        <v>293.33333333333474</v>
      </c>
      <c r="CD192" s="59">
        <f ca="1">AVERAGE(OFFSET($CC$3,0,0,'Données projet'!$E$12+1,1))-AVERAGE(OFFSET($H$3,0,0,'Données projet'!$E$12+1,1))</f>
        <v>287.72859857368331</v>
      </c>
      <c r="CE192" s="59">
        <f t="shared" si="148"/>
        <v>179.60736986885922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23.643016111364268</v>
      </c>
      <c r="CL192" s="21">
        <f>EXP(-LN(2)/25)*CL191+(1-EXP(-LN(2)/25))/(LN(2)/25)*Calculateur!CG192*Calculateur!CI192*VLOOKUP('Données projet'!$B$12,Paramètres!$A$1:$I$89,3,0)*0.475*44/12</f>
        <v>2.8017237993321951</v>
      </c>
      <c r="CM192" s="21">
        <f>EXP(-LN(2)/2)*CM191+(1-EXP(-LN(2)/2))/(LN(2)/2)*CG192*CJ192*VLOOKUP('Données projet'!$B$12,Paramètres!$A$1:$I$89,3,0)*0.475*44/12</f>
        <v>2.3869098510692286E-12</v>
      </c>
      <c r="CN192" s="22">
        <f t="shared" si="172"/>
        <v>26.44473991069885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243.33915530322201</v>
      </c>
      <c r="CZ192" s="59">
        <f t="shared" si="150"/>
        <v>247.73814704672577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6.0028889035346671</v>
      </c>
      <c r="DG192" s="21">
        <f>EXP(-LN(2)/25)*DG191+(1-EXP(-LN(2)/25))/(LN(2)/25)*Calculateur!DB192*Calculateur!DD192*VLOOKUP('Données projet'!$B$13,Paramètres!$A$1:$I$89,3,0)*0.475*44/12</f>
        <v>2.4993528522603445</v>
      </c>
      <c r="DH192" s="21">
        <f>EXP(-LN(2)/2)*DH191+(1-EXP(-LN(2)/2))/(LN(2)/2)*DB192*DE192*VLOOKUP('Données projet'!$B$13,Paramètres!$A$1:$I$89,3,0)*0.475*44/12</f>
        <v>2.4501811421027045E-15</v>
      </c>
      <c r="DI192" s="22">
        <f t="shared" si="175"/>
        <v>8.5022417557950138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3.177547114319168E-13</v>
      </c>
      <c r="P193" s="13">
        <f t="shared" si="141"/>
        <v>4.1725404435445377E-12</v>
      </c>
      <c r="Q193" s="20">
        <f t="shared" si="162"/>
        <v>7.820597394917325E-12</v>
      </c>
      <c r="R193" s="59">
        <f t="shared" si="109"/>
        <v>293.33333333334116</v>
      </c>
      <c r="S193" s="59">
        <f ca="1">AVERAGE(OFFSET($R$3,0,0,'Données projet'!$E$9+1,1))-AVERAGE(OFFSET($H$3,0,0,'Données projet'!$E$9+1,1))</f>
        <v>287.413090017863</v>
      </c>
      <c r="T193" s="59">
        <f t="shared" si="142"/>
        <v>258.48456031927117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21.430704799055761</v>
      </c>
      <c r="AA193" s="21">
        <f>EXP(-LN(2)/25)*AA192+(1-EXP(-LN(2)/25))/(LN(2)/25)*Calculateur!V193*Calculateur!X193*VLOOKUP('Données projet'!$B$9,Paramètres!$A$1:$I$89,3,0)*0.475*44/12</f>
        <v>2.7553448812173298</v>
      </c>
      <c r="AB193" s="21">
        <f>EXP(-LN(2)/2)*AB192+(1-EXP(-LN(2)/2))/(LN(2)/2)*V193*Y193*VLOOKUP('Données projet'!$B$9,Paramètres!$A$1:$I$89,3,0)*0.475*44/12</f>
        <v>6.5490602804366753E-17</v>
      </c>
      <c r="AC193" s="22">
        <f t="shared" si="163"/>
        <v>24.18604968027309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7.9580786405131221E-13</v>
      </c>
      <c r="AJ193" s="13">
        <f>AI193*VLOOKUP('Données projet'!$B$10,Paramètres!$A$1:$I$89,3,0)*VLOOKUP('Données projet'!$B$10,Paramètres!$A$1:$I$89,5,0)</f>
        <v>7.2004695539362725E-13</v>
      </c>
      <c r="AK193" s="13">
        <f t="shared" si="164"/>
        <v>8.5963894794935589E-12</v>
      </c>
      <c r="AL193" s="20">
        <f t="shared" si="165"/>
        <v>1.6226126790761848E-11</v>
      </c>
      <c r="AM193" s="59">
        <f t="shared" si="113"/>
        <v>293.33333333334951</v>
      </c>
      <c r="AN193" s="59">
        <f ca="1">AVERAGE(OFFSET($AM$3,0,0,'Données projet'!$E$10+1,1))-AVERAGE(OFFSET($H$3,0,0,'Données projet'!$E$10+1,1))</f>
        <v>422.10969295064359</v>
      </c>
      <c r="AO193" s="59">
        <f t="shared" si="144"/>
        <v>184.04075143033037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134.17881812025095</v>
      </c>
      <c r="AV193" s="21">
        <f>EXP(-LN(2)/25)*AV192+(1-EXP(-LN(2)/25))/(LN(2)/25)*Calculateur!AQ193*Calculateur!AS193*VLOOKUP('Données projet'!$B$10,Paramètres!$A$1:$I$89,3,0)*0.475*44/12</f>
        <v>21.199979871382162</v>
      </c>
      <c r="AW193" s="21">
        <f>EXP(-LN(2)/2)*AW192+(1-EXP(-LN(2)/2))/(LN(2)/2)*AQ193*AT193*VLOOKUP('Données projet'!$B$10,Paramètres!$A$1:$I$89,3,0)*0.475*44/12</f>
        <v>0.93909630580116976</v>
      </c>
      <c r="AX193" s="21">
        <f t="shared" si="166"/>
        <v>156.31789429743429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-9.1631591203622526E-14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217.61052961346684</v>
      </c>
      <c r="BJ193" s="59">
        <f t="shared" si="146"/>
        <v>180.77145728128608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19.06872940665038</v>
      </c>
      <c r="BQ193" s="21">
        <f>EXP(-LN(2)/25)*BQ192+(1-EXP(-LN(2)/25))/(LN(2)/25)*Calculateur!BL193*Calculateur!BN193*VLOOKUP('Données projet'!$B$11,Paramètres!$A$1:$I$89,3,0)*0.475*44/12</f>
        <v>2.8553220836314059</v>
      </c>
      <c r="BR193" s="21">
        <f>EXP(-LN(2)/2)*BR192+(1-EXP(-LN(2)/2))/(LN(2)/2)*BL193*BO193*VLOOKUP('Données projet'!$B$11,Paramètres!$A$1:$I$89,3,0)*0.475*44/12</f>
        <v>1.8147825504761448E-15</v>
      </c>
      <c r="BS193" s="22">
        <f t="shared" si="169"/>
        <v>21.924051490281791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4.7884896048344674E-14</v>
      </c>
      <c r="CA193" s="13">
        <f t="shared" si="170"/>
        <v>7.8374629847779921E-13</v>
      </c>
      <c r="CB193" s="20">
        <f t="shared" si="171"/>
        <v>1.4484243304663672E-12</v>
      </c>
      <c r="CC193" s="59">
        <f t="shared" si="119"/>
        <v>293.33333333333474</v>
      </c>
      <c r="CD193" s="59">
        <f ca="1">AVERAGE(OFFSET($CC$3,0,0,'Données projet'!$E$12+1,1))-AVERAGE(OFFSET($H$3,0,0,'Données projet'!$E$12+1,1))</f>
        <v>287.72859857368331</v>
      </c>
      <c r="CE193" s="59">
        <f t="shared" si="148"/>
        <v>179.60736986885922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23.179390986236307</v>
      </c>
      <c r="CL193" s="21">
        <f>EXP(-LN(2)/25)*CL192+(1-EXP(-LN(2)/25))/(LN(2)/25)*Calculateur!CG193*Calculateur!CI193*VLOOKUP('Données projet'!$B$12,Paramètres!$A$1:$I$89,3,0)*0.475*44/12</f>
        <v>2.7251105147032049</v>
      </c>
      <c r="CM193" s="21">
        <f>EXP(-LN(2)/2)*CM192+(1-EXP(-LN(2)/2))/(LN(2)/2)*CG193*CJ193*VLOOKUP('Données projet'!$B$12,Paramètres!$A$1:$I$89,3,0)*0.475*44/12</f>
        <v>1.6878001417720238E-12</v>
      </c>
      <c r="CN193" s="22">
        <f t="shared" si="172"/>
        <v>25.904501500941198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243.33915530322201</v>
      </c>
      <c r="CZ193" s="59">
        <f t="shared" si="150"/>
        <v>247.73814704672577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5.8851759135370498</v>
      </c>
      <c r="DG193" s="21">
        <f>EXP(-LN(2)/25)*DG192+(1-EXP(-LN(2)/25))/(LN(2)/25)*Calculateur!DB193*Calculateur!DD193*VLOOKUP('Données projet'!$B$13,Paramètres!$A$1:$I$89,3,0)*0.475*44/12</f>
        <v>2.4310079170800312</v>
      </c>
      <c r="DH193" s="21">
        <f>EXP(-LN(2)/2)*DH192+(1-EXP(-LN(2)/2))/(LN(2)/2)*DB193*DE193*VLOOKUP('Données projet'!$B$13,Paramètres!$A$1:$I$89,3,0)*0.475*44/12</f>
        <v>1.7325397007162222E-15</v>
      </c>
      <c r="DI193" s="22">
        <f t="shared" si="175"/>
        <v>8.3161838306170832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3.177547114319168E-13</v>
      </c>
      <c r="P194" s="13">
        <f t="shared" si="141"/>
        <v>4.1725404435445377E-12</v>
      </c>
      <c r="Q194" s="20">
        <f t="shared" si="162"/>
        <v>7.820597394917325E-12</v>
      </c>
      <c r="R194" s="59">
        <f t="shared" si="109"/>
        <v>293.33333333334116</v>
      </c>
      <c r="S194" s="59">
        <f ca="1">AVERAGE(OFFSET($R$3,0,0,'Données projet'!$E$9+1,1))-AVERAGE(OFFSET($H$3,0,0,'Données projet'!$E$9+1,1))</f>
        <v>287.413090017863</v>
      </c>
      <c r="T194" s="59">
        <f t="shared" si="142"/>
        <v>258.48456031927117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21.010461749385506</v>
      </c>
      <c r="AA194" s="21">
        <f>EXP(-LN(2)/25)*AA193+(1-EXP(-LN(2)/25))/(LN(2)/25)*Calculateur!V194*Calculateur!X194*VLOOKUP('Données projet'!$B$9,Paramètres!$A$1:$I$89,3,0)*0.475*44/12</f>
        <v>2.6799998305431521</v>
      </c>
      <c r="AB194" s="21">
        <f>EXP(-LN(2)/2)*AB193+(1-EXP(-LN(2)/2))/(LN(2)/2)*V194*Y194*VLOOKUP('Données projet'!$B$9,Paramètres!$A$1:$I$89,3,0)*0.475*44/12</f>
        <v>4.6308849346962458E-17</v>
      </c>
      <c r="AC194" s="22">
        <f t="shared" si="163"/>
        <v>23.690461579928659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7.9580786405131221E-13</v>
      </c>
      <c r="AJ194" s="13">
        <f>AI194*VLOOKUP('Données projet'!$B$10,Paramètres!$A$1:$I$89,3,0)*VLOOKUP('Données projet'!$B$10,Paramètres!$A$1:$I$89,5,0)</f>
        <v>7.2004695539362725E-13</v>
      </c>
      <c r="AK194" s="13">
        <f t="shared" si="164"/>
        <v>8.5963894794935589E-12</v>
      </c>
      <c r="AL194" s="20">
        <f t="shared" si="165"/>
        <v>1.6226126790761848E-11</v>
      </c>
      <c r="AM194" s="59">
        <f t="shared" si="113"/>
        <v>293.33333333334951</v>
      </c>
      <c r="AN194" s="59">
        <f ca="1">AVERAGE(OFFSET($AM$3,0,0,'Données projet'!$E$10+1,1))-AVERAGE(OFFSET($H$3,0,0,'Données projet'!$E$10+1,1))</f>
        <v>422.10969295064359</v>
      </c>
      <c r="AO194" s="59">
        <f t="shared" si="144"/>
        <v>184.04075143033037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131.54765333791076</v>
      </c>
      <c r="AV194" s="21">
        <f>EXP(-LN(2)/25)*AV193+(1-EXP(-LN(2)/25))/(LN(2)/25)*Calculateur!AQ194*Calculateur!AS194*VLOOKUP('Données projet'!$B$10,Paramètres!$A$1:$I$89,3,0)*0.475*44/12</f>
        <v>20.620265306940727</v>
      </c>
      <c r="AW194" s="21">
        <f>EXP(-LN(2)/2)*AW193+(1-EXP(-LN(2)/2))/(LN(2)/2)*AQ194*AT194*VLOOKUP('Données projet'!$B$10,Paramètres!$A$1:$I$89,3,0)*0.475*44/12</f>
        <v>0.66404136601924291</v>
      </c>
      <c r="AX194" s="21">
        <f t="shared" si="166"/>
        <v>152.83196001087072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-9.1631591203622526E-14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217.61052961346684</v>
      </c>
      <c r="BJ194" s="59">
        <f t="shared" si="146"/>
        <v>180.77145728128608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18.694803253762462</v>
      </c>
      <c r="BQ194" s="21">
        <f>EXP(-LN(2)/25)*BQ193+(1-EXP(-LN(2)/25))/(LN(2)/25)*Calculateur!BL194*Calculateur!BN194*VLOOKUP('Données projet'!$B$11,Paramètres!$A$1:$I$89,3,0)*0.475*44/12</f>
        <v>2.7772431510996425</v>
      </c>
      <c r="BR194" s="21">
        <f>EXP(-LN(2)/2)*BR193+(1-EXP(-LN(2)/2))/(LN(2)/2)*BL194*BO194*VLOOKUP('Données projet'!$B$11,Paramètres!$A$1:$I$89,3,0)*0.475*44/12</f>
        <v>1.2832450478207E-15</v>
      </c>
      <c r="BS194" s="22">
        <f t="shared" si="169"/>
        <v>21.472046404862105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4.7884896048344674E-14</v>
      </c>
      <c r="CA194" s="13">
        <f t="shared" si="170"/>
        <v>7.8374629847779921E-13</v>
      </c>
      <c r="CB194" s="20">
        <f t="shared" si="171"/>
        <v>1.4484243304663672E-12</v>
      </c>
      <c r="CC194" s="59">
        <f t="shared" si="119"/>
        <v>293.33333333333474</v>
      </c>
      <c r="CD194" s="59">
        <f ca="1">AVERAGE(OFFSET($CC$3,0,0,'Données projet'!$E$12+1,1))-AVERAGE(OFFSET($H$3,0,0,'Données projet'!$E$12+1,1))</f>
        <v>287.72859857368331</v>
      </c>
      <c r="CE194" s="59">
        <f t="shared" si="148"/>
        <v>179.60736986885922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22.7248572670287</v>
      </c>
      <c r="CL194" s="21">
        <f>EXP(-LN(2)/25)*CL193+(1-EXP(-LN(2)/25))/(LN(2)/25)*Calculateur!CG194*Calculateur!CI194*VLOOKUP('Données projet'!$B$12,Paramètres!$A$1:$I$89,3,0)*0.475*44/12</f>
        <v>2.6505922243713123</v>
      </c>
      <c r="CM194" s="21">
        <f>EXP(-LN(2)/2)*CM193+(1-EXP(-LN(2)/2))/(LN(2)/2)*CG194*CJ194*VLOOKUP('Données projet'!$B$12,Paramètres!$A$1:$I$89,3,0)*0.475*44/12</f>
        <v>1.1934549255346143E-12</v>
      </c>
      <c r="CN194" s="22">
        <f t="shared" si="172"/>
        <v>25.375449491401206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243.33915530322201</v>
      </c>
      <c r="CZ194" s="59">
        <f t="shared" si="150"/>
        <v>247.73814704672577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5.769771203475452</v>
      </c>
      <c r="DG194" s="21">
        <f>EXP(-LN(2)/25)*DG193+(1-EXP(-LN(2)/25))/(LN(2)/25)*Calculateur!DB194*Calculateur!DD194*VLOOKUP('Données projet'!$B$13,Paramètres!$A$1:$I$89,3,0)*0.475*44/12</f>
        <v>2.3645318777463276</v>
      </c>
      <c r="DH194" s="21">
        <f>EXP(-LN(2)/2)*DH193+(1-EXP(-LN(2)/2))/(LN(2)/2)*DB194*DE194*VLOOKUP('Données projet'!$B$13,Paramètres!$A$1:$I$89,3,0)*0.475*44/12</f>
        <v>1.2250905710513523E-15</v>
      </c>
      <c r="DI194" s="22">
        <f t="shared" si="175"/>
        <v>8.1343030812217823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3.177547114319168E-13</v>
      </c>
      <c r="P195" s="13">
        <f t="shared" si="141"/>
        <v>4.1725404435445377E-12</v>
      </c>
      <c r="Q195" s="20">
        <f t="shared" si="162"/>
        <v>7.820597394917325E-12</v>
      </c>
      <c r="R195" s="59">
        <f t="shared" ref="R195:R203" si="191">Q195+(I195+J195)*44/12</f>
        <v>293.33333333334116</v>
      </c>
      <c r="S195" s="59">
        <f ca="1">AVERAGE(OFFSET($R$3,0,0,'Données projet'!$E$9+1,1))-AVERAGE(OFFSET($H$3,0,0,'Données projet'!$E$9+1,1))</f>
        <v>287.413090017863</v>
      </c>
      <c r="T195" s="59">
        <f t="shared" si="142"/>
        <v>258.48456031927117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20.598459409596337</v>
      </c>
      <c r="AA195" s="21">
        <f>EXP(-LN(2)/25)*AA194+(1-EXP(-LN(2)/25))/(LN(2)/25)*Calculateur!V195*Calculateur!X195*VLOOKUP('Données projet'!$B$9,Paramètres!$A$1:$I$89,3,0)*0.475*44/12</f>
        <v>2.6067150942418835</v>
      </c>
      <c r="AB195" s="21">
        <f>EXP(-LN(2)/2)*AB194+(1-EXP(-LN(2)/2))/(LN(2)/2)*V195*Y195*VLOOKUP('Données projet'!$B$9,Paramètres!$A$1:$I$89,3,0)*0.475*44/12</f>
        <v>3.2745301402183376E-17</v>
      </c>
      <c r="AC195" s="22">
        <f t="shared" si="163"/>
        <v>23.205174503838222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7.9580786405131221E-13</v>
      </c>
      <c r="AJ195" s="13">
        <f>AI195*VLOOKUP('Données projet'!$B$10,Paramètres!$A$1:$I$89,3,0)*VLOOKUP('Données projet'!$B$10,Paramètres!$A$1:$I$89,5,0)</f>
        <v>7.2004695539362725E-13</v>
      </c>
      <c r="AK195" s="13">
        <f t="shared" si="164"/>
        <v>8.5963894794935589E-12</v>
      </c>
      <c r="AL195" s="20">
        <f t="shared" si="165"/>
        <v>1.6226126790761848E-11</v>
      </c>
      <c r="AM195" s="59">
        <f t="shared" si="113"/>
        <v>293.33333333334951</v>
      </c>
      <c r="AN195" s="59">
        <f ca="1">AVERAGE(OFFSET($AM$3,0,0,'Données projet'!$E$10+1,1))-AVERAGE(OFFSET($H$3,0,0,'Données projet'!$E$10+1,1))</f>
        <v>422.10969295064359</v>
      </c>
      <c r="AO195" s="59">
        <f t="shared" si="144"/>
        <v>184.04075143033037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128.96808409210021</v>
      </c>
      <c r="AV195" s="21">
        <f>EXP(-LN(2)/25)*AV194+(1-EXP(-LN(2)/25))/(LN(2)/25)*Calculateur!AQ195*Calculateur!AS195*VLOOKUP('Données projet'!$B$10,Paramètres!$A$1:$I$89,3,0)*0.475*44/12</f>
        <v>20.056403067749809</v>
      </c>
      <c r="AW195" s="21">
        <f>EXP(-LN(2)/2)*AW194+(1-EXP(-LN(2)/2))/(LN(2)/2)*AQ195*AT195*VLOOKUP('Données projet'!$B$10,Paramètres!$A$1:$I$89,3,0)*0.475*44/12</f>
        <v>0.46954815290058494</v>
      </c>
      <c r="AX195" s="21">
        <f t="shared" si="166"/>
        <v>149.49403531275061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-9.1631591203622526E-14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217.61052961346684</v>
      </c>
      <c r="BJ195" s="59">
        <f t="shared" si="146"/>
        <v>180.77145728128608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18.328209564660241</v>
      </c>
      <c r="BQ195" s="21">
        <f>EXP(-LN(2)/25)*BQ194+(1-EXP(-LN(2)/25))/(LN(2)/25)*Calculateur!BL195*Calculateur!BN195*VLOOKUP('Données projet'!$B$11,Paramètres!$A$1:$I$89,3,0)*0.475*44/12</f>
        <v>2.7012992910839531</v>
      </c>
      <c r="BR195" s="21">
        <f>EXP(-LN(2)/2)*BR194+(1-EXP(-LN(2)/2))/(LN(2)/2)*BL195*BO195*VLOOKUP('Données projet'!$B$11,Paramètres!$A$1:$I$89,3,0)*0.475*44/12</f>
        <v>9.0739127523807241E-16</v>
      </c>
      <c r="BS195" s="22">
        <f t="shared" si="169"/>
        <v>21.029508855744194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4.7884896048344674E-14</v>
      </c>
      <c r="CA195" s="13">
        <f t="shared" si="170"/>
        <v>7.8374629847779921E-13</v>
      </c>
      <c r="CB195" s="20">
        <f t="shared" si="171"/>
        <v>1.4484243304663672E-12</v>
      </c>
      <c r="CC195" s="59">
        <f t="shared" si="119"/>
        <v>293.33333333333474</v>
      </c>
      <c r="CD195" s="59">
        <f ca="1">AVERAGE(OFFSET($CC$3,0,0,'Données projet'!$E$12+1,1))-AVERAGE(OFFSET($H$3,0,0,'Données projet'!$E$12+1,1))</f>
        <v>287.72859857368331</v>
      </c>
      <c r="CE195" s="59">
        <f t="shared" si="148"/>
        <v>179.60736986885922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22.279236676816559</v>
      </c>
      <c r="CL195" s="21">
        <f>EXP(-LN(2)/25)*CL194+(1-EXP(-LN(2)/25))/(LN(2)/25)*Calculateur!CG195*Calculateur!CI195*VLOOKUP('Données projet'!$B$12,Paramètres!$A$1:$I$89,3,0)*0.475*44/12</f>
        <v>2.5781116406072915</v>
      </c>
      <c r="CM195" s="21">
        <f>EXP(-LN(2)/2)*CM194+(1-EXP(-LN(2)/2))/(LN(2)/2)*CG195*CJ195*VLOOKUP('Données projet'!$B$12,Paramètres!$A$1:$I$89,3,0)*0.475*44/12</f>
        <v>8.4390007088601188E-13</v>
      </c>
      <c r="CN195" s="22">
        <f t="shared" si="172"/>
        <v>24.857348317424695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243.33915530322201</v>
      </c>
      <c r="CZ195" s="59">
        <f t="shared" si="150"/>
        <v>247.73814704672577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5.6566295093882388</v>
      </c>
      <c r="DG195" s="21">
        <f>EXP(-LN(2)/25)*DG194+(1-EXP(-LN(2)/25))/(LN(2)/25)*Calculateur!DB195*Calculateur!DD195*VLOOKUP('Données projet'!$B$13,Paramètres!$A$1:$I$89,3,0)*0.475*44/12</f>
        <v>2.2998736292040269</v>
      </c>
      <c r="DH195" s="21">
        <f>EXP(-LN(2)/2)*DH194+(1-EXP(-LN(2)/2))/(LN(2)/2)*DB195*DE195*VLOOKUP('Données projet'!$B$13,Paramètres!$A$1:$I$89,3,0)*0.475*44/12</f>
        <v>8.662698503581111E-16</v>
      </c>
      <c r="DI195" s="22">
        <f t="shared" si="175"/>
        <v>7.9565031385922671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3.177547114319168E-13</v>
      </c>
      <c r="P196" s="13">
        <f t="shared" si="141"/>
        <v>4.1725404435445377E-12</v>
      </c>
      <c r="Q196" s="20">
        <f t="shared" si="162"/>
        <v>7.820597394917325E-12</v>
      </c>
      <c r="R196" s="59">
        <f t="shared" si="191"/>
        <v>293.33333333334116</v>
      </c>
      <c r="S196" s="59">
        <f ca="1">AVERAGE(OFFSET($R$3,0,0,'Données projet'!$E$9+1,1))-AVERAGE(OFFSET($H$3,0,0,'Données projet'!$E$9+1,1))</f>
        <v>287.413090017863</v>
      </c>
      <c r="T196" s="59">
        <f t="shared" si="142"/>
        <v>258.48456031927117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20.194536184393819</v>
      </c>
      <c r="AA196" s="21">
        <f>EXP(-LN(2)/25)*AA195+(1-EXP(-LN(2)/25))/(LN(2)/25)*Calculateur!V196*Calculateur!X196*VLOOKUP('Données projet'!$B$9,Paramètres!$A$1:$I$89,3,0)*0.475*44/12</f>
        <v>2.5354343329086499</v>
      </c>
      <c r="AB196" s="21">
        <f>EXP(-LN(2)/2)*AB195+(1-EXP(-LN(2)/2))/(LN(2)/2)*V196*Y196*VLOOKUP('Données projet'!$B$9,Paramètres!$A$1:$I$89,3,0)*0.475*44/12</f>
        <v>2.3154424673481229E-17</v>
      </c>
      <c r="AC196" s="22">
        <f t="shared" si="163"/>
        <v>22.729970517302469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7.9580786405131221E-13</v>
      </c>
      <c r="AJ196" s="13">
        <f>AI196*VLOOKUP('Données projet'!$B$10,Paramètres!$A$1:$I$89,3,0)*VLOOKUP('Données projet'!$B$10,Paramètres!$A$1:$I$89,5,0)</f>
        <v>7.2004695539362725E-13</v>
      </c>
      <c r="AK196" s="13">
        <f t="shared" si="164"/>
        <v>8.5963894794935589E-12</v>
      </c>
      <c r="AL196" s="20">
        <f t="shared" si="165"/>
        <v>1.6226126790761848E-11</v>
      </c>
      <c r="AM196" s="59">
        <f t="shared" ref="AM196:AM203" si="193">AL196+(AD196+AE196)*44/12</f>
        <v>293.33333333334951</v>
      </c>
      <c r="AN196" s="59">
        <f ca="1">AVERAGE(OFFSET($AM$3,0,0,'Données projet'!$E$10+1,1))-AVERAGE(OFFSET($H$3,0,0,'Données projet'!$E$10+1,1))</f>
        <v>422.10969295064359</v>
      </c>
      <c r="AO196" s="59">
        <f t="shared" si="144"/>
        <v>184.04075143033037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126.43909862581812</v>
      </c>
      <c r="AV196" s="21">
        <f>EXP(-LN(2)/25)*AV195+(1-EXP(-LN(2)/25))/(LN(2)/25)*Calculateur!AQ196*Calculateur!AS196*VLOOKUP('Données projet'!$B$10,Paramètres!$A$1:$I$89,3,0)*0.475*44/12</f>
        <v>19.507959671141794</v>
      </c>
      <c r="AW196" s="21">
        <f>EXP(-LN(2)/2)*AW195+(1-EXP(-LN(2)/2))/(LN(2)/2)*AQ196*AT196*VLOOKUP('Données projet'!$B$10,Paramètres!$A$1:$I$89,3,0)*0.475*44/12</f>
        <v>0.33202068300962151</v>
      </c>
      <c r="AX196" s="21">
        <f t="shared" si="166"/>
        <v>146.27907897996954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-9.1631591203622526E-14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217.61052961346684</v>
      </c>
      <c r="BJ196" s="59">
        <f t="shared" si="146"/>
        <v>180.77145728128608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17.968804554201245</v>
      </c>
      <c r="BQ196" s="21">
        <f>EXP(-LN(2)/25)*BQ195+(1-EXP(-LN(2)/25))/(LN(2)/25)*Calculateur!BL196*Calculateur!BN196*VLOOKUP('Données projet'!$B$11,Paramètres!$A$1:$I$89,3,0)*0.475*44/12</f>
        <v>2.6274321199141064</v>
      </c>
      <c r="BR196" s="21">
        <f>EXP(-LN(2)/2)*BR195+(1-EXP(-LN(2)/2))/(LN(2)/2)*BL196*BO196*VLOOKUP('Données projet'!$B$11,Paramètres!$A$1:$I$89,3,0)*0.475*44/12</f>
        <v>6.4162252391034998E-16</v>
      </c>
      <c r="BS196" s="22">
        <f t="shared" si="169"/>
        <v>20.596236674115353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4.7884896048344674E-14</v>
      </c>
      <c r="CA196" s="13">
        <f t="shared" si="170"/>
        <v>7.8374629847779921E-13</v>
      </c>
      <c r="CB196" s="20">
        <f t="shared" si="171"/>
        <v>1.4484243304663672E-12</v>
      </c>
      <c r="CC196" s="59">
        <f t="shared" ref="CC196:CC203" si="195">CB196+(BT196+BU196)*44/12</f>
        <v>293.33333333333474</v>
      </c>
      <c r="CD196" s="59">
        <f ca="1">AVERAGE(OFFSET($CC$3,0,0,'Données projet'!$E$12+1,1))-AVERAGE(OFFSET($H$3,0,0,'Données projet'!$E$12+1,1))</f>
        <v>287.72859857368331</v>
      </c>
      <c r="CE196" s="59">
        <f t="shared" si="148"/>
        <v>179.60736986885922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21.842354434576759</v>
      </c>
      <c r="CL196" s="21">
        <f>EXP(-LN(2)/25)*CL195+(1-EXP(-LN(2)/25))/(LN(2)/25)*Calculateur!CG196*Calculateur!CI196*VLOOKUP('Données projet'!$B$12,Paramètres!$A$1:$I$89,3,0)*0.475*44/12</f>
        <v>2.5076130422178862</v>
      </c>
      <c r="CM196" s="21">
        <f>EXP(-LN(2)/2)*CM195+(1-EXP(-LN(2)/2))/(LN(2)/2)*CG196*CJ196*VLOOKUP('Données projet'!$B$12,Paramètres!$A$1:$I$89,3,0)*0.475*44/12</f>
        <v>5.9672746276730714E-13</v>
      </c>
      <c r="CN196" s="22">
        <f t="shared" si="172"/>
        <v>24.349967476795243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243.33915530322201</v>
      </c>
      <c r="CZ196" s="59">
        <f t="shared" si="150"/>
        <v>247.73814704672577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5.5457064549124571</v>
      </c>
      <c r="DG196" s="21">
        <f>EXP(-LN(2)/25)*DG195+(1-EXP(-LN(2)/25))/(LN(2)/25)*Calculateur!DB196*Calculateur!DD196*VLOOKUP('Données projet'!$B$13,Paramètres!$A$1:$I$89,3,0)*0.475*44/12</f>
        <v>2.236983463868345</v>
      </c>
      <c r="DH196" s="21">
        <f>EXP(-LN(2)/2)*DH195+(1-EXP(-LN(2)/2))/(LN(2)/2)*DB196*DE196*VLOOKUP('Données projet'!$B$13,Paramètres!$A$1:$I$89,3,0)*0.475*44/12</f>
        <v>6.1254528552567613E-16</v>
      </c>
      <c r="DI196" s="22">
        <f t="shared" si="175"/>
        <v>7.782689918780803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3.177547114319168E-13</v>
      </c>
      <c r="P197" s="13">
        <f t="shared" ref="P197:P203" si="203">EXP(-1.0587+0.8836*LN(O197)+0.284)</f>
        <v>4.1725404435445377E-12</v>
      </c>
      <c r="Q197" s="20">
        <f t="shared" si="162"/>
        <v>7.820597394917325E-12</v>
      </c>
      <c r="R197" s="59">
        <f t="shared" si="191"/>
        <v>293.33333333334116</v>
      </c>
      <c r="S197" s="59">
        <f ca="1">AVERAGE(OFFSET($R$3,0,0,'Données projet'!$E$9+1,1))-AVERAGE(OFFSET($H$3,0,0,'Données projet'!$E$9+1,1))</f>
        <v>287.413090017863</v>
      </c>
      <c r="T197" s="59">
        <f t="shared" ref="T197:T203" si="204">$T$3</f>
        <v>258.48456031927117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19.79853364726868</v>
      </c>
      <c r="AA197" s="21">
        <f>EXP(-LN(2)/25)*AA196+(1-EXP(-LN(2)/25))/(LN(2)/25)*Calculateur!V197*Calculateur!X197*VLOOKUP('Données projet'!$B$9,Paramètres!$A$1:$I$89,3,0)*0.475*44/12</f>
        <v>2.4661027477425663</v>
      </c>
      <c r="AB197" s="21">
        <f>EXP(-LN(2)/2)*AB196+(1-EXP(-LN(2)/2))/(LN(2)/2)*V197*Y197*VLOOKUP('Données projet'!$B$9,Paramètres!$A$1:$I$89,3,0)*0.475*44/12</f>
        <v>1.6372650701091688E-17</v>
      </c>
      <c r="AC197" s="22">
        <f t="shared" si="163"/>
        <v>22.264636395011248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7.9580786405131221E-13</v>
      </c>
      <c r="AJ197" s="13">
        <f>AI197*VLOOKUP('Données projet'!$B$10,Paramètres!$A$1:$I$89,3,0)*VLOOKUP('Données projet'!$B$10,Paramètres!$A$1:$I$89,5,0)</f>
        <v>7.2004695539362725E-13</v>
      </c>
      <c r="AK197" s="13">
        <f t="shared" si="164"/>
        <v>8.5963894794935589E-12</v>
      </c>
      <c r="AL197" s="20">
        <f t="shared" si="165"/>
        <v>1.6226126790761848E-11</v>
      </c>
      <c r="AM197" s="59">
        <f t="shared" si="193"/>
        <v>293.33333333334951</v>
      </c>
      <c r="AN197" s="59">
        <f ca="1">AVERAGE(OFFSET($AM$3,0,0,'Données projet'!$E$10+1,1))-AVERAGE(OFFSET($H$3,0,0,'Données projet'!$E$10+1,1))</f>
        <v>422.10969295064359</v>
      </c>
      <c r="AO197" s="59">
        <f t="shared" ref="AO197:AO203" si="205">$AO$3</f>
        <v>184.04075143033037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123.959705022001</v>
      </c>
      <c r="AV197" s="21">
        <f>EXP(-LN(2)/25)*AV196+(1-EXP(-LN(2)/25))/(LN(2)/25)*Calculateur!AQ197*Calculateur!AS197*VLOOKUP('Données projet'!$B$10,Paramètres!$A$1:$I$89,3,0)*0.475*44/12</f>
        <v>18.974513488055408</v>
      </c>
      <c r="AW197" s="21">
        <f>EXP(-LN(2)/2)*AW196+(1-EXP(-LN(2)/2))/(LN(2)/2)*AQ197*AT197*VLOOKUP('Données projet'!$B$10,Paramètres!$A$1:$I$89,3,0)*0.475*44/12</f>
        <v>0.2347740764502925</v>
      </c>
      <c r="AX197" s="21">
        <f t="shared" si="166"/>
        <v>143.1689925865067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-9.1631591203622526E-14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217.61052961346684</v>
      </c>
      <c r="BJ197" s="59">
        <f t="shared" ref="BJ197:BJ203" si="206">$BJ$3</f>
        <v>180.77145728128608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17.616447256781939</v>
      </c>
      <c r="BQ197" s="21">
        <f>EXP(-LN(2)/25)*BQ196+(1-EXP(-LN(2)/25))/(LN(2)/25)*Calculateur!BL197*Calculateur!BN197*VLOOKUP('Données projet'!$B$11,Paramètres!$A$1:$I$89,3,0)*0.475*44/12</f>
        <v>2.5555848504244052</v>
      </c>
      <c r="BR197" s="21">
        <f>EXP(-LN(2)/2)*BR196+(1-EXP(-LN(2)/2))/(LN(2)/2)*BL197*BO197*VLOOKUP('Données projet'!$B$11,Paramètres!$A$1:$I$89,3,0)*0.475*44/12</f>
        <v>4.536956376190362E-16</v>
      </c>
      <c r="BS197" s="22">
        <f t="shared" si="169"/>
        <v>20.172032107206345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4.7884896048344674E-14</v>
      </c>
      <c r="CA197" s="13">
        <f t="shared" si="170"/>
        <v>7.8374629847779921E-13</v>
      </c>
      <c r="CB197" s="20">
        <f t="shared" si="171"/>
        <v>1.4484243304663672E-12</v>
      </c>
      <c r="CC197" s="59">
        <f t="shared" si="195"/>
        <v>293.33333333333474</v>
      </c>
      <c r="CD197" s="59">
        <f ca="1">AVERAGE(OFFSET($CC$3,0,0,'Données projet'!$E$12+1,1))-AVERAGE(OFFSET($H$3,0,0,'Données projet'!$E$12+1,1))</f>
        <v>287.72859857368331</v>
      </c>
      <c r="CE197" s="59">
        <f t="shared" ref="CE197:CE203" si="207">$CE$3</f>
        <v>179.60736986885922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21.414039186635424</v>
      </c>
      <c r="CL197" s="21">
        <f>EXP(-LN(2)/25)*CL196+(1-EXP(-LN(2)/25))/(LN(2)/25)*Calculateur!CG197*Calculateur!CI197*VLOOKUP('Données projet'!$B$12,Paramètres!$A$1:$I$89,3,0)*0.475*44/12</f>
        <v>2.4390422317087994</v>
      </c>
      <c r="CM197" s="21">
        <f>EXP(-LN(2)/2)*CM196+(1-EXP(-LN(2)/2))/(LN(2)/2)*CG197*CJ197*VLOOKUP('Données projet'!$B$12,Paramètres!$A$1:$I$89,3,0)*0.475*44/12</f>
        <v>4.2195003544300594E-13</v>
      </c>
      <c r="CN197" s="22">
        <f t="shared" si="172"/>
        <v>23.853081418344647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243.33915530322201</v>
      </c>
      <c r="CZ197" s="59">
        <f t="shared" ref="CZ197:CZ203" si="208">$CZ$3</f>
        <v>247.73814704672577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5.4369585338785624</v>
      </c>
      <c r="DG197" s="21">
        <f>EXP(-LN(2)/25)*DG196+(1-EXP(-LN(2)/25))/(LN(2)/25)*Calculateur!DB197*Calculateur!DD197*VLOOKUP('Données projet'!$B$13,Paramètres!$A$1:$I$89,3,0)*0.475*44/12</f>
        <v>2.1758130334110173</v>
      </c>
      <c r="DH197" s="21">
        <f>EXP(-LN(2)/2)*DH196+(1-EXP(-LN(2)/2))/(LN(2)/2)*DB197*DE197*VLOOKUP('Données projet'!$B$13,Paramètres!$A$1:$I$89,3,0)*0.475*44/12</f>
        <v>4.3313492517905555E-16</v>
      </c>
      <c r="DI197" s="22">
        <f t="shared" si="175"/>
        <v>7.6127715672895793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3.177547114319168E-13</v>
      </c>
      <c r="P198" s="13">
        <f t="shared" si="203"/>
        <v>4.1725404435445377E-12</v>
      </c>
      <c r="Q198" s="20">
        <f t="shared" si="162"/>
        <v>7.820597394917325E-12</v>
      </c>
      <c r="R198" s="59">
        <f t="shared" si="191"/>
        <v>293.33333333334116</v>
      </c>
      <c r="S198" s="59">
        <f ca="1">AVERAGE(OFFSET($R$3,0,0,'Données projet'!$E$9+1,1))-AVERAGE(OFFSET($H$3,0,0,'Données projet'!$E$9+1,1))</f>
        <v>287.413090017863</v>
      </c>
      <c r="T198" s="59">
        <f t="shared" si="204"/>
        <v>258.48456031927117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19.41029647835887</v>
      </c>
      <c r="AA198" s="21">
        <f>EXP(-LN(2)/25)*AA197+(1-EXP(-LN(2)/25))/(LN(2)/25)*Calculateur!V198*Calculateur!X198*VLOOKUP('Données projet'!$B$9,Paramètres!$A$1:$I$89,3,0)*0.475*44/12</f>
        <v>2.3986670384188389</v>
      </c>
      <c r="AB198" s="21">
        <f>EXP(-LN(2)/2)*AB197+(1-EXP(-LN(2)/2))/(LN(2)/2)*V198*Y198*VLOOKUP('Données projet'!$B$9,Paramètres!$A$1:$I$89,3,0)*0.475*44/12</f>
        <v>1.1577212336740615E-17</v>
      </c>
      <c r="AC198" s="22">
        <f t="shared" si="163"/>
        <v>21.808963516777709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7.9580786405131221E-13</v>
      </c>
      <c r="AJ198" s="13">
        <f>AI198*VLOOKUP('Données projet'!$B$10,Paramètres!$A$1:$I$89,3,0)*VLOOKUP('Données projet'!$B$10,Paramètres!$A$1:$I$89,5,0)</f>
        <v>7.2004695539362725E-13</v>
      </c>
      <c r="AK198" s="13">
        <f t="shared" si="164"/>
        <v>8.5963894794935589E-12</v>
      </c>
      <c r="AL198" s="20">
        <f t="shared" si="165"/>
        <v>1.6226126790761848E-11</v>
      </c>
      <c r="AM198" s="59">
        <f t="shared" si="193"/>
        <v>293.33333333334951</v>
      </c>
      <c r="AN198" s="59">
        <f ca="1">AVERAGE(OFFSET($AM$3,0,0,'Données projet'!$E$10+1,1))-AVERAGE(OFFSET($H$3,0,0,'Données projet'!$E$10+1,1))</f>
        <v>422.10969295064359</v>
      </c>
      <c r="AO198" s="59">
        <f t="shared" si="205"/>
        <v>184.04075143033037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121.52893081447397</v>
      </c>
      <c r="AV198" s="21">
        <f>EXP(-LN(2)/25)*AV197+(1-EXP(-LN(2)/25))/(LN(2)/25)*Calculateur!AQ198*Calculateur!AS198*VLOOKUP('Données projet'!$B$10,Paramètres!$A$1:$I$89,3,0)*0.475*44/12</f>
        <v>18.455654418898234</v>
      </c>
      <c r="AW198" s="21">
        <f>EXP(-LN(2)/2)*AW197+(1-EXP(-LN(2)/2))/(LN(2)/2)*AQ198*AT198*VLOOKUP('Données projet'!$B$10,Paramètres!$A$1:$I$89,3,0)*0.475*44/12</f>
        <v>0.16601034150481075</v>
      </c>
      <c r="AX198" s="21">
        <f t="shared" si="166"/>
        <v>140.150595574877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-9.1631591203622526E-14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217.61052961346684</v>
      </c>
      <c r="BJ198" s="59">
        <f t="shared" si="206"/>
        <v>180.77145728128608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17.270999471048295</v>
      </c>
      <c r="BQ198" s="21">
        <f>EXP(-LN(2)/25)*BQ197+(1-EXP(-LN(2)/25))/(LN(2)/25)*Calculateur!BL198*Calculateur!BN198*VLOOKUP('Données projet'!$B$11,Paramètres!$A$1:$I$89,3,0)*0.475*44/12</f>
        <v>2.4857022482971836</v>
      </c>
      <c r="BR198" s="21">
        <f>EXP(-LN(2)/2)*BR197+(1-EXP(-LN(2)/2))/(LN(2)/2)*BL198*BO198*VLOOKUP('Données projet'!$B$11,Paramètres!$A$1:$I$89,3,0)*0.475*44/12</f>
        <v>3.2081126195517499E-16</v>
      </c>
      <c r="BS198" s="22">
        <f t="shared" si="169"/>
        <v>19.756701719345479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4.7884896048344674E-14</v>
      </c>
      <c r="CA198" s="13">
        <f t="shared" si="170"/>
        <v>7.8374629847779921E-13</v>
      </c>
      <c r="CB198" s="20">
        <f t="shared" si="171"/>
        <v>1.4484243304663672E-12</v>
      </c>
      <c r="CC198" s="59">
        <f t="shared" si="195"/>
        <v>293.33333333333474</v>
      </c>
      <c r="CD198" s="59">
        <f ca="1">AVERAGE(OFFSET($CC$3,0,0,'Données projet'!$E$12+1,1))-AVERAGE(OFFSET($H$3,0,0,'Données projet'!$E$12+1,1))</f>
        <v>287.72859857368331</v>
      </c>
      <c r="CE198" s="59">
        <f t="shared" si="207"/>
        <v>179.60736986885922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20.994122939459714</v>
      </c>
      <c r="CL198" s="21">
        <f>EXP(-LN(2)/25)*CL197+(1-EXP(-LN(2)/25))/(LN(2)/25)*Calculateur!CG198*Calculateur!CI198*VLOOKUP('Données projet'!$B$12,Paramètres!$A$1:$I$89,3,0)*0.475*44/12</f>
        <v>2.3723464936190659</v>
      </c>
      <c r="CM198" s="21">
        <f>EXP(-LN(2)/2)*CM197+(1-EXP(-LN(2)/2))/(LN(2)/2)*CG198*CJ198*VLOOKUP('Données projet'!$B$12,Paramètres!$A$1:$I$89,3,0)*0.475*44/12</f>
        <v>2.9836373138365357E-13</v>
      </c>
      <c r="CN198" s="22">
        <f t="shared" si="172"/>
        <v>23.366469433079079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243.33915530322201</v>
      </c>
      <c r="CZ198" s="59">
        <f t="shared" si="208"/>
        <v>247.73814704672577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5.3303430932464604</v>
      </c>
      <c r="DG198" s="21">
        <f>EXP(-LN(2)/25)*DG197+(1-EXP(-LN(2)/25))/(LN(2)/25)*Calculateur!DB198*Calculateur!DD198*VLOOKUP('Données projet'!$B$13,Paramètres!$A$1:$I$89,3,0)*0.475*44/12</f>
        <v>2.1163153115913587</v>
      </c>
      <c r="DH198" s="21">
        <f>EXP(-LN(2)/2)*DH197+(1-EXP(-LN(2)/2))/(LN(2)/2)*DB198*DE198*VLOOKUP('Données projet'!$B$13,Paramètres!$A$1:$I$89,3,0)*0.475*44/12</f>
        <v>3.0627264276283806E-16</v>
      </c>
      <c r="DI198" s="22">
        <f t="shared" si="175"/>
        <v>7.4466584048378195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3.177547114319168E-13</v>
      </c>
      <c r="P199" s="13">
        <f t="shared" si="203"/>
        <v>4.1725404435445377E-12</v>
      </c>
      <c r="Q199" s="20">
        <f t="shared" si="162"/>
        <v>7.820597394917325E-12</v>
      </c>
      <c r="R199" s="59">
        <f t="shared" si="191"/>
        <v>293.33333333334116</v>
      </c>
      <c r="S199" s="59">
        <f ca="1">AVERAGE(OFFSET($R$3,0,0,'Données projet'!$E$9+1,1))-AVERAGE(OFFSET($H$3,0,0,'Données projet'!$E$9+1,1))</f>
        <v>287.413090017863</v>
      </c>
      <c r="T199" s="59">
        <f t="shared" si="204"/>
        <v>258.48456031927117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19.029672403530089</v>
      </c>
      <c r="AA199" s="21">
        <f>EXP(-LN(2)/25)*AA198+(1-EXP(-LN(2)/25))/(LN(2)/25)*Calculateur!V199*Calculateur!X199*VLOOKUP('Données projet'!$B$9,Paramètres!$A$1:$I$89,3,0)*0.475*44/12</f>
        <v>2.3330753621128584</v>
      </c>
      <c r="AB199" s="21">
        <f>EXP(-LN(2)/2)*AB198+(1-EXP(-LN(2)/2))/(LN(2)/2)*V199*Y199*VLOOKUP('Données projet'!$B$9,Paramètres!$A$1:$I$89,3,0)*0.475*44/12</f>
        <v>8.1863253505458441E-18</v>
      </c>
      <c r="AC199" s="22">
        <f t="shared" si="163"/>
        <v>21.362747765642947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7.9580786405131221E-13</v>
      </c>
      <c r="AJ199" s="13">
        <f>AI199*VLOOKUP('Données projet'!$B$10,Paramètres!$A$1:$I$89,3,0)*VLOOKUP('Données projet'!$B$10,Paramètres!$A$1:$I$89,5,0)</f>
        <v>7.2004695539362725E-13</v>
      </c>
      <c r="AK199" s="13">
        <f t="shared" si="164"/>
        <v>8.5963894794935589E-12</v>
      </c>
      <c r="AL199" s="20">
        <f t="shared" si="165"/>
        <v>1.6226126790761848E-11</v>
      </c>
      <c r="AM199" s="59">
        <f t="shared" si="193"/>
        <v>293.33333333334951</v>
      </c>
      <c r="AN199" s="59">
        <f ca="1">AVERAGE(OFFSET($AM$3,0,0,'Données projet'!$E$10+1,1))-AVERAGE(OFFSET($H$3,0,0,'Données projet'!$E$10+1,1))</f>
        <v>422.10969295064359</v>
      </c>
      <c r="AO199" s="59">
        <f t="shared" si="205"/>
        <v>184.04075143033037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119.14582260653066</v>
      </c>
      <c r="AV199" s="21">
        <f>EXP(-LN(2)/25)*AV198+(1-EXP(-LN(2)/25))/(LN(2)/25)*Calculateur!AQ199*Calculateur!AS199*VLOOKUP('Données projet'!$B$10,Paramètres!$A$1:$I$89,3,0)*0.475*44/12</f>
        <v>17.950983578272776</v>
      </c>
      <c r="AW199" s="21">
        <f>EXP(-LN(2)/2)*AW198+(1-EXP(-LN(2)/2))/(LN(2)/2)*AQ199*AT199*VLOOKUP('Données projet'!$B$10,Paramètres!$A$1:$I$89,3,0)*0.475*44/12</f>
        <v>0.11738703822514625</v>
      </c>
      <c r="AX199" s="21">
        <f t="shared" si="166"/>
        <v>137.21419322302856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-9.1631591203622526E-14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217.61052961346684</v>
      </c>
      <c r="BJ199" s="59">
        <f t="shared" si="206"/>
        <v>180.77145728128608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16.932325705690541</v>
      </c>
      <c r="BQ199" s="21">
        <f>EXP(-LN(2)/25)*BQ198+(1-EXP(-LN(2)/25))/(LN(2)/25)*Calculateur!BL199*Calculateur!BN199*VLOOKUP('Données projet'!$B$11,Paramètres!$A$1:$I$89,3,0)*0.475*44/12</f>
        <v>2.4177305896000969</v>
      </c>
      <c r="BR199" s="21">
        <f>EXP(-LN(2)/2)*BR198+(1-EXP(-LN(2)/2))/(LN(2)/2)*BL199*BO199*VLOOKUP('Données projet'!$B$11,Paramètres!$A$1:$I$89,3,0)*0.475*44/12</f>
        <v>2.268478188095181E-16</v>
      </c>
      <c r="BS199" s="22">
        <f t="shared" si="169"/>
        <v>19.350056295290639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4.7884896048344674E-14</v>
      </c>
      <c r="CA199" s="13">
        <f t="shared" si="170"/>
        <v>7.8374629847779921E-13</v>
      </c>
      <c r="CB199" s="20">
        <f t="shared" si="171"/>
        <v>1.4484243304663672E-12</v>
      </c>
      <c r="CC199" s="59">
        <f t="shared" si="195"/>
        <v>293.33333333333474</v>
      </c>
      <c r="CD199" s="59">
        <f ca="1">AVERAGE(OFFSET($CC$3,0,0,'Données projet'!$E$12+1,1))-AVERAGE(OFFSET($H$3,0,0,'Données projet'!$E$12+1,1))</f>
        <v>287.72859857368331</v>
      </c>
      <c r="CE199" s="59">
        <f t="shared" si="207"/>
        <v>179.60736986885922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20.582440993767499</v>
      </c>
      <c r="CL199" s="21">
        <f>EXP(-LN(2)/25)*CL198+(1-EXP(-LN(2)/25))/(LN(2)/25)*Calculateur!CG199*Calculateur!CI199*VLOOKUP('Données projet'!$B$12,Paramètres!$A$1:$I$89,3,0)*0.475*44/12</f>
        <v>2.3074745539947723</v>
      </c>
      <c r="CM199" s="21">
        <f>EXP(-LN(2)/2)*CM198+(1-EXP(-LN(2)/2))/(LN(2)/2)*CG199*CJ199*VLOOKUP('Données projet'!$B$12,Paramètres!$A$1:$I$89,3,0)*0.475*44/12</f>
        <v>2.1097501772150297E-13</v>
      </c>
      <c r="CN199" s="22">
        <f t="shared" si="172"/>
        <v>22.889915547762481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243.33915530322201</v>
      </c>
      <c r="CZ199" s="59">
        <f t="shared" si="208"/>
        <v>247.73814704672577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5.2258183163761558</v>
      </c>
      <c r="DG199" s="21">
        <f>EXP(-LN(2)/25)*DG198+(1-EXP(-LN(2)/25))/(LN(2)/25)*Calculateur!DB199*Calculateur!DD199*VLOOKUP('Données projet'!$B$13,Paramètres!$A$1:$I$89,3,0)*0.475*44/12</f>
        <v>2.0584445581037074</v>
      </c>
      <c r="DH199" s="21">
        <f>EXP(-LN(2)/2)*DH198+(1-EXP(-LN(2)/2))/(LN(2)/2)*DB199*DE199*VLOOKUP('Données projet'!$B$13,Paramètres!$A$1:$I$89,3,0)*0.475*44/12</f>
        <v>2.1656746258952777E-16</v>
      </c>
      <c r="DI199" s="22">
        <f t="shared" si="175"/>
        <v>7.2842628744798628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3.177547114319168E-13</v>
      </c>
      <c r="P200" s="13">
        <f t="shared" si="203"/>
        <v>4.1725404435445377E-12</v>
      </c>
      <c r="Q200" s="20">
        <f t="shared" si="162"/>
        <v>7.820597394917325E-12</v>
      </c>
      <c r="R200" s="59">
        <f t="shared" si="191"/>
        <v>293.33333333334116</v>
      </c>
      <c r="S200" s="59">
        <f ca="1">AVERAGE(OFFSET($R$3,0,0,'Données projet'!$E$9+1,1))-AVERAGE(OFFSET($H$3,0,0,'Données projet'!$E$9+1,1))</f>
        <v>287.413090017863</v>
      </c>
      <c r="T200" s="59">
        <f t="shared" si="204"/>
        <v>258.48456031927117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18.656512134650939</v>
      </c>
      <c r="AA200" s="21">
        <f>EXP(-LN(2)/25)*AA199+(1-EXP(-LN(2)/25))/(LN(2)/25)*Calculateur!V200*Calculateur!X200*VLOOKUP('Données projet'!$B$9,Paramètres!$A$1:$I$89,3,0)*0.475*44/12</f>
        <v>2.2692772936447811</v>
      </c>
      <c r="AB200" s="21">
        <f>EXP(-LN(2)/2)*AB199+(1-EXP(-LN(2)/2))/(LN(2)/2)*V200*Y200*VLOOKUP('Données projet'!$B$9,Paramètres!$A$1:$I$89,3,0)*0.475*44/12</f>
        <v>5.7886061683703073E-18</v>
      </c>
      <c r="AC200" s="22">
        <f t="shared" si="163"/>
        <v>20.925789428295719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7.9580786405131221E-13</v>
      </c>
      <c r="AJ200" s="13">
        <f>AI200*VLOOKUP('Données projet'!$B$10,Paramètres!$A$1:$I$89,3,0)*VLOOKUP('Données projet'!$B$10,Paramètres!$A$1:$I$89,5,0)</f>
        <v>7.2004695539362725E-13</v>
      </c>
      <c r="AK200" s="13">
        <f t="shared" si="164"/>
        <v>8.5963894794935589E-12</v>
      </c>
      <c r="AL200" s="20">
        <f t="shared" si="165"/>
        <v>1.6226126790761848E-11</v>
      </c>
      <c r="AM200" s="59">
        <f t="shared" si="193"/>
        <v>293.33333333334951</v>
      </c>
      <c r="AN200" s="59">
        <f ca="1">AVERAGE(OFFSET($AM$3,0,0,'Données projet'!$E$10+1,1))-AVERAGE(OFFSET($H$3,0,0,'Données projet'!$E$10+1,1))</f>
        <v>422.10969295064359</v>
      </c>
      <c r="AO200" s="59">
        <f t="shared" si="205"/>
        <v>184.04075143033037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116.80944569699264</v>
      </c>
      <c r="AV200" s="21">
        <f>EXP(-LN(2)/25)*AV199+(1-EXP(-LN(2)/25))/(LN(2)/25)*Calculateur!AQ200*Calculateur!AS200*VLOOKUP('Données projet'!$B$10,Paramètres!$A$1:$I$89,3,0)*0.475*44/12</f>
        <v>17.460112988323708</v>
      </c>
      <c r="AW200" s="21">
        <f>EXP(-LN(2)/2)*AW199+(1-EXP(-LN(2)/2))/(LN(2)/2)*AQ200*AT200*VLOOKUP('Données projet'!$B$10,Paramètres!$A$1:$I$89,3,0)*0.475*44/12</f>
        <v>8.3005170752405377E-2</v>
      </c>
      <c r="AX200" s="21">
        <f t="shared" si="166"/>
        <v>134.35256385606877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-9.1631591203622526E-14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217.61052961346684</v>
      </c>
      <c r="BJ200" s="59">
        <f t="shared" si="206"/>
        <v>180.77145728128608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16.600293126300855</v>
      </c>
      <c r="BQ200" s="21">
        <f>EXP(-LN(2)/25)*BQ199+(1-EXP(-LN(2)/25))/(LN(2)/25)*Calculateur!BL200*Calculateur!BN200*VLOOKUP('Données projet'!$B$11,Paramètres!$A$1:$I$89,3,0)*0.475*44/12</f>
        <v>2.3516176194845562</v>
      </c>
      <c r="BR200" s="21">
        <f>EXP(-LN(2)/2)*BR199+(1-EXP(-LN(2)/2))/(LN(2)/2)*BL200*BO200*VLOOKUP('Données projet'!$B$11,Paramètres!$A$1:$I$89,3,0)*0.475*44/12</f>
        <v>1.604056309775875E-16</v>
      </c>
      <c r="BS200" s="22">
        <f t="shared" si="169"/>
        <v>18.951910745785412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4.7884896048344674E-14</v>
      </c>
      <c r="CA200" s="13">
        <f t="shared" si="170"/>
        <v>7.8374629847779921E-13</v>
      </c>
      <c r="CB200" s="20">
        <f t="shared" si="171"/>
        <v>1.4484243304663672E-12</v>
      </c>
      <c r="CC200" s="59">
        <f t="shared" si="195"/>
        <v>293.33333333333474</v>
      </c>
      <c r="CD200" s="59">
        <f ca="1">AVERAGE(OFFSET($CC$3,0,0,'Données projet'!$E$12+1,1))-AVERAGE(OFFSET($H$3,0,0,'Données projet'!$E$12+1,1))</f>
        <v>287.72859857368331</v>
      </c>
      <c r="CE200" s="59">
        <f t="shared" si="207"/>
        <v>179.60736986885922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20.178831879929113</v>
      </c>
      <c r="CL200" s="21">
        <f>EXP(-LN(2)/25)*CL199+(1-EXP(-LN(2)/25))/(LN(2)/25)*Calculateur!CG200*Calculateur!CI200*VLOOKUP('Données projet'!$B$12,Paramètres!$A$1:$I$89,3,0)*0.475*44/12</f>
        <v>2.2443765409709724</v>
      </c>
      <c r="CM200" s="21">
        <f>EXP(-LN(2)/2)*CM199+(1-EXP(-LN(2)/2))/(LN(2)/2)*CG200*CJ200*VLOOKUP('Données projet'!$B$12,Paramètres!$A$1:$I$89,3,0)*0.475*44/12</f>
        <v>1.4918186569182679E-13</v>
      </c>
      <c r="CN200" s="22">
        <f t="shared" si="172"/>
        <v>22.423208420900234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243.33915530322201</v>
      </c>
      <c r="CZ200" s="59">
        <f t="shared" si="208"/>
        <v>247.73814704672577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5.1233432066264593</v>
      </c>
      <c r="DG200" s="21">
        <f>EXP(-LN(2)/25)*DG199+(1-EXP(-LN(2)/25))/(LN(2)/25)*Calculateur!DB200*Calculateur!DD200*VLOOKUP('Données projet'!$B$13,Paramètres!$A$1:$I$89,3,0)*0.475*44/12</f>
        <v>2.0021562834134667</v>
      </c>
      <c r="DH200" s="21">
        <f>EXP(-LN(2)/2)*DH199+(1-EXP(-LN(2)/2))/(LN(2)/2)*DB200*DE200*VLOOKUP('Données projet'!$B$13,Paramètres!$A$1:$I$89,3,0)*0.475*44/12</f>
        <v>1.5313632138141903E-16</v>
      </c>
      <c r="DI200" s="22">
        <f t="shared" si="175"/>
        <v>7.1254994900399264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3.177547114319168E-13</v>
      </c>
      <c r="P201" s="13">
        <f t="shared" si="203"/>
        <v>4.1725404435445377E-12</v>
      </c>
      <c r="Q201" s="20">
        <f t="shared" si="162"/>
        <v>7.820597394917325E-12</v>
      </c>
      <c r="R201" s="59">
        <f t="shared" si="191"/>
        <v>293.33333333334116</v>
      </c>
      <c r="S201" s="59">
        <f ca="1">AVERAGE(OFFSET($R$3,0,0,'Données projet'!$E$9+1,1))-AVERAGE(OFFSET($H$3,0,0,'Données projet'!$E$9+1,1))</f>
        <v>287.413090017863</v>
      </c>
      <c r="T201" s="59">
        <f t="shared" si="204"/>
        <v>258.48456031927117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18.290669311039217</v>
      </c>
      <c r="AA201" s="21">
        <f>EXP(-LN(2)/25)*AA200+(1-EXP(-LN(2)/25))/(LN(2)/25)*Calculateur!V201*Calculateur!X201*VLOOKUP('Données projet'!$B$9,Paramètres!$A$1:$I$89,3,0)*0.475*44/12</f>
        <v>2.2072237867139584</v>
      </c>
      <c r="AB201" s="21">
        <f>EXP(-LN(2)/2)*AB200+(1-EXP(-LN(2)/2))/(LN(2)/2)*V201*Y201*VLOOKUP('Données projet'!$B$9,Paramètres!$A$1:$I$89,3,0)*0.475*44/12</f>
        <v>4.0931626752729221E-18</v>
      </c>
      <c r="AC201" s="22">
        <f t="shared" si="163"/>
        <v>20.497893097753174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7.9580786405131221E-13</v>
      </c>
      <c r="AJ201" s="13">
        <f>AI201*VLOOKUP('Données projet'!$B$10,Paramètres!$A$1:$I$89,3,0)*VLOOKUP('Données projet'!$B$10,Paramètres!$A$1:$I$89,5,0)</f>
        <v>7.2004695539362725E-13</v>
      </c>
      <c r="AK201" s="13">
        <f t="shared" si="164"/>
        <v>8.5963894794935589E-12</v>
      </c>
      <c r="AL201" s="20">
        <f t="shared" si="165"/>
        <v>1.6226126790761848E-11</v>
      </c>
      <c r="AM201" s="59">
        <f t="shared" si="193"/>
        <v>293.33333333334951</v>
      </c>
      <c r="AN201" s="59">
        <f ca="1">AVERAGE(OFFSET($AM$3,0,0,'Données projet'!$E$10+1,1))-AVERAGE(OFFSET($H$3,0,0,'Données projet'!$E$10+1,1))</f>
        <v>422.10969295064359</v>
      </c>
      <c r="AO201" s="59">
        <f t="shared" si="205"/>
        <v>184.04075143033037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114.51888371360145</v>
      </c>
      <c r="AV201" s="21">
        <f>EXP(-LN(2)/25)*AV200+(1-EXP(-LN(2)/25))/(LN(2)/25)*Calculateur!AQ201*Calculateur!AS201*VLOOKUP('Données projet'!$B$10,Paramètres!$A$1:$I$89,3,0)*0.475*44/12</f>
        <v>16.98266528047056</v>
      </c>
      <c r="AW201" s="21">
        <f>EXP(-LN(2)/2)*AW200+(1-EXP(-LN(2)/2))/(LN(2)/2)*AQ201*AT201*VLOOKUP('Données projet'!$B$10,Paramètres!$A$1:$I$89,3,0)*0.475*44/12</f>
        <v>5.8693519112573124E-2</v>
      </c>
      <c r="AX201" s="21">
        <f t="shared" si="166"/>
        <v>131.56024251318459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-9.1631591203622526E-14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217.61052961346684</v>
      </c>
      <c r="BJ201" s="59">
        <f t="shared" si="206"/>
        <v>180.77145728128608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16.274771503273122</v>
      </c>
      <c r="BQ201" s="21">
        <f>EXP(-LN(2)/25)*BQ200+(1-EXP(-LN(2)/25))/(LN(2)/25)*Calculateur!BL201*Calculateur!BN201*VLOOKUP('Données projet'!$B$11,Paramètres!$A$1:$I$89,3,0)*0.475*44/12</f>
        <v>2.2873125120135551</v>
      </c>
      <c r="BR201" s="21">
        <f>EXP(-LN(2)/2)*BR200+(1-EXP(-LN(2)/2))/(LN(2)/2)*BL201*BO201*VLOOKUP('Données projet'!$B$11,Paramètres!$A$1:$I$89,3,0)*0.475*44/12</f>
        <v>1.1342390940475905E-16</v>
      </c>
      <c r="BS201" s="22">
        <f t="shared" si="169"/>
        <v>18.562084015286679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4.7884896048344674E-14</v>
      </c>
      <c r="CA201" s="13">
        <f t="shared" si="170"/>
        <v>7.8374629847779921E-13</v>
      </c>
      <c r="CB201" s="20">
        <f t="shared" si="171"/>
        <v>1.4484243304663672E-12</v>
      </c>
      <c r="CC201" s="59">
        <f t="shared" si="195"/>
        <v>293.33333333333474</v>
      </c>
      <c r="CD201" s="59">
        <f ca="1">AVERAGE(OFFSET($CC$3,0,0,'Données projet'!$E$12+1,1))-AVERAGE(OFFSET($H$3,0,0,'Données projet'!$E$12+1,1))</f>
        <v>287.72859857368331</v>
      </c>
      <c r="CE201" s="59">
        <f t="shared" si="207"/>
        <v>179.60736986885922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19.78313729463585</v>
      </c>
      <c r="CL201" s="21">
        <f>EXP(-LN(2)/25)*CL200+(1-EXP(-LN(2)/25))/(LN(2)/25)*Calculateur!CG201*Calculateur!CI201*VLOOKUP('Données projet'!$B$12,Paramètres!$A$1:$I$89,3,0)*0.475*44/12</f>
        <v>2.1830039464314885</v>
      </c>
      <c r="CM201" s="21">
        <f>EXP(-LN(2)/2)*CM200+(1-EXP(-LN(2)/2))/(LN(2)/2)*CG201*CJ201*VLOOKUP('Données projet'!$B$12,Paramètres!$A$1:$I$89,3,0)*0.475*44/12</f>
        <v>1.0548750886075149E-13</v>
      </c>
      <c r="CN201" s="22">
        <f t="shared" si="172"/>
        <v>21.966141241067444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243.33915530322201</v>
      </c>
      <c r="CZ201" s="59">
        <f t="shared" si="208"/>
        <v>247.73814704672577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5.0228775712753091</v>
      </c>
      <c r="DG201" s="21">
        <f>EXP(-LN(2)/25)*DG200+(1-EXP(-LN(2)/25))/(LN(2)/25)*Calculateur!DB201*Calculateur!DD201*VLOOKUP('Données projet'!$B$13,Paramètres!$A$1:$I$89,3,0)*0.475*44/12</f>
        <v>1.9474072145547026</v>
      </c>
      <c r="DH201" s="21">
        <f>EXP(-LN(2)/2)*DH200+(1-EXP(-LN(2)/2))/(LN(2)/2)*DB201*DE201*VLOOKUP('Données projet'!$B$13,Paramètres!$A$1:$I$89,3,0)*0.475*44/12</f>
        <v>1.0828373129476389E-16</v>
      </c>
      <c r="DI201" s="22">
        <f t="shared" si="175"/>
        <v>6.9702847858300121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3.177547114319168E-13</v>
      </c>
      <c r="P202" s="13">
        <f t="shared" si="203"/>
        <v>4.1725404435445377E-12</v>
      </c>
      <c r="Q202" s="20">
        <f t="shared" si="162"/>
        <v>7.820597394917325E-12</v>
      </c>
      <c r="R202" s="59">
        <f t="shared" si="191"/>
        <v>293.33333333334116</v>
      </c>
      <c r="S202" s="59">
        <f ca="1">AVERAGE(OFFSET($R$3,0,0,'Données projet'!$E$9+1,1))-AVERAGE(OFFSET($H$3,0,0,'Données projet'!$E$9+1,1))</f>
        <v>287.413090017863</v>
      </c>
      <c r="T202" s="59">
        <f t="shared" si="204"/>
        <v>258.48456031927117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17.932000442056435</v>
      </c>
      <c r="AA202" s="21">
        <f>EXP(-LN(2)/25)*AA201+(1-EXP(-LN(2)/25))/(LN(2)/25)*Calculateur!V202*Calculateur!X202*VLOOKUP('Données projet'!$B$9,Paramètres!$A$1:$I$89,3,0)*0.475*44/12</f>
        <v>2.1468671361934111</v>
      </c>
      <c r="AB202" s="21">
        <f>EXP(-LN(2)/2)*AB201+(1-EXP(-LN(2)/2))/(LN(2)/2)*V202*Y202*VLOOKUP('Données projet'!$B$9,Paramètres!$A$1:$I$89,3,0)*0.475*44/12</f>
        <v>2.8943030841851536E-18</v>
      </c>
      <c r="AC202" s="22">
        <f t="shared" si="163"/>
        <v>20.078867578249845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7.9580786405131221E-13</v>
      </c>
      <c r="AJ202" s="13">
        <f>AI202*VLOOKUP('Données projet'!$B$10,Paramètres!$A$1:$I$89,3,0)*VLOOKUP('Données projet'!$B$10,Paramètres!$A$1:$I$89,5,0)</f>
        <v>7.2004695539362725E-13</v>
      </c>
      <c r="AK202" s="13">
        <f t="shared" si="164"/>
        <v>8.5963894794935589E-12</v>
      </c>
      <c r="AL202" s="20">
        <f t="shared" si="165"/>
        <v>1.6226126790761848E-11</v>
      </c>
      <c r="AM202" s="59">
        <f t="shared" si="193"/>
        <v>293.33333333334951</v>
      </c>
      <c r="AN202" s="59">
        <f ca="1">AVERAGE(OFFSET($AM$3,0,0,'Données projet'!$E$10+1,1))-AVERAGE(OFFSET($H$3,0,0,'Données projet'!$E$10+1,1))</f>
        <v>422.10969295064359</v>
      </c>
      <c r="AO202" s="59">
        <f t="shared" si="205"/>
        <v>184.04075143033037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112.27323825359971</v>
      </c>
      <c r="AV202" s="21">
        <f>EXP(-LN(2)/25)*AV201+(1-EXP(-LN(2)/25))/(LN(2)/25)*Calculateur!AQ202*Calculateur!AS202*VLOOKUP('Données projet'!$B$10,Paramètres!$A$1:$I$89,3,0)*0.475*44/12</f>
        <v>16.51827340529654</v>
      </c>
      <c r="AW202" s="21">
        <f>EXP(-LN(2)/2)*AW201+(1-EXP(-LN(2)/2))/(LN(2)/2)*AQ202*AT202*VLOOKUP('Données projet'!$B$10,Paramètres!$A$1:$I$89,3,0)*0.475*44/12</f>
        <v>4.1502585376202689E-2</v>
      </c>
      <c r="AX202" s="21">
        <f t="shared" si="166"/>
        <v>128.83301424427245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-9.1631591203622526E-14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217.61052961346684</v>
      </c>
      <c r="BJ202" s="59">
        <f t="shared" si="206"/>
        <v>180.77145728128608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15.95563316072438</v>
      </c>
      <c r="BQ202" s="21">
        <f>EXP(-LN(2)/25)*BQ201+(1-EXP(-LN(2)/25))/(LN(2)/25)*Calculateur!BL202*Calculateur!BN202*VLOOKUP('Données projet'!$B$11,Paramètres!$A$1:$I$89,3,0)*0.475*44/12</f>
        <v>2.224765831088007</v>
      </c>
      <c r="BR202" s="21">
        <f>EXP(-LN(2)/2)*BR201+(1-EXP(-LN(2)/2))/(LN(2)/2)*BL202*BO202*VLOOKUP('Données projet'!$B$11,Paramètres!$A$1:$I$89,3,0)*0.475*44/12</f>
        <v>8.0202815488793748E-17</v>
      </c>
      <c r="BS202" s="22">
        <f t="shared" si="169"/>
        <v>18.180398991812389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4.7884896048344674E-14</v>
      </c>
      <c r="CA202" s="13">
        <f t="shared" si="170"/>
        <v>7.8374629847779921E-13</v>
      </c>
      <c r="CB202" s="20">
        <f t="shared" si="171"/>
        <v>1.4484243304663672E-12</v>
      </c>
      <c r="CC202" s="59">
        <f t="shared" si="195"/>
        <v>293.33333333333474</v>
      </c>
      <c r="CD202" s="59">
        <f ca="1">AVERAGE(OFFSET($CC$3,0,0,'Données projet'!$E$12+1,1))-AVERAGE(OFFSET($H$3,0,0,'Données projet'!$E$12+1,1))</f>
        <v>287.72859857368331</v>
      </c>
      <c r="CE202" s="59">
        <f t="shared" si="207"/>
        <v>179.60736986885922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19.395202038810321</v>
      </c>
      <c r="CL202" s="21">
        <f>EXP(-LN(2)/25)*CL201+(1-EXP(-LN(2)/25))/(LN(2)/25)*Calculateur!CG202*Calculateur!CI202*VLOOKUP('Données projet'!$B$12,Paramètres!$A$1:$I$89,3,0)*0.475*44/12</f>
        <v>2.1233095887171314</v>
      </c>
      <c r="CM202" s="21">
        <f>EXP(-LN(2)/2)*CM201+(1-EXP(-LN(2)/2))/(LN(2)/2)*CG202*CJ202*VLOOKUP('Données projet'!$B$12,Paramètres!$A$1:$I$89,3,0)*0.475*44/12</f>
        <v>7.4590932845913393E-14</v>
      </c>
      <c r="CN202" s="22">
        <f t="shared" si="172"/>
        <v>21.518511627527527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243.33915530322201</v>
      </c>
      <c r="CZ202" s="59">
        <f t="shared" si="208"/>
        <v>247.73814704672577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4.9243820057554082</v>
      </c>
      <c r="DG202" s="21">
        <f>EXP(-LN(2)/25)*DG201+(1-EXP(-LN(2)/25))/(LN(2)/25)*Calculateur!DB202*Calculateur!DD202*VLOOKUP('Données projet'!$B$13,Paramètres!$A$1:$I$89,3,0)*0.475*44/12</f>
        <v>1.8941552618630098</v>
      </c>
      <c r="DH202" s="21">
        <f>EXP(-LN(2)/2)*DH201+(1-EXP(-LN(2)/2))/(LN(2)/2)*DB202*DE202*VLOOKUP('Données projet'!$B$13,Paramètres!$A$1:$I$89,3,0)*0.475*44/12</f>
        <v>7.6568160690709516E-17</v>
      </c>
      <c r="DI202" s="22">
        <f t="shared" si="175"/>
        <v>6.8185372676184182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3.177547114319168E-13</v>
      </c>
      <c r="P203" s="13">
        <f t="shared" si="203"/>
        <v>4.1725404435445377E-12</v>
      </c>
      <c r="Q203" s="20">
        <f t="shared" si="162"/>
        <v>7.820597394917325E-12</v>
      </c>
      <c r="R203" s="59">
        <f t="shared" si="191"/>
        <v>293.33333333334116</v>
      </c>
      <c r="S203" s="59">
        <f ca="1">AVERAGE(OFFSET($R$3,0,0,'Données projet'!$E$9+1,1))-AVERAGE(OFFSET($H$3,0,0,'Données projet'!$E$9+1,1))</f>
        <v>287.413090017863</v>
      </c>
      <c r="T203" s="59">
        <f t="shared" si="204"/>
        <v>258.48456031927117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17.580364850827994</v>
      </c>
      <c r="AA203" s="21">
        <f>EXP(-LN(2)/25)*AA202+(1-EXP(-LN(2)/25))/(LN(2)/25)*Calculateur!V203*Calculateur!X203*VLOOKUP('Données projet'!$B$9,Paramètres!$A$1:$I$89,3,0)*0.475*44/12</f>
        <v>2.0881609414553663</v>
      </c>
      <c r="AB203" s="21">
        <f>EXP(-LN(2)/2)*AB202+(1-EXP(-LN(2)/2))/(LN(2)/2)*V203*Y203*VLOOKUP('Données projet'!$B$9,Paramètres!$A$1:$I$89,3,0)*0.475*44/12</f>
        <v>2.046581337636461E-18</v>
      </c>
      <c r="AC203" s="22">
        <f t="shared" si="163"/>
        <v>19.668525792283361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7.9580786405131221E-13</v>
      </c>
      <c r="AJ203" s="13">
        <f>AI203*VLOOKUP('Données projet'!$B$10,Paramètres!$A$1:$I$89,3,0)*VLOOKUP('Données projet'!$B$10,Paramètres!$A$1:$I$89,5,0)</f>
        <v>7.2004695539362725E-13</v>
      </c>
      <c r="AK203" s="13">
        <f t="shared" si="164"/>
        <v>8.5963894794935589E-12</v>
      </c>
      <c r="AL203" s="20">
        <f t="shared" si="165"/>
        <v>1.6226126790761848E-11</v>
      </c>
      <c r="AM203" s="59">
        <f t="shared" si="193"/>
        <v>293.33333333334951</v>
      </c>
      <c r="AN203" s="59">
        <f ca="1">AVERAGE(OFFSET($AM$3,0,0,'Données projet'!$E$10+1,1))-AVERAGE(OFFSET($H$3,0,0,'Données projet'!$E$10+1,1))</f>
        <v>422.10969295064359</v>
      </c>
      <c r="AO203" s="59">
        <f t="shared" si="205"/>
        <v>184.04075143033037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110.07162853136013</v>
      </c>
      <c r="AV203" s="21">
        <f>EXP(-LN(2)/25)*AV202+(1-EXP(-LN(2)/25))/(LN(2)/25)*Calculateur!AQ203*Calculateur!AS203*VLOOKUP('Données projet'!$B$10,Paramètres!$A$1:$I$89,3,0)*0.475*44/12</f>
        <v>16.066580350370462</v>
      </c>
      <c r="AW203" s="21">
        <f>EXP(-LN(2)/2)*AW202+(1-EXP(-LN(2)/2))/(LN(2)/2)*AQ203*AT203*VLOOKUP('Données projet'!$B$10,Paramètres!$A$1:$I$89,3,0)*0.475*44/12</f>
        <v>2.9346759556286562E-2</v>
      </c>
      <c r="AX203" s="21">
        <f t="shared" si="166"/>
        <v>126.16755564128688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-9.1631591203622526E-14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217.61052961346684</v>
      </c>
      <c r="BJ203" s="59">
        <f t="shared" si="206"/>
        <v>180.77145728128608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15.642752926417851</v>
      </c>
      <c r="BQ203" s="21">
        <f>EXP(-LN(2)/25)*BQ202+(1-EXP(-LN(2)/25))/(LN(2)/25)*Calculateur!BL203*Calculateur!BN203*VLOOKUP('Données projet'!$B$11,Paramètres!$A$1:$I$89,3,0)*0.475*44/12</f>
        <v>2.1639294924415551</v>
      </c>
      <c r="BR203" s="21">
        <f>EXP(-LN(2)/2)*BR202+(1-EXP(-LN(2)/2))/(LN(2)/2)*BL203*BO203*VLOOKUP('Données projet'!$B$11,Paramètres!$A$1:$I$89,3,0)*0.475*44/12</f>
        <v>5.6711954702379526E-17</v>
      </c>
      <c r="BS203" s="22">
        <f t="shared" si="169"/>
        <v>17.806682418859406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4.7884896048344674E-14</v>
      </c>
      <c r="CA203" s="13">
        <f t="shared" si="170"/>
        <v>7.8374629847779921E-13</v>
      </c>
      <c r="CB203" s="20">
        <f t="shared" si="171"/>
        <v>1.4484243304663672E-12</v>
      </c>
      <c r="CC203" s="59">
        <f t="shared" si="195"/>
        <v>293.33333333333474</v>
      </c>
      <c r="CD203" s="59">
        <f ca="1">AVERAGE(OFFSET($CC$3,0,0,'Données projet'!$E$12+1,1))-AVERAGE(OFFSET($H$3,0,0,'Données projet'!$E$12+1,1))</f>
        <v>287.72859857368331</v>
      </c>
      <c r="CE203" s="59">
        <f t="shared" si="207"/>
        <v>179.60736986885922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19.014873956734387</v>
      </c>
      <c r="CL203" s="21">
        <f>EXP(-LN(2)/25)*CL202+(1-EXP(-LN(2)/25))/(LN(2)/25)*Calculateur!CG203*Calculateur!CI203*VLOOKUP('Données projet'!$B$12,Paramètres!$A$1:$I$89,3,0)*0.475*44/12</f>
        <v>2.0652475763536629</v>
      </c>
      <c r="CM203" s="21">
        <f>EXP(-LN(2)/2)*CM202+(1-EXP(-LN(2)/2))/(LN(2)/2)*CG203*CJ203*VLOOKUP('Données projet'!$B$12,Paramètres!$A$1:$I$89,3,0)*0.475*44/12</f>
        <v>5.2743754430375743E-14</v>
      </c>
      <c r="CN203" s="22">
        <f t="shared" si="172"/>
        <v>21.080121533088104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243.33915530322201</v>
      </c>
      <c r="CZ203" s="59">
        <f t="shared" si="208"/>
        <v>247.73814704672577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4.8278178781989896</v>
      </c>
      <c r="DG203" s="21">
        <f>EXP(-LN(2)/25)*DG202+(1-EXP(-LN(2)/25))/(LN(2)/25)*Calculateur!DB203*Calculateur!DD203*VLOOKUP('Données projet'!$B$13,Paramètres!$A$1:$I$89,3,0)*0.475*44/12</f>
        <v>1.8423594866180697</v>
      </c>
      <c r="DH203" s="21">
        <f>EXP(-LN(2)/2)*DH202+(1-EXP(-LN(2)/2))/(LN(2)/2)*DB203*DE203*VLOOKUP('Données projet'!$B$13,Paramètres!$A$1:$I$89,3,0)*0.475*44/12</f>
        <v>5.4141865647381944E-17</v>
      </c>
      <c r="DI203" s="22">
        <f t="shared" si="175"/>
        <v>6.670177364817059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1.2855297099408214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1.1303799945549604</v>
      </c>
      <c r="BA205" s="82">
        <f>EXP(LN('Données projet'!B88)/'Données projet'!A88)</f>
        <v>1.2363113100846621</v>
      </c>
      <c r="BV205" s="82">
        <f>EXP(LN('Données projet'!B114)/'Données projet'!A114)</f>
        <v>1.175998897105349</v>
      </c>
      <c r="CQ205" s="82">
        <f>EXP(LN('Données projet'!B140)/'Données projet'!A140)</f>
        <v>1.3208724756526424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3203125" defaultRowHeight="14.4" x14ac:dyDescent="0.3"/>
  <cols>
    <col min="1" max="1" width="23.33203125" style="4" bestFit="1" customWidth="1"/>
    <col min="2" max="2" width="27.7773437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77734375" style="4" bestFit="1" customWidth="1"/>
    <col min="7" max="7" width="11.33203125" style="4" bestFit="1" customWidth="1"/>
    <col min="8" max="8" width="39" style="4" bestFit="1" customWidth="1"/>
    <col min="9" max="9" width="16.77734375" style="4" customWidth="1"/>
    <col min="10" max="14" width="11.33203125" style="4"/>
    <col min="15" max="15" width="23.33203125" style="4" bestFit="1" customWidth="1"/>
    <col min="16" max="16384" width="11.332031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4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5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4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6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6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5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4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5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F4" zoomScaleNormal="100" workbookViewId="0">
      <selection activeCell="L16" sqref="L16"/>
    </sheetView>
  </sheetViews>
  <sheetFormatPr baseColWidth="10" defaultColWidth="11.33203125" defaultRowHeight="14.4" x14ac:dyDescent="0.3"/>
  <cols>
    <col min="1" max="1" width="22.77734375" style="1" bestFit="1" customWidth="1"/>
    <col min="2" max="2" width="10.6640625" style="1" bestFit="1" customWidth="1"/>
    <col min="3" max="3" width="15.6640625" style="1" bestFit="1" customWidth="1"/>
    <col min="4" max="4" width="13.33203125" style="1" bestFit="1" customWidth="1"/>
    <col min="5" max="8" width="11.33203125" style="1"/>
    <col min="9" max="13" width="11.33203125" style="62"/>
    <col min="14" max="15" width="11.33203125" style="1"/>
    <col min="16" max="17" width="13.33203125" style="1" customWidth="1"/>
    <col min="18" max="16384" width="11.332031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5" t="s">
        <v>271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7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2.6946428571428567</v>
      </c>
      <c r="C6" s="147">
        <f ca="1">IF(OR('Données projet'!B9="",'Données projet'!C9="",'Données projet'!C9=0%),0,Calculateur!S3)</f>
        <v>287.413090017863</v>
      </c>
      <c r="D6" s="147">
        <f>IF(OR('Données projet'!B9="",'Données projet'!C9="",'Données projet'!C9=0%),0,Calculateur!T3)</f>
        <v>258.48456031927117</v>
      </c>
      <c r="E6" s="147">
        <f ca="1">MIN(C6,D6)</f>
        <v>258.48456031927117</v>
      </c>
      <c r="F6" s="147">
        <f ca="1">E6*B6</f>
        <v>696.52357414603591</v>
      </c>
      <c r="G6" s="147">
        <f ca="1">F6*(100%-'Données projet'!$C$24)*(100%-'Données projet'!$C$25)*(100%-'Données projet'!$C$26)*(100%-'Données projet'!$C$27)</f>
        <v>626.87121673143236</v>
      </c>
      <c r="H6" s="148">
        <f>IF(OR('Données projet'!B9="",'Données projet'!C9="",'Données projet'!C9=0%),0,AVERAGE(Calculateur!$AC$3:$AC$33)*B6)</f>
        <v>24.650646951396464</v>
      </c>
      <c r="I6" s="149">
        <f>H6*(100%-'Données projet'!$C$24)*(100%-'Données projet'!$C$25)*(100%-'Données projet'!$C$26)*(100%-'Données projet'!$C$27)</f>
        <v>22.185582256256819</v>
      </c>
      <c r="J6" s="150">
        <f>IF(OR('Données projet'!B9="",'Données projet'!C9="",'Données projet'!C9=0%),0,SUM(Calculateur!$V$3:$V$33)*VLOOKUP('Données projet'!$B$9,Paramètres!$A$1:$I$89,9,0)*B6)</f>
        <v>153.22601571428567</v>
      </c>
      <c r="K6" s="151">
        <f>J6*(100%-'Données projet'!$C$24)*(100%-'Données projet'!$C$25)*(100%-'Données projet'!$C$26)*(100%-'Données projet'!$C$27)</f>
        <v>137.90341414285712</v>
      </c>
      <c r="L6" s="152">
        <f ca="1">G6+I6+K6</f>
        <v>786.96021313054621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2.1017857142857141</v>
      </c>
      <c r="C7" s="147">
        <f ca="1">IF(OR('Données projet'!B10="",'Données projet'!C10="",'Données projet'!C10=0%),0,Calculateur!AN3)</f>
        <v>422.10969295064359</v>
      </c>
      <c r="D7" s="147">
        <f>IF(OR('Données projet'!B10="",'Données projet'!C10="",'Données projet'!C10=0%),0,Calculateur!AO3)</f>
        <v>184.04075143033037</v>
      </c>
      <c r="E7" s="147">
        <f t="shared" ref="E7:E15" ca="1" si="0">MIN(C7,D7)</f>
        <v>184.04075143033037</v>
      </c>
      <c r="F7" s="147">
        <f t="shared" ref="F7:F15" ca="1" si="1">E7*B7</f>
        <v>386.81422220267649</v>
      </c>
      <c r="G7" s="147">
        <f ca="1">F7*(100%-'Données projet'!$C$24)*(100%-'Données projet'!$C$25)*(100%-'Données projet'!$C$26)*(100%-'Données projet'!$C$27)</f>
        <v>348.13279998240887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348.13279998240887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Thuya géant</v>
      </c>
      <c r="B8" s="154">
        <f>'Données projet'!D11</f>
        <v>1.4249999999999998</v>
      </c>
      <c r="C8" s="147">
        <f ca="1">IF(OR('Données projet'!B11="",'Données projet'!C11="",'Données projet'!C11=0%),0,Calculateur!BI3)</f>
        <v>217.61052961346684</v>
      </c>
      <c r="D8" s="147">
        <f>IF(OR('Données projet'!B11="",'Données projet'!C11="",'Données projet'!C11=0%),0,Calculateur!BJ3)</f>
        <v>180.77145728128608</v>
      </c>
      <c r="E8" s="147">
        <f t="shared" ca="1" si="0"/>
        <v>180.77145728128608</v>
      </c>
      <c r="F8" s="147">
        <f t="shared" ca="1" si="1"/>
        <v>257.59932662583265</v>
      </c>
      <c r="G8" s="147">
        <f ca="1">F8*(100%-'Données projet'!$C$24)*(100%-'Données projet'!$C$25)*(100%-'Données projet'!$C$26)*(100%-'Données projet'!$C$27)</f>
        <v>231.83939396324939</v>
      </c>
      <c r="H8" s="155">
        <f>IF(OR('Données projet'!B11="",'Données projet'!C11="",'Données projet'!C11=0%),0,AVERAGE(Calculateur!$BS$3:$BS$33)*B8)</f>
        <v>3.897938141437074</v>
      </c>
      <c r="I8" s="149">
        <f>H8*(100%-'Données projet'!$C$24)*(100%-'Données projet'!$C$25)*(100%-'Données projet'!$C$26)*(100%-'Données projet'!$C$27)</f>
        <v>3.5081443272933668</v>
      </c>
      <c r="J8" s="150">
        <f>IF(OR('Données projet'!B11="",'Données projet'!C11="",'Données projet'!C11=0%),0,SUM(Calculateur!$BL$3:$BL$33)*VLOOKUP('Données projet'!$B$11,Paramètres!$A$1:$I$89,9,0)*B8)</f>
        <v>60.049499999999995</v>
      </c>
      <c r="K8" s="151">
        <f>J8*(100%-'Données projet'!$C$24)*(100%-'Données projet'!$C$25)*(100%-'Données projet'!$C$26)*(100%-'Données projet'!$C$27)</f>
        <v>54.044549999999994</v>
      </c>
      <c r="L8" s="152">
        <f t="shared" ca="1" si="2"/>
        <v>289.39208829054274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pédonculé</v>
      </c>
      <c r="B9" s="154">
        <f>'Données projet'!D12</f>
        <v>1.4285714285714286</v>
      </c>
      <c r="C9" s="147">
        <f ca="1">IF(OR('Données projet'!B12="",'Données projet'!C12="",'Données projet'!C12=0%),0,Calculateur!CD3)</f>
        <v>287.72859857368331</v>
      </c>
      <c r="D9" s="147">
        <f>IF(OR('Données projet'!B12="",'Données projet'!C12="",'Données projet'!C12=0%),0,Calculateur!CE3)</f>
        <v>179.60736986885922</v>
      </c>
      <c r="E9" s="147">
        <f t="shared" ca="1" si="0"/>
        <v>179.60736986885922</v>
      </c>
      <c r="F9" s="147">
        <f t="shared" ca="1" si="1"/>
        <v>256.58195695551319</v>
      </c>
      <c r="G9" s="147">
        <f ca="1">F9*(100%-'Données projet'!$C$24)*(100%-'Données projet'!$C$25)*(100%-'Données projet'!$C$26)*(100%-'Données projet'!$C$27)</f>
        <v>230.92376125996188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230.92376125996188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Erable sycomore</v>
      </c>
      <c r="B10" s="154">
        <f>'Données projet'!D13</f>
        <v>0.95</v>
      </c>
      <c r="C10" s="147">
        <f ca="1">IF(OR('Données projet'!B13="",'Données projet'!C13="",'Données projet'!C13=0%),0,Calculateur!CY3)</f>
        <v>243.33915530322201</v>
      </c>
      <c r="D10" s="147">
        <f>IF(OR('Données projet'!B13="",'Données projet'!C13="",'Données projet'!C13=0%),0,Calculateur!CZ3)</f>
        <v>247.73814704672577</v>
      </c>
      <c r="E10" s="147">
        <f t="shared" ca="1" si="0"/>
        <v>243.33915530322201</v>
      </c>
      <c r="F10" s="147">
        <f t="shared" ca="1" si="1"/>
        <v>231.17219753806091</v>
      </c>
      <c r="G10" s="147">
        <f ca="1">F10*(100%-'Données projet'!$C$24)*(100%-'Données projet'!$C$25)*(100%-'Données projet'!$C$26)*(100%-'Données projet'!$C$27)</f>
        <v>208.05497778425482</v>
      </c>
      <c r="H10" s="155">
        <f>IF(OR('Données projet'!B13="",'Données projet'!C13="",'Données projet'!C13=0%),0,AVERAGE(Calculateur!$DI$3:$DI$33)*B10)</f>
        <v>5.7360930400775123</v>
      </c>
      <c r="I10" s="149">
        <f>H10*(100%-'Données projet'!$C$24)*(100%-'Données projet'!$C$25)*(100%-'Données projet'!$C$26)*(100%-'Données projet'!$C$27)</f>
        <v>5.1624837360697615</v>
      </c>
      <c r="J10" s="150">
        <f>IF(OR('Données projet'!B13="",'Données projet'!C13="",'Données projet'!C13=0%),0,SUM(Calculateur!$DB$3:$DB$33)*VLOOKUP('Données projet'!$B$13,Paramètres!$A$1:$I$89,9,0)*B10)</f>
        <v>32.537500000000001</v>
      </c>
      <c r="K10" s="151">
        <f>J10*(100%-'Données projet'!$C$24)*(100%-'Données projet'!$C$25)*(100%-'Données projet'!$C$26)*(100%-'Données projet'!$C$27)</f>
        <v>29.283750000000001</v>
      </c>
      <c r="L10" s="152">
        <f t="shared" ca="1" si="2"/>
        <v>242.50121152032457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1828.6912774681191</v>
      </c>
      <c r="G16" s="166">
        <f t="shared" ca="1" si="3"/>
        <v>1645.8221497213071</v>
      </c>
      <c r="H16" s="167">
        <f t="shared" si="3"/>
        <v>34.284678132911047</v>
      </c>
      <c r="I16" s="167">
        <f t="shared" si="3"/>
        <v>30.856210319619947</v>
      </c>
      <c r="J16" s="168">
        <f t="shared" si="3"/>
        <v>245.81301571428565</v>
      </c>
      <c r="K16" s="168">
        <f t="shared" si="3"/>
        <v>221.2317141428571</v>
      </c>
      <c r="L16" s="169">
        <f t="shared" ca="1" si="3"/>
        <v>1897.9100741837842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7" t="s">
        <v>246</v>
      </c>
      <c r="G17" s="288"/>
      <c r="H17" s="288"/>
      <c r="I17" s="288"/>
      <c r="J17" s="288"/>
      <c r="K17" s="288"/>
      <c r="L17" s="288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4"/>
      <c r="G18" s="274"/>
      <c r="H18" s="274"/>
      <c r="I18" s="274"/>
      <c r="J18" s="274"/>
      <c r="K18" s="274"/>
      <c r="L18" s="274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Thuya géant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pédonculé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C1" zoomScale="70" zoomScaleNormal="70" workbookViewId="0">
      <selection activeCell="J21" sqref="J21"/>
    </sheetView>
  </sheetViews>
  <sheetFormatPr baseColWidth="10" defaultColWidth="11.33203125" defaultRowHeight="14.4" x14ac:dyDescent="0.3"/>
  <cols>
    <col min="1" max="1" width="11.33203125" style="1"/>
    <col min="2" max="2" width="30.77734375" style="1" bestFit="1" customWidth="1"/>
    <col min="3" max="3" width="18.109375" style="1" bestFit="1" customWidth="1"/>
    <col min="4" max="5" width="11.33203125" style="1"/>
    <col min="6" max="6" width="14" style="1" customWidth="1"/>
    <col min="7" max="7" width="17.6640625" style="1" customWidth="1"/>
    <col min="8" max="8" width="21.77734375" style="1" customWidth="1"/>
    <col min="9" max="9" width="37" style="1" customWidth="1"/>
    <col min="10" max="10" width="11.33203125" style="1"/>
    <col min="11" max="11" width="8.77734375" style="1" customWidth="1"/>
    <col min="12" max="12" width="11.33203125" style="1"/>
    <col min="13" max="13" width="21" style="1" customWidth="1"/>
    <col min="14" max="16" width="11.33203125" style="1"/>
    <col min="17" max="17" width="8" style="1" customWidth="1"/>
    <col min="18" max="18" width="11.33203125" style="1"/>
    <col min="19" max="19" width="31" style="1" customWidth="1"/>
    <col min="20" max="20" width="18.109375" style="1" customWidth="1"/>
    <col min="21" max="21" width="16.33203125" style="1" customWidth="1"/>
    <col min="22" max="22" width="17.77734375" style="1" customWidth="1"/>
    <col min="23" max="16384" width="11.332031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5" t="s">
        <v>272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5" t="s">
        <v>315</v>
      </c>
      <c r="I4" s="265"/>
      <c r="K4" s="289" t="s">
        <v>253</v>
      </c>
      <c r="L4" s="290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9" t="s">
        <v>310</v>
      </c>
      <c r="S7" s="300"/>
      <c r="T7" s="300"/>
      <c r="U7" s="300"/>
      <c r="V7" s="30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4278.3425953401147</v>
      </c>
      <c r="U10" s="178">
        <f>'Données projet'!D9</f>
        <v>2.6946428571428567</v>
      </c>
      <c r="V10" s="177">
        <f>U10*T10</f>
        <v>11528.605314943272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612.40081013496183</v>
      </c>
      <c r="U11" s="178">
        <f>'Données projet'!D10</f>
        <v>2.1017857142857141</v>
      </c>
      <c r="V11" s="177">
        <f t="shared" ref="V11" si="0">U11*T11</f>
        <v>1287.1352741586606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Thuya géant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2411.2111026981388</v>
      </c>
      <c r="U12" s="178">
        <f>'Données projet'!D11</f>
        <v>1.4249999999999998</v>
      </c>
      <c r="V12" s="177">
        <f t="shared" ref="V12:V19" si="1">U12*T12</f>
        <v>3435.9758213448472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pédonculé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2829.9146750009813</v>
      </c>
      <c r="U13" s="178">
        <f>'Données projet'!D12</f>
        <v>1.4285714285714286</v>
      </c>
      <c r="V13" s="177">
        <f t="shared" si="1"/>
        <v>4042.7352500014022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1292.2930758010384</v>
      </c>
      <c r="U14" s="178">
        <f>'Données projet'!D13</f>
        <v>0.95</v>
      </c>
      <c r="V14" s="177">
        <f t="shared" si="1"/>
        <v>1227.6784220109864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2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2"/>
      <c r="H16" s="190"/>
      <c r="I16" s="191"/>
      <c r="J16" s="202"/>
      <c r="K16" s="208"/>
      <c r="L16" s="289" t="s">
        <v>254</v>
      </c>
      <c r="M16" s="290"/>
      <c r="N16" s="2">
        <v>65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2"/>
      <c r="J17" s="202"/>
      <c r="K17" s="208"/>
      <c r="L17" s="262" t="s">
        <v>289</v>
      </c>
      <c r="M17" s="264"/>
      <c r="N17" s="175">
        <f>VLOOKUP(N16,Calculateur!$A$2:$H$153,3,0)/VLOOKUP('Scénario référence'!$G$15,Paramètres!A1:I89,3,0)/VLOOKUP('Scénario référence'!$G$15,Paramètres!A1:I89,5,0)</f>
        <v>65.000000000000071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2"/>
      <c r="J18" s="202"/>
      <c r="K18" s="208"/>
      <c r="L18" s="262" t="s">
        <v>255</v>
      </c>
      <c r="M18" s="264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2"/>
      <c r="H19" s="212" t="s">
        <v>178</v>
      </c>
      <c r="I19" s="212" t="s">
        <v>287</v>
      </c>
      <c r="J19" s="93"/>
      <c r="K19" s="173"/>
      <c r="L19" s="289" t="s">
        <v>288</v>
      </c>
      <c r="M19" s="290"/>
      <c r="N19" s="179">
        <f>N17*N18</f>
        <v>975.00000000000102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2"/>
      <c r="H20" s="190">
        <v>1</v>
      </c>
      <c r="I20" s="191">
        <f>(12303.9+18674.82+6034.02+17458)/'Données projet'!C5</f>
        <v>6333.8069767441866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(2150+1152.5)/'Données projet'!C5</f>
        <v>384.01162790697674</v>
      </c>
      <c r="J21" s="259">
        <f>+SUM(I20:I25)*'Données projet'!C5</f>
        <v>66373.240000000005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(2150)/'Données projet'!C5</f>
        <v>250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21</v>
      </c>
      <c r="B23" s="181">
        <f>'Données projet'!D36</f>
        <v>64.599999999999994</v>
      </c>
      <c r="C23" s="193">
        <v>10.9375</v>
      </c>
      <c r="D23" s="182">
        <f>B23*C23</f>
        <v>706.56249999999989</v>
      </c>
      <c r="E23" s="193">
        <v>60</v>
      </c>
      <c r="F23" s="230"/>
      <c r="H23" s="190">
        <v>4</v>
      </c>
      <c r="I23" s="191">
        <f>(2150)/'Données projet'!C5</f>
        <v>250</v>
      </c>
      <c r="K23" s="208"/>
      <c r="L23" s="291" t="s">
        <v>260</v>
      </c>
      <c r="M23" s="291"/>
      <c r="N23" s="291"/>
      <c r="O23" s="23"/>
      <c r="P23" s="23"/>
      <c r="Q23" s="234"/>
      <c r="R23" s="23"/>
      <c r="S23" s="36" t="s">
        <v>264</v>
      </c>
      <c r="T23" s="30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-40690.368304067175</v>
      </c>
      <c r="U23" s="304"/>
      <c r="V23" s="30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28</v>
      </c>
      <c r="B24" s="181">
        <f>'Données projet'!D37</f>
        <v>67.639999999999986</v>
      </c>
      <c r="C24" s="193">
        <v>10.9375</v>
      </c>
      <c r="D24" s="182">
        <f t="shared" ref="D24:D42" si="2">B24*C24</f>
        <v>739.81249999999989</v>
      </c>
      <c r="E24" s="193">
        <v>60</v>
      </c>
      <c r="F24" s="233"/>
      <c r="H24" s="190">
        <v>5</v>
      </c>
      <c r="I24" s="191">
        <f>(2150)/'Données projet'!C5</f>
        <v>250</v>
      </c>
      <c r="K24" s="208"/>
      <c r="O24" s="23"/>
      <c r="P24" s="23"/>
      <c r="Q24" s="234"/>
      <c r="R24" s="23"/>
      <c r="S24" s="36" t="s">
        <v>261</v>
      </c>
      <c r="T24" s="305">
        <f ca="1">'Scénario référence'!$B$8*$M$30*'Données projet'!$C$5+('Scénario référence'!B9+'Scénario référence'!B10+'Scénario référence'!F8+'Scénario référence'!F9)*$N$19/(1+M4)^N16*'Données projet'!$C$5</f>
        <v>479.67180102107272</v>
      </c>
      <c r="U24" s="305"/>
      <c r="V24" s="30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35</v>
      </c>
      <c r="B25" s="181">
        <f>'Données projet'!D38</f>
        <v>86.700000000000045</v>
      </c>
      <c r="C25" s="193">
        <v>41.5</v>
      </c>
      <c r="D25" s="182">
        <f t="shared" si="2"/>
        <v>3598.050000000002</v>
      </c>
      <c r="E25" s="193">
        <v>60</v>
      </c>
      <c r="F25" s="233"/>
      <c r="H25" s="190">
        <v>6</v>
      </c>
      <c r="I25" s="191">
        <f>(2150)/'Données projet'!C5</f>
        <v>250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6">
        <f ca="1">T23-T24</f>
        <v>-41170.04010508825</v>
      </c>
      <c r="U25" s="306"/>
      <c r="V25" s="30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42</v>
      </c>
      <c r="B26" s="181">
        <f>'Données projet'!D39</f>
        <v>100.04000000000002</v>
      </c>
      <c r="C26" s="193">
        <v>41.5</v>
      </c>
      <c r="D26" s="182">
        <f t="shared" si="2"/>
        <v>4151.6600000000008</v>
      </c>
      <c r="E26" s="193">
        <v>60</v>
      </c>
      <c r="F26" s="233"/>
      <c r="G26" s="229"/>
      <c r="H26" s="190"/>
      <c r="I26" s="191"/>
      <c r="K26" s="208"/>
      <c r="L26" s="293" t="s">
        <v>258</v>
      </c>
      <c r="M26" s="294"/>
      <c r="N26" s="294"/>
      <c r="O26" s="294"/>
      <c r="P26" s="295"/>
      <c r="Q26" s="234"/>
      <c r="R26" s="23"/>
      <c r="S26" s="186" t="s">
        <v>265</v>
      </c>
      <c r="T26" s="303" t="str">
        <f ca="1">IF(T25&lt;0,"Votre projet est additionnel","Votre projet n'est pas additionnel")</f>
        <v>Votre projet est additionnel</v>
      </c>
      <c r="U26" s="303"/>
      <c r="V26" s="303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49</v>
      </c>
      <c r="B27" s="181">
        <f>'Données projet'!D40</f>
        <v>112.69999999999999</v>
      </c>
      <c r="C27" s="193">
        <v>41.5</v>
      </c>
      <c r="D27" s="182">
        <f t="shared" si="2"/>
        <v>4677.0499999999993</v>
      </c>
      <c r="E27" s="193">
        <v>60</v>
      </c>
      <c r="F27" s="233"/>
      <c r="G27" s="229"/>
      <c r="H27" s="190"/>
      <c r="I27" s="191"/>
      <c r="K27" s="208"/>
      <c r="L27" s="296"/>
      <c r="M27" s="297"/>
      <c r="N27" s="297"/>
      <c r="O27" s="297"/>
      <c r="P27" s="298"/>
      <c r="Q27" s="234"/>
      <c r="R27" s="23"/>
      <c r="S27" s="302" t="s">
        <v>267</v>
      </c>
      <c r="T27" s="302"/>
      <c r="U27" s="302"/>
      <c r="V27" s="302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56</v>
      </c>
      <c r="B28" s="181">
        <f>'Données projet'!D41</f>
        <v>94.669999999999959</v>
      </c>
      <c r="C28" s="193">
        <v>41.5</v>
      </c>
      <c r="D28" s="182">
        <f t="shared" si="2"/>
        <v>3928.8049999999985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63</v>
      </c>
      <c r="B29" s="181">
        <f>'Données projet'!D42</f>
        <v>99.599999999999966</v>
      </c>
      <c r="C29" s="193">
        <v>41.5</v>
      </c>
      <c r="D29" s="182">
        <f t="shared" si="2"/>
        <v>4133.3999999999987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70</v>
      </c>
      <c r="B30" s="181">
        <f>'Données projet'!D43</f>
        <v>586.86</v>
      </c>
      <c r="C30" s="193">
        <v>48.5</v>
      </c>
      <c r="D30" s="182">
        <f t="shared" si="2"/>
        <v>28462.71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42</v>
      </c>
      <c r="B54" s="181">
        <f>'Données projet'!D62</f>
        <v>44.510000000000005</v>
      </c>
      <c r="C54" s="191">
        <v>12.5</v>
      </c>
      <c r="D54" s="179">
        <f>B54*C54</f>
        <v>556.37500000000011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50</v>
      </c>
      <c r="B55" s="181">
        <f>'Données projet'!D63</f>
        <v>37.54000000000002</v>
      </c>
      <c r="C55" s="191">
        <v>12.5</v>
      </c>
      <c r="D55" s="179">
        <f t="shared" ref="D55:D73" si="4">B55*C55</f>
        <v>469.25000000000023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58</v>
      </c>
      <c r="B56" s="181">
        <f>'Données projet'!D64</f>
        <v>47.789999999999992</v>
      </c>
      <c r="C56" s="191">
        <v>12.5</v>
      </c>
      <c r="D56" s="179">
        <f t="shared" si="4"/>
        <v>597.37499999999989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66</v>
      </c>
      <c r="B57" s="181">
        <f>'Données projet'!D65</f>
        <v>53.679999999999978</v>
      </c>
      <c r="C57" s="191">
        <v>45.375</v>
      </c>
      <c r="D57" s="179">
        <f t="shared" si="4"/>
        <v>2435.7299999999991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74</v>
      </c>
      <c r="B58" s="181">
        <f>'Données projet'!D66</f>
        <v>51.339999999999975</v>
      </c>
      <c r="C58" s="191">
        <v>45.375</v>
      </c>
      <c r="D58" s="179">
        <f t="shared" si="4"/>
        <v>2329.5524999999989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84</v>
      </c>
      <c r="B59" s="181">
        <f>'Données projet'!D67</f>
        <v>66.69</v>
      </c>
      <c r="C59" s="191">
        <v>45.375</v>
      </c>
      <c r="D59" s="179">
        <f t="shared" si="4"/>
        <v>3026.0587499999997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94</v>
      </c>
      <c r="B60" s="181">
        <f>'Données projet'!D68</f>
        <v>67.350000000000023</v>
      </c>
      <c r="C60" s="191">
        <v>45.375</v>
      </c>
      <c r="D60" s="179">
        <f t="shared" si="4"/>
        <v>3056.0062500000008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104</v>
      </c>
      <c r="B61" s="181">
        <f>'Données projet'!D69</f>
        <v>66.089999999999975</v>
      </c>
      <c r="C61" s="191">
        <v>45.375</v>
      </c>
      <c r="D61" s="179">
        <f t="shared" si="4"/>
        <v>2998.8337499999989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114</v>
      </c>
      <c r="B62" s="181">
        <f>'Données projet'!D70</f>
        <v>61.860000000000014</v>
      </c>
      <c r="C62" s="191">
        <v>45.375</v>
      </c>
      <c r="D62" s="179">
        <f t="shared" si="4"/>
        <v>2806.8975000000005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124</v>
      </c>
      <c r="B63" s="181">
        <f>'Données projet'!D71</f>
        <v>57.81</v>
      </c>
      <c r="C63" s="191">
        <v>45.375</v>
      </c>
      <c r="D63" s="179">
        <f t="shared" si="4"/>
        <v>2623.1287500000003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134</v>
      </c>
      <c r="B64" s="181">
        <f>'Données projet'!D72</f>
        <v>60.779999999999973</v>
      </c>
      <c r="C64" s="191">
        <v>138</v>
      </c>
      <c r="D64" s="179">
        <f t="shared" si="4"/>
        <v>8387.6399999999958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144</v>
      </c>
      <c r="B65" s="181">
        <f>'Données projet'!D73</f>
        <v>61.800000000000068</v>
      </c>
      <c r="C65" s="191">
        <v>138</v>
      </c>
      <c r="D65" s="179">
        <f t="shared" si="4"/>
        <v>8528.4000000000087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154</v>
      </c>
      <c r="B66" s="181">
        <f>'Données projet'!D74</f>
        <v>61.050000000000011</v>
      </c>
      <c r="C66" s="191">
        <v>138</v>
      </c>
      <c r="D66" s="179">
        <f t="shared" si="4"/>
        <v>8424.9000000000015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164</v>
      </c>
      <c r="B67" s="181">
        <f>'Données projet'!D75</f>
        <v>66.020000000000095</v>
      </c>
      <c r="C67" s="191">
        <v>138</v>
      </c>
      <c r="D67" s="179">
        <f t="shared" si="4"/>
        <v>9110.760000000013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174</v>
      </c>
      <c r="B68" s="181">
        <f>'Données projet'!D76</f>
        <v>240</v>
      </c>
      <c r="C68" s="191">
        <v>156.375</v>
      </c>
      <c r="D68" s="179">
        <f t="shared" si="4"/>
        <v>37530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177</v>
      </c>
      <c r="B69" s="181">
        <f>'Données projet'!D77</f>
        <v>128.66000000000003</v>
      </c>
      <c r="C69" s="191">
        <v>156.375</v>
      </c>
      <c r="D69" s="179">
        <f t="shared" si="4"/>
        <v>20119.207500000004</v>
      </c>
      <c r="E69" s="193">
        <v>60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180</v>
      </c>
      <c r="B70" s="181">
        <f>'Données projet'!D78</f>
        <v>86.97</v>
      </c>
      <c r="C70" s="191">
        <v>156.375</v>
      </c>
      <c r="D70" s="179">
        <f t="shared" si="4"/>
        <v>13599.93375</v>
      </c>
      <c r="E70" s="193">
        <v>60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183</v>
      </c>
      <c r="B71" s="181">
        <f>'Données projet'!D79</f>
        <v>191.47</v>
      </c>
      <c r="C71" s="191">
        <v>156.375</v>
      </c>
      <c r="D71" s="179">
        <f t="shared" si="4"/>
        <v>29941.12125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Thuya géant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25</v>
      </c>
      <c r="B85" s="181">
        <f>'Données projet'!D88</f>
        <v>42</v>
      </c>
      <c r="C85" s="191">
        <v>10.9375</v>
      </c>
      <c r="D85" s="179">
        <f>B85*C85</f>
        <v>459.375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56</v>
      </c>
      <c r="C86" s="191">
        <v>10.9375</v>
      </c>
      <c r="D86" s="179">
        <f t="shared" ref="D86:D104" si="6">B86*C86</f>
        <v>612.5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35</v>
      </c>
      <c r="B87" s="181">
        <f>'Données projet'!D90</f>
        <v>56</v>
      </c>
      <c r="C87" s="191">
        <v>10.9375</v>
      </c>
      <c r="D87" s="179">
        <f t="shared" si="6"/>
        <v>612.5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40</v>
      </c>
      <c r="B88" s="181">
        <f>'Données projet'!D91</f>
        <v>56</v>
      </c>
      <c r="C88" s="191">
        <v>10.9375</v>
      </c>
      <c r="D88" s="179">
        <f t="shared" si="6"/>
        <v>612.5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45</v>
      </c>
      <c r="B89" s="181">
        <f>'Données projet'!D92</f>
        <v>56</v>
      </c>
      <c r="C89" s="191">
        <v>10.9375</v>
      </c>
      <c r="D89" s="179">
        <f t="shared" si="6"/>
        <v>612.5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50</v>
      </c>
      <c r="B90" s="181">
        <f>'Données projet'!D93</f>
        <v>56</v>
      </c>
      <c r="C90" s="191">
        <v>45</v>
      </c>
      <c r="D90" s="179">
        <f t="shared" si="6"/>
        <v>2520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55</v>
      </c>
      <c r="B91" s="181">
        <f>'Données projet'!D94</f>
        <v>56</v>
      </c>
      <c r="C91" s="191">
        <v>45</v>
      </c>
      <c r="D91" s="179">
        <f t="shared" si="6"/>
        <v>2520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60</v>
      </c>
      <c r="B92" s="181">
        <f>'Données projet'!D95</f>
        <v>50</v>
      </c>
      <c r="C92" s="191">
        <v>45</v>
      </c>
      <c r="D92" s="179">
        <f t="shared" si="6"/>
        <v>2250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65</v>
      </c>
      <c r="B93" s="181">
        <f>'Données projet'!D96</f>
        <v>44</v>
      </c>
      <c r="C93" s="191">
        <v>45</v>
      </c>
      <c r="D93" s="179">
        <f t="shared" si="6"/>
        <v>1980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70</v>
      </c>
      <c r="B94" s="181">
        <f>'Données projet'!D97</f>
        <v>41</v>
      </c>
      <c r="C94" s="191">
        <v>45</v>
      </c>
      <c r="D94" s="179">
        <f t="shared" si="6"/>
        <v>1845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75</v>
      </c>
      <c r="B95" s="181">
        <f>'Données projet'!D98</f>
        <v>39</v>
      </c>
      <c r="C95" s="191">
        <v>45</v>
      </c>
      <c r="D95" s="179">
        <f t="shared" si="6"/>
        <v>1755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80</v>
      </c>
      <c r="B96" s="181">
        <f>'Données projet'!D99</f>
        <v>708</v>
      </c>
      <c r="C96" s="191">
        <v>45</v>
      </c>
      <c r="D96" s="179">
        <f t="shared" si="6"/>
        <v>31860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pédonculé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31</v>
      </c>
      <c r="B116" s="181">
        <f>'Données projet'!D114</f>
        <v>65.77000000000001</v>
      </c>
      <c r="C116" s="191">
        <v>12.5</v>
      </c>
      <c r="D116" s="179">
        <f>B116*C116</f>
        <v>822.12500000000011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37</v>
      </c>
      <c r="B117" s="181">
        <f>'Données projet'!D115</f>
        <v>43.890000000000015</v>
      </c>
      <c r="C117" s="191">
        <v>12.5</v>
      </c>
      <c r="D117" s="179">
        <f t="shared" ref="D117:D135" si="8">B117*C117</f>
        <v>548.62500000000023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44</v>
      </c>
      <c r="B118" s="181">
        <f>'Données projet'!D116</f>
        <v>56.45999999999998</v>
      </c>
      <c r="C118" s="191">
        <v>45.375</v>
      </c>
      <c r="D118" s="179">
        <f t="shared" si="8"/>
        <v>2561.872499999999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51</v>
      </c>
      <c r="B119" s="181">
        <f>'Données projet'!D117</f>
        <v>55.400000000000006</v>
      </c>
      <c r="C119" s="191">
        <v>45.375</v>
      </c>
      <c r="D119" s="179">
        <f t="shared" si="8"/>
        <v>2513.7750000000001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58</v>
      </c>
      <c r="B120" s="181">
        <f>'Données projet'!D118</f>
        <v>53.97</v>
      </c>
      <c r="C120" s="191">
        <v>45.375</v>
      </c>
      <c r="D120" s="179">
        <f t="shared" si="8"/>
        <v>2448.8887500000001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65</v>
      </c>
      <c r="B121" s="181">
        <f>'Données projet'!D119</f>
        <v>56.629999999999995</v>
      </c>
      <c r="C121" s="191">
        <v>45.375</v>
      </c>
      <c r="D121" s="179">
        <f t="shared" si="8"/>
        <v>2569.5862499999998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72</v>
      </c>
      <c r="B122" s="181">
        <f>'Données projet'!D120</f>
        <v>66.109999999999957</v>
      </c>
      <c r="C122" s="191">
        <v>45.375</v>
      </c>
      <c r="D122" s="179">
        <f t="shared" si="8"/>
        <v>2999.7412499999982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81</v>
      </c>
      <c r="B123" s="181">
        <f>'Données projet'!D121</f>
        <v>87.399999999999977</v>
      </c>
      <c r="C123" s="191">
        <v>138</v>
      </c>
      <c r="D123" s="179">
        <f t="shared" si="8"/>
        <v>12061.199999999997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90</v>
      </c>
      <c r="B124" s="181">
        <f>'Données projet'!D122</f>
        <v>88.75</v>
      </c>
      <c r="C124" s="191">
        <v>138</v>
      </c>
      <c r="D124" s="179">
        <f t="shared" si="8"/>
        <v>12247.5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99</v>
      </c>
      <c r="B125" s="181">
        <f>'Données projet'!D123</f>
        <v>226.42000000000002</v>
      </c>
      <c r="C125" s="191">
        <v>156.375</v>
      </c>
      <c r="D125" s="179">
        <f t="shared" si="8"/>
        <v>35406.427500000005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101</v>
      </c>
      <c r="B126" s="181">
        <f>'Données projet'!D124</f>
        <v>82.539999999999992</v>
      </c>
      <c r="C126" s="191">
        <v>156.375</v>
      </c>
      <c r="D126" s="179">
        <f t="shared" si="8"/>
        <v>12907.192499999999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103</v>
      </c>
      <c r="B127" s="181">
        <f>'Données projet'!D125</f>
        <v>58.600000000000009</v>
      </c>
      <c r="C127" s="191">
        <v>156.375</v>
      </c>
      <c r="D127" s="179">
        <f t="shared" si="8"/>
        <v>9163.5750000000007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106</v>
      </c>
      <c r="B128" s="181">
        <f>'Données projet'!D126</f>
        <v>131.46</v>
      </c>
      <c r="C128" s="191">
        <v>156.375</v>
      </c>
      <c r="D128" s="179">
        <f t="shared" si="8"/>
        <v>20557.057500000003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5">
        <f>'Données projet'!D140</f>
        <v>32</v>
      </c>
      <c r="C147" s="191">
        <v>11.25</v>
      </c>
      <c r="D147" s="182">
        <f>B147*C147</f>
        <v>360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5">
        <f>'Données projet'!D141</f>
        <v>35</v>
      </c>
      <c r="C148" s="191">
        <v>11.25</v>
      </c>
      <c r="D148" s="182">
        <f>B148*C148</f>
        <v>393.75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5">
        <f>'Données projet'!D142</f>
        <v>35</v>
      </c>
      <c r="C149" s="191">
        <v>11.25</v>
      </c>
      <c r="D149" s="182">
        <f t="shared" ref="D149:D166" si="10">B149*C149</f>
        <v>393.75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5">
        <f>'Données projet'!D143</f>
        <v>35</v>
      </c>
      <c r="C150" s="191">
        <v>18.125</v>
      </c>
      <c r="D150" s="182">
        <f t="shared" si="10"/>
        <v>634.375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5">
        <f>'Données projet'!D144</f>
        <v>35</v>
      </c>
      <c r="C151" s="191">
        <v>18.125</v>
      </c>
      <c r="D151" s="182">
        <f t="shared" si="10"/>
        <v>634.375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5">
        <f>'Données projet'!D145</f>
        <v>35</v>
      </c>
      <c r="C152" s="191">
        <v>18.125</v>
      </c>
      <c r="D152" s="182">
        <f t="shared" si="10"/>
        <v>634.375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5">
        <f>'Données projet'!D146</f>
        <v>24</v>
      </c>
      <c r="C153" s="191">
        <v>18.125</v>
      </c>
      <c r="D153" s="182">
        <f t="shared" si="10"/>
        <v>435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5">
        <f>'Données projet'!D147</f>
        <v>19</v>
      </c>
      <c r="C154" s="191">
        <v>18.125</v>
      </c>
      <c r="D154" s="182">
        <f t="shared" si="10"/>
        <v>344.375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5">
        <f>'Données projet'!D148</f>
        <v>16</v>
      </c>
      <c r="C155" s="191">
        <v>32.1875</v>
      </c>
      <c r="D155" s="182">
        <f t="shared" si="10"/>
        <v>515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5">
        <f>'Données projet'!D149</f>
        <v>14</v>
      </c>
      <c r="C156" s="191">
        <v>32.1875</v>
      </c>
      <c r="D156" s="182">
        <f t="shared" si="10"/>
        <v>450.625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5">
        <f>'Données projet'!D150</f>
        <v>13</v>
      </c>
      <c r="C157" s="191">
        <v>32.1875</v>
      </c>
      <c r="D157" s="182">
        <f t="shared" si="10"/>
        <v>418.4375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70</v>
      </c>
      <c r="B158" s="175">
        <f>'Données projet'!D151</f>
        <v>13</v>
      </c>
      <c r="C158" s="191">
        <v>32.1875</v>
      </c>
      <c r="D158" s="182">
        <f t="shared" si="10"/>
        <v>418.4375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75</v>
      </c>
      <c r="B159" s="175">
        <f>'Données projet'!D152</f>
        <v>12</v>
      </c>
      <c r="C159" s="191">
        <v>32.1875</v>
      </c>
      <c r="D159" s="182">
        <f t="shared" si="10"/>
        <v>386.25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80</v>
      </c>
      <c r="B160" s="175">
        <f>'Données projet'!D153</f>
        <v>330</v>
      </c>
      <c r="C160" s="191">
        <v>32.1875</v>
      </c>
      <c r="D160" s="182">
        <f t="shared" si="10"/>
        <v>10621.875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5" ma:contentTypeDescription="Create a new document." ma:contentTypeScope="" ma:versionID="a73ee3bb35a9bd7478c61e6e8e2bc4ee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0e87dbacb70e8a9550b50faea6e54f53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AFD7B61D-66ED-4A6B-AC12-EFEBD08C9D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A3292A-CB53-4BE2-9C0F-B658786C8E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30C2A8-3FF7-482D-944C-5BD995751DCF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Anna CROS</cp:lastModifiedBy>
  <dcterms:created xsi:type="dcterms:W3CDTF">2021-02-01T08:22:39Z</dcterms:created>
  <dcterms:modified xsi:type="dcterms:W3CDTF">2023-07-10T13:49:16Z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1933200</vt:r8>
  </property>
  <property fmtid="{D5CDD505-2E9C-101B-9397-08002B2CF9AE}" pid="4" name="MediaServiceImageTags">
    <vt:lpwstr/>
  </property>
</Properties>
</file>